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showInkAnnotation="0" codeName="ThisWorkbook" defaultThemeVersion="124226"/>
  <mc:AlternateContent xmlns:mc="http://schemas.openxmlformats.org/markup-compatibility/2006">
    <mc:Choice Requires="x15">
      <x15ac:absPath xmlns:x15ac="http://schemas.microsoft.com/office/spreadsheetml/2010/11/ac" url="https://nationalcore-my.sharepoint.com/personal/lcontreras_nationalcore_org/Documents/2021 CDLAC-CTCAC/Santa Angelina/Santa Angelina Senior USB/TAB 40 - Excel Application/"/>
    </mc:Choice>
  </mc:AlternateContent>
  <xr:revisionPtr revIDLastSave="185" documentId="13_ncr:1_{0CE0DE3B-2AB8-41AD-99BB-8FB94D53684A}" xr6:coauthVersionLast="46" xr6:coauthVersionMax="46" xr10:uidLastSave="{8453F197-C8AB-46BE-8BDC-055C57B787CA}"/>
  <bookViews>
    <workbookView xWindow="28680" yWindow="-120" windowWidth="29040" windowHeight="15840" tabRatio="905" firstSheet="2"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945" i="3" l="1"/>
  <c r="M944" i="3"/>
  <c r="AG447" i="3"/>
  <c r="AG441" i="3"/>
  <c r="C83" i="4"/>
  <c r="C29" i="4"/>
  <c r="C30" i="4"/>
  <c r="E7" i="4"/>
  <c r="F30" i="4"/>
  <c r="C35" i="4"/>
  <c r="C7" i="4"/>
  <c r="C32" i="4"/>
  <c r="C33" i="4"/>
  <c r="S31" i="4"/>
  <c r="C31" i="4"/>
  <c r="AM570" i="3" l="1"/>
  <c r="C95" i="4" l="1"/>
  <c r="C45" i="4"/>
  <c r="E85" i="4"/>
  <c r="E4" i="8"/>
  <c r="E31" i="4" l="1"/>
  <c r="I31" i="4"/>
  <c r="S10" i="4" l="1"/>
  <c r="E33" i="4"/>
  <c r="E40" i="4"/>
  <c r="K35" i="4"/>
  <c r="I32" i="4"/>
  <c r="O541" i="3" l="1"/>
  <c r="O538" i="3"/>
  <c r="O535" i="3"/>
  <c r="O532" i="3"/>
  <c r="E40" i="7" l="1"/>
  <c r="A40" i="7"/>
  <c r="A39" i="7"/>
  <c r="K28" i="7"/>
  <c r="M28" i="7" s="1"/>
  <c r="O28" i="7" s="1"/>
  <c r="Q28" i="7" s="1"/>
  <c r="S28" i="7" s="1"/>
  <c r="U28" i="7" s="1"/>
  <c r="W28" i="7" s="1"/>
  <c r="Y28" i="7" s="1"/>
  <c r="AA28" i="7" s="1"/>
  <c r="AC28" i="7" s="1"/>
  <c r="AE28" i="7" s="1"/>
  <c r="AG28" i="7" s="1"/>
  <c r="I28" i="7"/>
  <c r="G28" i="7"/>
  <c r="AG27" i="7"/>
  <c r="AE27" i="7"/>
  <c r="AC27" i="7"/>
  <c r="AA27" i="7"/>
  <c r="W27" i="7"/>
  <c r="U27" i="7"/>
  <c r="S27" i="7"/>
  <c r="Q27" i="7"/>
  <c r="Y27" i="7"/>
  <c r="O27" i="7"/>
  <c r="T207" i="20"/>
  <c r="N207" i="20"/>
  <c r="I207" i="20"/>
  <c r="AD183" i="20"/>
  <c r="AD184" i="20"/>
  <c r="AD185" i="20"/>
  <c r="B184" i="20"/>
  <c r="B185" i="20"/>
  <c r="G99" i="13"/>
  <c r="G90" i="13"/>
  <c r="G91" i="13"/>
  <c r="G92" i="13"/>
  <c r="G93" i="13"/>
  <c r="G94" i="13"/>
  <c r="G95" i="13"/>
  <c r="G89" i="13"/>
  <c r="G86" i="13"/>
  <c r="G87" i="13"/>
  <c r="G84" i="13"/>
  <c r="G80" i="13"/>
  <c r="G69" i="13"/>
  <c r="G65" i="13"/>
  <c r="G53" i="13"/>
  <c r="G51" i="13"/>
  <c r="G50" i="13"/>
  <c r="G46" i="13"/>
  <c r="G43" i="13"/>
  <c r="G40" i="13"/>
  <c r="G34" i="13"/>
  <c r="G36" i="13"/>
  <c r="D99" i="13"/>
  <c r="D84" i="13"/>
  <c r="D86" i="13"/>
  <c r="D87" i="13"/>
  <c r="D88" i="13"/>
  <c r="D89" i="13"/>
  <c r="D90" i="13"/>
  <c r="D91" i="13"/>
  <c r="D92" i="13"/>
  <c r="D93" i="13"/>
  <c r="D94" i="13"/>
  <c r="D80" i="13"/>
  <c r="D72" i="13"/>
  <c r="D69" i="13"/>
  <c r="D65" i="13"/>
  <c r="D58" i="13"/>
  <c r="D53" i="13"/>
  <c r="D51" i="13"/>
  <c r="D50" i="13"/>
  <c r="D46" i="13"/>
  <c r="D43" i="13"/>
  <c r="D40" i="13"/>
  <c r="D34" i="13"/>
  <c r="D36" i="13"/>
  <c r="D5" i="13"/>
  <c r="S94" i="4"/>
  <c r="S93" i="4"/>
  <c r="S92" i="4"/>
  <c r="S91" i="4"/>
  <c r="S90" i="4"/>
  <c r="S89" i="4"/>
  <c r="S87" i="4"/>
  <c r="S86" i="4"/>
  <c r="S84" i="4"/>
  <c r="S80" i="4"/>
  <c r="S53" i="4"/>
  <c r="S51" i="4"/>
  <c r="S50" i="4"/>
  <c r="S36" i="4"/>
  <c r="S34" i="4"/>
  <c r="E99" i="4"/>
  <c r="E84" i="4"/>
  <c r="E86" i="4"/>
  <c r="E87" i="4"/>
  <c r="E88" i="4"/>
  <c r="E89" i="4"/>
  <c r="E90" i="4"/>
  <c r="E91" i="4"/>
  <c r="E92" i="4"/>
  <c r="E93" i="4"/>
  <c r="E94" i="4"/>
  <c r="E95" i="4"/>
  <c r="E83" i="4"/>
  <c r="E80" i="4"/>
  <c r="E79" i="4"/>
  <c r="E75" i="4"/>
  <c r="E74" i="4"/>
  <c r="E72" i="4"/>
  <c r="E69" i="4"/>
  <c r="E65" i="4"/>
  <c r="E58" i="4"/>
  <c r="E56" i="4"/>
  <c r="E53" i="4"/>
  <c r="E51" i="4"/>
  <c r="E50" i="4"/>
  <c r="E46" i="4"/>
  <c r="E45" i="4"/>
  <c r="E43" i="4"/>
  <c r="E37" i="4"/>
  <c r="E29" i="4"/>
  <c r="E10" i="4"/>
  <c r="E5" i="4"/>
  <c r="G671" i="3" l="1"/>
  <c r="G670" i="3"/>
  <c r="AG585" i="3"/>
  <c r="AF584" i="3"/>
  <c r="Z582" i="3"/>
  <c r="Z581" i="3"/>
  <c r="Z580" i="3"/>
  <c r="Z579" i="3"/>
  <c r="AG442"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8" i="7" l="1"/>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F81" i="13"/>
  <c r="C81" i="13"/>
  <c r="H80" i="13"/>
  <c r="E80" i="13"/>
  <c r="B80" i="13"/>
  <c r="R80" i="4"/>
  <c r="R79" i="4"/>
  <c r="S79" i="4" s="1"/>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4" i="13"/>
  <c r="E79" i="13"/>
  <c r="G79" i="13" s="1"/>
  <c r="G81" i="13" s="1"/>
  <c r="E65" i="13"/>
  <c r="E53" i="13"/>
  <c r="E52" i="13"/>
  <c r="E51" i="13"/>
  <c r="E50" i="13"/>
  <c r="E49" i="13"/>
  <c r="E48" i="13"/>
  <c r="E47" i="13"/>
  <c r="E46" i="13"/>
  <c r="E45" i="13"/>
  <c r="G45" i="13" s="1"/>
  <c r="G54" i="13" s="1"/>
  <c r="E43" i="13"/>
  <c r="E41" i="13"/>
  <c r="E40" i="13"/>
  <c r="E37" i="13"/>
  <c r="G37" i="13" s="1"/>
  <c r="E34" i="13"/>
  <c r="E27" i="13"/>
  <c r="E25" i="13"/>
  <c r="E23" i="13"/>
  <c r="E22" i="13"/>
  <c r="E21" i="13"/>
  <c r="E20" i="13"/>
  <c r="E19" i="13"/>
  <c r="E18" i="13"/>
  <c r="E17" i="13"/>
  <c r="E15" i="13"/>
  <c r="E14" i="13"/>
  <c r="E13" i="13"/>
  <c r="E10" i="13"/>
  <c r="G10" i="13" s="1"/>
  <c r="B99" i="13"/>
  <c r="B95" i="13"/>
  <c r="D95" i="13" s="1"/>
  <c r="B94" i="13"/>
  <c r="B93" i="13"/>
  <c r="B92" i="13"/>
  <c r="B91" i="13"/>
  <c r="B90" i="13"/>
  <c r="B89" i="13"/>
  <c r="B88" i="13"/>
  <c r="B87" i="13"/>
  <c r="B86" i="13"/>
  <c r="B85" i="13"/>
  <c r="D85" i="13" s="1"/>
  <c r="B84" i="13"/>
  <c r="B83" i="13"/>
  <c r="D83" i="13" s="1"/>
  <c r="B79" i="13"/>
  <c r="D79" i="13" s="1"/>
  <c r="D81" i="13" s="1"/>
  <c r="B76" i="13"/>
  <c r="B75" i="13"/>
  <c r="D75" i="13" s="1"/>
  <c r="B74" i="13"/>
  <c r="D74" i="13" s="1"/>
  <c r="B73" i="13"/>
  <c r="B72" i="13"/>
  <c r="B70" i="13"/>
  <c r="B65" i="13"/>
  <c r="B61" i="13"/>
  <c r="B60" i="13"/>
  <c r="B59" i="13"/>
  <c r="B58" i="13"/>
  <c r="B57" i="13"/>
  <c r="B56" i="13"/>
  <c r="D56" i="13" s="1"/>
  <c r="D62" i="13" s="1"/>
  <c r="B53" i="13"/>
  <c r="B52" i="13"/>
  <c r="B51" i="13"/>
  <c r="B50" i="13"/>
  <c r="B49" i="13"/>
  <c r="B48" i="13"/>
  <c r="B47" i="13"/>
  <c r="B46" i="13"/>
  <c r="B45" i="13"/>
  <c r="D45" i="13" s="1"/>
  <c r="D54" i="13" s="1"/>
  <c r="B43" i="13"/>
  <c r="C42" i="4"/>
  <c r="B42" i="13" s="1"/>
  <c r="B41" i="13"/>
  <c r="B40" i="13"/>
  <c r="B37" i="13"/>
  <c r="D37" i="13" s="1"/>
  <c r="B35" i="13"/>
  <c r="D35" i="13" s="1"/>
  <c r="B34" i="13"/>
  <c r="B33" i="13"/>
  <c r="D33" i="13" s="1"/>
  <c r="B32" i="13"/>
  <c r="D32" i="13" s="1"/>
  <c r="B31" i="13"/>
  <c r="D31" i="13" s="1"/>
  <c r="B30" i="13"/>
  <c r="D30" i="13" s="1"/>
  <c r="B29" i="13"/>
  <c r="D29" i="13" s="1"/>
  <c r="B27" i="13"/>
  <c r="B25" i="13"/>
  <c r="B23" i="13"/>
  <c r="B22" i="13"/>
  <c r="B21" i="13"/>
  <c r="B20" i="13"/>
  <c r="B19" i="13"/>
  <c r="B18" i="13"/>
  <c r="B17" i="13"/>
  <c r="B5" i="13"/>
  <c r="B6" i="13"/>
  <c r="B7" i="13"/>
  <c r="D7" i="13" s="1"/>
  <c r="C8" i="4"/>
  <c r="B8" i="13" s="1"/>
  <c r="B9" i="13"/>
  <c r="B10" i="13"/>
  <c r="D10" i="13" s="1"/>
  <c r="D11" i="13" s="1"/>
  <c r="B13" i="13"/>
  <c r="B14" i="13"/>
  <c r="B15" i="13"/>
  <c r="B4" i="13"/>
  <c r="J104" i="13"/>
  <c r="I104" i="13"/>
  <c r="G104" i="13"/>
  <c r="F104" i="13"/>
  <c r="D104" i="13"/>
  <c r="C104" i="13"/>
  <c r="F96" i="13"/>
  <c r="C96" i="13"/>
  <c r="C77" i="13"/>
  <c r="J70" i="13"/>
  <c r="I70" i="13"/>
  <c r="G70" i="13"/>
  <c r="F70" i="13"/>
  <c r="D70" i="13"/>
  <c r="C70" i="13"/>
  <c r="C62" i="13"/>
  <c r="J54" i="13"/>
  <c r="I54" i="13"/>
  <c r="F54" i="13"/>
  <c r="C54" i="13"/>
  <c r="J42" i="13"/>
  <c r="I42" i="13"/>
  <c r="G42" i="13"/>
  <c r="F42" i="13"/>
  <c r="F26" i="13"/>
  <c r="F38" i="13"/>
  <c r="D42" i="13"/>
  <c r="C42" i="13"/>
  <c r="J38" i="13"/>
  <c r="I38" i="13"/>
  <c r="C38" i="13"/>
  <c r="J26" i="13"/>
  <c r="I26" i="13"/>
  <c r="I11" i="13"/>
  <c r="G26" i="13"/>
  <c r="D26" i="13"/>
  <c r="C26" i="13"/>
  <c r="J11" i="13"/>
  <c r="C11" i="13"/>
  <c r="C8" i="13"/>
  <c r="D8" i="13"/>
  <c r="T104" i="4"/>
  <c r="H104" i="13" s="1"/>
  <c r="R103" i="4"/>
  <c r="R102" i="4"/>
  <c r="R101" i="4"/>
  <c r="R99" i="4"/>
  <c r="R95" i="4"/>
  <c r="R94" i="4"/>
  <c r="R93" i="4"/>
  <c r="R92" i="4"/>
  <c r="R90" i="4"/>
  <c r="R89" i="4"/>
  <c r="R88" i="4"/>
  <c r="R87" i="4"/>
  <c r="R86" i="4"/>
  <c r="R85" i="4"/>
  <c r="S85" i="4" s="1"/>
  <c r="S96" i="4" s="1"/>
  <c r="E96" i="13" s="1"/>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S32" i="4" s="1"/>
  <c r="R31" i="4"/>
  <c r="E31" i="13" s="1"/>
  <c r="G31" i="13" s="1"/>
  <c r="R30" i="4"/>
  <c r="S30" i="4" s="1"/>
  <c r="R29" i="4"/>
  <c r="S29" i="4"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54" i="4"/>
  <c r="E54"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S35" i="4" l="1"/>
  <c r="E35" i="13" s="1"/>
  <c r="G35" i="13" s="1"/>
  <c r="D96" i="13"/>
  <c r="E85" i="13"/>
  <c r="G85" i="13" s="1"/>
  <c r="G96" i="13" s="1"/>
  <c r="D30" i="11"/>
  <c r="S33" i="4"/>
  <c r="E33" i="13" s="1"/>
  <c r="G33" i="13" s="1"/>
  <c r="E30" i="13"/>
  <c r="G30" i="13" s="1"/>
  <c r="D38" i="13"/>
  <c r="D77" i="13"/>
  <c r="E32" i="13"/>
  <c r="G32" i="13" s="1"/>
  <c r="E29" i="13"/>
  <c r="G29" i="13" s="1"/>
  <c r="R81" i="4"/>
  <c r="B54" i="4"/>
  <c r="B26"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I27" i="7"/>
  <c r="M27" i="7"/>
  <c r="G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38" i="4" l="1"/>
  <c r="G38" i="13"/>
  <c r="G63" i="13" s="1"/>
  <c r="G97" i="13" s="1"/>
  <c r="G105" i="13" s="1"/>
  <c r="G107" i="13" s="1"/>
  <c r="D97" i="13"/>
  <c r="D105"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E38" i="13" l="1"/>
  <c r="S63" i="4"/>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E63" i="13" l="1"/>
  <c r="S97" i="4"/>
  <c r="C98" i="11"/>
  <c r="D98" i="11" s="1"/>
  <c r="CS663" i="3"/>
  <c r="J8" i="22" s="1"/>
  <c r="J10" i="22" s="1"/>
  <c r="U588" i="20" s="1"/>
  <c r="P420" i="3"/>
  <c r="E126" i="20"/>
  <c r="E127" i="20" s="1"/>
  <c r="H107" i="13"/>
  <c r="AD11" i="15" s="1"/>
  <c r="AD23" i="15" s="1"/>
  <c r="AD26" i="15" s="1"/>
  <c r="AD28" i="15" s="1"/>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3" i="3"/>
  <c r="AB47" i="15"/>
  <c r="AB49" i="15" s="1"/>
  <c r="E97" i="13" l="1"/>
  <c r="S105" i="4"/>
  <c r="C106" i="11"/>
  <c r="D106" i="11" s="1"/>
  <c r="AJ1028" i="3"/>
  <c r="AJ1024" i="3"/>
  <c r="AP94" i="20"/>
  <c r="E94" i="20"/>
  <c r="AG253" i="20"/>
  <c r="AK256" i="20" s="1"/>
  <c r="T792" i="20" s="1"/>
  <c r="AF792" i="20" s="1"/>
  <c r="E61" i="7"/>
  <c r="E67" i="7" s="1"/>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AB54" i="15"/>
  <c r="AB55" i="15" s="1"/>
  <c r="S107" i="4" l="1"/>
  <c r="E105" i="13"/>
  <c r="E65" i="7"/>
  <c r="E66" i="7"/>
  <c r="G61" i="7"/>
  <c r="G67" i="7" s="1"/>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E69" i="7" l="1"/>
  <c r="E71" i="7" s="1"/>
  <c r="E107" i="13"/>
  <c r="T11" i="15" s="1"/>
  <c r="T23" i="15" s="1"/>
  <c r="AC455" i="3"/>
  <c r="AF766" i="20"/>
  <c r="G66" i="7"/>
  <c r="G65" i="7"/>
  <c r="G69" i="7" s="1"/>
  <c r="G71" i="7" s="1"/>
  <c r="AZ854" i="3"/>
  <c r="AP772" i="20"/>
  <c r="AP771" i="20" s="1"/>
  <c r="AP774" i="20" s="1"/>
  <c r="AF767" i="20" s="1"/>
  <c r="AF768" i="20" s="1"/>
  <c r="AK774" i="20" s="1"/>
  <c r="T799" i="20" s="1"/>
  <c r="AF799" i="20" s="1"/>
  <c r="I59" i="7"/>
  <c r="I47" i="7"/>
  <c r="Q4" i="7"/>
  <c r="S4" i="7" s="1"/>
  <c r="K48" i="7"/>
  <c r="M44" i="7"/>
  <c r="M48" i="7"/>
  <c r="S9" i="7"/>
  <c r="U8" i="7"/>
  <c r="U21" i="7"/>
  <c r="U34" i="7" s="1"/>
  <c r="W14" i="7"/>
  <c r="K47" i="7"/>
  <c r="K46" i="7"/>
  <c r="K59" i="7"/>
  <c r="O7" i="7"/>
  <c r="O10" i="7" s="1"/>
  <c r="O36" i="7" s="1"/>
  <c r="Q6" i="7"/>
  <c r="Y64" i="15" l="1"/>
  <c r="Y68" i="15" s="1"/>
  <c r="T26" i="15"/>
  <c r="T28" i="15" s="1"/>
  <c r="AD38" i="15"/>
  <c r="AD40" i="15" s="1"/>
  <c r="I61" i="7"/>
  <c r="K61" i="7" s="1"/>
  <c r="K65" i="7" s="1"/>
  <c r="Q5" i="7"/>
  <c r="O44" i="7"/>
  <c r="O48" i="7"/>
  <c r="W21" i="7"/>
  <c r="W34" i="7" s="1"/>
  <c r="Y14" i="7"/>
  <c r="W8" i="7"/>
  <c r="U9" i="7"/>
  <c r="M47" i="7"/>
  <c r="M46" i="7"/>
  <c r="M59" i="7"/>
  <c r="U4" i="7"/>
  <c r="S5" i="7"/>
  <c r="Q7" i="7"/>
  <c r="S6" i="7"/>
  <c r="T29" i="15" l="1"/>
  <c r="Y38" i="15"/>
  <c r="Y40" i="15" s="1"/>
  <c r="Y41" i="15" s="1"/>
  <c r="AB56" i="15" s="1"/>
  <c r="K67" i="7"/>
  <c r="M67" i="7"/>
  <c r="M66" i="7"/>
  <c r="M65" i="7"/>
  <c r="K66" i="7"/>
  <c r="I66" i="7"/>
  <c r="I65" i="7"/>
  <c r="I67" i="7"/>
  <c r="K69" i="7"/>
  <c r="K71" i="7" s="1"/>
  <c r="Q10" i="7"/>
  <c r="Q36" i="7" s="1"/>
  <c r="Q48" i="7" s="1"/>
  <c r="W4" i="7"/>
  <c r="U5" i="7"/>
  <c r="Y8" i="7"/>
  <c r="W9" i="7"/>
  <c r="Y21" i="7"/>
  <c r="Y34" i="7" s="1"/>
  <c r="AA14" i="7"/>
  <c r="S7" i="7"/>
  <c r="S10" i="7" s="1"/>
  <c r="S36" i="7" s="1"/>
  <c r="U6" i="7"/>
  <c r="O59" i="7"/>
  <c r="O46" i="7"/>
  <c r="O47" i="7"/>
  <c r="M26" i="3" l="1"/>
  <c r="AB57" i="15"/>
  <c r="AB59" i="15" s="1"/>
  <c r="AB76" i="15" s="1"/>
  <c r="AB77" i="15" s="1"/>
  <c r="I69" i="7"/>
  <c r="I71" i="7" s="1"/>
  <c r="O67" i="7"/>
  <c r="O66" i="7"/>
  <c r="O65" i="7"/>
  <c r="M69" i="7"/>
  <c r="M71" i="7" s="1"/>
  <c r="Q44" i="7"/>
  <c r="Q46" i="7" s="1"/>
  <c r="S44" i="7"/>
  <c r="S48" i="7"/>
  <c r="W6" i="7"/>
  <c r="U7" i="7"/>
  <c r="U10" i="7" s="1"/>
  <c r="U36" i="7" s="1"/>
  <c r="Y4" i="7"/>
  <c r="W5" i="7"/>
  <c r="AA21" i="7"/>
  <c r="AA34" i="7" s="1"/>
  <c r="AC14" i="7"/>
  <c r="Y9" i="7"/>
  <c r="AA8" i="7"/>
  <c r="E3" i="21" l="1"/>
  <c r="E7" i="21" s="1"/>
  <c r="E18" i="21" s="1"/>
  <c r="M27" i="3"/>
  <c r="P204" i="3" s="1"/>
  <c r="P203" i="3" s="1"/>
  <c r="AB78" i="15"/>
  <c r="AB80" i="15" s="1"/>
  <c r="J81" i="15" s="1"/>
  <c r="O69" i="7"/>
  <c r="O71" i="7" s="1"/>
  <c r="Q59" i="7"/>
  <c r="Q47" i="7"/>
  <c r="U44" i="7"/>
  <c r="U48" i="7"/>
  <c r="AE14" i="7"/>
  <c r="AC21" i="7"/>
  <c r="AC34" i="7" s="1"/>
  <c r="W7" i="7"/>
  <c r="W10" i="7" s="1"/>
  <c r="W36" i="7" s="1"/>
  <c r="Y6" i="7"/>
  <c r="AA4" i="7"/>
  <c r="Y5" i="7"/>
  <c r="AA9" i="7"/>
  <c r="AC8" i="7"/>
  <c r="S59" i="7"/>
  <c r="S47" i="7"/>
  <c r="S46" i="7"/>
  <c r="Q67" i="7" l="1"/>
  <c r="Q66" i="7"/>
  <c r="Q65" i="7"/>
  <c r="S66" i="7"/>
  <c r="S65" i="7"/>
  <c r="S67" i="7"/>
  <c r="AA6" i="7"/>
  <c r="Y7" i="7"/>
  <c r="Y10" i="7" s="1"/>
  <c r="Y36" i="7" s="1"/>
  <c r="AE8" i="7"/>
  <c r="AC9" i="7"/>
  <c r="AC4" i="7"/>
  <c r="AA5" i="7"/>
  <c r="W48" i="7"/>
  <c r="W44" i="7"/>
  <c r="AG14" i="7"/>
  <c r="AG21" i="7" s="1"/>
  <c r="AG34" i="7" s="1"/>
  <c r="AE21" i="7"/>
  <c r="AE34" i="7" s="1"/>
  <c r="U47" i="7"/>
  <c r="U46" i="7"/>
  <c r="U59" i="7"/>
  <c r="U67" i="7" l="1"/>
  <c r="U66" i="7"/>
  <c r="U65" i="7"/>
  <c r="S69" i="7"/>
  <c r="S71" i="7" s="1"/>
  <c r="Q69" i="7"/>
  <c r="Q71" i="7" s="1"/>
  <c r="W46" i="7"/>
  <c r="W59" i="7"/>
  <c r="W47" i="7"/>
  <c r="Y44" i="7"/>
  <c r="Y48" i="7"/>
  <c r="AE4" i="7"/>
  <c r="AC5" i="7"/>
  <c r="AE9" i="7"/>
  <c r="AG8" i="7"/>
  <c r="AG9" i="7" s="1"/>
  <c r="AA7" i="7"/>
  <c r="AA10" i="7" s="1"/>
  <c r="AA36" i="7" s="1"/>
  <c r="AC6" i="7"/>
  <c r="W67" i="7" l="1"/>
  <c r="W66" i="7"/>
  <c r="W65" i="7"/>
  <c r="U69" i="7"/>
  <c r="U71" i="7" s="1"/>
  <c r="AA48" i="7"/>
  <c r="AA44" i="7"/>
  <c r="AE5" i="7"/>
  <c r="AG4" i="7"/>
  <c r="Y47" i="7"/>
  <c r="Y46" i="7"/>
  <c r="Y59" i="7"/>
  <c r="AC7" i="7"/>
  <c r="AC10" i="7" s="1"/>
  <c r="AC36" i="7" s="1"/>
  <c r="AE6" i="7"/>
  <c r="Y67" i="7" l="1"/>
  <c r="Y66" i="7"/>
  <c r="Y65" i="7"/>
  <c r="W69" i="7"/>
  <c r="W71" i="7" s="1"/>
  <c r="AE7" i="7"/>
  <c r="AE10" i="7" s="1"/>
  <c r="AE36" i="7" s="1"/>
  <c r="AG6" i="7"/>
  <c r="AG7" i="7" s="1"/>
  <c r="AC44" i="7"/>
  <c r="AC48" i="7"/>
  <c r="AG5" i="7"/>
  <c r="AA46" i="7"/>
  <c r="AA47" i="7"/>
  <c r="AA59" i="7"/>
  <c r="AA67" i="7" l="1"/>
  <c r="AA66" i="7"/>
  <c r="AA65" i="7"/>
  <c r="Y69" i="7"/>
  <c r="Y71" i="7" s="1"/>
  <c r="AG10" i="7"/>
  <c r="AG36" i="7" s="1"/>
  <c r="AG48" i="7" s="1"/>
  <c r="AE48" i="7"/>
  <c r="AE44" i="7"/>
  <c r="AC46" i="7"/>
  <c r="AC59" i="7"/>
  <c r="AC47" i="7"/>
  <c r="AC67" i="7" l="1"/>
  <c r="AC66" i="7"/>
  <c r="AC65" i="7"/>
  <c r="AA69" i="7"/>
  <c r="AA71" i="7" s="1"/>
  <c r="AG44" i="7"/>
  <c r="AG46" i="7" s="1"/>
  <c r="AE59" i="7"/>
  <c r="AE46" i="7"/>
  <c r="AE47" i="7"/>
  <c r="AE67" i="7" l="1"/>
  <c r="AE66" i="7"/>
  <c r="AE65" i="7"/>
  <c r="AC69" i="7"/>
  <c r="AC71" i="7" s="1"/>
  <c r="AG59" i="7"/>
  <c r="AG47" i="7"/>
  <c r="AG67" i="7" l="1"/>
  <c r="AG66" i="7"/>
  <c r="AG65" i="7"/>
  <c r="AE69" i="7"/>
  <c r="AE71" i="7" s="1"/>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C565" authorId="0" shapeId="0" xr:uid="{575CEBA2-5A7F-42D5-BF68-CC993D30016C}">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<sst xmlns="http://schemas.openxmlformats.org/spreadsheetml/2006/main" count="5059" uniqueCount="2700">
  <si>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</si>
  <si>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</si>
  <si>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</si>
  <si>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</si>
  <si>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</si>
  <si>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</si>
  <si>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</si>
  <si>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</si>
  <si>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</si>
  <si>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</si>
  <si>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</si>
  <si>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</si>
  <si>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</si>
  <si>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</si>
  <si>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</si>
  <si>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</si>
  <si>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</si>
  <si>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</si>
  <si>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</si>
  <si>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</si>
  <si>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</si>
  <si>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</si>
  <si>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</si>
  <si>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</si>
  <si>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</si>
  <si>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</si>
  <si>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</si>
  <si>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</si>
  <si>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</si>
  <si>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</si>
  <si>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</si>
  <si>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</si>
  <si>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</si>
  <si>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</si>
  <si>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</si>
  <si>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</si>
  <si>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</si>
  <si>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</si>
  <si>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</si>
  <si>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</si>
  <si>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</si>
  <si>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</si>
  <si>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</si>
  <si>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</si>
  <si>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</si>
  <si>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</si>
  <si>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</si>
  <si>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</si>
  <si>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</si>
  <si>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</si>
  <si>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</si>
  <si>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</si>
  <si>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</si>
  <si>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</si>
  <si>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</si>
  <si>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</si>
  <si>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</si>
  <si>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</si>
  <si>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</si>
  <si>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</si>
  <si>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</si>
  <si>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</si>
  <si>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</si>
  <si>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</si>
  <si>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</si>
  <si>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</si>
  <si>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</si>
  <si>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</si>
  <si>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</si>
  <si>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</si>
  <si>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</si>
  <si>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</si>
  <si>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</si>
  <si>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</si>
  <si>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</si>
  <si>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</si>
  <si>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</si>
  <si>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</si>
  <si>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</si>
  <si>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</si>
  <si>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</si>
  <si>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</si>
  <si>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</si>
  <si>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</si>
  <si>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</si>
  <si>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</si>
  <si>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</si>
  <si>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</si>
  <si>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</si>
  <si>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</si>
  <si>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</si>
  <si>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</si>
  <si>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</si>
  <si>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</si>
  <si>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</si>
  <si>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</si>
  <si>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</si>
  <si>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</si>
  <si>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</si>
  <si>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</si>
  <si>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</si>
  <si>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</si>
  <si>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</si>
  <si>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</si>
  <si>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</si>
  <si>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</si>
  <si>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</si>
  <si>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</si>
  <si>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</si>
  <si>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</si>
  <si>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</si>
  <si>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</si>
  <si>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</si>
  <si>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</si>
  <si>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</si>
  <si>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</si>
  <si>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</si>
  <si>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</si>
  <si>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</si>
  <si>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</si>
  <si>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</si>
  <si>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</si>
  <si>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</si>
  <si>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</si>
  <si>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</si>
  <si>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</si>
  <si>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</si>
  <si>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</si>
  <si>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</si>
  <si>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</si>
  <si>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</si>
  <si>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</si>
  <si>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</si>
  <si>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</si>
  <si>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</si>
  <si>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</si>
  <si>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</si>
  <si>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</si>
  <si>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</si>
  <si>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</si>
  <si>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</si>
  <si>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</si>
  <si>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</si>
  <si>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</si>
  <si>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</si>
  <si>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</si>
  <si>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</si>
  <si>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</si>
  <si>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</si>
  <si>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</si>
  <si>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</si>
  <si>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</si>
  <si>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</si>
  <si>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</si>
  <si>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</si>
  <si>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</si>
  <si>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</si>
  <si>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</si>
  <si>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</si>
  <si>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</si>
  <si>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</si>
  <si>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</si>
  <si>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</si>
  <si>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</si>
  <si>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</si>
  <si>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</si>
  <si>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</si>
  <si>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</si>
  <si>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</si>
  <si>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</si>
  <si>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</si>
  <si>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</si>
  <si>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</si>
  <si>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</si>
  <si>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</si>
  <si>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</si>
  <si>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</si>
  <si>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</si>
  <si>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</si>
  <si>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</si>
  <si>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</si>
  <si>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</si>
  <si>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</si>
  <si>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</si>
  <si>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</si>
  <si>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</si>
  <si>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</si>
  <si>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</si>
  <si>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</si>
  <si>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</si>
  <si>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</si>
  <si>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</si>
  <si>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</si>
  <si>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</si>
  <si>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</si>
  <si>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</si>
  <si>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</si>
  <si>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</si>
  <si>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</si>
  <si>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</si>
  <si>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</si>
  <si>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</si>
  <si>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</si>
  <si>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</si>
  <si>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</si>
  <si>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</si>
  <si>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</si>
  <si>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</si>
  <si>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</si>
  <si>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</si>
  <si>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</si>
  <si>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</si>
  <si>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</si>
  <si>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</si>
  <si>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</si>
  <si>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</si>
  <si>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</si>
  <si>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</si>
  <si>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</si>
  <si>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</si>
  <si>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</si>
  <si>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</si>
  <si>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</si>
  <si>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</si>
  <si>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</si>
  <si>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</si>
  <si>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</si>
  <si>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</si>
  <si>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</si>
  <si>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</si>
  <si>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</si>
  <si>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</si>
  <si>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</si>
  <si>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</si>
  <si>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</si>
  <si>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</si>
  <si>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</si>
  <si>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</si>
  <si>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</si>
  <si>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</si>
  <si>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</si>
  <si>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</si>
  <si>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</si>
  <si>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</si>
  <si>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</si>
  <si>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</si>
  <si>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</si>
  <si>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</si>
  <si>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</si>
  <si>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</si>
  <si>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</si>
  <si>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</si>
  <si>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</si>
  <si>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</si>
  <si>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</si>
  <si>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</si>
  <si>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</si>
  <si>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</si>
  <si>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</si>
  <si>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</si>
  <si>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</si>
  <si>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</si>
  <si>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</si>
  <si>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</si>
  <si>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</si>
  <si>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</si>
  <si>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</si>
  <si>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</si>
  <si>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</si>
  <si>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</si>
  <si>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</si>
  <si>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</si>
  <si>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</si>
  <si>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</si>
  <si>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</si>
  <si>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</si>
  <si>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</si>
  <si>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</si>
  <si>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</si>
  <si>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</si>
  <si>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</si>
  <si>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</si>
  <si>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</si>
  <si>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</si>
  <si>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</si>
  <si>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</si>
  <si>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</si>
  <si>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</si>
  <si>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</si>
  <si>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</si>
  <si>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</si>
  <si>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</si>
  <si>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</si>
  <si>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</si>
  <si>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</si>
  <si>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</si>
  <si>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</si>
  <si>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</si>
  <si>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</si>
  <si>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</si>
  <si>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</si>
  <si>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</si>
  <si>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</si>
  <si>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</si>
  <si>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</si>
  <si>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</si>
  <si>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</si>
  <si>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</si>
  <si>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</si>
  <si>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</si>
  <si>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</si>
  <si>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</si>
  <si>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</si>
  <si>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</si>
  <si>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</si>
  <si>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</si>
  <si>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</si>
  <si>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</si>
  <si>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</si>
  <si>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</si>
  <si>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</si>
  <si>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</si>
  <si>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</si>
  <si>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</si>
  <si>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</si>
  <si>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</si>
  <si>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</si>
  <si>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</si>
  <si>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</si>
  <si>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</si>
  <si>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</si>
  <si>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</si>
  <si>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</si>
  <si>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</si>
  <si>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</si>
  <si>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</si>
  <si>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</si>
  <si>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</si>
  <si>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</si>
  <si>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</si>
  <si>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</si>
  <si>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</si>
  <si>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</si>
  <si>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</si>
  <si>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</si>
  <si>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</si>
  <si>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</si>
  <si>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</si>
  <si>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</si>
  <si>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</si>
  <si>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</si>
  <si>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</si>
  <si>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</si>
  <si>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</si>
  <si>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</si>
  <si>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</si>
  <si>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</si>
  <si>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</si>
  <si>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</si>
  <si>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</si>
  <si>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</si>
  <si>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</si>
  <si>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</si>
  <si>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</si>
  <si>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</si>
  <si>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</si>
  <si>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</si>
  <si>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</si>
  <si>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</si>
  <si>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</si>
  <si>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</si>
  <si>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</si>
  <si>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</si>
  <si>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</si>
  <si>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</si>
  <si>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</si>
  <si>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</si>
  <si>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</si>
  <si>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</si>
  <si>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</si>
  <si>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</si>
  <si>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</si>
  <si>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</si>
  <si>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</si>
  <si>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</si>
  <si>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</si>
  <si>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</si>
  <si>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</si>
  <si>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</si>
  <si>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</si>
  <si>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</si>
  <si>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</si>
  <si>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</si>
  <si>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</si>
  <si>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</si>
  <si>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</si>
  <si>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</si>
  <si>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</si>
  <si>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</si>
  <si>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</si>
  <si>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</si>
  <si>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</si>
  <si>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</si>
  <si>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</si>
  <si>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</si>
  <si>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</si>
  <si>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</si>
  <si>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</si>
  <si>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</si>
  <si>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</si>
  <si>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</si>
  <si>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</si>
  <si>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</si>
  <si>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</si>
  <si>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</si>
  <si>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</si>
  <si>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</si>
  <si>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</si>
  <si>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</si>
  <si>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</si>
  <si>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</si>
  <si>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</si>
  <si>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</si>
  <si>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</si>
  <si>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</si>
  <si>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</si>
  <si>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</si>
  <si>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</si>
  <si>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</si>
  <si>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</si>
  <si>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</si>
  <si>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</si>
  <si>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</si>
  <si>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</si>
  <si>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</si>
  <si>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</si>
  <si>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</si>
  <si>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</si>
  <si>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</si>
  <si>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</si>
  <si>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</si>
  <si>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</si>
  <si>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</si>
  <si>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</si>
  <si>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</si>
  <si>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</si>
  <si>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</si>
  <si>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</si>
  <si>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</si>
  <si>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</si>
  <si>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</si>
  <si>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</si>
  <si>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</si>
  <si>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</si>
  <si>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</si>
  <si>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</si>
  <si>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</si>
  <si>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</si>
  <si>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</si>
  <si>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</si>
  <si>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</si>
  <si>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</si>
  <si>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</si>
  <si>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</si>
  <si>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</si>
  <si>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</si>
  <si>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</si>
  <si>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</si>
  <si>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</si>
  <si>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</si>
  <si>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</si>
  <si>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</si>
  <si>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</si>
  <si>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</si>
  <si>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</si>
  <si>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</si>
  <si>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</si>
  <si>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</si>
  <si>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</si>
  <si>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</si>
  <si>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</si>
  <si>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</si>
  <si>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</si>
  <si>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</si>
  <si>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</si>
  <si>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</si>
  <si>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</si>
  <si>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</si>
  <si>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</si>
  <si>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</si>
  <si>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</si>
  <si>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</si>
  <si>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</si>
  <si>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</si>
  <si>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</si>
  <si>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</si>
  <si>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</si>
  <si>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</si>
  <si>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</si>
  <si>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</si>
  <si>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</si>
  <si>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</si>
  <si>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</si>
  <si>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</si>
  <si>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</si>
  <si>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</si>
  <si>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</si>
  <si>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</si>
  <si>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</si>
  <si>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</si>
  <si>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</si>
  <si>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</si>
  <si>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</si>
  <si>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</si>
  <si>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</si>
  <si>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</si>
  <si>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</si>
  <si>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</si>
  <si>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</si>
  <si>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</si>
  <si>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</si>
  <si>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</si>
  <si>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</si>
  <si>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</si>
  <si>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</si>
  <si>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</si>
  <si>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</si>
  <si>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</si>
  <si>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</si>
  <si>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</si>
  <si>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</si>
  <si>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</si>
  <si>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</si>
  <si>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</si>
  <si>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</si>
  <si>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</si>
  <si>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</si>
  <si>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</si>
  <si>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</si>
  <si>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</si>
  <si>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</si>
  <si>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</si>
  <si>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</si>
  <si>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</si>
  <si>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</si>
  <si>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</si>
  <si>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</si>
  <si>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</si>
  <si>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</si>
  <si>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</si>
  <si>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</si>
  <si>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</si>
  <si>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</si>
  <si>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</si>
  <si>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</si>
  <si>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</si>
  <si>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</si>
  <si>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</si>
  <si>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</si>
  <si>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</si>
  <si>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</si>
  <si>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</si>
  <si>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</si>
  <si>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</si>
  <si>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</si>
  <si>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</si>
  <si>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</si>
  <si>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</si>
  <si>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</si>
  <si>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</si>
  <si>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</si>
  <si>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</si>
  <si>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</si>
  <si>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</si>
  <si>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</si>
  <si>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</si>
  <si>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</si>
  <si>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</si>
  <si>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</si>
  <si>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</si>
  <si>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</si>
  <si>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</si>
  <si>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</si>
  <si>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</si>
  <si>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</si>
  <si>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</si>
  <si>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</si>
  <si>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</si>
  <si>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</si>
  <si>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</si>
  <si>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</si>
  <si>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</si>
  <si>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</si>
  <si>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</si>
  <si>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</si>
  <si>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</si>
  <si>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</si>
  <si>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</si>
  <si>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</si>
  <si>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</si>
  <si>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</si>
  <si>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</si>
  <si>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</si>
  <si>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</si>
  <si>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</si>
  <si>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</si>
  <si>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</si>
  <si>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</si>
  <si>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</si>
  <si>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</si>
  <si>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</si>
  <si>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</si>
  <si>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</si>
  <si>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</si>
  <si>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</si>
  <si>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</si>
  <si>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</si>
  <si>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</si>
  <si>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</si>
  <si>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</si>
  <si>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</si>
  <si>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</si>
  <si>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</si>
  <si>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</si>
  <si>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</si>
  <si>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</si>
  <si>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</si>
  <si>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</si>
  <si>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</si>
  <si>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</si>
  <si>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</si>
  <si>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</si>
  <si>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</si>
  <si>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</si>
  <si>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</si>
  <si>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</si>
  <si>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</si>
  <si>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</si>
  <si>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</si>
  <si>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</si>
  <si>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</si>
  <si>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</si>
  <si>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</si>
  <si>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</si>
  <si>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</si>
  <si>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</si>
  <si>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</si>
  <si>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</si>
  <si>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</si>
  <si>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</si>
  <si>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</si>
  <si>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</si>
  <si>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</si>
  <si>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</si>
  <si>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</si>
  <si>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</si>
  <si>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</si>
  <si>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</si>
  <si>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</si>
  <si>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</si>
  <si>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</si>
  <si>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</si>
  <si>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</si>
  <si>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</si>
  <si>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</si>
  <si>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</si>
  <si>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</si>
  <si>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</si>
  <si>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</si>
  <si>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</si>
  <si>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</si>
  <si>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</si>
  <si>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</si>
  <si>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</si>
  <si>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</si>
  <si>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</si>
  <si>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</si>
  <si>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</si>
  <si>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</si>
  <si>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</si>
  <si>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</si>
  <si>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</si>
  <si>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</si>
  <si>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</si>
  <si>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</si>
  <si>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</si>
  <si>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</si>
  <si>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</si>
  <si>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</si>
  <si>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</si>
  <si>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</si>
  <si>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</si>
  <si>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</si>
  <si>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</si>
  <si>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</si>
  <si>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</si>
  <si>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</si>
  <si>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</si>
  <si>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</si>
  <si>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</si>
  <si>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</si>
  <si>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</si>
  <si>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</si>
  <si>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</si>
  <si>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</si>
  <si>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</si>
  <si>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</si>
  <si>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</si>
  <si>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</si>
  <si>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</si>
  <si>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</si>
  <si>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</si>
  <si>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</si>
  <si>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</si>
  <si>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</si>
  <si>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</si>
  <si>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</si>
  <si>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</si>
  <si>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</si>
  <si>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</si>
  <si>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</si>
  <si>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</si>
  <si>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</si>
  <si>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</si>
  <si>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</si>
  <si>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</si>
  <si>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</si>
  <si>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</si>
  <si>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</si>
  <si>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</si>
  <si>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</si>
  <si>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</si>
  <si>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</si>
  <si>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</si>
  <si>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</si>
  <si>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</si>
  <si>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</si>
  <si>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</si>
  <si>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</si>
  <si>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</si>
  <si>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</si>
  <si>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</si>
  <si>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</si>
  <si>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</si>
  <si>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</si>
  <si>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</si>
  <si>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</si>
  <si>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</si>
  <si>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</si>
  <si>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</si>
  <si>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</si>
  <si>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</si>
  <si>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</si>
  <si>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</si>
  <si>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</si>
  <si>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</si>
  <si>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</si>
  <si>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</si>
  <si>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</si>
  <si>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</si>
  <si>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</si>
  <si>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</si>
  <si>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</si>
  <si>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</si>
  <si>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</si>
  <si>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</si>
  <si>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</si>
  <si>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</si>
  <si>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</si>
  <si>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</si>
  <si>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</si>
  <si>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</si>
  <si>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</si>
  <si>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</si>
  <si>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</si>
  <si>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</si>
  <si>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</si>
  <si>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</si>
  <si>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</si>
  <si>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</si>
  <si>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</si>
  <si>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</si>
  <si>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</si>
  <si>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</si>
  <si>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</si>
  <si>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</si>
  <si>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</si>
  <si>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</si>
  <si>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</si>
  <si>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</si>
  <si>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</si>
  <si>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</si>
  <si>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</si>
  <si>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</si>
  <si>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</si>
  <si>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</si>
  <si>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</si>
  <si>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</si>
  <si>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</si>
  <si>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</si>
  <si>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</si>
  <si>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</si>
  <si>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</si>
  <si>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</si>
  <si>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</si>
  <si>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</si>
  <si>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</si>
  <si>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</si>
  <si>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</si>
  <si>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</si>
  <si>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</si>
  <si>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</si>
  <si>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</si>
  <si>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</si>
  <si>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</si>
  <si>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</si>
  <si>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</si>
  <si>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</si>
  <si>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</si>
  <si>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</si>
  <si>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</si>
  <si>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</si>
  <si>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</si>
  <si>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</si>
  <si>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</si>
  <si>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</si>
  <si>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</si>
  <si>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</si>
  <si>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</si>
  <si>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</si>
  <si>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</si>
  <si>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</si>
  <si>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</si>
  <si>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</si>
  <si>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</si>
  <si>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</si>
  <si>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</si>
  <si>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</si>
  <si>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</si>
  <si>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</si>
  <si>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</si>
  <si>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</si>
  <si>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</si>
  <si>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</si>
  <si>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</si>
  <si>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</si>
  <si>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</si>
  <si>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</si>
  <si>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</si>
  <si>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</si>
  <si>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</si>
  <si>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</si>
  <si>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</si>
  <si>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</si>
  <si>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</si>
  <si>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</si>
  <si>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</si>
  <si>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</si>
  <si>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</si>
  <si>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</si>
  <si>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</si>
  <si>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</si>
  <si>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</si>
  <si>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</si>
  <si>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</si>
  <si>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</si>
  <si>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</si>
  <si>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</si>
  <si>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</si>
  <si>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</si>
  <si>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</si>
  <si>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</si>
  <si>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</si>
  <si>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</si>
  <si>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</si>
  <si>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</si>
  <si>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</si>
  <si>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</si>
  <si>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</si>
  <si>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</si>
  <si>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</si>
  <si>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</si>
  <si>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</si>
  <si>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</si>
  <si>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</si>
  <si>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</si>
  <si>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</si>
  <si>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</si>
  <si>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</si>
  <si>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</si>
  <si>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</si>
  <si>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</si>
  <si>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</si>
  <si>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</si>
  <si>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</si>
  <si>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</si>
  <si>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</si>
  <si>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</si>
  <si>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</si>
  <si>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</si>
  <si>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</si>
  <si>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</si>
  <si>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</si>
  <si>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</si>
  <si>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</si>
  <si>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</si>
  <si>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</si>
  <si>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</si>
  <si>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</si>
  <si>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</si>
  <si>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</si>
  <si>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</si>
  <si>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</si>
  <si>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</si>
  <si>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</si>
  <si>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</si>
  <si>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</si>
  <si>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</si>
  <si>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</si>
  <si>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</si>
  <si>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</si>
  <si>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</si>
  <si>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</si>
  <si>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</si>
  <si>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</si>
  <si>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</si>
  <si>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</si>
  <si>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</si>
  <si>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</si>
  <si>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</si>
  <si>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</si>
  <si>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</si>
  <si>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</si>
  <si>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</si>
  <si>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</si>
  <si>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</si>
  <si>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</si>
  <si>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</si>
  <si>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</si>
  <si>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</si>
  <si>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</si>
  <si>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</si>
  <si>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</si>
  <si>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</si>
  <si>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</si>
  <si>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</si>
  <si>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</si>
  <si>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</si>
  <si>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</si>
  <si>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</si>
  <si>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</si>
  <si>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</si>
  <si>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</si>
  <si>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</si>
  <si>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</si>
  <si>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</si>
  <si>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</si>
  <si>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</si>
  <si>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</si>
  <si>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</si>
  <si>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</si>
  <si>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</si>
  <si>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</si>
  <si>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</si>
  <si>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</si>
  <si>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</si>
  <si>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</si>
  <si>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</si>
  <si>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</si>
  <si>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</si>
  <si>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</si>
  <si>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</si>
  <si>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</si>
  <si>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</si>
  <si>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</si>
  <si>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</si>
  <si>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</si>
  <si>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</si>
  <si>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</si>
  <si>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</si>
  <si>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</si>
  <si>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</si>
  <si>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</si>
  <si>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</si>
  <si>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</si>
  <si>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</si>
  <si>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</si>
  <si>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</si>
  <si>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</si>
  <si>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</si>
  <si>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</si>
  <si>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</si>
  <si>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</si>
  <si>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</si>
  <si>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</si>
  <si>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</si>
  <si>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</si>
  <si>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</si>
  <si>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</si>
  <si>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</si>
  <si>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</si>
  <si>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</si>
  <si>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</si>
  <si>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</si>
  <si>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</si>
  <si>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</si>
  <si>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</si>
  <si>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</si>
  <si>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</si>
  <si>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</si>
  <si>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</si>
  <si>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</si>
  <si>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</si>
  <si>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</si>
  <si>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</si>
  <si>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</si>
  <si>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</si>
  <si>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</si>
  <si>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</si>
  <si>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</si>
  <si>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</si>
  <si>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</si>
  <si>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</si>
  <si>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</si>
  <si>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</si>
  <si>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</si>
  <si>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</si>
  <si>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</si>
  <si>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</si>
  <si>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</si>
  <si>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</si>
  <si>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</si>
  <si>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</si>
  <si>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</si>
  <si>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</si>
  <si>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</si>
  <si>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</si>
  <si>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</si>
  <si>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</si>
  <si>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</si>
  <si>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</si>
  <si>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</si>
  <si>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</si>
  <si>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</si>
  <si>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</si>
  <si>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</si>
  <si>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</si>
  <si>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</si>
  <si>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</si>
  <si>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</si>
  <si>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</si>
  <si>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</si>
  <si>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</si>
  <si>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</si>
  <si>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</si>
  <si>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</si>
  <si>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</si>
  <si>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</si>
  <si>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</si>
  <si>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</si>
  <si>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</si>
  <si>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</si>
  <si>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</si>
  <si>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</si>
  <si>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</si>
  <si>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</si>
  <si>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</si>
  <si>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</si>
  <si>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</si>
  <si>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</si>
  <si>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</si>
  <si>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</si>
  <si>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</si>
  <si>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</si>
  <si>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</si>
  <si>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</si>
  <si>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</si>
  <si>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</si>
  <si>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</si>
  <si>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</si>
  <si>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</si>
  <si>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</si>
  <si>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</si>
  <si>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</si>
  <si>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</si>
  <si>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</si>
  <si>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</si>
  <si>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</si>
  <si>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</si>
  <si>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</si>
  <si>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</si>
  <si>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</si>
  <si>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</si>
  <si>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</si>
  <si>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</si>
  <si>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</si>
  <si>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</si>
  <si>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</si>
  <si>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</si>
  <si>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</si>
  <si>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</si>
  <si>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</si>
  <si>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</si>
  <si>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</si>
  <si>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</si>
  <si>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</si>
  <si>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</si>
  <si>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</si>
  <si>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</si>
  <si>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</si>
  <si>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</si>
  <si>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</si>
  <si>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</si>
  <si>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</si>
  <si>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</si>
  <si>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</si>
  <si>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</si>
  <si>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</si>
  <si>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</si>
  <si>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</si>
  <si>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</si>
  <si>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</si>
  <si>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</si>
  <si>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</si>
  <si>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</si>
  <si>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</si>
  <si>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</si>
  <si>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</si>
  <si>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</si>
  <si>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</si>
  <si>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</si>
  <si>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</si>
  <si>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</si>
  <si>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</si>
  <si>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</si>
  <si>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</si>
  <si>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</si>
  <si>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</si>
  <si>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</si>
  <si>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</si>
  <si>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</si>
  <si>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</si>
  <si>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</si>
  <si>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</si>
  <si>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</si>
  <si>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</si>
  <si>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</si>
  <si>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</si>
  <si>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</si>
  <si>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</si>
  <si>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</si>
  <si>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</si>
  <si>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</si>
  <si>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</si>
  <si>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</si>
  <si>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</si>
  <si>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</si>
  <si>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</si>
  <si>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</si>
  <si>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</si>
  <si>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</si>
  <si>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</si>
  <si>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</si>
  <si>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</si>
  <si>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</si>
  <si>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</si>
  <si>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</si>
  <si>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</si>
  <si>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</si>
  <si>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</si>
  <si>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</si>
  <si>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</si>
  <si>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</si>
  <si>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</si>
  <si>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</si>
  <si>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</si>
  <si>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</si>
  <si>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</si>
  <si>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</si>
  <si>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</si>
  <si>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</si>
  <si>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</si>
  <si>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</si>
  <si>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</si>
  <si>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</si>
  <si>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</si>
  <si>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</si>
  <si>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</si>
  <si>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</si>
  <si>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</si>
  <si>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</si>
  <si>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</si>
  <si>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</si>
  <si>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</si>
  <si>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</si>
  <si>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</si>
  <si>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</si>
  <si>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</si>
  <si>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</si>
  <si>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</si>
  <si>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</si>
  <si>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</si>
  <si>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</si>
  <si>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</si>
  <si>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</si>
  <si>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</si>
  <si>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</si>
  <si>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</si>
  <si>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</si>
  <si>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</si>
  <si>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</si>
  <si>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</si>
  <si>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</si>
  <si>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</si>
  <si>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</si>
  <si>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</si>
  <si>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</si>
  <si>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</si>
  <si>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</si>
  <si>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</si>
  <si>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</si>
  <si>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</si>
  <si>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</si>
  <si>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</si>
  <si>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</si>
  <si>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</si>
  <si>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</si>
  <si>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</si>
  <si>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</si>
  <si>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</si>
  <si>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</si>
  <si>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</si>
  <si>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</si>
  <si>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</si>
  <si>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</si>
  <si>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</si>
  <si>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</si>
  <si>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</si>
  <si>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</si>
  <si>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</si>
  <si>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</si>
  <si>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</si>
  <si>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</si>
  <si>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</si>
  <si>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</si>
  <si>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</si>
  <si>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</si>
  <si>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</si>
  <si>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</si>
  <si>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</si>
  <si>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</si>
  <si>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</si>
  <si>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</si>
  <si>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</si>
  <si>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</si>
  <si>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</si>
  <si>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</si>
  <si>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</si>
  <si>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</si>
  <si>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</si>
  <si>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</si>
  <si>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</si>
  <si>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</si>
  <si>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</si>
  <si>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</si>
  <si>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</si>
  <si>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</si>
  <si>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</si>
  <si>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</si>
  <si>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</si>
  <si>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</si>
  <si>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</si>
  <si>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</si>
  <si>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</si>
  <si>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</si>
  <si>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</si>
  <si>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</si>
  <si>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</si>
  <si>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</si>
  <si>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</si>
  <si>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</si>
  <si>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</si>
  <si>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</si>
  <si>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</si>
  <si>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</si>
  <si>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</si>
  <si>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</si>
  <si>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</si>
  <si>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</si>
  <si>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</si>
  <si>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</si>
  <si>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</si>
  <si>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</si>
  <si>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</si>
  <si>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</si>
  <si>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</si>
  <si>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</si>
  <si>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</si>
  <si>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</si>
  <si>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</si>
  <si>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</si>
  <si>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</si>
  <si>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</si>
  <si>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</si>
  <si>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</si>
  <si>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</si>
  <si>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</si>
  <si>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</si>
  <si>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</si>
  <si>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</si>
  <si>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</si>
  <si>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</si>
  <si>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</si>
  <si>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</si>
  <si>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</si>
  <si>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</si>
  <si>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</si>
  <si>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</si>
  <si>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</si>
  <si>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</si>
  <si>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</si>
  <si>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</si>
  <si>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</si>
  <si>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</si>
  <si>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</si>
  <si>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</si>
  <si>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</si>
  <si>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</si>
  <si>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</si>
  <si>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</si>
  <si>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</si>
  <si>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</si>
  <si>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</si>
  <si>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</si>
  <si>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</si>
  <si>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</si>
  <si>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</si>
  <si>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</si>
  <si>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</si>
  <si>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</si>
  <si>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</si>
  <si>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</si>
  <si>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</si>
  <si>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</si>
  <si>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</si>
  <si>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</si>
  <si>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</si>
  <si>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</si>
  <si>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</si>
  <si>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</si>
  <si>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</si>
  <si>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</si>
  <si>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</si>
  <si>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</si>
  <si>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</si>
  <si>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</si>
  <si>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</si>
  <si>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</si>
  <si>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</si>
  <si>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</si>
  <si>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</si>
  <si>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</si>
  <si>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</si>
  <si>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</si>
  <si>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</si>
  <si>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</si>
  <si>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</si>
  <si>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</si>
  <si>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</si>
  <si>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</si>
  <si>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</si>
  <si>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</si>
  <si>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</si>
  <si>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</si>
  <si>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</si>
  <si>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</si>
  <si>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</si>
  <si>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</si>
  <si>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</si>
  <si>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</si>
  <si>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</si>
  <si>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</si>
  <si>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</si>
  <si>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</si>
  <si>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</si>
  <si>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</si>
  <si>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</si>
  <si>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</si>
  <si>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</si>
  <si>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</si>
  <si>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</si>
  <si>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</si>
  <si>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</si>
  <si>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</si>
  <si>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</si>
  <si>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</si>
  <si>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</si>
  <si>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</si>
  <si>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</si>
  <si>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</si>
  <si>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</si>
  <si>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</si>
  <si>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</si>
  <si>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</si>
  <si>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</si>
  <si>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</si>
  <si>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</si>
  <si>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</si>
  <si>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</si>
  <si>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</si>
  <si>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</si>
  <si>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</si>
  <si>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</si>
  <si>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</si>
  <si>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</si>
  <si>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</si>
  <si>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</si>
  <si>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</si>
  <si>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</si>
  <si>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</si>
  <si>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</si>
  <si>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</si>
  <si>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</si>
  <si>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</si>
  <si>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</si>
  <si>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</si>
  <si>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</si>
  <si>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</si>
  <si>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</si>
  <si>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</si>
  <si>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</si>
  <si>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</si>
  <si>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</si>
  <si>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</si>
  <si>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</si>
  <si>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</si>
  <si>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</si>
  <si>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</si>
  <si>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</si>
  <si>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</si>
  <si>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</si>
  <si>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</si>
  <si>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</si>
  <si>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</si>
  <si>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</si>
  <si>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</si>
  <si>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</si>
  <si>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</si>
  <si>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</si>
  <si>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</si>
  <si>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</si>
  <si>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</si>
  <si>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</si>
  <si>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</si>
  <si>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</si>
  <si>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</si>
  <si>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</si>
  <si>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</si>
  <si>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</si>
  <si>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</si>
  <si>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</si>
  <si>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</si>
  <si>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</si>
  <si>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</si>
  <si>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</si>
  <si>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</si>
  <si>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</si>
  <si>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</si>
  <si>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</si>
  <si>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</si>
  <si>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</si>
  <si>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</si>
  <si>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</si>
  <si>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</si>
  <si>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</si>
  <si>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</si>
  <si>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</si>
  <si>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</si>
  <si>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</si>
  <si>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</si>
  <si>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</si>
  <si>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</si>
  <si>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</si>
  <si>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</si>
  <si>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</si>
  <si>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</si>
  <si>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</si>
  <si>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</si>
  <si>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</si>
  <si>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</si>
  <si>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</si>
  <si>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</si>
  <si>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</si>
  <si>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</si>
  <si>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</si>
  <si>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</si>
  <si>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</si>
  <si>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</si>
  <si>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</si>
  <si>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</si>
  <si>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</si>
  <si>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</si>
  <si>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</si>
  <si>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</si>
  <si>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</si>
  <si>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</si>
  <si>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</si>
  <si>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</si>
  <si>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</si>
  <si>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</si>
  <si>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</si>
  <si>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</si>
  <si>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</si>
  <si>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</si>
  <si>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</si>
  <si>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</si>
  <si>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</si>
  <si>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</si>
  <si>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</si>
  <si>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</si>
  <si>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</si>
  <si>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</si>
  <si>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</si>
  <si>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</si>
  <si>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</si>
  <si>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</si>
  <si>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</si>
  <si>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</si>
  <si>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</si>
  <si>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</si>
  <si>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</si>
  <si>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</si>
  <si>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</si>
  <si>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</si>
  <si>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</si>
  <si>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</si>
  <si>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</si>
  <si>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</si>
  <si>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</si>
  <si>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</si>
  <si>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</si>
  <si>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</si>
  <si>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</si>
  <si>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</si>
  <si>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</si>
  <si>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</si>
  <si>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</si>
  <si>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</si>
  <si>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</si>
  <si>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</si>
  <si>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</si>
  <si>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</si>
  <si>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</si>
  <si>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</si>
  <si>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</si>
  <si>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</si>
  <si>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</si>
  <si>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</si>
  <si>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</si>
  <si>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</si>
  <si>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</si>
  <si>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</si>
  <si>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</si>
  <si>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</si>
  <si>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</si>
  <si>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</si>
  <si>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</si>
  <si>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</si>
  <si>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</si>
  <si>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</si>
  <si>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</si>
  <si>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</si>
  <si>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</si>
  <si>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</si>
  <si>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</si>
  <si>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</si>
  <si>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</si>
  <si>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</si>
  <si>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</si>
  <si>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</si>
  <si>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</si>
  <si>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</si>
  <si>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</si>
  <si>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</si>
  <si>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</si>
  <si>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</si>
  <si>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</si>
  <si>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</si>
  <si>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</si>
  <si>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</si>
  <si>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</si>
  <si>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</si>
  <si>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</si>
  <si>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</si>
  <si>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</si>
  <si>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</si>
  <si>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</si>
  <si>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</si>
  <si>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</si>
  <si>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</si>
  <si>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</si>
  <si>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</si>
  <si>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</si>
  <si>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</si>
  <si>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</si>
  <si>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</si>
  <si>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</si>
  <si>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</si>
  <si>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</si>
  <si>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</si>
  <si>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</si>
  <si>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</si>
  <si>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</si>
  <si>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</si>
  <si>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</si>
  <si>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</si>
  <si>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</si>
  <si>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</si>
  <si>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</si>
  <si>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</si>
  <si>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</si>
  <si>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</si>
  <si>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</si>
  <si>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</si>
  <si>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</si>
  <si>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</si>
  <si>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</si>
  <si>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</si>
  <si>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</si>
  <si>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</si>
  <si>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</si>
  <si>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</si>
  <si>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</si>
  <si>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</si>
  <si>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</si>
  <si>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</si>
  <si>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</si>
  <si>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</si>
  <si>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</si>
  <si>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</si>
  <si>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</si>
  <si>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</si>
  <si>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</si>
  <si>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</si>
  <si>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</si>
  <si>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</si>
  <si>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</si>
  <si>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</si>
  <si>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</si>
  <si>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</si>
  <si>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</si>
  <si>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</si>
  <si>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</si>
  <si>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</si>
  <si>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</si>
  <si>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</si>
  <si>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</si>
  <si>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</si>
  <si>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</si>
  <si>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</si>
  <si>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</si>
  <si>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</si>
  <si>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</si>
  <si>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</si>
  <si>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</si>
  <si>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</si>
  <si>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</si>
  <si>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</si>
  <si>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</si>
  <si>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</si>
  <si>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</si>
  <si>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</si>
  <si>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</si>
  <si>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</si>
  <si>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</si>
  <si>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</si>
  <si>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</si>
  <si>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</si>
  <si>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</si>
  <si>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</si>
  <si>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</si>
  <si>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</si>
  <si>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</si>
  <si>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</si>
  <si>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</si>
  <si>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</si>
  <si>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</si>
  <si>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</si>
  <si>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</si>
  <si>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</si>
  <si>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</si>
  <si>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</si>
  <si>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</si>
  <si>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</si>
  <si>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</si>
  <si>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</si>
  <si>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</si>
  <si>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</si>
  <si>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</si>
  <si>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</si>
  <si>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</si>
  <si>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</si>
  <si>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</si>
  <si>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</si>
  <si>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</si>
  <si>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</si>
  <si>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</si>
  <si>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</si>
  <si>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</si>
  <si>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</si>
  <si>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</si>
  <si>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</si>
  <si>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</si>
  <si>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</si>
  <si>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</si>
  <si>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</si>
  <si>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</si>
  <si>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</si>
  <si>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</si>
  <si>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</si>
  <si>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</si>
  <si>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</si>
  <si>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</si>
  <si>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</si>
  <si>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</si>
  <si>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</si>
  <si>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</si>
  <si>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</si>
  <si>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</si>
  <si>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</si>
  <si>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</si>
  <si>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</si>
  <si>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</si>
  <si>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</si>
  <si>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</si>
  <si>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</si>
  <si>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</si>
  <si>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</si>
  <si>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</si>
  <si>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</si>
  <si>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</si>
  <si>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</si>
  <si>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</si>
  <si>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</si>
  <si>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</si>
  <si>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</si>
  <si>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</si>
  <si>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</si>
  <si>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</si>
  <si>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</si>
  <si>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</si>
  <si>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</si>
  <si>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</si>
  <si>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</si>
  <si>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</si>
  <si>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</si>
  <si>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</si>
  <si>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</si>
  <si>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</si>
  <si>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</si>
  <si>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</si>
  <si>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</si>
  <si>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</si>
  <si>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</si>
  <si>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</si>
  <si>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</si>
  <si>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</si>
  <si>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</si>
  <si>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</si>
  <si>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</si>
  <si>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</si>
  <si>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</si>
  <si>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</si>
  <si>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</si>
  <si>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</si>
  <si>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</si>
  <si>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</si>
  <si>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</si>
  <si>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</si>
  <si>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</si>
  <si>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</si>
  <si>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</si>
  <si>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</si>
  <si>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</si>
  <si>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</si>
  <si>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</si>
  <si>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</si>
  <si>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</si>
  <si>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</si>
  <si>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</si>
  <si>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</si>
  <si>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</si>
  <si>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</si>
  <si>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</si>
  <si>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</si>
  <si>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</si>
  <si>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</si>
  <si>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</si>
  <si>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</si>
  <si>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</si>
  <si>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</si>
  <si>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</si>
  <si>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</si>
  <si>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</si>
  <si>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</si>
  <si>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</si>
  <si>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</si>
  <si>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</si>
  <si>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</si>
  <si>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</si>
  <si>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</si>
  <si>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</si>
  <si>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</si>
  <si>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</si>
  <si>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</si>
  <si>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</si>
  <si>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</si>
  <si>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</si>
  <si>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</si>
  <si>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</si>
  <si>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</si>
  <si>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</si>
  <si>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</si>
  <si>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</si>
  <si>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</si>
  <si>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</si>
  <si>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</si>
  <si>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</si>
  <si>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</si>
  <si>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</si>
  <si>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</si>
  <si>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</si>
  <si>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</si>
  <si>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</si>
  <si>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</si>
  <si>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</si>
  <si>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</si>
  <si>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</si>
  <si>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</si>
  <si>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</si>
  <si>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</si>
  <si>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</si>
  <si>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</si>
  <si>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</si>
  <si>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</si>
  <si>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</si>
  <si>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</si>
  <si>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</si>
  <si>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</si>
  <si>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</si>
  <si>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</si>
  <si>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</si>
  <si>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</si>
  <si>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</si>
  <si>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</si>
  <si>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</si>
  <si>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</si>
  <si>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</si>
  <si>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</si>
  <si>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</si>
  <si>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</si>
  <si>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</si>
  <si>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</si>
  <si>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</si>
  <si>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</si>
  <si>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</si>
  <si>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</si>
  <si>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</si>
  <si>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</si>
  <si>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</si>
  <si>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</si>
  <si>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</si>
  <si>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</si>
  <si>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</si>
  <si>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</si>
  <si>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</si>
  <si>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</si>
  <si>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</si>
  <si>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</si>
  <si>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</si>
  <si>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</si>
  <si>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</si>
  <si>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</si>
  <si>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</si>
  <si>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</si>
  <si>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</si>
  <si>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</si>
  <si>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</si>
  <si>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</si>
  <si>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</si>
  <si>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</si>
  <si>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</si>
  <si>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</si>
  <si>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</si>
  <si>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</si>
  <si>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</si>
  <si>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</si>
  <si>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</si>
  <si>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</si>
  <si>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</si>
  <si>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</si>
  <si>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</si>
  <si>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</si>
  <si>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</si>
  <si>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</si>
  <si>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</si>
  <si>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</si>
  <si>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</si>
  <si>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</si>
  <si>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</si>
  <si>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</si>
  <si>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</si>
  <si>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</si>
  <si>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</si>
  <si>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</si>
  <si>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</si>
  <si>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</si>
  <si>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</si>
  <si>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</si>
  <si>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</si>
  <si>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</si>
  <si>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</si>
  <si>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</si>
  <si>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</si>
  <si>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</si>
  <si>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</si>
  <si>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</si>
  <si>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</si>
  <si>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</si>
  <si>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</si>
  <si>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</si>
  <si>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</si>
  <si>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</si>
  <si>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</si>
  <si>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</si>
  <si>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</si>
  <si>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</si>
  <si>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</si>
  <si>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</si>
  <si>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</si>
  <si>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</si>
  <si>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</si>
  <si>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</si>
  <si>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</si>
  <si>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</si>
  <si>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</si>
  <si>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</si>
  <si>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</si>
  <si>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</si>
  <si>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</si>
  <si>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</si>
  <si>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</si>
  <si>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</si>
  <si>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</si>
  <si>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</si>
  <si>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</si>
  <si>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</si>
  <si>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</si>
  <si>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</si>
  <si>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</si>
  <si>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</si>
  <si>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</si>
  <si>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</si>
  <si>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</si>
  <si>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</si>
  <si>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</si>
  <si>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</si>
  <si>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</si>
  <si>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</si>
  <si>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</si>
  <si>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</si>
  <si>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</si>
  <si>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</si>
  <si>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</si>
  <si>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</si>
  <si>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</si>
  <si>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</si>
  <si>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</si>
  <si>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</si>
  <si>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</si>
  <si>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</si>
  <si>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</si>
  <si>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</si>
  <si>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</si>
  <si>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</si>
  <si>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</si>
  <si>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</si>
  <si>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</si>
  <si>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</si>
  <si>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</si>
  <si>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</si>
  <si>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</si>
  <si>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</si>
  <si>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</si>
  <si>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</si>
  <si>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</si>
  <si>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</si>
  <si>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</si>
  <si>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</si>
  <si>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</si>
  <si>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</si>
  <si>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</si>
  <si>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</si>
  <si>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</si>
  <si>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</si>
  <si>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</si>
  <si>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</si>
  <si>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</si>
  <si>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</si>
  <si>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</si>
  <si>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</si>
  <si>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</si>
  <si>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</si>
  <si>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</si>
  <si>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</si>
  <si>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</si>
  <si>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</si>
  <si>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</si>
  <si>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</si>
  <si>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</si>
  <si>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</si>
  <si>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</si>
  <si>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</si>
  <si>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</si>
  <si>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</si>
  <si>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</si>
  <si>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</si>
  <si>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</si>
  <si>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</si>
  <si>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</si>
  <si>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</si>
  <si>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</si>
  <si>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</si>
  <si>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</si>
  <si>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</si>
  <si>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</si>
  <si>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</si>
  <si>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</si>
  <si>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</si>
  <si>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</si>
  <si>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</si>
  <si>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</si>
  <si>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</si>
  <si>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</si>
  <si>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</si>
  <si>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</si>
  <si>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</si>
  <si>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</si>
  <si>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</si>
  <si>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</si>
  <si>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</si>
  <si>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</si>
  <si>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</si>
  <si>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</si>
  <si>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</si>
  <si>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</si>
  <si>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</si>
  <si>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</si>
  <si>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</si>
  <si>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</si>
  <si>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</si>
  <si>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</si>
  <si>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</si>
  <si>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</si>
  <si>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</si>
  <si>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</si>
  <si>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</si>
  <si>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</si>
  <si>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</si>
  <si>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</si>
  <si>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</si>
  <si>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</si>
  <si>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</si>
  <si>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</si>
  <si>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</si>
  <si>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</si>
  <si>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</si>
  <si>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</si>
  <si>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</si>
  <si>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</si>
  <si>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</si>
  <si>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</si>
  <si>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</si>
  <si>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</si>
  <si>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</si>
  <si>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</si>
  <si>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</si>
  <si>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</si>
  <si>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</si>
  <si>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</si>
  <si>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</si>
  <si>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</si>
  <si>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</si>
  <si>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</si>
  <si>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</si>
  <si>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</si>
  <si>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</si>
  <si>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</si>
  <si>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</si>
  <si>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</si>
  <si>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</si>
  <si>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</si>
  <si>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</si>
  <si>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</si>
  <si>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</si>
  <si>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</si>
  <si>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</si>
  <si>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</si>
  <si>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</si>
  <si>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</si>
  <si>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</si>
  <si>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</si>
  <si>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</si>
  <si>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</si>
  <si>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</si>
  <si>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</si>
  <si>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</si>
  <si>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</si>
  <si>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</si>
  <si>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</si>
  <si>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</si>
  <si>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</si>
  <si>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</si>
  <si>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</si>
  <si>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</si>
  <si>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</si>
  <si>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</si>
  <si>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</si>
  <si>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</si>
  <si>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</si>
  <si>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</si>
  <si>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</si>
  <si>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</si>
  <si>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</si>
  <si>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</si>
  <si>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</si>
  <si>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</si>
  <si>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</si>
  <si>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</si>
  <si>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</si>
  <si>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</si>
  <si>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</si>
  <si>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</si>
  <si>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</si>
  <si>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</si>
  <si>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</si>
  <si>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</si>
  <si>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</si>
  <si>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</si>
  <si>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</si>
  <si>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</si>
  <si>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</si>
  <si>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</si>
  <si>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</si>
  <si>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</si>
  <si>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</si>
  <si>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</si>
  <si>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</si>
  <si>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</si>
  <si>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</si>
  <si>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</si>
  <si>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</si>
  <si>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</si>
  <si>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</si>
  <si>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</si>
  <si>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</si>
  <si>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</si>
  <si>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</si>
  <si>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</si>
  <si>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</si>
  <si>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</si>
  <si>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</si>
  <si>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</si>
  <si>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</si>
  <si>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</si>
  <si>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</si>
  <si>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</si>
  <si>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</si>
  <si>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</si>
  <si>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</si>
  <si>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</si>
  <si>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</si>
  <si>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</si>
  <si>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</si>
  <si>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</si>
  <si>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</si>
  <si>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</si>
  <si>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</si>
  <si>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</si>
  <si>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</si>
  <si>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</si>
  <si>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</si>
  <si>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</si>
  <si>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</si>
  <si>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</si>
  <si>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</si>
  <si>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</si>
  <si>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</si>
  <si>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</si>
  <si>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</si>
  <si>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</si>
  <si>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</si>
  <si>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</si>
  <si>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</si>
  <si>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</si>
  <si>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</si>
  <si>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</si>
  <si>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</si>
  <si>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</si>
  <si>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</si>
  <si>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</si>
  <si>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</si>
  <si>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</si>
  <si>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</si>
  <si>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</si>
  <si>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</si>
  <si>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</si>
  <si>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</si>
  <si>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</si>
  <si>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</si>
  <si>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</si>
  <si>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</si>
  <si>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</si>
  <si>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</si>
  <si>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</si>
  <si>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</si>
  <si>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</si>
  <si>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</si>
  <si>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</si>
  <si>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</si>
  <si>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</si>
  <si>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</si>
  <si>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</si>
  <si>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</si>
  <si>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</si>
  <si>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</si>
  <si>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</si>
  <si>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</si>
  <si>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</si>
  <si>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</si>
  <si>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</si>
  <si>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</si>
  <si>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</si>
  <si>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</si>
  <si>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</si>
  <si>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</si>
  <si>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</si>
  <si>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</si>
  <si>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</si>
  <si>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</si>
  <si>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</si>
  <si>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</si>
  <si>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</si>
  <si>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</si>
  <si>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</si>
  <si>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</si>
  <si>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</si>
  <si>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</si>
  <si>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</si>
  <si>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</si>
  <si>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</si>
  <si>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</si>
  <si>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</si>
  <si>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</si>
  <si>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</si>
  <si>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</si>
  <si>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</si>
  <si>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</si>
  <si>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</si>
  <si>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</si>
  <si>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</si>
  <si>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</si>
  <si>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</si>
  <si>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</si>
  <si>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</si>
  <si>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</si>
  <si>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</si>
  <si>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</si>
  <si>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</si>
  <si>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</si>
  <si>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</si>
  <si>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</si>
  <si>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</si>
  <si>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</si>
  <si>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</si>
  <si>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</si>
  <si>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</si>
  <si>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</si>
  <si>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</si>
  <si>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</si>
  <si>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</si>
  <si>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</si>
  <si>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</si>
  <si>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</si>
  <si>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</si>
  <si>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</si>
  <si>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</si>
  <si>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</si>
  <si>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</si>
  <si>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</si>
  <si>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</si>
  <si>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</si>
  <si>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</si>
  <si>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</si>
  <si>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</si>
  <si>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</si>
  <si>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</si>
  <si>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</si>
  <si>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</si>
  <si>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</si>
  <si>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</si>
  <si>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</si>
  <si>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</si>
  <si>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</si>
  <si>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</si>
  <si>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</si>
  <si>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</si>
  <si>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</si>
  <si>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</si>
  <si>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</si>
  <si>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</si>
  <si>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</si>
  <si>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</si>
  <si>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</si>
  <si>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</si>
  <si>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</si>
  <si>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</si>
  <si>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</si>
  <si>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</si>
  <si>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</si>
  <si>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</si>
  <si>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</si>
  <si>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</si>
  <si>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</si>
  <si>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</si>
  <si>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</si>
  <si>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</si>
  <si>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</si>
  <si>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</si>
  <si>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</si>
  <si>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</si>
  <si>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</si>
  <si>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</si>
  <si>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</si>
  <si>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</si>
  <si>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</si>
  <si>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</si>
  <si>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</si>
  <si>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</si>
  <si>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</si>
  <si>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</si>
  <si>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</si>
  <si>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</si>
  <si>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</si>
  <si>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</si>
  <si>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</si>
  <si>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</si>
  <si>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</si>
  <si>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</si>
  <si>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</si>
  <si>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</si>
  <si>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</si>
  <si>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</si>
  <si>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</si>
  <si>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</si>
  <si>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</si>
  <si>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</si>
  <si>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</si>
  <si>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</si>
  <si>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</si>
  <si>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</si>
  <si>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</si>
  <si>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</si>
  <si>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</si>
  <si>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</si>
  <si>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</si>
  <si>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</si>
  <si>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</si>
  <si>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</si>
  <si>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</si>
  <si>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</si>
  <si>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</si>
  <si>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</si>
  <si>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</si>
  <si>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</si>
  <si>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</si>
  <si>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</si>
  <si>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</si>
  <si>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</si>
  <si>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</si>
  <si>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</si>
  <si>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</si>
  <si>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</si>
  <si>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</si>
  <si>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</si>
  <si>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</si>
  <si>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</si>
  <si>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</si>
  <si>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</si>
  <si>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</si>
  <si>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</si>
  <si>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</si>
  <si>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</si>
  <si>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</si>
  <si>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</si>
  <si>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</si>
  <si>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</si>
  <si>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</si>
  <si>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</si>
  <si>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</si>
  <si>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</si>
  <si>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</si>
  <si>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</si>
  <si>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</si>
  <si>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</si>
  <si>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</si>
  <si>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</si>
  <si>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</si>
  <si>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</si>
  <si>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</si>
  <si>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</si>
  <si>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</si>
  <si>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</si>
  <si>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</si>
  <si>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</si>
  <si>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</si>
  <si>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</si>
  <si>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</si>
  <si>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</si>
  <si>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</si>
  <si>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</si>
  <si>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</si>
  <si>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</si>
  <si>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</si>
  <si>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</si>
  <si>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</si>
  <si>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</si>
  <si>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</si>
  <si>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</si>
  <si>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</si>
  <si>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</si>
  <si>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</si>
  <si>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</si>
  <si>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</si>
  <si>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</si>
  <si>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</si>
  <si>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</si>
  <si>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</si>
  <si>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</si>
  <si>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</si>
  <si>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</si>
  <si>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</si>
  <si>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</si>
  <si>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</si>
  <si>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</si>
  <si>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</si>
  <si>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</si>
  <si>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</si>
  <si>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</si>
  <si>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</si>
  <si>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</si>
  <si>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</si>
  <si>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</si>
  <si>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</si>
  <si>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</si>
  <si>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</si>
  <si>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</si>
  <si>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</si>
  <si>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</si>
  <si>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</si>
  <si>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</si>
  <si>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</si>
  <si>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</si>
  <si>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</si>
  <si>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</si>
  <si>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</si>
  <si>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</si>
  <si>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</si>
  <si>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</si>
  <si>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</si>
  <si>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</si>
  <si>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</si>
  <si>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</si>
  <si>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</si>
  <si>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</si>
  <si>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</si>
  <si>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</si>
  <si>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</si>
  <si>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</si>
  <si>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</si>
  <si>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</si>
  <si>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</si>
  <si>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</si>
  <si>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</si>
  <si>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</si>
  <si>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</si>
  <si>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</si>
  <si>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</si>
  <si>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</si>
  <si>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</si>
  <si>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</si>
  <si>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</si>
  <si>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</si>
  <si>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</si>
  <si>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</si>
  <si>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</si>
  <si>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</si>
  <si>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</si>
  <si>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</si>
  <si>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</si>
  <si>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</si>
  <si>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</si>
  <si>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</si>
  <si>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</si>
  <si>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</si>
  <si>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</si>
  <si>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</si>
  <si>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</si>
  <si>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</si>
  <si>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</si>
  <si>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</si>
  <si>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National Community Renaissance of California</t>
  </si>
  <si>
    <t>Santa Angelina Senior Community</t>
  </si>
  <si>
    <t>City of Placentia, Development Services</t>
  </si>
  <si>
    <t>Raynald F.Pascua</t>
  </si>
  <si>
    <t>401 East Chapman Avenue</t>
  </si>
  <si>
    <t>Placentia</t>
  </si>
  <si>
    <t>(714) 993-8124</t>
  </si>
  <si>
    <t>(714) 961-0283</t>
  </si>
  <si>
    <t>CDLAC-TCAC Joint Application (submitting concurrently)</t>
  </si>
  <si>
    <t>1314 N. Angelina Drive</t>
  </si>
  <si>
    <t xml:space="preserve">6059011715.00											</t>
  </si>
  <si>
    <t xml:space="preserve">340-273-25																	
																	</t>
  </si>
  <si>
    <t>Moderate Resource</t>
  </si>
  <si>
    <t>$500M</t>
  </si>
  <si>
    <t>40%/60%</t>
  </si>
  <si>
    <t>62+</t>
  </si>
  <si>
    <t>9421 Haven Avenue</t>
  </si>
  <si>
    <t>Rancho Cucamonga</t>
  </si>
  <si>
    <t>CA</t>
  </si>
  <si>
    <t xml:space="preserve">lcontreras@nationalcore.org																		</t>
  </si>
  <si>
    <t>To be formed</t>
  </si>
  <si>
    <t>Managing GP</t>
  </si>
  <si>
    <t>Lorna Contreras</t>
  </si>
  <si>
    <t xml:space="preserve">Developer, MGP, Property Manager, General Contractor																		</t>
  </si>
  <si>
    <t>Lesley Edwards</t>
  </si>
  <si>
    <t>(909) 483-2444</t>
  </si>
  <si>
    <t>(909) 483-2448</t>
  </si>
  <si>
    <t>ledwards@nationalcore.org</t>
  </si>
  <si>
    <t>(909) 204-3445</t>
  </si>
  <si>
    <t xml:space="preserve">RRM Design Group										</t>
  </si>
  <si>
    <t xml:space="preserve">10 East Figueroa St, STE 200										</t>
  </si>
  <si>
    <t xml:space="preserve">Santa Barbara, CA 93101										</t>
  </si>
  <si>
    <t xml:space="preserve">Elijah Pearce										</t>
  </si>
  <si>
    <t xml:space="preserve">(805) 963-8283					</t>
  </si>
  <si>
    <t xml:space="preserve">empearce@rrmdesign.com										</t>
  </si>
  <si>
    <t xml:space="preserve">Edward A. Hopson										</t>
  </si>
  <si>
    <t xml:space="preserve">655A North Mountain Ave.										</t>
  </si>
  <si>
    <t xml:space="preserve">Upland, CA 91786										</t>
  </si>
  <si>
    <t xml:space="preserve">Edward Hopson										</t>
  </si>
  <si>
    <t xml:space="preserve">(909) 920-6464					</t>
  </si>
  <si>
    <t xml:space="preserve">ehopson@uia.net										</t>
  </si>
  <si>
    <t xml:space="preserve">National Community Renaissance of California										</t>
  </si>
  <si>
    <t xml:space="preserve">9421 Haven Avenue										</t>
  </si>
  <si>
    <t xml:space="preserve">Rancho Cucamonga, CA 91730										</t>
  </si>
  <si>
    <t xml:space="preserve">Chris Killian										</t>
  </si>
  <si>
    <t xml:space="preserve">(909) 483-2444					</t>
  </si>
  <si>
    <t xml:space="preserve">ckillian@nationalcore.org										</t>
  </si>
  <si>
    <t xml:space="preserve">Novogradac &amp; Company LLP										</t>
  </si>
  <si>
    <t xml:space="preserve">1300 114th Avenue SE										</t>
  </si>
  <si>
    <t xml:space="preserve">Bellevue, WA 98004										</t>
  </si>
  <si>
    <t xml:space="preserve">Thomas Stagg										</t>
  </si>
  <si>
    <t xml:space="preserve">(425) 453-5783			</t>
  </si>
  <si>
    <t xml:space="preserve">Thomas.Stagg@novoco.com										</t>
  </si>
  <si>
    <t xml:space="preserve">1100 Superior Avenue, Ste 900										</t>
  </si>
  <si>
    <t xml:space="preserve">Cleveland, OH 44114										</t>
  </si>
  <si>
    <t xml:space="preserve">Renee Beaver										</t>
  </si>
  <si>
    <t xml:space="preserve">(216) 239-5500			</t>
  </si>
  <si>
    <t xml:space="preserve">renee.beaver@novoco.com										</t>
  </si>
  <si>
    <t xml:space="preserve">Novogradac &amp; Company										</t>
  </si>
  <si>
    <t xml:space="preserve">6060 North Central Expressway, 5th Floor										</t>
  </si>
  <si>
    <t xml:space="preserve">Dallas, TX 75206										</t>
  </si>
  <si>
    <t xml:space="preserve">Rebecca S. Arthur										</t>
  </si>
  <si>
    <t xml:space="preserve">(913) 312-4615			</t>
  </si>
  <si>
    <t xml:space="preserve">Rebecca.arthur@novoco.com										</t>
  </si>
  <si>
    <t xml:space="preserve">Kinetic Valuation Group, Inc.										</t>
  </si>
  <si>
    <t xml:space="preserve">PO Box 68										</t>
  </si>
  <si>
    <t xml:space="preserve">Corona Del Mar, CA 92625										</t>
  </si>
  <si>
    <t xml:space="preserve">Jay Wortmann										</t>
  </si>
  <si>
    <t xml:space="preserve">(818) 914-1892			</t>
  </si>
  <si>
    <t>jay@kvgteam.com</t>
  </si>
  <si>
    <t xml:space="preserve">National Community Renaissance of CA										</t>
  </si>
  <si>
    <t xml:space="preserve">Daniel Lorraine										</t>
  </si>
  <si>
    <t xml:space="preserve">(909) 483-2448					</t>
  </si>
  <si>
    <t xml:space="preserve">dlorraine@nationalcore.org										</t>
  </si>
  <si>
    <t xml:space="preserve">The Bishop of the Protestant Episcopal Church in Los Angeles											</t>
  </si>
  <si>
    <t xml:space="preserve">John Harvey Taylor							</t>
  </si>
  <si>
    <t xml:space="preserve">John Harvey Taylor											</t>
  </si>
  <si>
    <t xml:space="preserve">Bishop											</t>
  </si>
  <si>
    <t>840 Echo Park Avenue, Los Angeles,</t>
  </si>
  <si>
    <t>California 90026</t>
  </si>
  <si>
    <t>The Bishop of the Protestant Episcopal Church in Los Angeles</t>
  </si>
  <si>
    <t>Inner City Infill Site</t>
  </si>
  <si>
    <t xml:space="preserve">21 units will be set aside for the homeless population with serious </t>
  </si>
  <si>
    <t>mental illness (NPLH).</t>
  </si>
  <si>
    <t xml:space="preserve">R-3 (High Density Residential) - 25 DU/acre																				</t>
  </si>
  <si>
    <t>CalHFA SNHP</t>
  </si>
  <si>
    <t>OCHFT</t>
  </si>
  <si>
    <t>Deferred Costs</t>
  </si>
  <si>
    <t>Tax Credit Equity</t>
  </si>
  <si>
    <t>Variable</t>
  </si>
  <si>
    <t>Fixed</t>
  </si>
  <si>
    <t>IO</t>
  </si>
  <si>
    <t xml:space="preserve">401 B Street, Suite 1100											</t>
  </si>
  <si>
    <t xml:space="preserve">San Diego, CA 92101											</t>
  </si>
  <si>
    <t xml:space="preserve">Paul Shipstead											</t>
  </si>
  <si>
    <t xml:space="preserve">(619) 699-3135			</t>
  </si>
  <si>
    <t xml:space="preserve">Tax-Exempt Construction Loan											</t>
  </si>
  <si>
    <t>LIBOR</t>
  </si>
  <si>
    <t>Tax Construction Loan</t>
  </si>
  <si>
    <t xml:space="preserve">100 Corporate Pointe, Suite 250											</t>
  </si>
  <si>
    <t xml:space="preserve">Culver City											</t>
  </si>
  <si>
    <t xml:space="preserve">Stephen Beckman											</t>
  </si>
  <si>
    <t xml:space="preserve">(916) 326-8817			</t>
  </si>
  <si>
    <t xml:space="preserve">Residual Receipts Loan												</t>
  </si>
  <si>
    <t xml:space="preserve">1501 East St. Andrew Place											</t>
  </si>
  <si>
    <t xml:space="preserve">Santa Ana											</t>
  </si>
  <si>
    <t xml:space="preserve">Adam Eliason											</t>
  </si>
  <si>
    <t xml:space="preserve">(909) 706-7193			</t>
  </si>
  <si>
    <t xml:space="preserve">Residual Receipts Loan										</t>
  </si>
  <si>
    <t xml:space="preserve">333 Market Street											</t>
  </si>
  <si>
    <t xml:space="preserve">San Francisco, CA 94105											</t>
  </si>
  <si>
    <t xml:space="preserve">Timothy McCann											</t>
  </si>
  <si>
    <t xml:space="preserve">(415) 801-8520			</t>
  </si>
  <si>
    <t>CCRC</t>
  </si>
  <si>
    <t xml:space="preserve">State of CA HCD NPLH											</t>
  </si>
  <si>
    <t>AHP</t>
  </si>
  <si>
    <t xml:space="preserve">100 West Broadway, Suite 1000											</t>
  </si>
  <si>
    <t xml:space="preserve">Glendale, CA 91210											</t>
  </si>
  <si>
    <t xml:space="preserve">Mark Rasmussen											</t>
  </si>
  <si>
    <t xml:space="preserve">(818) 550-9807				</t>
  </si>
  <si>
    <t xml:space="preserve">Tax-Exempt Permanent Loan													</t>
  </si>
  <si>
    <t xml:space="preserve">2020 W. El Camino Ave., Ste 500											</t>
  </si>
  <si>
    <t xml:space="preserve">Sacramento											</t>
  </si>
  <si>
    <t xml:space="preserve">Laura Bateman											</t>
  </si>
  <si>
    <t xml:space="preserve">(916) 263-1302			</t>
  </si>
  <si>
    <t xml:space="preserve">Julia Bidwell											</t>
  </si>
  <si>
    <t xml:space="preserve">(714) 480-2991			</t>
  </si>
  <si>
    <t>(909) 706-7193</t>
  </si>
  <si>
    <t>Air Conditioning</t>
  </si>
  <si>
    <t>Office expenses</t>
  </si>
  <si>
    <t xml:space="preserve">     Payroll Txs, Ins &amp; Wkr. Comp. 									</t>
  </si>
  <si>
    <t>Turnover</t>
  </si>
  <si>
    <t xml:space="preserve">Maintenance Supplies									</t>
  </si>
  <si>
    <t xml:space="preserve">County of Orange											</t>
  </si>
  <si>
    <t>Orange County Housing Authority (OCHA)</t>
  </si>
  <si>
    <t>Project-based vouchers (PBVs)</t>
  </si>
  <si>
    <t>20 Years</t>
  </si>
  <si>
    <t>Other: (Inspection fees)</t>
  </si>
  <si>
    <t>Other: (Syndication Legal Fees)</t>
  </si>
  <si>
    <t>Other: (Cultural Monitoring)</t>
  </si>
  <si>
    <t>Other: (Prevailing Wage Consultant)</t>
  </si>
  <si>
    <t>Other: (Bond Issuance &amp; CalHFA UW Fees)</t>
  </si>
  <si>
    <t>National CORE</t>
  </si>
  <si>
    <t>1 bedroom</t>
  </si>
  <si>
    <t>Cash Flow from Operation</t>
  </si>
  <si>
    <t>Operations</t>
  </si>
  <si>
    <t>Hope Through Housing Foundation</t>
  </si>
  <si>
    <t>Bond Monitoring Fee</t>
  </si>
  <si>
    <t>Below residual receipts line for cash flow</t>
  </si>
  <si>
    <t>Above residual receipts line for cash flow</t>
  </si>
  <si>
    <t>State of CA HCD - NPLH</t>
  </si>
  <si>
    <t>Partnership</t>
  </si>
  <si>
    <t>Michael Finn</t>
  </si>
  <si>
    <t>Chief Financial Officer</t>
  </si>
  <si>
    <t>Wells Fargo - Taxable</t>
  </si>
  <si>
    <t>Wells Fargo - Tax Exempt</t>
  </si>
  <si>
    <t>City of Placentia CFD Fees</t>
  </si>
  <si>
    <t>Not Applicable</t>
  </si>
  <si>
    <t>Provided</t>
  </si>
  <si>
    <t>60 hours</t>
  </si>
  <si>
    <t>239 hours</t>
  </si>
  <si>
    <t>CUAC</t>
  </si>
  <si>
    <t>CSCDA</t>
  </si>
  <si>
    <t>1700 North Broadway, Ste 405</t>
  </si>
  <si>
    <t>Walnut Creek, CA 94596</t>
  </si>
  <si>
    <t>Jon Penkower</t>
  </si>
  <si>
    <t>(925) 476-5887</t>
  </si>
  <si>
    <t>jpenkower@cscda.org</t>
  </si>
  <si>
    <t>High Density Residential</t>
  </si>
  <si>
    <t>40'-0" maximum</t>
  </si>
  <si>
    <t>0.65 spaces per unit</t>
  </si>
  <si>
    <t>AHP Loan</t>
  </si>
  <si>
    <t>Taxable Construction Loan</t>
  </si>
  <si>
    <t>333 Bush Street</t>
  </si>
  <si>
    <t>Rose Wirtz</t>
  </si>
  <si>
    <t xml:space="preserve">(415) 616-2652		</t>
  </si>
  <si>
    <t>OC Housing Finance Trust</t>
  </si>
  <si>
    <t>Orang County</t>
  </si>
  <si>
    <t>PBVs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</si>
</sst>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theme="3" tint="0.59999389629810485"/>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17147">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20" fillId="5" borderId="4" xfId="0" applyFont="1" applyFill="1" applyBorder="1" applyAlignment="1" applyProtection="1">
      <alignment horizontal="left"/>
      <protection locked="0"/>
    </xf>
    <xf numFmtId="166" fontId="20" fillId="5" borderId="4"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6" xfId="0"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5" borderId="5"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168" fontId="48" fillId="5" borderId="11" xfId="254" applyNumberFormat="1" applyFont="1" applyFill="1" applyBorder="1" applyAlignment="1" applyProtection="1">
      <alignment vertical="center" wrapText="1"/>
      <protection locked="0"/>
    </xf>
    <xf numFmtId="3" fontId="16" fillId="54" borderId="0" xfId="0" applyNumberFormat="1" applyFont="1" applyFill="1"/>
    <xf numFmtId="10" fontId="20" fillId="54" borderId="0" xfId="0" applyNumberFormat="1" applyFont="1" applyFill="1" applyAlignment="1">
      <alignment horizontal="center"/>
    </xf>
    <xf numFmtId="9" fontId="11" fillId="54" borderId="0" xfId="4495" applyFont="1" applyFill="1" applyAlignment="1">
      <alignment horizontal="center"/>
    </xf>
    <xf numFmtId="10" fontId="11" fillId="0" borderId="0" xfId="4495" applyNumberFormat="1" applyFont="1" applyFill="1" applyAlignment="1">
      <alignment horizontal="center"/>
    </xf>
    <xf numFmtId="0" fontId="11" fillId="5" borderId="4" xfId="0" applyFont="1" applyFill="1" applyBorder="1" applyAlignment="1" applyProtection="1">
      <alignment horizontal="left"/>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29" fillId="0" borderId="0" xfId="570" applyFont="1" applyAlignment="1" applyProtection="1">
      <alignment horizontal="left"/>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0" fontId="20" fillId="2" borderId="11" xfId="0" applyFont="1" applyFill="1" applyBorder="1" applyAlignment="1" applyProtection="1">
      <alignment horizontal="center"/>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0" applyFont="1"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5" borderId="4" xfId="0" applyFont="1" applyFill="1" applyBorder="1" applyAlignment="1" applyProtection="1">
      <alignment horizontal="lef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20" fillId="5" borderId="5" xfId="0"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0" borderId="11"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168" fontId="11" fillId="0" borderId="11" xfId="543" applyNumberFormat="1"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17" fillId="3" borderId="0" xfId="0" applyFont="1" applyFill="1" applyBorder="1" applyAlignment="1" applyProtection="1">
      <alignment horizontal="center" vertical="center"/>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0" fillId="55" borderId="4" xfId="0"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68" fontId="0" fillId="0" borderId="11" xfId="0" applyNumberForma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5" borderId="6" xfId="271" applyFont="1" applyFill="1" applyBorder="1" applyAlignment="1" applyProtection="1">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11" fillId="0" borderId="0" xfId="543" applyFont="1" applyFill="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0" fontId="11" fillId="0" borderId="0" xfId="543" applyFont="1" applyBorder="1" applyAlignment="1" applyProtection="1">
      <alignment horizontal="center"/>
    </xf>
    <xf numFmtId="175" fontId="20"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20" fillId="5" borderId="6" xfId="0" applyFont="1" applyFill="1" applyBorder="1" applyAlignment="1" applyProtection="1">
      <alignment horizontal="left"/>
      <protection locked="0"/>
    </xf>
    <xf numFmtId="0" fontId="0" fillId="5" borderId="4" xfId="0" applyFill="1" applyBorder="1" applyAlignment="1" applyProtection="1">
      <alignment horizontal="center"/>
      <protection locked="0"/>
    </xf>
    <xf numFmtId="0" fontId="11" fillId="5" borderId="6" xfId="244" applyFont="1" applyFill="1" applyBorder="1" applyAlignment="1" applyProtection="1">
      <alignment horizontal="left"/>
      <protection locked="0"/>
    </xf>
    <xf numFmtId="0" fontId="20" fillId="5" borderId="6" xfId="0" applyFont="1" applyFill="1" applyBorder="1" applyAlignment="1" applyProtection="1">
      <alignment horizontal="center"/>
      <protection locked="0"/>
    </xf>
    <xf numFmtId="0" fontId="11" fillId="55" borderId="4" xfId="0" applyFont="1" applyFill="1" applyBorder="1" applyAlignment="1" applyProtection="1">
      <alignment horizontal="left"/>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1" fillId="55" borderId="6" xfId="0"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0" fontId="0" fillId="5" borderId="3"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0" fontId="0" fillId="5" borderId="4" xfId="0" applyNumberFormat="1" applyFill="1" applyBorder="1" applyAlignment="1" applyProtection="1">
      <alignment horizontal="center"/>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0" borderId="17" xfId="0" applyFont="1" applyFill="1" applyBorder="1" applyAlignment="1" applyProtection="1">
      <alignment horizontal="center"/>
    </xf>
    <xf numFmtId="164" fontId="19"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8" fillId="0" borderId="6" xfId="0" applyFont="1" applyBorder="1" applyAlignment="1" applyProtection="1">
      <alignment horizontal="center"/>
    </xf>
    <xf numFmtId="2" fontId="11" fillId="0" borderId="0" xfId="543" applyNumberFormat="1" applyFont="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2" fontId="11" fillId="0" borderId="0" xfId="543" applyNumberFormat="1" applyFont="1" applyFill="1" applyBorder="1" applyAlignment="1" applyProtection="1">
      <alignment horizontal="center"/>
    </xf>
    <xf numFmtId="9" fontId="11"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0" fontId="11" fillId="0" borderId="1" xfId="0" applyFont="1" applyFill="1" applyBorder="1" applyAlignment="1" applyProtection="1">
      <alignment horizontal="center" vertical="top" wrapText="1"/>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4" fontId="0" fillId="5" borderId="3" xfId="0" quotePrefix="1" applyNumberFormat="1" applyFill="1" applyBorder="1" applyAlignment="1" applyProtection="1">
      <alignment horizontal="right"/>
      <protection locked="0"/>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20" fillId="0" borderId="11" xfId="0" applyFont="1" applyFill="1" applyBorder="1" applyAlignment="1" applyProtection="1">
      <alignment horizontal="center"/>
    </xf>
    <xf numFmtId="14" fontId="0" fillId="55" borderId="6" xfId="0" applyNumberFormat="1" applyFill="1" applyBorder="1" applyAlignment="1" applyProtection="1">
      <alignment horizontal="center"/>
      <protection locked="0"/>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1" fillId="55" borderId="3" xfId="0" applyFon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20" fillId="5" borderId="6"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6" xfId="271" applyNumberFormat="1" applyFont="1" applyFill="1" applyBorder="1" applyAlignment="1" applyProtection="1">
      <alignment horizontal="left"/>
      <protection locked="0"/>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2" fillId="0" borderId="0" xfId="244" applyFill="1" applyAlignment="1" applyProtection="1">
      <alignment horizontal="left"/>
      <protection locked="0"/>
    </xf>
    <xf numFmtId="0" fontId="19" fillId="0" borderId="0" xfId="0" applyFont="1" applyAlignment="1" applyProtection="1">
      <alignment horizontal="center"/>
    </xf>
    <xf numFmtId="0" fontId="0" fillId="0" borderId="0" xfId="0" applyBorder="1" applyAlignment="1" applyProtection="1">
      <alignment horizontal="center"/>
    </xf>
    <xf numFmtId="0" fontId="11" fillId="0" borderId="6" xfId="0"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44" borderId="6" xfId="0" applyFill="1" applyBorder="1" applyAlignment="1" applyProtection="1">
      <alignment horizontal="center"/>
      <protection locked="0"/>
    </xf>
    <xf numFmtId="0" fontId="20"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5" borderId="6" xfId="0" applyFill="1" applyBorder="1" applyProtection="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0" fillId="0" borderId="5" xfId="0" applyBorder="1" applyAlignment="1" applyProtection="1">
      <alignment horizontal="left"/>
    </xf>
    <xf numFmtId="0" fontId="11" fillId="0" borderId="3" xfId="0" applyFont="1" applyBorder="1" applyAlignment="1" applyProtection="1">
      <alignment horizontal="left"/>
    </xf>
    <xf numFmtId="2" fontId="0" fillId="0" borderId="6" xfId="0" applyNumberFormat="1" applyFill="1" applyBorder="1" applyAlignment="1" applyProtection="1">
      <alignment horizontal="center"/>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20"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20" fillId="5" borderId="9" xfId="0" applyFont="1" applyFill="1" applyBorder="1" applyAlignment="1" applyProtection="1">
      <alignment horizontal="center"/>
      <protection locked="0"/>
    </xf>
    <xf numFmtId="3" fontId="0" fillId="0" borderId="6" xfId="0" applyNumberFormat="1" applyFill="1" applyBorder="1" applyAlignment="1" applyProtection="1">
      <alignment horizontal="right"/>
    </xf>
    <xf numFmtId="1" fontId="20" fillId="5" borderId="11" xfId="0" quotePrefix="1"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75" fontId="0" fillId="5" borderId="4" xfId="0" applyNumberFormat="1" applyFill="1" applyBorder="1" applyAlignment="1" applyProtection="1">
      <alignment horizontal="center"/>
      <protection locked="0"/>
    </xf>
    <xf numFmtId="0" fontId="18" fillId="0" borderId="5" xfId="0" applyFont="1" applyBorder="1" applyAlignment="1" applyProtection="1">
      <alignment horizont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11"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45" borderId="5" xfId="4501" applyFont="1" applyFill="1" applyBorder="1" applyAlignment="1">
      <alignment horizontal="center"/>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81" xfId="4501" applyFont="1" applyFill="1" applyBorder="1" applyAlignment="1" applyProtection="1">
      <alignment horizontal="center"/>
      <protection locked="0"/>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48" borderId="11" xfId="450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14" fontId="153" fillId="48" borderId="75" xfId="4501" applyNumberFormat="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3"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4" fillId="0" borderId="69" xfId="4501" applyBorder="1" applyAlignment="1"/>
    <xf numFmtId="0" fontId="4" fillId="0" borderId="70" xfId="4501" applyBorder="1" applyAlignment="1"/>
    <xf numFmtId="0" fontId="4" fillId="48" borderId="82" xfId="450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0" fontId="4" fillId="48" borderId="93"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48" fillId="45" borderId="79"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53" fillId="48" borderId="95" xfId="4501" applyFont="1" applyFill="1" applyBorder="1" applyAlignment="1" applyProtection="1">
      <alignment horizontal="center"/>
      <protection locked="0"/>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159" fillId="48" borderId="74"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9" fillId="48" borderId="82"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1" fontId="4" fillId="48" borderId="11" xfId="4501" applyNumberForma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4" fillId="48" borderId="13" xfId="4501" applyNumberFormat="1" applyFill="1" applyBorder="1" applyAlignment="1" applyProtection="1">
      <alignment horizontal="center"/>
      <protection locked="0"/>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81" xfId="4501" applyFont="1" applyFill="1" applyBorder="1" applyAlignment="1">
      <alignment horizontal="center"/>
    </xf>
    <xf numFmtId="0" fontId="153" fillId="48" borderId="68" xfId="450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14" fontId="153" fillId="48" borderId="73" xfId="4501" applyNumberFormat="1" applyFont="1" applyFill="1" applyBorder="1" applyAlignment="1" applyProtection="1">
      <alignment horizontal="center"/>
      <protection locked="0"/>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44"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0" borderId="2" xfId="4496" applyFont="1" applyFill="1" applyBorder="1" applyAlignment="1">
      <alignment horizontal="center"/>
    </xf>
    <xf numFmtId="0" fontId="27" fillId="0"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44"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17147">
    <cellStyle name="20% - Accent1" xfId="1" builtinId="30" customBuiltin="1"/>
    <cellStyle name="20% - Accent1 10" xfId="4507" xr:uid="{00000000-0005-0000-0000-000001000000}"/>
    <cellStyle name="20% - Accent1 10 2" xfId="12936" xr:uid="{387A5660-05F2-461E-8458-87461B7C3F35}"/>
    <cellStyle name="20% - Accent1 11" xfId="8718" xr:uid="{226F4611-947A-4EDB-9FD9-ACE817BFFF5D}"/>
    <cellStyle name="20% - Accent1 2" xfId="2" xr:uid="{00000000-0005-0000-0000-000002000000}"/>
    <cellStyle name="20% - Accent1 2 10" xfId="8719" xr:uid="{D6D2F830-7CF8-4F45-B520-C5EA4C128ABE}"/>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2 2 2" xfId="15498" xr:uid="{5FD671F9-6C83-4A50-8804-814A4008AC3D}"/>
    <cellStyle name="20% - Accent1 2 2 2 2 2 3" xfId="11280" xr:uid="{D0C873AF-5E8D-45FA-AC9F-74E094E146CD}"/>
    <cellStyle name="20% - Accent1 2 2 2 2 3" xfId="4924" xr:uid="{00000000-0005-0000-0000-000008000000}"/>
    <cellStyle name="20% - Accent1 2 2 2 2 3 2" xfId="13353" xr:uid="{9F8D52BA-69AF-4D32-9C99-D116BBA6A7D2}"/>
    <cellStyle name="20% - Accent1 2 2 2 2 4" xfId="9135" xr:uid="{CF3C109D-D7EC-4DF5-9EC0-22A22ADFD5B8}"/>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2 2 2" xfId="15911" xr:uid="{73906301-1221-44A5-8569-03949539D816}"/>
    <cellStyle name="20% - Accent1 2 2 2 3 2 3" xfId="11693" xr:uid="{A2166AEF-A6A3-4A9F-81AE-CC4EFF102964}"/>
    <cellStyle name="20% - Accent1 2 2 2 3 3" xfId="5337" xr:uid="{00000000-0005-0000-0000-00000C000000}"/>
    <cellStyle name="20% - Accent1 2 2 2 3 3 2" xfId="13766" xr:uid="{BD1C6663-5E6C-4F25-8B45-677AA2263092}"/>
    <cellStyle name="20% - Accent1 2 2 2 3 4" xfId="9548" xr:uid="{D1A37D72-B5B6-4AC8-93F1-F5B17F658853}"/>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2 2 2" xfId="16324" xr:uid="{6FEF6DD6-BFEC-49B6-BB82-17C8C077D804}"/>
    <cellStyle name="20% - Accent1 2 2 2 4 2 3" xfId="12106" xr:uid="{1491E49A-F68F-4E7F-9E99-B7F4AEF53B51}"/>
    <cellStyle name="20% - Accent1 2 2 2 4 3" xfId="5750" xr:uid="{00000000-0005-0000-0000-000010000000}"/>
    <cellStyle name="20% - Accent1 2 2 2 4 3 2" xfId="14179" xr:uid="{A705F077-1289-43A8-BC24-C31A7A46E4B3}"/>
    <cellStyle name="20% - Accent1 2 2 2 4 4" xfId="9961" xr:uid="{5CAC4C31-C9EF-45BD-A1BF-61D9CD287584}"/>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2 2 2" xfId="16737" xr:uid="{E96D3C60-3963-4132-9202-7A6C3A7A4D7C}"/>
    <cellStyle name="20% - Accent1 2 2 2 5 2 3" xfId="12519" xr:uid="{7809AF02-8080-41A6-B8F2-B6CC0C6544AF}"/>
    <cellStyle name="20% - Accent1 2 2 2 5 3" xfId="6163" xr:uid="{00000000-0005-0000-0000-000014000000}"/>
    <cellStyle name="20% - Accent1 2 2 2 5 3 2" xfId="14592" xr:uid="{3D00300F-24A2-472D-AB27-6AE80BF3F2E7}"/>
    <cellStyle name="20% - Accent1 2 2 2 5 4" xfId="10374" xr:uid="{699A21BC-45E7-4B16-B8E5-07E3B8C8666C}"/>
    <cellStyle name="20% - Accent1 2 2 2 6" xfId="2268" xr:uid="{00000000-0005-0000-0000-000015000000}"/>
    <cellStyle name="20% - Accent1 2 2 2 6 2" xfId="6576" xr:uid="{00000000-0005-0000-0000-000016000000}"/>
    <cellStyle name="20% - Accent1 2 2 2 6 2 2" xfId="15005" xr:uid="{67479136-0630-4581-A57D-3CD0E3DC5A21}"/>
    <cellStyle name="20% - Accent1 2 2 2 6 3" xfId="10787" xr:uid="{357982C8-4613-4C59-8DD3-4CB53A017DB9}"/>
    <cellStyle name="20% - Accent1 2 2 2 7" xfId="4510" xr:uid="{00000000-0005-0000-0000-000017000000}"/>
    <cellStyle name="20% - Accent1 2 2 2 7 2" xfId="12939" xr:uid="{A73F0F8F-476F-45A6-B5F1-7A74DE7E462C}"/>
    <cellStyle name="20% - Accent1 2 2 2 8" xfId="8721" xr:uid="{985F5596-CE53-4B77-BF93-4705C9DE4AE7}"/>
    <cellStyle name="20% - Accent1 2 2 3" xfId="573" xr:uid="{00000000-0005-0000-0000-000018000000}"/>
    <cellStyle name="20% - Accent1 2 2 3 2" xfId="2844" xr:uid="{00000000-0005-0000-0000-000019000000}"/>
    <cellStyle name="20% - Accent1 2 2 3 2 2" xfId="7068" xr:uid="{00000000-0005-0000-0000-00001A000000}"/>
    <cellStyle name="20% - Accent1 2 2 3 2 2 2" xfId="15497" xr:uid="{4EA0DEEE-7947-4538-9FB8-BD0356EF3059}"/>
    <cellStyle name="20% - Accent1 2 2 3 2 3" xfId="11279" xr:uid="{8DF04678-B279-4A72-BA9B-3C1CB49622FB}"/>
    <cellStyle name="20% - Accent1 2 2 3 3" xfId="4923" xr:uid="{00000000-0005-0000-0000-00001B000000}"/>
    <cellStyle name="20% - Accent1 2 2 3 3 2" xfId="13352" xr:uid="{F4856D78-50AD-4D59-9012-E9BDA5F5A590}"/>
    <cellStyle name="20% - Accent1 2 2 3 4" xfId="9134" xr:uid="{1480B091-1414-456B-877C-155D00EAF5AA}"/>
    <cellStyle name="20% - Accent1 2 2 4" xfId="1026" xr:uid="{00000000-0005-0000-0000-00001C000000}"/>
    <cellStyle name="20% - Accent1 2 2 4 2" xfId="3257" xr:uid="{00000000-0005-0000-0000-00001D000000}"/>
    <cellStyle name="20% - Accent1 2 2 4 2 2" xfId="7481" xr:uid="{00000000-0005-0000-0000-00001E000000}"/>
    <cellStyle name="20% - Accent1 2 2 4 2 2 2" xfId="15910" xr:uid="{F6E2872A-D5EA-4F6D-9B95-0EF950B6E311}"/>
    <cellStyle name="20% - Accent1 2 2 4 2 3" xfId="11692" xr:uid="{6E22ED94-96A3-466A-ACC0-F5708FAD2007}"/>
    <cellStyle name="20% - Accent1 2 2 4 3" xfId="5336" xr:uid="{00000000-0005-0000-0000-00001F000000}"/>
    <cellStyle name="20% - Accent1 2 2 4 3 2" xfId="13765" xr:uid="{2E326396-2E6F-4DDA-9DBF-D8B1A2D1C41B}"/>
    <cellStyle name="20% - Accent1 2 2 4 4" xfId="9547" xr:uid="{7ECDD969-3F09-4B12-926F-14B68DDA9C76}"/>
    <cellStyle name="20% - Accent1 2 2 5" xfId="1440" xr:uid="{00000000-0005-0000-0000-000020000000}"/>
    <cellStyle name="20% - Accent1 2 2 5 2" xfId="3670" xr:uid="{00000000-0005-0000-0000-000021000000}"/>
    <cellStyle name="20% - Accent1 2 2 5 2 2" xfId="7894" xr:uid="{00000000-0005-0000-0000-000022000000}"/>
    <cellStyle name="20% - Accent1 2 2 5 2 2 2" xfId="16323" xr:uid="{EA8FC008-A106-43EE-AE2A-594A6840C611}"/>
    <cellStyle name="20% - Accent1 2 2 5 2 3" xfId="12105" xr:uid="{6AE5E942-EE4A-4DE6-8BB0-1C3F9AFB2D00}"/>
    <cellStyle name="20% - Accent1 2 2 5 3" xfId="5749" xr:uid="{00000000-0005-0000-0000-000023000000}"/>
    <cellStyle name="20% - Accent1 2 2 5 3 2" xfId="14178" xr:uid="{B2B7AA41-7EFA-490E-84FE-4822E90DB94E}"/>
    <cellStyle name="20% - Accent1 2 2 5 4" xfId="9960" xr:uid="{0C0E4962-9EEB-4859-87C7-52B344580671}"/>
    <cellStyle name="20% - Accent1 2 2 6" xfId="1854" xr:uid="{00000000-0005-0000-0000-000024000000}"/>
    <cellStyle name="20% - Accent1 2 2 6 2" xfId="4083" xr:uid="{00000000-0005-0000-0000-000025000000}"/>
    <cellStyle name="20% - Accent1 2 2 6 2 2" xfId="8307" xr:uid="{00000000-0005-0000-0000-000026000000}"/>
    <cellStyle name="20% - Accent1 2 2 6 2 2 2" xfId="16736" xr:uid="{37880B80-CA4A-42F6-A33A-60B714904FEC}"/>
    <cellStyle name="20% - Accent1 2 2 6 2 3" xfId="12518" xr:uid="{E9E70008-3EED-467D-90B3-483B8C168B5C}"/>
    <cellStyle name="20% - Accent1 2 2 6 3" xfId="6162" xr:uid="{00000000-0005-0000-0000-000027000000}"/>
    <cellStyle name="20% - Accent1 2 2 6 3 2" xfId="14591" xr:uid="{D140EEEE-F079-48AC-B749-45971D1BC8F6}"/>
    <cellStyle name="20% - Accent1 2 2 6 4" xfId="10373" xr:uid="{8F9DAB13-7010-41BD-853A-AE1705F01095}"/>
    <cellStyle name="20% - Accent1 2 2 7" xfId="2267" xr:uid="{00000000-0005-0000-0000-000028000000}"/>
    <cellStyle name="20% - Accent1 2 2 7 2" xfId="6575" xr:uid="{00000000-0005-0000-0000-000029000000}"/>
    <cellStyle name="20% - Accent1 2 2 7 2 2" xfId="15004" xr:uid="{C1247ADA-93CB-4B1C-BC9B-E229791C9031}"/>
    <cellStyle name="20% - Accent1 2 2 7 3" xfId="10786" xr:uid="{1C7BFA40-25A8-41DF-B7C3-02B6D7E5CFF7}"/>
    <cellStyle name="20% - Accent1 2 2 8" xfId="4509" xr:uid="{00000000-0005-0000-0000-00002A000000}"/>
    <cellStyle name="20% - Accent1 2 2 8 2" xfId="12938" xr:uid="{67C5560B-2AB2-427C-8AAA-925BA4D424EC}"/>
    <cellStyle name="20% - Accent1 2 2 9" xfId="8720" xr:uid="{B4DC621B-1AD3-439F-AEA8-2765A96C833B}"/>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2 2 2" xfId="15499" xr:uid="{B017E9E8-4E57-46A9-978E-32CDA2426C52}"/>
    <cellStyle name="20% - Accent1 2 3 2 2 3" xfId="11281" xr:uid="{861EA0F5-C80A-48CD-92F6-0CB2D5012A0B}"/>
    <cellStyle name="20% - Accent1 2 3 2 3" xfId="4925" xr:uid="{00000000-0005-0000-0000-00002F000000}"/>
    <cellStyle name="20% - Accent1 2 3 2 3 2" xfId="13354" xr:uid="{B25C755D-FFA8-466C-82BA-B8781F5F4400}"/>
    <cellStyle name="20% - Accent1 2 3 2 4" xfId="9136" xr:uid="{0AD9A059-0DF1-4E51-B17B-3354C1B16654}"/>
    <cellStyle name="20% - Accent1 2 3 3" xfId="1028" xr:uid="{00000000-0005-0000-0000-000030000000}"/>
    <cellStyle name="20% - Accent1 2 3 3 2" xfId="3259" xr:uid="{00000000-0005-0000-0000-000031000000}"/>
    <cellStyle name="20% - Accent1 2 3 3 2 2" xfId="7483" xr:uid="{00000000-0005-0000-0000-000032000000}"/>
    <cellStyle name="20% - Accent1 2 3 3 2 2 2" xfId="15912" xr:uid="{D0EC45F2-68B6-4F9D-8AEC-D4387EA3FAFA}"/>
    <cellStyle name="20% - Accent1 2 3 3 2 3" xfId="11694" xr:uid="{41170E78-3B7E-406B-9773-20280C19A7A0}"/>
    <cellStyle name="20% - Accent1 2 3 3 3" xfId="5338" xr:uid="{00000000-0005-0000-0000-000033000000}"/>
    <cellStyle name="20% - Accent1 2 3 3 3 2" xfId="13767" xr:uid="{468C6A7B-313F-43BD-8363-F9CD6F7F8A9B}"/>
    <cellStyle name="20% - Accent1 2 3 3 4" xfId="9549" xr:uid="{142D70B9-EFF7-4B3A-B914-40739EE4548A}"/>
    <cellStyle name="20% - Accent1 2 3 4" xfId="1442" xr:uid="{00000000-0005-0000-0000-000034000000}"/>
    <cellStyle name="20% - Accent1 2 3 4 2" xfId="3672" xr:uid="{00000000-0005-0000-0000-000035000000}"/>
    <cellStyle name="20% - Accent1 2 3 4 2 2" xfId="7896" xr:uid="{00000000-0005-0000-0000-000036000000}"/>
    <cellStyle name="20% - Accent1 2 3 4 2 2 2" xfId="16325" xr:uid="{71954394-A599-4D22-BF83-1BFE35324FAB}"/>
    <cellStyle name="20% - Accent1 2 3 4 2 3" xfId="12107" xr:uid="{8DB56EF6-3149-4AD9-A62E-C633CEC6703C}"/>
    <cellStyle name="20% - Accent1 2 3 4 3" xfId="5751" xr:uid="{00000000-0005-0000-0000-000037000000}"/>
    <cellStyle name="20% - Accent1 2 3 4 3 2" xfId="14180" xr:uid="{F021B992-3A14-4A49-BB90-DBA1677BD100}"/>
    <cellStyle name="20% - Accent1 2 3 4 4" xfId="9962" xr:uid="{7FC4F2FE-86CD-4570-9671-EEBF39C7D858}"/>
    <cellStyle name="20% - Accent1 2 3 5" xfId="1856" xr:uid="{00000000-0005-0000-0000-000038000000}"/>
    <cellStyle name="20% - Accent1 2 3 5 2" xfId="4085" xr:uid="{00000000-0005-0000-0000-000039000000}"/>
    <cellStyle name="20% - Accent1 2 3 5 2 2" xfId="8309" xr:uid="{00000000-0005-0000-0000-00003A000000}"/>
    <cellStyle name="20% - Accent1 2 3 5 2 2 2" xfId="16738" xr:uid="{762BFE85-AED1-4B81-B9CE-B39B874BDD50}"/>
    <cellStyle name="20% - Accent1 2 3 5 2 3" xfId="12520" xr:uid="{8F2E72E7-19C1-444A-8387-44D1966EF621}"/>
    <cellStyle name="20% - Accent1 2 3 5 3" xfId="6164" xr:uid="{00000000-0005-0000-0000-00003B000000}"/>
    <cellStyle name="20% - Accent1 2 3 5 3 2" xfId="14593" xr:uid="{AAE8340A-F3AA-4880-9DDE-25A048A5C53A}"/>
    <cellStyle name="20% - Accent1 2 3 5 4" xfId="10375" xr:uid="{BC4AFA0A-E131-49A9-8E1F-FCE1CD80DA6E}"/>
    <cellStyle name="20% - Accent1 2 3 6" xfId="2269" xr:uid="{00000000-0005-0000-0000-00003C000000}"/>
    <cellStyle name="20% - Accent1 2 3 6 2" xfId="6577" xr:uid="{00000000-0005-0000-0000-00003D000000}"/>
    <cellStyle name="20% - Accent1 2 3 6 2 2" xfId="15006" xr:uid="{733459DA-9ED1-49B6-B2C2-2B305767AB47}"/>
    <cellStyle name="20% - Accent1 2 3 6 3" xfId="10788" xr:uid="{A8AF773B-7EE9-42B6-8864-565260F02932}"/>
    <cellStyle name="20% - Accent1 2 3 7" xfId="4511" xr:uid="{00000000-0005-0000-0000-00003E000000}"/>
    <cellStyle name="20% - Accent1 2 3 7 2" xfId="12940" xr:uid="{55326DED-C690-4817-8AAD-B27FC84E0AAE}"/>
    <cellStyle name="20% - Accent1 2 3 8" xfId="8722" xr:uid="{10AD6D02-0556-42C2-9248-2D09D53550B0}"/>
    <cellStyle name="20% - Accent1 2 4" xfId="572" xr:uid="{00000000-0005-0000-0000-00003F000000}"/>
    <cellStyle name="20% - Accent1 2 4 2" xfId="2843" xr:uid="{00000000-0005-0000-0000-000040000000}"/>
    <cellStyle name="20% - Accent1 2 4 2 2" xfId="7067" xr:uid="{00000000-0005-0000-0000-000041000000}"/>
    <cellStyle name="20% - Accent1 2 4 2 2 2" xfId="15496" xr:uid="{F8506C84-01B7-449C-9E49-543177F2A9CA}"/>
    <cellStyle name="20% - Accent1 2 4 2 3" xfId="11278" xr:uid="{4D8CA705-238B-458F-ADC0-1E59CEAFFCBE}"/>
    <cellStyle name="20% - Accent1 2 4 3" xfId="4922" xr:uid="{00000000-0005-0000-0000-000042000000}"/>
    <cellStyle name="20% - Accent1 2 4 3 2" xfId="13351" xr:uid="{72F86A9C-C9AD-4A1B-BB5D-F094B9810C59}"/>
    <cellStyle name="20% - Accent1 2 4 4" xfId="9133" xr:uid="{A36590D1-429D-4761-97E9-5B94A721A6B1}"/>
    <cellStyle name="20% - Accent1 2 5" xfId="1025" xr:uid="{00000000-0005-0000-0000-000043000000}"/>
    <cellStyle name="20% - Accent1 2 5 2" xfId="3256" xr:uid="{00000000-0005-0000-0000-000044000000}"/>
    <cellStyle name="20% - Accent1 2 5 2 2" xfId="7480" xr:uid="{00000000-0005-0000-0000-000045000000}"/>
    <cellStyle name="20% - Accent1 2 5 2 2 2" xfId="15909" xr:uid="{B567D901-ECCC-4986-96CD-41878D5F8D6D}"/>
    <cellStyle name="20% - Accent1 2 5 2 3" xfId="11691" xr:uid="{2DBFF13C-1CA1-4AFE-85BC-874B9FEBA729}"/>
    <cellStyle name="20% - Accent1 2 5 3" xfId="5335" xr:uid="{00000000-0005-0000-0000-000046000000}"/>
    <cellStyle name="20% - Accent1 2 5 3 2" xfId="13764" xr:uid="{FCCD9D5F-AC6F-48B5-AFF5-9D20C3E8325A}"/>
    <cellStyle name="20% - Accent1 2 5 4" xfId="9546" xr:uid="{2CD31F67-F0BF-483B-9841-13E8B28AFE78}"/>
    <cellStyle name="20% - Accent1 2 6" xfId="1439" xr:uid="{00000000-0005-0000-0000-000047000000}"/>
    <cellStyle name="20% - Accent1 2 6 2" xfId="3669" xr:uid="{00000000-0005-0000-0000-000048000000}"/>
    <cellStyle name="20% - Accent1 2 6 2 2" xfId="7893" xr:uid="{00000000-0005-0000-0000-000049000000}"/>
    <cellStyle name="20% - Accent1 2 6 2 2 2" xfId="16322" xr:uid="{1A4A413D-320C-4330-9F3D-0E808E332ED1}"/>
    <cellStyle name="20% - Accent1 2 6 2 3" xfId="12104" xr:uid="{9D284039-5811-4A74-9C28-0BFC4108029A}"/>
    <cellStyle name="20% - Accent1 2 6 3" xfId="5748" xr:uid="{00000000-0005-0000-0000-00004A000000}"/>
    <cellStyle name="20% - Accent1 2 6 3 2" xfId="14177" xr:uid="{50C067EC-7B00-4FF9-8F41-CCD835A07D37}"/>
    <cellStyle name="20% - Accent1 2 6 4" xfId="9959" xr:uid="{965279A8-A336-4D5F-93D5-FA4CB1F2B32F}"/>
    <cellStyle name="20% - Accent1 2 7" xfId="1853" xr:uid="{00000000-0005-0000-0000-00004B000000}"/>
    <cellStyle name="20% - Accent1 2 7 2" xfId="4082" xr:uid="{00000000-0005-0000-0000-00004C000000}"/>
    <cellStyle name="20% - Accent1 2 7 2 2" xfId="8306" xr:uid="{00000000-0005-0000-0000-00004D000000}"/>
    <cellStyle name="20% - Accent1 2 7 2 2 2" xfId="16735" xr:uid="{BA6B03FC-9BF7-4397-9C67-A211BECF6F0A}"/>
    <cellStyle name="20% - Accent1 2 7 2 3" xfId="12517" xr:uid="{DFE2D2AB-E786-4D96-B281-7DA1C1DA18BA}"/>
    <cellStyle name="20% - Accent1 2 7 3" xfId="6161" xr:uid="{00000000-0005-0000-0000-00004E000000}"/>
    <cellStyle name="20% - Accent1 2 7 3 2" xfId="14590" xr:uid="{05CCFC35-CE5E-4779-B144-197A49E433C6}"/>
    <cellStyle name="20% - Accent1 2 7 4" xfId="10372" xr:uid="{E44B11C1-75DE-4D4D-8C46-57162876C1CF}"/>
    <cellStyle name="20% - Accent1 2 8" xfId="2266" xr:uid="{00000000-0005-0000-0000-00004F000000}"/>
    <cellStyle name="20% - Accent1 2 8 2" xfId="6574" xr:uid="{00000000-0005-0000-0000-000050000000}"/>
    <cellStyle name="20% - Accent1 2 8 2 2" xfId="15003" xr:uid="{6765CDCC-8BA0-4E31-B7F0-E369C0D71AAE}"/>
    <cellStyle name="20% - Accent1 2 8 3" xfId="10785" xr:uid="{A042D45A-2C9F-4765-A88A-72FA5A78EA28}"/>
    <cellStyle name="20% - Accent1 2 9" xfId="4508" xr:uid="{00000000-0005-0000-0000-000051000000}"/>
    <cellStyle name="20% - Accent1 2 9 2" xfId="12937" xr:uid="{E5C124A7-4162-4946-BCA4-8B0C7EC5427A}"/>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2 2 2" xfId="15501" xr:uid="{E8ED04BE-C243-42AC-9A1A-54643343E05D}"/>
    <cellStyle name="20% - Accent1 3 2 2 2 3" xfId="11283" xr:uid="{54A17959-6051-48CA-870C-41BD66F3B162}"/>
    <cellStyle name="20% - Accent1 3 2 2 3" xfId="4927" xr:uid="{00000000-0005-0000-0000-000057000000}"/>
    <cellStyle name="20% - Accent1 3 2 2 3 2" xfId="13356" xr:uid="{5232345B-6E07-4DC6-AA44-18F1F6B74CE7}"/>
    <cellStyle name="20% - Accent1 3 2 2 4" xfId="9138" xr:uid="{A61F48AA-E4E0-4DE0-81AF-5A164C330D1C}"/>
    <cellStyle name="20% - Accent1 3 2 3" xfId="1030" xr:uid="{00000000-0005-0000-0000-000058000000}"/>
    <cellStyle name="20% - Accent1 3 2 3 2" xfId="3261" xr:uid="{00000000-0005-0000-0000-000059000000}"/>
    <cellStyle name="20% - Accent1 3 2 3 2 2" xfId="7485" xr:uid="{00000000-0005-0000-0000-00005A000000}"/>
    <cellStyle name="20% - Accent1 3 2 3 2 2 2" xfId="15914" xr:uid="{5B90CFE2-1051-4113-A7BD-6446C7E6FEC1}"/>
    <cellStyle name="20% - Accent1 3 2 3 2 3" xfId="11696" xr:uid="{708B900B-8699-44B0-B9A7-E3E395B7A55F}"/>
    <cellStyle name="20% - Accent1 3 2 3 3" xfId="5340" xr:uid="{00000000-0005-0000-0000-00005B000000}"/>
    <cellStyle name="20% - Accent1 3 2 3 3 2" xfId="13769" xr:uid="{C36727D9-E77A-4CFD-BFD0-AA12B7576726}"/>
    <cellStyle name="20% - Accent1 3 2 3 4" xfId="9551" xr:uid="{605CB6A7-5B53-4EDD-83E5-6F17D18B780C}"/>
    <cellStyle name="20% - Accent1 3 2 4" xfId="1444" xr:uid="{00000000-0005-0000-0000-00005C000000}"/>
    <cellStyle name="20% - Accent1 3 2 4 2" xfId="3674" xr:uid="{00000000-0005-0000-0000-00005D000000}"/>
    <cellStyle name="20% - Accent1 3 2 4 2 2" xfId="7898" xr:uid="{00000000-0005-0000-0000-00005E000000}"/>
    <cellStyle name="20% - Accent1 3 2 4 2 2 2" xfId="16327" xr:uid="{3A164121-65EB-4988-A2D0-DFC5666256A3}"/>
    <cellStyle name="20% - Accent1 3 2 4 2 3" xfId="12109" xr:uid="{204E1944-E9C2-4ADA-A809-006F0E8BA4E4}"/>
    <cellStyle name="20% - Accent1 3 2 4 3" xfId="5753" xr:uid="{00000000-0005-0000-0000-00005F000000}"/>
    <cellStyle name="20% - Accent1 3 2 4 3 2" xfId="14182" xr:uid="{4B7E8708-7BE6-43EB-9B84-34EEFDB660AC}"/>
    <cellStyle name="20% - Accent1 3 2 4 4" xfId="9964" xr:uid="{8909DC95-1554-40C4-809A-C9421CA4C479}"/>
    <cellStyle name="20% - Accent1 3 2 5" xfId="1858" xr:uid="{00000000-0005-0000-0000-000060000000}"/>
    <cellStyle name="20% - Accent1 3 2 5 2" xfId="4087" xr:uid="{00000000-0005-0000-0000-000061000000}"/>
    <cellStyle name="20% - Accent1 3 2 5 2 2" xfId="8311" xr:uid="{00000000-0005-0000-0000-000062000000}"/>
    <cellStyle name="20% - Accent1 3 2 5 2 2 2" xfId="16740" xr:uid="{F00A5A04-F39C-4D7B-A9FD-9E4A335148C7}"/>
    <cellStyle name="20% - Accent1 3 2 5 2 3" xfId="12522" xr:uid="{C5D0B337-0659-495E-A603-F77444EA8C26}"/>
    <cellStyle name="20% - Accent1 3 2 5 3" xfId="6166" xr:uid="{00000000-0005-0000-0000-000063000000}"/>
    <cellStyle name="20% - Accent1 3 2 5 3 2" xfId="14595" xr:uid="{0F41263F-67BD-4C28-AC57-402D490814A3}"/>
    <cellStyle name="20% - Accent1 3 2 5 4" xfId="10377" xr:uid="{EA45B226-DA80-491A-9D54-13FDF2BC691C}"/>
    <cellStyle name="20% - Accent1 3 2 6" xfId="2271" xr:uid="{00000000-0005-0000-0000-000064000000}"/>
    <cellStyle name="20% - Accent1 3 2 6 2" xfId="6579" xr:uid="{00000000-0005-0000-0000-000065000000}"/>
    <cellStyle name="20% - Accent1 3 2 6 2 2" xfId="15008" xr:uid="{9E4B3CCD-37F2-42EE-962C-DB18E230316B}"/>
    <cellStyle name="20% - Accent1 3 2 6 3" xfId="10790" xr:uid="{B0BF97E0-685E-45B5-8A2F-679CE775A2DC}"/>
    <cellStyle name="20% - Accent1 3 2 7" xfId="4513" xr:uid="{00000000-0005-0000-0000-000066000000}"/>
    <cellStyle name="20% - Accent1 3 2 7 2" xfId="12942" xr:uid="{9C1E5472-0818-4C4D-9687-03A8607616B9}"/>
    <cellStyle name="20% - Accent1 3 2 8" xfId="8724" xr:uid="{BA8DB5C1-E208-461C-8663-57CC9A3FEF9C}"/>
    <cellStyle name="20% - Accent1 3 3" xfId="576" xr:uid="{00000000-0005-0000-0000-000067000000}"/>
    <cellStyle name="20% - Accent1 3 3 2" xfId="2847" xr:uid="{00000000-0005-0000-0000-000068000000}"/>
    <cellStyle name="20% - Accent1 3 3 2 2" xfId="7071" xr:uid="{00000000-0005-0000-0000-000069000000}"/>
    <cellStyle name="20% - Accent1 3 3 2 2 2" xfId="15500" xr:uid="{FB0F57EC-0AB5-4D25-8C2D-DC70EB0C9FE4}"/>
    <cellStyle name="20% - Accent1 3 3 2 3" xfId="11282" xr:uid="{645BF519-B91C-4CF6-86E5-96C865FC6ADB}"/>
    <cellStyle name="20% - Accent1 3 3 3" xfId="4926" xr:uid="{00000000-0005-0000-0000-00006A000000}"/>
    <cellStyle name="20% - Accent1 3 3 3 2" xfId="13355" xr:uid="{7C876844-90FC-4E86-9C25-EA54A6E574B8}"/>
    <cellStyle name="20% - Accent1 3 3 4" xfId="9137" xr:uid="{6FE701E5-5D6A-4E3B-80E4-FBBAD4858351}"/>
    <cellStyle name="20% - Accent1 3 4" xfId="1029" xr:uid="{00000000-0005-0000-0000-00006B000000}"/>
    <cellStyle name="20% - Accent1 3 4 2" xfId="3260" xr:uid="{00000000-0005-0000-0000-00006C000000}"/>
    <cellStyle name="20% - Accent1 3 4 2 2" xfId="7484" xr:uid="{00000000-0005-0000-0000-00006D000000}"/>
    <cellStyle name="20% - Accent1 3 4 2 2 2" xfId="15913" xr:uid="{B238FA32-CE38-426B-896B-FFE7D1F9371B}"/>
    <cellStyle name="20% - Accent1 3 4 2 3" xfId="11695" xr:uid="{89CBCD41-B126-4D9D-8C7B-BA55E1D8BD5C}"/>
    <cellStyle name="20% - Accent1 3 4 3" xfId="5339" xr:uid="{00000000-0005-0000-0000-00006E000000}"/>
    <cellStyle name="20% - Accent1 3 4 3 2" xfId="13768" xr:uid="{FAD8231C-AEEC-47F0-BAE8-32CC5A269214}"/>
    <cellStyle name="20% - Accent1 3 4 4" xfId="9550" xr:uid="{0ABE9EA3-A57D-4513-B0A7-09E5F306458C}"/>
    <cellStyle name="20% - Accent1 3 5" xfId="1443" xr:uid="{00000000-0005-0000-0000-00006F000000}"/>
    <cellStyle name="20% - Accent1 3 5 2" xfId="3673" xr:uid="{00000000-0005-0000-0000-000070000000}"/>
    <cellStyle name="20% - Accent1 3 5 2 2" xfId="7897" xr:uid="{00000000-0005-0000-0000-000071000000}"/>
    <cellStyle name="20% - Accent1 3 5 2 2 2" xfId="16326" xr:uid="{42C424D8-1ECB-45B6-9AB4-37E0DB6854A9}"/>
    <cellStyle name="20% - Accent1 3 5 2 3" xfId="12108" xr:uid="{B4FE3124-0A40-435B-AF37-FD0E2880351F}"/>
    <cellStyle name="20% - Accent1 3 5 3" xfId="5752" xr:uid="{00000000-0005-0000-0000-000072000000}"/>
    <cellStyle name="20% - Accent1 3 5 3 2" xfId="14181" xr:uid="{E389455A-E704-482C-8502-7E8CCA3EA41F}"/>
    <cellStyle name="20% - Accent1 3 5 4" xfId="9963" xr:uid="{ACB622B6-A70A-4B3F-A58F-B73D6A024E20}"/>
    <cellStyle name="20% - Accent1 3 6" xfId="1857" xr:uid="{00000000-0005-0000-0000-000073000000}"/>
    <cellStyle name="20% - Accent1 3 6 2" xfId="4086" xr:uid="{00000000-0005-0000-0000-000074000000}"/>
    <cellStyle name="20% - Accent1 3 6 2 2" xfId="8310" xr:uid="{00000000-0005-0000-0000-000075000000}"/>
    <cellStyle name="20% - Accent1 3 6 2 2 2" xfId="16739" xr:uid="{AB8C625A-3755-4013-856E-FC3437F80004}"/>
    <cellStyle name="20% - Accent1 3 6 2 3" xfId="12521" xr:uid="{A5975AB3-944A-4BC5-A3CA-89B16FD5B37E}"/>
    <cellStyle name="20% - Accent1 3 6 3" xfId="6165" xr:uid="{00000000-0005-0000-0000-000076000000}"/>
    <cellStyle name="20% - Accent1 3 6 3 2" xfId="14594" xr:uid="{8165D892-BAAA-4263-8F26-D84B6224F5D8}"/>
    <cellStyle name="20% - Accent1 3 6 4" xfId="10376" xr:uid="{2B371D65-46D4-4DC2-ADE9-A2DE849E525F}"/>
    <cellStyle name="20% - Accent1 3 7" xfId="2270" xr:uid="{00000000-0005-0000-0000-000077000000}"/>
    <cellStyle name="20% - Accent1 3 7 2" xfId="6578" xr:uid="{00000000-0005-0000-0000-000078000000}"/>
    <cellStyle name="20% - Accent1 3 7 2 2" xfId="15007" xr:uid="{B900C03C-8AB3-49EE-8292-16F94B9C09AF}"/>
    <cellStyle name="20% - Accent1 3 7 3" xfId="10789" xr:uid="{388E6168-73C3-435A-A3C4-2142023E00E8}"/>
    <cellStyle name="20% - Accent1 3 8" xfId="4512" xr:uid="{00000000-0005-0000-0000-000079000000}"/>
    <cellStyle name="20% - Accent1 3 8 2" xfId="12941" xr:uid="{E9BE057E-24D2-4B03-9C4D-1297664CE399}"/>
    <cellStyle name="20% - Accent1 3 9" xfId="8723" xr:uid="{EE4440CA-7451-4189-B822-1D0DC2A59494}"/>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2 2 2" xfId="15502" xr:uid="{5E07608E-5743-48DE-B930-30E92B558E44}"/>
    <cellStyle name="20% - Accent1 4 2 2 3" xfId="11284" xr:uid="{5F87D40A-D9CC-4794-B811-83DE963C20ED}"/>
    <cellStyle name="20% - Accent1 4 2 3" xfId="4928" xr:uid="{00000000-0005-0000-0000-00007E000000}"/>
    <cellStyle name="20% - Accent1 4 2 3 2" xfId="13357" xr:uid="{9BF30460-AD9F-475E-BFFC-E2B60B1AB62F}"/>
    <cellStyle name="20% - Accent1 4 2 4" xfId="9139" xr:uid="{A2161839-BF6D-424D-BEEA-0E3759198A3D}"/>
    <cellStyle name="20% - Accent1 4 3" xfId="1031" xr:uid="{00000000-0005-0000-0000-00007F000000}"/>
    <cellStyle name="20% - Accent1 4 3 2" xfId="3262" xr:uid="{00000000-0005-0000-0000-000080000000}"/>
    <cellStyle name="20% - Accent1 4 3 2 2" xfId="7486" xr:uid="{00000000-0005-0000-0000-000081000000}"/>
    <cellStyle name="20% - Accent1 4 3 2 2 2" xfId="15915" xr:uid="{A01C7AC1-9740-45AD-A6D4-02A9DCD67EC9}"/>
    <cellStyle name="20% - Accent1 4 3 2 3" xfId="11697" xr:uid="{EDAD153B-72ED-491C-B2D0-D84CDAD01EA7}"/>
    <cellStyle name="20% - Accent1 4 3 3" xfId="5341" xr:uid="{00000000-0005-0000-0000-000082000000}"/>
    <cellStyle name="20% - Accent1 4 3 3 2" xfId="13770" xr:uid="{B5992C1F-AA8C-4AE4-B06A-0A941F34D555}"/>
    <cellStyle name="20% - Accent1 4 3 4" xfId="9552" xr:uid="{F1D964A6-28CE-4041-98FA-2CD9600DA965}"/>
    <cellStyle name="20% - Accent1 4 4" xfId="1445" xr:uid="{00000000-0005-0000-0000-000083000000}"/>
    <cellStyle name="20% - Accent1 4 4 2" xfId="3675" xr:uid="{00000000-0005-0000-0000-000084000000}"/>
    <cellStyle name="20% - Accent1 4 4 2 2" xfId="7899" xr:uid="{00000000-0005-0000-0000-000085000000}"/>
    <cellStyle name="20% - Accent1 4 4 2 2 2" xfId="16328" xr:uid="{CD0C7162-4555-46E0-B70C-02F372CF3F70}"/>
    <cellStyle name="20% - Accent1 4 4 2 3" xfId="12110" xr:uid="{6C971560-C14D-4C89-A416-7B8A3946FBF3}"/>
    <cellStyle name="20% - Accent1 4 4 3" xfId="5754" xr:uid="{00000000-0005-0000-0000-000086000000}"/>
    <cellStyle name="20% - Accent1 4 4 3 2" xfId="14183" xr:uid="{568D10A2-5779-4455-886F-CD3B98857989}"/>
    <cellStyle name="20% - Accent1 4 4 4" xfId="9965" xr:uid="{6B2ECC17-12BD-4675-8A3F-BDE4A44B7F68}"/>
    <cellStyle name="20% - Accent1 4 5" xfId="1859" xr:uid="{00000000-0005-0000-0000-000087000000}"/>
    <cellStyle name="20% - Accent1 4 5 2" xfId="4088" xr:uid="{00000000-0005-0000-0000-000088000000}"/>
    <cellStyle name="20% - Accent1 4 5 2 2" xfId="8312" xr:uid="{00000000-0005-0000-0000-000089000000}"/>
    <cellStyle name="20% - Accent1 4 5 2 2 2" xfId="16741" xr:uid="{D526BD8E-B739-409D-A8F5-27FF11462227}"/>
    <cellStyle name="20% - Accent1 4 5 2 3" xfId="12523" xr:uid="{C6C95656-B9FF-4342-93F8-02A0FE64AD90}"/>
    <cellStyle name="20% - Accent1 4 5 3" xfId="6167" xr:uid="{00000000-0005-0000-0000-00008A000000}"/>
    <cellStyle name="20% - Accent1 4 5 3 2" xfId="14596" xr:uid="{C9461E0D-B6A9-4F1C-B85F-6826A781EB89}"/>
    <cellStyle name="20% - Accent1 4 5 4" xfId="10378" xr:uid="{AC4C05E1-BE82-4565-AFE4-6B2AAE583F81}"/>
    <cellStyle name="20% - Accent1 4 6" xfId="2272" xr:uid="{00000000-0005-0000-0000-00008B000000}"/>
    <cellStyle name="20% - Accent1 4 6 2" xfId="6580" xr:uid="{00000000-0005-0000-0000-00008C000000}"/>
    <cellStyle name="20% - Accent1 4 6 2 2" xfId="15009" xr:uid="{07D6ACE7-E202-469D-B76E-615ED1AB72A8}"/>
    <cellStyle name="20% - Accent1 4 6 3" xfId="10791" xr:uid="{70894D13-1B46-4C86-AB04-09678D610D48}"/>
    <cellStyle name="20% - Accent1 4 7" xfId="4514" xr:uid="{00000000-0005-0000-0000-00008D000000}"/>
    <cellStyle name="20% - Accent1 4 7 2" xfId="12943" xr:uid="{34899FF7-2E30-49AF-A51D-4EC287C47236}"/>
    <cellStyle name="20% - Accent1 4 8" xfId="8725" xr:uid="{165F7D44-64EC-4789-80B3-F8ACD6540E93}"/>
    <cellStyle name="20% - Accent1 5" xfId="571" xr:uid="{00000000-0005-0000-0000-00008E000000}"/>
    <cellStyle name="20% - Accent1 5 2" xfId="2842" xr:uid="{00000000-0005-0000-0000-00008F000000}"/>
    <cellStyle name="20% - Accent1 5 2 2" xfId="7066" xr:uid="{00000000-0005-0000-0000-000090000000}"/>
    <cellStyle name="20% - Accent1 5 2 2 2" xfId="15495" xr:uid="{A6024106-9A3A-42D3-BC00-FF2214345A08}"/>
    <cellStyle name="20% - Accent1 5 2 3" xfId="11277" xr:uid="{7EAF1992-82AB-416B-8471-8F37120515A5}"/>
    <cellStyle name="20% - Accent1 5 3" xfId="4921" xr:uid="{00000000-0005-0000-0000-000091000000}"/>
    <cellStyle name="20% - Accent1 5 3 2" xfId="13350" xr:uid="{29E4D78A-647D-499C-B2CC-57B2BBA85430}"/>
    <cellStyle name="20% - Accent1 5 4" xfId="9132" xr:uid="{2915DE6B-3E0C-49EC-BC9E-FEEE98E49F24}"/>
    <cellStyle name="20% - Accent1 6" xfId="1024" xr:uid="{00000000-0005-0000-0000-000092000000}"/>
    <cellStyle name="20% - Accent1 6 2" xfId="3255" xr:uid="{00000000-0005-0000-0000-000093000000}"/>
    <cellStyle name="20% - Accent1 6 2 2" xfId="7479" xr:uid="{00000000-0005-0000-0000-000094000000}"/>
    <cellStyle name="20% - Accent1 6 2 2 2" xfId="15908" xr:uid="{6EA9118C-11BF-4EB3-A14B-982349AA5089}"/>
    <cellStyle name="20% - Accent1 6 2 3" xfId="11690" xr:uid="{0B9D5F6C-D377-45E0-9C62-22459AF4F908}"/>
    <cellStyle name="20% - Accent1 6 3" xfId="5334" xr:uid="{00000000-0005-0000-0000-000095000000}"/>
    <cellStyle name="20% - Accent1 6 3 2" xfId="13763" xr:uid="{29CD1CDA-AEF3-4C91-9ECB-01E67AEE687C}"/>
    <cellStyle name="20% - Accent1 6 4" xfId="9545" xr:uid="{5DF3D02E-F3E3-4C79-9675-AA0CCA355666}"/>
    <cellStyle name="20% - Accent1 7" xfId="1438" xr:uid="{00000000-0005-0000-0000-000096000000}"/>
    <cellStyle name="20% - Accent1 7 2" xfId="3668" xr:uid="{00000000-0005-0000-0000-000097000000}"/>
    <cellStyle name="20% - Accent1 7 2 2" xfId="7892" xr:uid="{00000000-0005-0000-0000-000098000000}"/>
    <cellStyle name="20% - Accent1 7 2 2 2" xfId="16321" xr:uid="{0C6BE26F-112F-4591-85A8-926FCC4880CB}"/>
    <cellStyle name="20% - Accent1 7 2 3" xfId="12103" xr:uid="{B1729824-B88B-40F5-826A-B9ECA5B8E163}"/>
    <cellStyle name="20% - Accent1 7 3" xfId="5747" xr:uid="{00000000-0005-0000-0000-000099000000}"/>
    <cellStyle name="20% - Accent1 7 3 2" xfId="14176" xr:uid="{6EF3397E-54A7-47D6-9A13-CB5343134B20}"/>
    <cellStyle name="20% - Accent1 7 4" xfId="9958" xr:uid="{4A30535B-EBBC-4AD5-84FF-0A719963BD70}"/>
    <cellStyle name="20% - Accent1 8" xfId="1852" xr:uid="{00000000-0005-0000-0000-00009A000000}"/>
    <cellStyle name="20% - Accent1 8 2" xfId="4081" xr:uid="{00000000-0005-0000-0000-00009B000000}"/>
    <cellStyle name="20% - Accent1 8 2 2" xfId="8305" xr:uid="{00000000-0005-0000-0000-00009C000000}"/>
    <cellStyle name="20% - Accent1 8 2 2 2" xfId="16734" xr:uid="{AAD64EBA-52DD-4FB8-ADD1-3FDC97934DFA}"/>
    <cellStyle name="20% - Accent1 8 2 3" xfId="12516" xr:uid="{22F5CE3A-88EB-4814-A7E6-EFBA5CDA9E52}"/>
    <cellStyle name="20% - Accent1 8 3" xfId="6160" xr:uid="{00000000-0005-0000-0000-00009D000000}"/>
    <cellStyle name="20% - Accent1 8 3 2" xfId="14589" xr:uid="{2DE8615B-5F57-4974-B256-BD2B71D8AD3E}"/>
    <cellStyle name="20% - Accent1 8 4" xfId="10371" xr:uid="{52B4E7E5-EAA9-435D-89B7-083C54447156}"/>
    <cellStyle name="20% - Accent1 9" xfId="2265" xr:uid="{00000000-0005-0000-0000-00009E000000}"/>
    <cellStyle name="20% - Accent1 9 2" xfId="6573" xr:uid="{00000000-0005-0000-0000-00009F000000}"/>
    <cellStyle name="20% - Accent1 9 2 2" xfId="15002" xr:uid="{8F9C19C3-9F33-449E-8A5D-A66D978BD55B}"/>
    <cellStyle name="20% - Accent1 9 3" xfId="10784" xr:uid="{D5330E4D-8C21-464A-8F76-89B63FBAAA9A}"/>
    <cellStyle name="20% - Accent2" xfId="9" builtinId="34" customBuiltin="1"/>
    <cellStyle name="20% - Accent2 10" xfId="4515" xr:uid="{00000000-0005-0000-0000-0000A1000000}"/>
    <cellStyle name="20% - Accent2 10 2" xfId="12944" xr:uid="{3C38DD5F-D769-4934-AA1F-9891B0144A07}"/>
    <cellStyle name="20% - Accent2 11" xfId="8726" xr:uid="{B0E3BADB-555E-495A-A4D1-5743E1B34403}"/>
    <cellStyle name="20% - Accent2 2" xfId="10" xr:uid="{00000000-0005-0000-0000-0000A2000000}"/>
    <cellStyle name="20% - Accent2 2 10" xfId="8727" xr:uid="{12EA8D13-9E70-42F7-99B5-935F5B129ADB}"/>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2 2 2" xfId="15506" xr:uid="{4AEDC370-9465-4FAF-8F0B-5CFA967446C3}"/>
    <cellStyle name="20% - Accent2 2 2 2 2 2 3" xfId="11288" xr:uid="{51BFDA89-9844-439C-B354-A54BDEDE08AA}"/>
    <cellStyle name="20% - Accent2 2 2 2 2 3" xfId="4932" xr:uid="{00000000-0005-0000-0000-0000A8000000}"/>
    <cellStyle name="20% - Accent2 2 2 2 2 3 2" xfId="13361" xr:uid="{A3FCE604-F0F3-4A34-BC08-DE2945585CF1}"/>
    <cellStyle name="20% - Accent2 2 2 2 2 4" xfId="9143" xr:uid="{1248DEE6-7EA3-4993-BBAC-FEE629C4B99B}"/>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2 2 2" xfId="15919" xr:uid="{C3A8887B-BD3D-49A1-A7C3-B22B4BEBC841}"/>
    <cellStyle name="20% - Accent2 2 2 2 3 2 3" xfId="11701" xr:uid="{E1A7741B-2AFF-446D-9198-4A95CE30EBE9}"/>
    <cellStyle name="20% - Accent2 2 2 2 3 3" xfId="5345" xr:uid="{00000000-0005-0000-0000-0000AC000000}"/>
    <cellStyle name="20% - Accent2 2 2 2 3 3 2" xfId="13774" xr:uid="{F44F046C-025A-4B5D-B5F4-C8C8FE62D0F2}"/>
    <cellStyle name="20% - Accent2 2 2 2 3 4" xfId="9556" xr:uid="{DBC99124-FDB2-4E66-AC22-E947CD6E89F6}"/>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2 2 2" xfId="16332" xr:uid="{071AEF12-8B78-48B3-8EFE-F082B3568ED4}"/>
    <cellStyle name="20% - Accent2 2 2 2 4 2 3" xfId="12114" xr:uid="{D25BA9C5-6AC8-46AE-842F-A9C614CF628D}"/>
    <cellStyle name="20% - Accent2 2 2 2 4 3" xfId="5758" xr:uid="{00000000-0005-0000-0000-0000B0000000}"/>
    <cellStyle name="20% - Accent2 2 2 2 4 3 2" xfId="14187" xr:uid="{87CF21F4-F66F-42B6-A99A-9965AD7C6504}"/>
    <cellStyle name="20% - Accent2 2 2 2 4 4" xfId="9969" xr:uid="{5E184E5F-BB8C-4160-8589-33C7D542C347}"/>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2 2 2" xfId="16745" xr:uid="{337B580D-5BA3-4C8A-9E6A-0AF2C395B2B7}"/>
    <cellStyle name="20% - Accent2 2 2 2 5 2 3" xfId="12527" xr:uid="{82866D30-F56C-4DE3-A2B1-EB650C3FAE16}"/>
    <cellStyle name="20% - Accent2 2 2 2 5 3" xfId="6171" xr:uid="{00000000-0005-0000-0000-0000B4000000}"/>
    <cellStyle name="20% - Accent2 2 2 2 5 3 2" xfId="14600" xr:uid="{3420D97B-0D5B-41BE-8D5F-3F30BFFDA1C8}"/>
    <cellStyle name="20% - Accent2 2 2 2 5 4" xfId="10382" xr:uid="{4C62F8B4-F096-4CBC-BA73-B645F10B0D68}"/>
    <cellStyle name="20% - Accent2 2 2 2 6" xfId="2276" xr:uid="{00000000-0005-0000-0000-0000B5000000}"/>
    <cellStyle name="20% - Accent2 2 2 2 6 2" xfId="6584" xr:uid="{00000000-0005-0000-0000-0000B6000000}"/>
    <cellStyle name="20% - Accent2 2 2 2 6 2 2" xfId="15013" xr:uid="{23F108CD-2E6B-42EA-8CB9-AD5A55E7697B}"/>
    <cellStyle name="20% - Accent2 2 2 2 6 3" xfId="10795" xr:uid="{2D64EF7A-C052-490E-BC08-8FC19E5897F5}"/>
    <cellStyle name="20% - Accent2 2 2 2 7" xfId="4518" xr:uid="{00000000-0005-0000-0000-0000B7000000}"/>
    <cellStyle name="20% - Accent2 2 2 2 7 2" xfId="12947" xr:uid="{B4A72ACE-C370-4B19-8E16-1D85806E3C9F}"/>
    <cellStyle name="20% - Accent2 2 2 2 8" xfId="8729" xr:uid="{789D02F1-34EE-4D26-AD55-C285BB42340B}"/>
    <cellStyle name="20% - Accent2 2 2 3" xfId="581" xr:uid="{00000000-0005-0000-0000-0000B8000000}"/>
    <cellStyle name="20% - Accent2 2 2 3 2" xfId="2852" xr:uid="{00000000-0005-0000-0000-0000B9000000}"/>
    <cellStyle name="20% - Accent2 2 2 3 2 2" xfId="7076" xr:uid="{00000000-0005-0000-0000-0000BA000000}"/>
    <cellStyle name="20% - Accent2 2 2 3 2 2 2" xfId="15505" xr:uid="{6DA1F921-A4D1-4CDE-A47C-81F00FA4AD73}"/>
    <cellStyle name="20% - Accent2 2 2 3 2 3" xfId="11287" xr:uid="{026BFB21-E0EF-4392-9120-16539A3EC035}"/>
    <cellStyle name="20% - Accent2 2 2 3 3" xfId="4931" xr:uid="{00000000-0005-0000-0000-0000BB000000}"/>
    <cellStyle name="20% - Accent2 2 2 3 3 2" xfId="13360" xr:uid="{5DFA82CF-80EF-4DF6-B799-3C317B9785DB}"/>
    <cellStyle name="20% - Accent2 2 2 3 4" xfId="9142" xr:uid="{3D6DBF26-8AED-4DAE-902E-E0B6B27E59E2}"/>
    <cellStyle name="20% - Accent2 2 2 4" xfId="1034" xr:uid="{00000000-0005-0000-0000-0000BC000000}"/>
    <cellStyle name="20% - Accent2 2 2 4 2" xfId="3265" xr:uid="{00000000-0005-0000-0000-0000BD000000}"/>
    <cellStyle name="20% - Accent2 2 2 4 2 2" xfId="7489" xr:uid="{00000000-0005-0000-0000-0000BE000000}"/>
    <cellStyle name="20% - Accent2 2 2 4 2 2 2" xfId="15918" xr:uid="{EC59AEF4-8DD8-45D8-A6DB-3B577E114FB6}"/>
    <cellStyle name="20% - Accent2 2 2 4 2 3" xfId="11700" xr:uid="{947598DA-ACEE-44E3-BE84-D2DB077AAE3C}"/>
    <cellStyle name="20% - Accent2 2 2 4 3" xfId="5344" xr:uid="{00000000-0005-0000-0000-0000BF000000}"/>
    <cellStyle name="20% - Accent2 2 2 4 3 2" xfId="13773" xr:uid="{3157EB30-87AB-4A66-8F0B-1AB982FAECF7}"/>
    <cellStyle name="20% - Accent2 2 2 4 4" xfId="9555" xr:uid="{8ED660BF-0C74-46DE-A3FC-3A191E88BEAD}"/>
    <cellStyle name="20% - Accent2 2 2 5" xfId="1448" xr:uid="{00000000-0005-0000-0000-0000C0000000}"/>
    <cellStyle name="20% - Accent2 2 2 5 2" xfId="3678" xr:uid="{00000000-0005-0000-0000-0000C1000000}"/>
    <cellStyle name="20% - Accent2 2 2 5 2 2" xfId="7902" xr:uid="{00000000-0005-0000-0000-0000C2000000}"/>
    <cellStyle name="20% - Accent2 2 2 5 2 2 2" xfId="16331" xr:uid="{B54C80C5-8B6E-477F-AA91-1B406EEF7E35}"/>
    <cellStyle name="20% - Accent2 2 2 5 2 3" xfId="12113" xr:uid="{7E0CD403-1A6E-4A49-AFBF-AB818CDC5FB6}"/>
    <cellStyle name="20% - Accent2 2 2 5 3" xfId="5757" xr:uid="{00000000-0005-0000-0000-0000C3000000}"/>
    <cellStyle name="20% - Accent2 2 2 5 3 2" xfId="14186" xr:uid="{89C6BE6D-F824-4128-BD07-F966AEDE1882}"/>
    <cellStyle name="20% - Accent2 2 2 5 4" xfId="9968" xr:uid="{231AA085-CB63-4052-B182-E9E8F8553CB8}"/>
    <cellStyle name="20% - Accent2 2 2 6" xfId="1862" xr:uid="{00000000-0005-0000-0000-0000C4000000}"/>
    <cellStyle name="20% - Accent2 2 2 6 2" xfId="4091" xr:uid="{00000000-0005-0000-0000-0000C5000000}"/>
    <cellStyle name="20% - Accent2 2 2 6 2 2" xfId="8315" xr:uid="{00000000-0005-0000-0000-0000C6000000}"/>
    <cellStyle name="20% - Accent2 2 2 6 2 2 2" xfId="16744" xr:uid="{78F1C390-C62E-4F8F-B307-4CD4AC965225}"/>
    <cellStyle name="20% - Accent2 2 2 6 2 3" xfId="12526" xr:uid="{316BF073-DC2B-4C4C-9559-4ADFBBC8B01A}"/>
    <cellStyle name="20% - Accent2 2 2 6 3" xfId="6170" xr:uid="{00000000-0005-0000-0000-0000C7000000}"/>
    <cellStyle name="20% - Accent2 2 2 6 3 2" xfId="14599" xr:uid="{F14A2767-09B1-454D-B60C-ED05675A8CB5}"/>
    <cellStyle name="20% - Accent2 2 2 6 4" xfId="10381" xr:uid="{22BBE015-77B3-49FD-B44D-DA5B87E22AFA}"/>
    <cellStyle name="20% - Accent2 2 2 7" xfId="2275" xr:uid="{00000000-0005-0000-0000-0000C8000000}"/>
    <cellStyle name="20% - Accent2 2 2 7 2" xfId="6583" xr:uid="{00000000-0005-0000-0000-0000C9000000}"/>
    <cellStyle name="20% - Accent2 2 2 7 2 2" xfId="15012" xr:uid="{026FFF14-D3EB-41D2-8BE3-3B71D445144B}"/>
    <cellStyle name="20% - Accent2 2 2 7 3" xfId="10794" xr:uid="{FCCE9026-14AF-42D4-9F50-F26E01BACF65}"/>
    <cellStyle name="20% - Accent2 2 2 8" xfId="4517" xr:uid="{00000000-0005-0000-0000-0000CA000000}"/>
    <cellStyle name="20% - Accent2 2 2 8 2" xfId="12946" xr:uid="{A741B49D-B1C1-49A8-871B-F4709BB2D010}"/>
    <cellStyle name="20% - Accent2 2 2 9" xfId="8728" xr:uid="{0C878EEA-09B6-4C3F-BF8E-E0186D6704AA}"/>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2 2 2" xfId="15507" xr:uid="{8F6B4807-C04B-426C-8C91-215811CD6058}"/>
    <cellStyle name="20% - Accent2 2 3 2 2 3" xfId="11289" xr:uid="{EBE9E236-6210-49EA-B31B-82241C793421}"/>
    <cellStyle name="20% - Accent2 2 3 2 3" xfId="4933" xr:uid="{00000000-0005-0000-0000-0000CF000000}"/>
    <cellStyle name="20% - Accent2 2 3 2 3 2" xfId="13362" xr:uid="{2FA5809D-6B17-447B-8E42-A31B79C70E4E}"/>
    <cellStyle name="20% - Accent2 2 3 2 4" xfId="9144" xr:uid="{49834970-7153-45FB-BE00-D6132AAAEE8E}"/>
    <cellStyle name="20% - Accent2 2 3 3" xfId="1036" xr:uid="{00000000-0005-0000-0000-0000D0000000}"/>
    <cellStyle name="20% - Accent2 2 3 3 2" xfId="3267" xr:uid="{00000000-0005-0000-0000-0000D1000000}"/>
    <cellStyle name="20% - Accent2 2 3 3 2 2" xfId="7491" xr:uid="{00000000-0005-0000-0000-0000D2000000}"/>
    <cellStyle name="20% - Accent2 2 3 3 2 2 2" xfId="15920" xr:uid="{AEBD3F36-0F6A-4D25-A56A-29AF9B3FAF9F}"/>
    <cellStyle name="20% - Accent2 2 3 3 2 3" xfId="11702" xr:uid="{60EBF0B6-2BC3-412F-917A-432E4DAD44B0}"/>
    <cellStyle name="20% - Accent2 2 3 3 3" xfId="5346" xr:uid="{00000000-0005-0000-0000-0000D3000000}"/>
    <cellStyle name="20% - Accent2 2 3 3 3 2" xfId="13775" xr:uid="{729FAA36-4FC2-42F8-8058-9499CF888682}"/>
    <cellStyle name="20% - Accent2 2 3 3 4" xfId="9557" xr:uid="{FA5C926E-DBDE-4456-A945-079D95289E42}"/>
    <cellStyle name="20% - Accent2 2 3 4" xfId="1450" xr:uid="{00000000-0005-0000-0000-0000D4000000}"/>
    <cellStyle name="20% - Accent2 2 3 4 2" xfId="3680" xr:uid="{00000000-0005-0000-0000-0000D5000000}"/>
    <cellStyle name="20% - Accent2 2 3 4 2 2" xfId="7904" xr:uid="{00000000-0005-0000-0000-0000D6000000}"/>
    <cellStyle name="20% - Accent2 2 3 4 2 2 2" xfId="16333" xr:uid="{7501C15D-4334-4C7D-8F0E-020DBF6E7C02}"/>
    <cellStyle name="20% - Accent2 2 3 4 2 3" xfId="12115" xr:uid="{D476EEF3-ADFC-4E1B-B5DF-413C8DA16F90}"/>
    <cellStyle name="20% - Accent2 2 3 4 3" xfId="5759" xr:uid="{00000000-0005-0000-0000-0000D7000000}"/>
    <cellStyle name="20% - Accent2 2 3 4 3 2" xfId="14188" xr:uid="{87490006-F364-4DFB-8071-754686037E64}"/>
    <cellStyle name="20% - Accent2 2 3 4 4" xfId="9970" xr:uid="{D2891B66-D16B-43E7-B083-FA1918E002AD}"/>
    <cellStyle name="20% - Accent2 2 3 5" xfId="1864" xr:uid="{00000000-0005-0000-0000-0000D8000000}"/>
    <cellStyle name="20% - Accent2 2 3 5 2" xfId="4093" xr:uid="{00000000-0005-0000-0000-0000D9000000}"/>
    <cellStyle name="20% - Accent2 2 3 5 2 2" xfId="8317" xr:uid="{00000000-0005-0000-0000-0000DA000000}"/>
    <cellStyle name="20% - Accent2 2 3 5 2 2 2" xfId="16746" xr:uid="{8D642BA2-A22C-41E4-87DC-6C84FA85C605}"/>
    <cellStyle name="20% - Accent2 2 3 5 2 3" xfId="12528" xr:uid="{CD975802-AA3F-46C1-9FB2-FAEC598A1102}"/>
    <cellStyle name="20% - Accent2 2 3 5 3" xfId="6172" xr:uid="{00000000-0005-0000-0000-0000DB000000}"/>
    <cellStyle name="20% - Accent2 2 3 5 3 2" xfId="14601" xr:uid="{1395AC20-DFF3-4083-96C1-272C4ECFB6AE}"/>
    <cellStyle name="20% - Accent2 2 3 5 4" xfId="10383" xr:uid="{73BFE18D-AFFA-4087-A1BC-DFF9B1459D36}"/>
    <cellStyle name="20% - Accent2 2 3 6" xfId="2277" xr:uid="{00000000-0005-0000-0000-0000DC000000}"/>
    <cellStyle name="20% - Accent2 2 3 6 2" xfId="6585" xr:uid="{00000000-0005-0000-0000-0000DD000000}"/>
    <cellStyle name="20% - Accent2 2 3 6 2 2" xfId="15014" xr:uid="{AF66B448-3A43-4B3B-A085-817F431C6773}"/>
    <cellStyle name="20% - Accent2 2 3 6 3" xfId="10796" xr:uid="{0D303717-C09D-48E4-8D1E-1D8F020F93E7}"/>
    <cellStyle name="20% - Accent2 2 3 7" xfId="4519" xr:uid="{00000000-0005-0000-0000-0000DE000000}"/>
    <cellStyle name="20% - Accent2 2 3 7 2" xfId="12948" xr:uid="{5FC422A5-1FF4-4982-804F-D59626C2F222}"/>
    <cellStyle name="20% - Accent2 2 3 8" xfId="8730" xr:uid="{8075EB09-59CD-47EB-8B36-5B05C81C34C9}"/>
    <cellStyle name="20% - Accent2 2 4" xfId="580" xr:uid="{00000000-0005-0000-0000-0000DF000000}"/>
    <cellStyle name="20% - Accent2 2 4 2" xfId="2851" xr:uid="{00000000-0005-0000-0000-0000E0000000}"/>
    <cellStyle name="20% - Accent2 2 4 2 2" xfId="7075" xr:uid="{00000000-0005-0000-0000-0000E1000000}"/>
    <cellStyle name="20% - Accent2 2 4 2 2 2" xfId="15504" xr:uid="{0C2448D7-742F-4377-8E5D-7A1589A4E051}"/>
    <cellStyle name="20% - Accent2 2 4 2 3" xfId="11286" xr:uid="{CED83BB3-5087-4C40-9F5E-5C6E754D40A9}"/>
    <cellStyle name="20% - Accent2 2 4 3" xfId="4930" xr:uid="{00000000-0005-0000-0000-0000E2000000}"/>
    <cellStyle name="20% - Accent2 2 4 3 2" xfId="13359" xr:uid="{0B16968A-35CA-4D73-B435-DE8A810C4EC6}"/>
    <cellStyle name="20% - Accent2 2 4 4" xfId="9141" xr:uid="{E9F3BDB3-78DA-433A-8BCF-0F667D563D2C}"/>
    <cellStyle name="20% - Accent2 2 5" xfId="1033" xr:uid="{00000000-0005-0000-0000-0000E3000000}"/>
    <cellStyle name="20% - Accent2 2 5 2" xfId="3264" xr:uid="{00000000-0005-0000-0000-0000E4000000}"/>
    <cellStyle name="20% - Accent2 2 5 2 2" xfId="7488" xr:uid="{00000000-0005-0000-0000-0000E5000000}"/>
    <cellStyle name="20% - Accent2 2 5 2 2 2" xfId="15917" xr:uid="{94011F14-169C-44C0-BE61-EBF46B5A53DF}"/>
    <cellStyle name="20% - Accent2 2 5 2 3" xfId="11699" xr:uid="{B9BAF843-3B4A-4D72-93A8-D1222FBB7D6E}"/>
    <cellStyle name="20% - Accent2 2 5 3" xfId="5343" xr:uid="{00000000-0005-0000-0000-0000E6000000}"/>
    <cellStyle name="20% - Accent2 2 5 3 2" xfId="13772" xr:uid="{3C0C3627-B921-4931-B389-05FC903FFE58}"/>
    <cellStyle name="20% - Accent2 2 5 4" xfId="9554" xr:uid="{5A0D6286-0CD4-4CEE-B8FB-F2CFEC1605B0}"/>
    <cellStyle name="20% - Accent2 2 6" xfId="1447" xr:uid="{00000000-0005-0000-0000-0000E7000000}"/>
    <cellStyle name="20% - Accent2 2 6 2" xfId="3677" xr:uid="{00000000-0005-0000-0000-0000E8000000}"/>
    <cellStyle name="20% - Accent2 2 6 2 2" xfId="7901" xr:uid="{00000000-0005-0000-0000-0000E9000000}"/>
    <cellStyle name="20% - Accent2 2 6 2 2 2" xfId="16330" xr:uid="{E2036469-BD69-48A2-9CBC-D0CE071BBC66}"/>
    <cellStyle name="20% - Accent2 2 6 2 3" xfId="12112" xr:uid="{4880992D-0580-4DE5-A3F2-4703AEF69E1D}"/>
    <cellStyle name="20% - Accent2 2 6 3" xfId="5756" xr:uid="{00000000-0005-0000-0000-0000EA000000}"/>
    <cellStyle name="20% - Accent2 2 6 3 2" xfId="14185" xr:uid="{931C816A-A7D0-44F3-8B35-B31FB5B1EAD8}"/>
    <cellStyle name="20% - Accent2 2 6 4" xfId="9967" xr:uid="{73286A10-CDC1-48BE-B863-E6D643B4CF55}"/>
    <cellStyle name="20% - Accent2 2 7" xfId="1861" xr:uid="{00000000-0005-0000-0000-0000EB000000}"/>
    <cellStyle name="20% - Accent2 2 7 2" xfId="4090" xr:uid="{00000000-0005-0000-0000-0000EC000000}"/>
    <cellStyle name="20% - Accent2 2 7 2 2" xfId="8314" xr:uid="{00000000-0005-0000-0000-0000ED000000}"/>
    <cellStyle name="20% - Accent2 2 7 2 2 2" xfId="16743" xr:uid="{3A454124-D7B6-4EAA-9F30-92E635AE94E9}"/>
    <cellStyle name="20% - Accent2 2 7 2 3" xfId="12525" xr:uid="{6510BB60-ECB7-4E3B-8F65-F1F5C73AC6BC}"/>
    <cellStyle name="20% - Accent2 2 7 3" xfId="6169" xr:uid="{00000000-0005-0000-0000-0000EE000000}"/>
    <cellStyle name="20% - Accent2 2 7 3 2" xfId="14598" xr:uid="{83EAA254-A6B9-4BC8-9187-35287F17291E}"/>
    <cellStyle name="20% - Accent2 2 7 4" xfId="10380" xr:uid="{4885D5E7-4787-478E-B38F-78F38BD4EDBA}"/>
    <cellStyle name="20% - Accent2 2 8" xfId="2274" xr:uid="{00000000-0005-0000-0000-0000EF000000}"/>
    <cellStyle name="20% - Accent2 2 8 2" xfId="6582" xr:uid="{00000000-0005-0000-0000-0000F0000000}"/>
    <cellStyle name="20% - Accent2 2 8 2 2" xfId="15011" xr:uid="{2440702A-4563-4808-97D7-AA54D478CA4E}"/>
    <cellStyle name="20% - Accent2 2 8 3" xfId="10793" xr:uid="{F594A9BA-E01A-465D-909F-623BF2B35810}"/>
    <cellStyle name="20% - Accent2 2 9" xfId="4516" xr:uid="{00000000-0005-0000-0000-0000F1000000}"/>
    <cellStyle name="20% - Accent2 2 9 2" xfId="12945" xr:uid="{529EABD2-DDDA-4794-992A-97BA7C866B06}"/>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2 2 2" xfId="15509" xr:uid="{9B352CFE-A4CA-4EE7-85CB-9E5051BEF6AF}"/>
    <cellStyle name="20% - Accent2 3 2 2 2 3" xfId="11291" xr:uid="{65B79CF9-537E-4BD0-9FDE-D0D7AEA866E7}"/>
    <cellStyle name="20% - Accent2 3 2 2 3" xfId="4935" xr:uid="{00000000-0005-0000-0000-0000F7000000}"/>
    <cellStyle name="20% - Accent2 3 2 2 3 2" xfId="13364" xr:uid="{785B76EB-4EF5-428B-A6B2-3B9EDF8FE36C}"/>
    <cellStyle name="20% - Accent2 3 2 2 4" xfId="9146" xr:uid="{DD80250D-90C4-4917-A311-C8C36A6D8C96}"/>
    <cellStyle name="20% - Accent2 3 2 3" xfId="1038" xr:uid="{00000000-0005-0000-0000-0000F8000000}"/>
    <cellStyle name="20% - Accent2 3 2 3 2" xfId="3269" xr:uid="{00000000-0005-0000-0000-0000F9000000}"/>
    <cellStyle name="20% - Accent2 3 2 3 2 2" xfId="7493" xr:uid="{00000000-0005-0000-0000-0000FA000000}"/>
    <cellStyle name="20% - Accent2 3 2 3 2 2 2" xfId="15922" xr:uid="{DB5D45D0-3068-4A17-BD26-5A0FD989D831}"/>
    <cellStyle name="20% - Accent2 3 2 3 2 3" xfId="11704" xr:uid="{9CB005D1-F203-41C2-8523-073142EE947B}"/>
    <cellStyle name="20% - Accent2 3 2 3 3" xfId="5348" xr:uid="{00000000-0005-0000-0000-0000FB000000}"/>
    <cellStyle name="20% - Accent2 3 2 3 3 2" xfId="13777" xr:uid="{0511BB6A-9A42-4FC0-AA46-C0DF9C0D3898}"/>
    <cellStyle name="20% - Accent2 3 2 3 4" xfId="9559" xr:uid="{5DBA2406-6190-4331-9722-7C4A7FB6F7F4}"/>
    <cellStyle name="20% - Accent2 3 2 4" xfId="1452" xr:uid="{00000000-0005-0000-0000-0000FC000000}"/>
    <cellStyle name="20% - Accent2 3 2 4 2" xfId="3682" xr:uid="{00000000-0005-0000-0000-0000FD000000}"/>
    <cellStyle name="20% - Accent2 3 2 4 2 2" xfId="7906" xr:uid="{00000000-0005-0000-0000-0000FE000000}"/>
    <cellStyle name="20% - Accent2 3 2 4 2 2 2" xfId="16335" xr:uid="{FF00BDDA-2585-4608-B3B1-20A6D726966B}"/>
    <cellStyle name="20% - Accent2 3 2 4 2 3" xfId="12117" xr:uid="{BB525499-5694-4BFF-BC46-0E3E3FE1503B}"/>
    <cellStyle name="20% - Accent2 3 2 4 3" xfId="5761" xr:uid="{00000000-0005-0000-0000-0000FF000000}"/>
    <cellStyle name="20% - Accent2 3 2 4 3 2" xfId="14190" xr:uid="{35C01F1E-2073-487A-81DB-8B5573005CCE}"/>
    <cellStyle name="20% - Accent2 3 2 4 4" xfId="9972" xr:uid="{B147E6A1-91E0-469F-93BC-09E5A8826047}"/>
    <cellStyle name="20% - Accent2 3 2 5" xfId="1866" xr:uid="{00000000-0005-0000-0000-000000010000}"/>
    <cellStyle name="20% - Accent2 3 2 5 2" xfId="4095" xr:uid="{00000000-0005-0000-0000-000001010000}"/>
    <cellStyle name="20% - Accent2 3 2 5 2 2" xfId="8319" xr:uid="{00000000-0005-0000-0000-000002010000}"/>
    <cellStyle name="20% - Accent2 3 2 5 2 2 2" xfId="16748" xr:uid="{922AF034-3F13-4C95-8B4F-821B211BEE1D}"/>
    <cellStyle name="20% - Accent2 3 2 5 2 3" xfId="12530" xr:uid="{F7CBD892-BFFD-4FC5-9815-6671FDDFCA67}"/>
    <cellStyle name="20% - Accent2 3 2 5 3" xfId="6174" xr:uid="{00000000-0005-0000-0000-000003010000}"/>
    <cellStyle name="20% - Accent2 3 2 5 3 2" xfId="14603" xr:uid="{57684DBB-7751-45BB-9B12-201A0322A8C7}"/>
    <cellStyle name="20% - Accent2 3 2 5 4" xfId="10385" xr:uid="{E2A79321-71D7-4C7A-9894-6284A31FABD5}"/>
    <cellStyle name="20% - Accent2 3 2 6" xfId="2279" xr:uid="{00000000-0005-0000-0000-000004010000}"/>
    <cellStyle name="20% - Accent2 3 2 6 2" xfId="6587" xr:uid="{00000000-0005-0000-0000-000005010000}"/>
    <cellStyle name="20% - Accent2 3 2 6 2 2" xfId="15016" xr:uid="{6FC53EAD-F766-4162-A0ED-C0750390A9A5}"/>
    <cellStyle name="20% - Accent2 3 2 6 3" xfId="10798" xr:uid="{BAD6BB32-1563-4237-8EAC-A6710BD1D4BD}"/>
    <cellStyle name="20% - Accent2 3 2 7" xfId="4521" xr:uid="{00000000-0005-0000-0000-000006010000}"/>
    <cellStyle name="20% - Accent2 3 2 7 2" xfId="12950" xr:uid="{447E8078-A7CE-4422-8CE9-25D257E29257}"/>
    <cellStyle name="20% - Accent2 3 2 8" xfId="8732" xr:uid="{42E5E8B6-EE40-44CB-9BD9-1EE643858805}"/>
    <cellStyle name="20% - Accent2 3 3" xfId="584" xr:uid="{00000000-0005-0000-0000-000007010000}"/>
    <cellStyle name="20% - Accent2 3 3 2" xfId="2855" xr:uid="{00000000-0005-0000-0000-000008010000}"/>
    <cellStyle name="20% - Accent2 3 3 2 2" xfId="7079" xr:uid="{00000000-0005-0000-0000-000009010000}"/>
    <cellStyle name="20% - Accent2 3 3 2 2 2" xfId="15508" xr:uid="{AF277C3C-A02C-40BC-9B75-E50512B9E88E}"/>
    <cellStyle name="20% - Accent2 3 3 2 3" xfId="11290" xr:uid="{3D855A59-5C74-4EAE-BE3B-344AA4E8CA0E}"/>
    <cellStyle name="20% - Accent2 3 3 3" xfId="4934" xr:uid="{00000000-0005-0000-0000-00000A010000}"/>
    <cellStyle name="20% - Accent2 3 3 3 2" xfId="13363" xr:uid="{84316A09-B995-4C94-A4C4-C7A79CFB628F}"/>
    <cellStyle name="20% - Accent2 3 3 4" xfId="9145" xr:uid="{0B48D194-4518-4E31-A6E0-3235F9FAC5D8}"/>
    <cellStyle name="20% - Accent2 3 4" xfId="1037" xr:uid="{00000000-0005-0000-0000-00000B010000}"/>
    <cellStyle name="20% - Accent2 3 4 2" xfId="3268" xr:uid="{00000000-0005-0000-0000-00000C010000}"/>
    <cellStyle name="20% - Accent2 3 4 2 2" xfId="7492" xr:uid="{00000000-0005-0000-0000-00000D010000}"/>
    <cellStyle name="20% - Accent2 3 4 2 2 2" xfId="15921" xr:uid="{4DFAF46B-EEF7-4277-BFCF-71645A111340}"/>
    <cellStyle name="20% - Accent2 3 4 2 3" xfId="11703" xr:uid="{1303CE4F-D0DE-483D-9835-D69F91D3EE2B}"/>
    <cellStyle name="20% - Accent2 3 4 3" xfId="5347" xr:uid="{00000000-0005-0000-0000-00000E010000}"/>
    <cellStyle name="20% - Accent2 3 4 3 2" xfId="13776" xr:uid="{5EFD51BD-BFCB-4484-ACD2-36143559331F}"/>
    <cellStyle name="20% - Accent2 3 4 4" xfId="9558" xr:uid="{AE3279D0-BC1F-4596-B219-ADD6605EB866}"/>
    <cellStyle name="20% - Accent2 3 5" xfId="1451" xr:uid="{00000000-0005-0000-0000-00000F010000}"/>
    <cellStyle name="20% - Accent2 3 5 2" xfId="3681" xr:uid="{00000000-0005-0000-0000-000010010000}"/>
    <cellStyle name="20% - Accent2 3 5 2 2" xfId="7905" xr:uid="{00000000-0005-0000-0000-000011010000}"/>
    <cellStyle name="20% - Accent2 3 5 2 2 2" xfId="16334" xr:uid="{33211F90-7069-4D82-9710-746B44BB172A}"/>
    <cellStyle name="20% - Accent2 3 5 2 3" xfId="12116" xr:uid="{38BDC360-AE1D-456A-AE3A-0812EE49425D}"/>
    <cellStyle name="20% - Accent2 3 5 3" xfId="5760" xr:uid="{00000000-0005-0000-0000-000012010000}"/>
    <cellStyle name="20% - Accent2 3 5 3 2" xfId="14189" xr:uid="{F34237CE-F210-464C-B8DE-086035177EB3}"/>
    <cellStyle name="20% - Accent2 3 5 4" xfId="9971" xr:uid="{414341C2-E8CA-4FE0-89F3-513E8A0F0806}"/>
    <cellStyle name="20% - Accent2 3 6" xfId="1865" xr:uid="{00000000-0005-0000-0000-000013010000}"/>
    <cellStyle name="20% - Accent2 3 6 2" xfId="4094" xr:uid="{00000000-0005-0000-0000-000014010000}"/>
    <cellStyle name="20% - Accent2 3 6 2 2" xfId="8318" xr:uid="{00000000-0005-0000-0000-000015010000}"/>
    <cellStyle name="20% - Accent2 3 6 2 2 2" xfId="16747" xr:uid="{C1178110-99A8-46C7-AD75-708034482928}"/>
    <cellStyle name="20% - Accent2 3 6 2 3" xfId="12529" xr:uid="{682AC8A8-1645-4888-9A31-BEEA9B30EB77}"/>
    <cellStyle name="20% - Accent2 3 6 3" xfId="6173" xr:uid="{00000000-0005-0000-0000-000016010000}"/>
    <cellStyle name="20% - Accent2 3 6 3 2" xfId="14602" xr:uid="{DF360E47-8CF5-4D2B-9C6D-DAA4D33DAB6C}"/>
    <cellStyle name="20% - Accent2 3 6 4" xfId="10384" xr:uid="{FF4C5205-374D-4E67-9FE0-69D1C8DE1578}"/>
    <cellStyle name="20% - Accent2 3 7" xfId="2278" xr:uid="{00000000-0005-0000-0000-000017010000}"/>
    <cellStyle name="20% - Accent2 3 7 2" xfId="6586" xr:uid="{00000000-0005-0000-0000-000018010000}"/>
    <cellStyle name="20% - Accent2 3 7 2 2" xfId="15015" xr:uid="{4048DB7F-E61C-456B-BD2F-2E33577A7514}"/>
    <cellStyle name="20% - Accent2 3 7 3" xfId="10797" xr:uid="{A7A03475-7F4D-4070-9F5B-9D33B19C2E4E}"/>
    <cellStyle name="20% - Accent2 3 8" xfId="4520" xr:uid="{00000000-0005-0000-0000-000019010000}"/>
    <cellStyle name="20% - Accent2 3 8 2" xfId="12949" xr:uid="{D7E417C1-2207-4718-9458-4FEDF9A9ADF7}"/>
    <cellStyle name="20% - Accent2 3 9" xfId="8731" xr:uid="{99B85631-ED80-4DEA-A2AA-94BB206E6ED3}"/>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2 2 2" xfId="15510" xr:uid="{E322D28D-4222-4E8F-9B0C-DC36D5240C0D}"/>
    <cellStyle name="20% - Accent2 4 2 2 3" xfId="11292" xr:uid="{ADDC3F2B-EB97-4BF8-8765-8B54845A39E2}"/>
    <cellStyle name="20% - Accent2 4 2 3" xfId="4936" xr:uid="{00000000-0005-0000-0000-00001E010000}"/>
    <cellStyle name="20% - Accent2 4 2 3 2" xfId="13365" xr:uid="{D2D546D7-6C9B-4A15-B1D6-B95A67E51DC1}"/>
    <cellStyle name="20% - Accent2 4 2 4" xfId="9147" xr:uid="{60B64E7A-24A1-44CC-B745-F49616B961B6}"/>
    <cellStyle name="20% - Accent2 4 3" xfId="1039" xr:uid="{00000000-0005-0000-0000-00001F010000}"/>
    <cellStyle name="20% - Accent2 4 3 2" xfId="3270" xr:uid="{00000000-0005-0000-0000-000020010000}"/>
    <cellStyle name="20% - Accent2 4 3 2 2" xfId="7494" xr:uid="{00000000-0005-0000-0000-000021010000}"/>
    <cellStyle name="20% - Accent2 4 3 2 2 2" xfId="15923" xr:uid="{E7E5748F-E96B-4894-B01F-FF7FF8F1588C}"/>
    <cellStyle name="20% - Accent2 4 3 2 3" xfId="11705" xr:uid="{0055198E-85B7-44FE-8867-C60DAB2AF000}"/>
    <cellStyle name="20% - Accent2 4 3 3" xfId="5349" xr:uid="{00000000-0005-0000-0000-000022010000}"/>
    <cellStyle name="20% - Accent2 4 3 3 2" xfId="13778" xr:uid="{A301FB52-ECF9-43E5-A142-9289A66DD209}"/>
    <cellStyle name="20% - Accent2 4 3 4" xfId="9560" xr:uid="{A5A4794D-40F2-4CEC-B472-23F989A0F9C6}"/>
    <cellStyle name="20% - Accent2 4 4" xfId="1453" xr:uid="{00000000-0005-0000-0000-000023010000}"/>
    <cellStyle name="20% - Accent2 4 4 2" xfId="3683" xr:uid="{00000000-0005-0000-0000-000024010000}"/>
    <cellStyle name="20% - Accent2 4 4 2 2" xfId="7907" xr:uid="{00000000-0005-0000-0000-000025010000}"/>
    <cellStyle name="20% - Accent2 4 4 2 2 2" xfId="16336" xr:uid="{4A94737C-4883-4476-9921-665B6B8F9E0B}"/>
    <cellStyle name="20% - Accent2 4 4 2 3" xfId="12118" xr:uid="{AF8D7E3E-979E-4DD0-95E7-D3AE2C4D5EAB}"/>
    <cellStyle name="20% - Accent2 4 4 3" xfId="5762" xr:uid="{00000000-0005-0000-0000-000026010000}"/>
    <cellStyle name="20% - Accent2 4 4 3 2" xfId="14191" xr:uid="{5F953694-98EF-4103-A5E7-D8F74A6AD925}"/>
    <cellStyle name="20% - Accent2 4 4 4" xfId="9973" xr:uid="{192352F5-F7E3-485C-A23B-EA89CAF2BEA8}"/>
    <cellStyle name="20% - Accent2 4 5" xfId="1867" xr:uid="{00000000-0005-0000-0000-000027010000}"/>
    <cellStyle name="20% - Accent2 4 5 2" xfId="4096" xr:uid="{00000000-0005-0000-0000-000028010000}"/>
    <cellStyle name="20% - Accent2 4 5 2 2" xfId="8320" xr:uid="{00000000-0005-0000-0000-000029010000}"/>
    <cellStyle name="20% - Accent2 4 5 2 2 2" xfId="16749" xr:uid="{4FC1B6A0-56ED-4B75-9994-E188A37248A1}"/>
    <cellStyle name="20% - Accent2 4 5 2 3" xfId="12531" xr:uid="{B1F2912E-8C25-48C1-A5DB-E36BE77C78FB}"/>
    <cellStyle name="20% - Accent2 4 5 3" xfId="6175" xr:uid="{00000000-0005-0000-0000-00002A010000}"/>
    <cellStyle name="20% - Accent2 4 5 3 2" xfId="14604" xr:uid="{07DD7A45-842C-4932-954C-83717F63CA0D}"/>
    <cellStyle name="20% - Accent2 4 5 4" xfId="10386" xr:uid="{FA70B454-D14D-4989-8C9E-26AD4A8D491A}"/>
    <cellStyle name="20% - Accent2 4 6" xfId="2280" xr:uid="{00000000-0005-0000-0000-00002B010000}"/>
    <cellStyle name="20% - Accent2 4 6 2" xfId="6588" xr:uid="{00000000-0005-0000-0000-00002C010000}"/>
    <cellStyle name="20% - Accent2 4 6 2 2" xfId="15017" xr:uid="{93A11739-AA52-47B6-93B9-038FEB90EF6D}"/>
    <cellStyle name="20% - Accent2 4 6 3" xfId="10799" xr:uid="{214DFAD7-CF19-452B-AF4C-00A007360D86}"/>
    <cellStyle name="20% - Accent2 4 7" xfId="4522" xr:uid="{00000000-0005-0000-0000-00002D010000}"/>
    <cellStyle name="20% - Accent2 4 7 2" xfId="12951" xr:uid="{3B3279E9-B0F9-40D8-A8AE-A4EEB42DC76E}"/>
    <cellStyle name="20% - Accent2 4 8" xfId="8733" xr:uid="{8BFCBD68-6A93-42B2-BFBC-4383EE276551}"/>
    <cellStyle name="20% - Accent2 5" xfId="579" xr:uid="{00000000-0005-0000-0000-00002E010000}"/>
    <cellStyle name="20% - Accent2 5 2" xfId="2850" xr:uid="{00000000-0005-0000-0000-00002F010000}"/>
    <cellStyle name="20% - Accent2 5 2 2" xfId="7074" xr:uid="{00000000-0005-0000-0000-000030010000}"/>
    <cellStyle name="20% - Accent2 5 2 2 2" xfId="15503" xr:uid="{196AE956-3FB2-4019-9077-4004CF5986EF}"/>
    <cellStyle name="20% - Accent2 5 2 3" xfId="11285" xr:uid="{856316D4-3183-489A-AEC3-6B4DAB8CDAED}"/>
    <cellStyle name="20% - Accent2 5 3" xfId="4929" xr:uid="{00000000-0005-0000-0000-000031010000}"/>
    <cellStyle name="20% - Accent2 5 3 2" xfId="13358" xr:uid="{1631441D-7DDF-4690-8DE4-EB00F513159B}"/>
    <cellStyle name="20% - Accent2 5 4" xfId="9140" xr:uid="{91EEB3DB-1943-470B-B470-D0349F6DF541}"/>
    <cellStyle name="20% - Accent2 6" xfId="1032" xr:uid="{00000000-0005-0000-0000-000032010000}"/>
    <cellStyle name="20% - Accent2 6 2" xfId="3263" xr:uid="{00000000-0005-0000-0000-000033010000}"/>
    <cellStyle name="20% - Accent2 6 2 2" xfId="7487" xr:uid="{00000000-0005-0000-0000-000034010000}"/>
    <cellStyle name="20% - Accent2 6 2 2 2" xfId="15916" xr:uid="{99721CA9-9AF0-4C0E-8C28-9117EAC3D6AE}"/>
    <cellStyle name="20% - Accent2 6 2 3" xfId="11698" xr:uid="{FD3561D9-EF76-49DE-9D46-69B85A47B471}"/>
    <cellStyle name="20% - Accent2 6 3" xfId="5342" xr:uid="{00000000-0005-0000-0000-000035010000}"/>
    <cellStyle name="20% - Accent2 6 3 2" xfId="13771" xr:uid="{2224CCE1-111D-4A9F-910B-6ABF3BCA547B}"/>
    <cellStyle name="20% - Accent2 6 4" xfId="9553" xr:uid="{287D50E5-4470-4757-BFA5-174787AD61A9}"/>
    <cellStyle name="20% - Accent2 7" xfId="1446" xr:uid="{00000000-0005-0000-0000-000036010000}"/>
    <cellStyle name="20% - Accent2 7 2" xfId="3676" xr:uid="{00000000-0005-0000-0000-000037010000}"/>
    <cellStyle name="20% - Accent2 7 2 2" xfId="7900" xr:uid="{00000000-0005-0000-0000-000038010000}"/>
    <cellStyle name="20% - Accent2 7 2 2 2" xfId="16329" xr:uid="{E79BD0BC-1B1D-4A53-9EF7-C79FBFD409EE}"/>
    <cellStyle name="20% - Accent2 7 2 3" xfId="12111" xr:uid="{778F492A-549D-4B39-B1CF-2EC801F9C788}"/>
    <cellStyle name="20% - Accent2 7 3" xfId="5755" xr:uid="{00000000-0005-0000-0000-000039010000}"/>
    <cellStyle name="20% - Accent2 7 3 2" xfId="14184" xr:uid="{058B04DB-ED38-4D56-8992-5715B4062F77}"/>
    <cellStyle name="20% - Accent2 7 4" xfId="9966" xr:uid="{A3584382-3B10-4426-9644-DBA6A2932C33}"/>
    <cellStyle name="20% - Accent2 8" xfId="1860" xr:uid="{00000000-0005-0000-0000-00003A010000}"/>
    <cellStyle name="20% - Accent2 8 2" xfId="4089" xr:uid="{00000000-0005-0000-0000-00003B010000}"/>
    <cellStyle name="20% - Accent2 8 2 2" xfId="8313" xr:uid="{00000000-0005-0000-0000-00003C010000}"/>
    <cellStyle name="20% - Accent2 8 2 2 2" xfId="16742" xr:uid="{88C4AEBE-B242-4FC2-AF98-E2C54DD2931B}"/>
    <cellStyle name="20% - Accent2 8 2 3" xfId="12524" xr:uid="{BF91452C-0888-44B8-96E4-2C3600618328}"/>
    <cellStyle name="20% - Accent2 8 3" xfId="6168" xr:uid="{00000000-0005-0000-0000-00003D010000}"/>
    <cellStyle name="20% - Accent2 8 3 2" xfId="14597" xr:uid="{9C9F65AB-7051-4BE8-AFA4-CC114E4CDB8B}"/>
    <cellStyle name="20% - Accent2 8 4" xfId="10379" xr:uid="{C6CF02AC-96F3-4D41-8D9D-8BC62533E19E}"/>
    <cellStyle name="20% - Accent2 9" xfId="2273" xr:uid="{00000000-0005-0000-0000-00003E010000}"/>
    <cellStyle name="20% - Accent2 9 2" xfId="6581" xr:uid="{00000000-0005-0000-0000-00003F010000}"/>
    <cellStyle name="20% - Accent2 9 2 2" xfId="15010" xr:uid="{5320495D-C920-428F-8B23-7A41A1A3372A}"/>
    <cellStyle name="20% - Accent2 9 3" xfId="10792" xr:uid="{0460663A-459B-4861-A654-694D7FC75E07}"/>
    <cellStyle name="20% - Accent3" xfId="17" builtinId="38" customBuiltin="1"/>
    <cellStyle name="20% - Accent3 10" xfId="4523" xr:uid="{00000000-0005-0000-0000-000041010000}"/>
    <cellStyle name="20% - Accent3 10 2" xfId="12952" xr:uid="{BCFFA69C-CB5A-471C-AAF8-5342BFCE35EC}"/>
    <cellStyle name="20% - Accent3 11" xfId="8734" xr:uid="{6D1EF58D-7073-4DC8-85EB-10194E4FF4C1}"/>
    <cellStyle name="20% - Accent3 2" xfId="18" xr:uid="{00000000-0005-0000-0000-000042010000}"/>
    <cellStyle name="20% - Accent3 2 10" xfId="8735" xr:uid="{D854F70F-05B4-4AEE-9A87-78BE0C852AB1}"/>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2 2 2" xfId="15514" xr:uid="{C485BC95-87C5-4A18-8D0E-32006BC4CB71}"/>
    <cellStyle name="20% - Accent3 2 2 2 2 2 3" xfId="11296" xr:uid="{7692304A-6C03-4F79-98BA-C320B41B5A16}"/>
    <cellStyle name="20% - Accent3 2 2 2 2 3" xfId="4940" xr:uid="{00000000-0005-0000-0000-000048010000}"/>
    <cellStyle name="20% - Accent3 2 2 2 2 3 2" xfId="13369" xr:uid="{0ADC38F1-9287-4255-AF08-F42827AED091}"/>
    <cellStyle name="20% - Accent3 2 2 2 2 4" xfId="9151" xr:uid="{1D51254C-3DB0-4935-B4C7-918DB3A2C24F}"/>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2 2 2" xfId="15927" xr:uid="{61146260-DDD9-4698-B94F-24709DBA7F7C}"/>
    <cellStyle name="20% - Accent3 2 2 2 3 2 3" xfId="11709" xr:uid="{523D8C6B-6409-4157-A4EE-3C558F7D08B2}"/>
    <cellStyle name="20% - Accent3 2 2 2 3 3" xfId="5353" xr:uid="{00000000-0005-0000-0000-00004C010000}"/>
    <cellStyle name="20% - Accent3 2 2 2 3 3 2" xfId="13782" xr:uid="{0A5D01DF-6726-418B-A571-FDFAD93506C0}"/>
    <cellStyle name="20% - Accent3 2 2 2 3 4" xfId="9564" xr:uid="{1CEF5DAC-FE74-4C1C-8838-4A2234491CE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2 2 2" xfId="16340" xr:uid="{CB86DB19-C8CB-4604-BE35-2E2CFCBE81D8}"/>
    <cellStyle name="20% - Accent3 2 2 2 4 2 3" xfId="12122" xr:uid="{4E77D8E5-D10F-4892-B28F-3FB492BBF187}"/>
    <cellStyle name="20% - Accent3 2 2 2 4 3" xfId="5766" xr:uid="{00000000-0005-0000-0000-000050010000}"/>
    <cellStyle name="20% - Accent3 2 2 2 4 3 2" xfId="14195" xr:uid="{645AA103-2331-45BC-B632-1C51B82CF733}"/>
    <cellStyle name="20% - Accent3 2 2 2 4 4" xfId="9977" xr:uid="{C6B34EBC-FD68-4E58-9157-C3FCD850B398}"/>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2 2 2" xfId="16753" xr:uid="{AF0350A6-5D2E-417D-B6B8-C2AC31927C88}"/>
    <cellStyle name="20% - Accent3 2 2 2 5 2 3" xfId="12535" xr:uid="{EB49EEA4-8CDF-439E-A1DC-3777DB24E869}"/>
    <cellStyle name="20% - Accent3 2 2 2 5 3" xfId="6179" xr:uid="{00000000-0005-0000-0000-000054010000}"/>
    <cellStyle name="20% - Accent3 2 2 2 5 3 2" xfId="14608" xr:uid="{1F2E44D1-6774-4799-839D-B2F470669AC9}"/>
    <cellStyle name="20% - Accent3 2 2 2 5 4" xfId="10390" xr:uid="{791ED111-7DB2-4408-8FD7-BA3B947EC52D}"/>
    <cellStyle name="20% - Accent3 2 2 2 6" xfId="2284" xr:uid="{00000000-0005-0000-0000-000055010000}"/>
    <cellStyle name="20% - Accent3 2 2 2 6 2" xfId="6592" xr:uid="{00000000-0005-0000-0000-000056010000}"/>
    <cellStyle name="20% - Accent3 2 2 2 6 2 2" xfId="15021" xr:uid="{437CE264-3281-49EB-BEAF-D49D50E61DC2}"/>
    <cellStyle name="20% - Accent3 2 2 2 6 3" xfId="10803" xr:uid="{3E251FE8-3DD4-44DE-9019-CE37AE4948BA}"/>
    <cellStyle name="20% - Accent3 2 2 2 7" xfId="4526" xr:uid="{00000000-0005-0000-0000-000057010000}"/>
    <cellStyle name="20% - Accent3 2 2 2 7 2" xfId="12955" xr:uid="{DCEB4D83-CFE7-4EBF-980D-0E0BE36DFD30}"/>
    <cellStyle name="20% - Accent3 2 2 2 8" xfId="8737" xr:uid="{7FE16E47-645D-4F7E-84BC-8506F0AA388F}"/>
    <cellStyle name="20% - Accent3 2 2 3" xfId="589" xr:uid="{00000000-0005-0000-0000-000058010000}"/>
    <cellStyle name="20% - Accent3 2 2 3 2" xfId="2860" xr:uid="{00000000-0005-0000-0000-000059010000}"/>
    <cellStyle name="20% - Accent3 2 2 3 2 2" xfId="7084" xr:uid="{00000000-0005-0000-0000-00005A010000}"/>
    <cellStyle name="20% - Accent3 2 2 3 2 2 2" xfId="15513" xr:uid="{CF8F69B0-F8A5-4238-BE38-F30193294DFF}"/>
    <cellStyle name="20% - Accent3 2 2 3 2 3" xfId="11295" xr:uid="{BF04EE8F-BE40-4F75-97FF-75D97A20E921}"/>
    <cellStyle name="20% - Accent3 2 2 3 3" xfId="4939" xr:uid="{00000000-0005-0000-0000-00005B010000}"/>
    <cellStyle name="20% - Accent3 2 2 3 3 2" xfId="13368" xr:uid="{781396F6-E0C6-4782-B65E-13E470BDFC2D}"/>
    <cellStyle name="20% - Accent3 2 2 3 4" xfId="9150" xr:uid="{8B80CB56-D4BF-4877-AE70-5FE983B6D5B3}"/>
    <cellStyle name="20% - Accent3 2 2 4" xfId="1042" xr:uid="{00000000-0005-0000-0000-00005C010000}"/>
    <cellStyle name="20% - Accent3 2 2 4 2" xfId="3273" xr:uid="{00000000-0005-0000-0000-00005D010000}"/>
    <cellStyle name="20% - Accent3 2 2 4 2 2" xfId="7497" xr:uid="{00000000-0005-0000-0000-00005E010000}"/>
    <cellStyle name="20% - Accent3 2 2 4 2 2 2" xfId="15926" xr:uid="{DE258CBF-B920-4F6E-9DBB-0B7A1ADDB1CF}"/>
    <cellStyle name="20% - Accent3 2 2 4 2 3" xfId="11708" xr:uid="{96110B26-ACDD-41F6-8FDB-32520C8DEDA7}"/>
    <cellStyle name="20% - Accent3 2 2 4 3" xfId="5352" xr:uid="{00000000-0005-0000-0000-00005F010000}"/>
    <cellStyle name="20% - Accent3 2 2 4 3 2" xfId="13781" xr:uid="{6FD0610B-1491-4010-9537-FF00DEC1E7F3}"/>
    <cellStyle name="20% - Accent3 2 2 4 4" xfId="9563" xr:uid="{60E41BC3-3A9C-4A1F-9E05-58BB171B51E1}"/>
    <cellStyle name="20% - Accent3 2 2 5" xfId="1456" xr:uid="{00000000-0005-0000-0000-000060010000}"/>
    <cellStyle name="20% - Accent3 2 2 5 2" xfId="3686" xr:uid="{00000000-0005-0000-0000-000061010000}"/>
    <cellStyle name="20% - Accent3 2 2 5 2 2" xfId="7910" xr:uid="{00000000-0005-0000-0000-000062010000}"/>
    <cellStyle name="20% - Accent3 2 2 5 2 2 2" xfId="16339" xr:uid="{5D49CD9E-AC8B-41B2-8B20-7257C97A6486}"/>
    <cellStyle name="20% - Accent3 2 2 5 2 3" xfId="12121" xr:uid="{992254AD-8DE5-4465-B7D0-D483930F08BA}"/>
    <cellStyle name="20% - Accent3 2 2 5 3" xfId="5765" xr:uid="{00000000-0005-0000-0000-000063010000}"/>
    <cellStyle name="20% - Accent3 2 2 5 3 2" xfId="14194" xr:uid="{E946F975-4EB0-4CB7-9FA5-CC41D1766727}"/>
    <cellStyle name="20% - Accent3 2 2 5 4" xfId="9976" xr:uid="{5B2FC94B-981F-4955-97FF-C9706032BCF8}"/>
    <cellStyle name="20% - Accent3 2 2 6" xfId="1870" xr:uid="{00000000-0005-0000-0000-000064010000}"/>
    <cellStyle name="20% - Accent3 2 2 6 2" xfId="4099" xr:uid="{00000000-0005-0000-0000-000065010000}"/>
    <cellStyle name="20% - Accent3 2 2 6 2 2" xfId="8323" xr:uid="{00000000-0005-0000-0000-000066010000}"/>
    <cellStyle name="20% - Accent3 2 2 6 2 2 2" xfId="16752" xr:uid="{AFFAAA4E-2341-4283-BE2F-70B1F738F49C}"/>
    <cellStyle name="20% - Accent3 2 2 6 2 3" xfId="12534" xr:uid="{DA636414-6F2D-482E-8364-371E73736A2E}"/>
    <cellStyle name="20% - Accent3 2 2 6 3" xfId="6178" xr:uid="{00000000-0005-0000-0000-000067010000}"/>
    <cellStyle name="20% - Accent3 2 2 6 3 2" xfId="14607" xr:uid="{DF408108-5F43-46D8-95AF-AC559EC25912}"/>
    <cellStyle name="20% - Accent3 2 2 6 4" xfId="10389" xr:uid="{39395808-D394-460B-95BC-85C3C4F25555}"/>
    <cellStyle name="20% - Accent3 2 2 7" xfId="2283" xr:uid="{00000000-0005-0000-0000-000068010000}"/>
    <cellStyle name="20% - Accent3 2 2 7 2" xfId="6591" xr:uid="{00000000-0005-0000-0000-000069010000}"/>
    <cellStyle name="20% - Accent3 2 2 7 2 2" xfId="15020" xr:uid="{D02F9915-AEB2-4643-9F81-7FBF1D657137}"/>
    <cellStyle name="20% - Accent3 2 2 7 3" xfId="10802" xr:uid="{CDF9428B-DB7F-441B-A005-42216E67754E}"/>
    <cellStyle name="20% - Accent3 2 2 8" xfId="4525" xr:uid="{00000000-0005-0000-0000-00006A010000}"/>
    <cellStyle name="20% - Accent3 2 2 8 2" xfId="12954" xr:uid="{165124CE-191D-465B-A5F5-1A7D90169F96}"/>
    <cellStyle name="20% - Accent3 2 2 9" xfId="8736" xr:uid="{1578CD19-E73A-4DA6-B9E4-9FC475ACD08A}"/>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2 2 2" xfId="15515" xr:uid="{8BCE4445-12F9-4B2E-A3D6-EA55AD886745}"/>
    <cellStyle name="20% - Accent3 2 3 2 2 3" xfId="11297" xr:uid="{777C79D6-C46C-48CB-947E-F864400CC387}"/>
    <cellStyle name="20% - Accent3 2 3 2 3" xfId="4941" xr:uid="{00000000-0005-0000-0000-00006F010000}"/>
    <cellStyle name="20% - Accent3 2 3 2 3 2" xfId="13370" xr:uid="{A430B694-543D-408D-ABBE-B74D6ABB626D}"/>
    <cellStyle name="20% - Accent3 2 3 2 4" xfId="9152" xr:uid="{AA268803-DB39-4DBD-B0B6-351A78E29FD5}"/>
    <cellStyle name="20% - Accent3 2 3 3" xfId="1044" xr:uid="{00000000-0005-0000-0000-000070010000}"/>
    <cellStyle name="20% - Accent3 2 3 3 2" xfId="3275" xr:uid="{00000000-0005-0000-0000-000071010000}"/>
    <cellStyle name="20% - Accent3 2 3 3 2 2" xfId="7499" xr:uid="{00000000-0005-0000-0000-000072010000}"/>
    <cellStyle name="20% - Accent3 2 3 3 2 2 2" xfId="15928" xr:uid="{906061CC-7F01-4BA9-A78C-E0071C920A08}"/>
    <cellStyle name="20% - Accent3 2 3 3 2 3" xfId="11710" xr:uid="{2F9842D7-ACEA-4693-A5E0-09B4BD3405C1}"/>
    <cellStyle name="20% - Accent3 2 3 3 3" xfId="5354" xr:uid="{00000000-0005-0000-0000-000073010000}"/>
    <cellStyle name="20% - Accent3 2 3 3 3 2" xfId="13783" xr:uid="{219DE676-31DC-4A26-9EE1-B6BBA6C46D4A}"/>
    <cellStyle name="20% - Accent3 2 3 3 4" xfId="9565" xr:uid="{18D403F9-258F-4F59-BCBF-F1D073685089}"/>
    <cellStyle name="20% - Accent3 2 3 4" xfId="1458" xr:uid="{00000000-0005-0000-0000-000074010000}"/>
    <cellStyle name="20% - Accent3 2 3 4 2" xfId="3688" xr:uid="{00000000-0005-0000-0000-000075010000}"/>
    <cellStyle name="20% - Accent3 2 3 4 2 2" xfId="7912" xr:uid="{00000000-0005-0000-0000-000076010000}"/>
    <cellStyle name="20% - Accent3 2 3 4 2 2 2" xfId="16341" xr:uid="{0CA039D7-55B6-47A8-B526-F6D302D3B314}"/>
    <cellStyle name="20% - Accent3 2 3 4 2 3" xfId="12123" xr:uid="{9867E08C-DD73-4705-BE72-EDC755274509}"/>
    <cellStyle name="20% - Accent3 2 3 4 3" xfId="5767" xr:uid="{00000000-0005-0000-0000-000077010000}"/>
    <cellStyle name="20% - Accent3 2 3 4 3 2" xfId="14196" xr:uid="{678F6607-B402-4F5C-96E3-99F81A37D870}"/>
    <cellStyle name="20% - Accent3 2 3 4 4" xfId="9978" xr:uid="{224A5C63-F963-4DF0-A48B-B5099656D403}"/>
    <cellStyle name="20% - Accent3 2 3 5" xfId="1872" xr:uid="{00000000-0005-0000-0000-000078010000}"/>
    <cellStyle name="20% - Accent3 2 3 5 2" xfId="4101" xr:uid="{00000000-0005-0000-0000-000079010000}"/>
    <cellStyle name="20% - Accent3 2 3 5 2 2" xfId="8325" xr:uid="{00000000-0005-0000-0000-00007A010000}"/>
    <cellStyle name="20% - Accent3 2 3 5 2 2 2" xfId="16754" xr:uid="{21B94F20-A543-4FFE-85CA-53C7CDA2A946}"/>
    <cellStyle name="20% - Accent3 2 3 5 2 3" xfId="12536" xr:uid="{F9976F38-1025-4D1A-9E9C-13F341E0ADDA}"/>
    <cellStyle name="20% - Accent3 2 3 5 3" xfId="6180" xr:uid="{00000000-0005-0000-0000-00007B010000}"/>
    <cellStyle name="20% - Accent3 2 3 5 3 2" xfId="14609" xr:uid="{C6BF81F5-5401-4EEB-822C-E4714061BCC8}"/>
    <cellStyle name="20% - Accent3 2 3 5 4" xfId="10391" xr:uid="{9861B221-8DEB-49CB-A8BD-6590CC4697A7}"/>
    <cellStyle name="20% - Accent3 2 3 6" xfId="2285" xr:uid="{00000000-0005-0000-0000-00007C010000}"/>
    <cellStyle name="20% - Accent3 2 3 6 2" xfId="6593" xr:uid="{00000000-0005-0000-0000-00007D010000}"/>
    <cellStyle name="20% - Accent3 2 3 6 2 2" xfId="15022" xr:uid="{636325C0-023E-49AE-B80B-B3BE39C2BEDC}"/>
    <cellStyle name="20% - Accent3 2 3 6 3" xfId="10804" xr:uid="{E24AB3E2-E254-40AE-B314-17246162B570}"/>
    <cellStyle name="20% - Accent3 2 3 7" xfId="4527" xr:uid="{00000000-0005-0000-0000-00007E010000}"/>
    <cellStyle name="20% - Accent3 2 3 7 2" xfId="12956" xr:uid="{0725E261-5CB4-49DF-9902-342835AE2570}"/>
    <cellStyle name="20% - Accent3 2 3 8" xfId="8738" xr:uid="{BA13E2F8-CE1B-4DAD-827C-4599910B73CF}"/>
    <cellStyle name="20% - Accent3 2 4" xfId="588" xr:uid="{00000000-0005-0000-0000-00007F010000}"/>
    <cellStyle name="20% - Accent3 2 4 2" xfId="2859" xr:uid="{00000000-0005-0000-0000-000080010000}"/>
    <cellStyle name="20% - Accent3 2 4 2 2" xfId="7083" xr:uid="{00000000-0005-0000-0000-000081010000}"/>
    <cellStyle name="20% - Accent3 2 4 2 2 2" xfId="15512" xr:uid="{8DAE4BC6-D361-43EA-AE1E-68BB7E54D552}"/>
    <cellStyle name="20% - Accent3 2 4 2 3" xfId="11294" xr:uid="{3A910A41-0786-4A88-A1EC-2F5321FE980A}"/>
    <cellStyle name="20% - Accent3 2 4 3" xfId="4938" xr:uid="{00000000-0005-0000-0000-000082010000}"/>
    <cellStyle name="20% - Accent3 2 4 3 2" xfId="13367" xr:uid="{E4AE1BE7-02C5-4C29-B2A9-FAF565A0106F}"/>
    <cellStyle name="20% - Accent3 2 4 4" xfId="9149" xr:uid="{AB2657DF-B768-4128-A9B2-690B79706F53}"/>
    <cellStyle name="20% - Accent3 2 5" xfId="1041" xr:uid="{00000000-0005-0000-0000-000083010000}"/>
    <cellStyle name="20% - Accent3 2 5 2" xfId="3272" xr:uid="{00000000-0005-0000-0000-000084010000}"/>
    <cellStyle name="20% - Accent3 2 5 2 2" xfId="7496" xr:uid="{00000000-0005-0000-0000-000085010000}"/>
    <cellStyle name="20% - Accent3 2 5 2 2 2" xfId="15925" xr:uid="{B07FEF41-F0ED-420C-A237-C72161B011BC}"/>
    <cellStyle name="20% - Accent3 2 5 2 3" xfId="11707" xr:uid="{8D60095B-7962-488F-BA41-2277B3C277A7}"/>
    <cellStyle name="20% - Accent3 2 5 3" xfId="5351" xr:uid="{00000000-0005-0000-0000-000086010000}"/>
    <cellStyle name="20% - Accent3 2 5 3 2" xfId="13780" xr:uid="{4553D612-F831-46DD-B9B2-46B3640FB527}"/>
    <cellStyle name="20% - Accent3 2 5 4" xfId="9562" xr:uid="{492093DF-9651-4DD9-8C11-461DBD26F219}"/>
    <cellStyle name="20% - Accent3 2 6" xfId="1455" xr:uid="{00000000-0005-0000-0000-000087010000}"/>
    <cellStyle name="20% - Accent3 2 6 2" xfId="3685" xr:uid="{00000000-0005-0000-0000-000088010000}"/>
    <cellStyle name="20% - Accent3 2 6 2 2" xfId="7909" xr:uid="{00000000-0005-0000-0000-000089010000}"/>
    <cellStyle name="20% - Accent3 2 6 2 2 2" xfId="16338" xr:uid="{105F70B5-DC00-4C8C-AC7D-56C4D97E1B51}"/>
    <cellStyle name="20% - Accent3 2 6 2 3" xfId="12120" xr:uid="{8708E595-D552-45E3-A7F1-E31F0A348B60}"/>
    <cellStyle name="20% - Accent3 2 6 3" xfId="5764" xr:uid="{00000000-0005-0000-0000-00008A010000}"/>
    <cellStyle name="20% - Accent3 2 6 3 2" xfId="14193" xr:uid="{AAD17539-595F-491B-B2B3-61DFE5CD2C36}"/>
    <cellStyle name="20% - Accent3 2 6 4" xfId="9975" xr:uid="{BA084E4C-371B-43B8-8428-D6217B3BED61}"/>
    <cellStyle name="20% - Accent3 2 7" xfId="1869" xr:uid="{00000000-0005-0000-0000-00008B010000}"/>
    <cellStyle name="20% - Accent3 2 7 2" xfId="4098" xr:uid="{00000000-0005-0000-0000-00008C010000}"/>
    <cellStyle name="20% - Accent3 2 7 2 2" xfId="8322" xr:uid="{00000000-0005-0000-0000-00008D010000}"/>
    <cellStyle name="20% - Accent3 2 7 2 2 2" xfId="16751" xr:uid="{9121C566-5A10-47EB-A68D-A8B97BD55F6C}"/>
    <cellStyle name="20% - Accent3 2 7 2 3" xfId="12533" xr:uid="{B5BF5BDC-E90C-4876-B3D4-C61F77A8E63E}"/>
    <cellStyle name="20% - Accent3 2 7 3" xfId="6177" xr:uid="{00000000-0005-0000-0000-00008E010000}"/>
    <cellStyle name="20% - Accent3 2 7 3 2" xfId="14606" xr:uid="{5121FE3D-C880-4F05-8A6B-78D12903CE90}"/>
    <cellStyle name="20% - Accent3 2 7 4" xfId="10388" xr:uid="{6F6F5022-1788-468E-85C2-F706203AB432}"/>
    <cellStyle name="20% - Accent3 2 8" xfId="2282" xr:uid="{00000000-0005-0000-0000-00008F010000}"/>
    <cellStyle name="20% - Accent3 2 8 2" xfId="6590" xr:uid="{00000000-0005-0000-0000-000090010000}"/>
    <cellStyle name="20% - Accent3 2 8 2 2" xfId="15019" xr:uid="{4C691C61-A1CD-45CA-ADD1-D8480776B6CD}"/>
    <cellStyle name="20% - Accent3 2 8 3" xfId="10801" xr:uid="{44FB88A5-47D1-47E9-AB4B-5B31598997FB}"/>
    <cellStyle name="20% - Accent3 2 9" xfId="4524" xr:uid="{00000000-0005-0000-0000-000091010000}"/>
    <cellStyle name="20% - Accent3 2 9 2" xfId="12953" xr:uid="{161AD1C0-39A0-42DC-A4B9-6E26E5EF53D8}"/>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2 2 2" xfId="15517" xr:uid="{01B7777C-A465-4042-9B76-7BE4E19B6352}"/>
    <cellStyle name="20% - Accent3 3 2 2 2 3" xfId="11299" xr:uid="{CE181AA4-030A-4787-9C66-01A3FB7D2B13}"/>
    <cellStyle name="20% - Accent3 3 2 2 3" xfId="4943" xr:uid="{00000000-0005-0000-0000-000097010000}"/>
    <cellStyle name="20% - Accent3 3 2 2 3 2" xfId="13372" xr:uid="{09FD4CFF-96F3-485C-8999-2709EBE58867}"/>
    <cellStyle name="20% - Accent3 3 2 2 4" xfId="9154" xr:uid="{4C146E3B-6A49-46D0-B469-8234E80C8022}"/>
    <cellStyle name="20% - Accent3 3 2 3" xfId="1046" xr:uid="{00000000-0005-0000-0000-000098010000}"/>
    <cellStyle name="20% - Accent3 3 2 3 2" xfId="3277" xr:uid="{00000000-0005-0000-0000-000099010000}"/>
    <cellStyle name="20% - Accent3 3 2 3 2 2" xfId="7501" xr:uid="{00000000-0005-0000-0000-00009A010000}"/>
    <cellStyle name="20% - Accent3 3 2 3 2 2 2" xfId="15930" xr:uid="{49FA6921-2FC3-4529-B9F4-026869431BD1}"/>
    <cellStyle name="20% - Accent3 3 2 3 2 3" xfId="11712" xr:uid="{726E5F2D-DDA0-457E-ABB6-859C62EAF52C}"/>
    <cellStyle name="20% - Accent3 3 2 3 3" xfId="5356" xr:uid="{00000000-0005-0000-0000-00009B010000}"/>
    <cellStyle name="20% - Accent3 3 2 3 3 2" xfId="13785" xr:uid="{F021B21A-E5F2-443E-AE71-00280ACBB529}"/>
    <cellStyle name="20% - Accent3 3 2 3 4" xfId="9567" xr:uid="{797A0D7F-F6B1-4ED9-B9E5-1D2A54E2BEA7}"/>
    <cellStyle name="20% - Accent3 3 2 4" xfId="1460" xr:uid="{00000000-0005-0000-0000-00009C010000}"/>
    <cellStyle name="20% - Accent3 3 2 4 2" xfId="3690" xr:uid="{00000000-0005-0000-0000-00009D010000}"/>
    <cellStyle name="20% - Accent3 3 2 4 2 2" xfId="7914" xr:uid="{00000000-0005-0000-0000-00009E010000}"/>
    <cellStyle name="20% - Accent3 3 2 4 2 2 2" xfId="16343" xr:uid="{4312D5BE-9FE9-4CC7-9000-CEE4AE09F85A}"/>
    <cellStyle name="20% - Accent3 3 2 4 2 3" xfId="12125" xr:uid="{0A3428F8-4E80-49C6-84D6-C65843BC4876}"/>
    <cellStyle name="20% - Accent3 3 2 4 3" xfId="5769" xr:uid="{00000000-0005-0000-0000-00009F010000}"/>
    <cellStyle name="20% - Accent3 3 2 4 3 2" xfId="14198" xr:uid="{53CF9B8F-A91E-4FF4-8D65-E7BF53D7EFB3}"/>
    <cellStyle name="20% - Accent3 3 2 4 4" xfId="9980" xr:uid="{AA76B4DE-5B6B-4A52-928C-B0DD33BAF58A}"/>
    <cellStyle name="20% - Accent3 3 2 5" xfId="1874" xr:uid="{00000000-0005-0000-0000-0000A0010000}"/>
    <cellStyle name="20% - Accent3 3 2 5 2" xfId="4103" xr:uid="{00000000-0005-0000-0000-0000A1010000}"/>
    <cellStyle name="20% - Accent3 3 2 5 2 2" xfId="8327" xr:uid="{00000000-0005-0000-0000-0000A2010000}"/>
    <cellStyle name="20% - Accent3 3 2 5 2 2 2" xfId="16756" xr:uid="{E66267D3-483D-4F8B-8E70-E014C638A152}"/>
    <cellStyle name="20% - Accent3 3 2 5 2 3" xfId="12538" xr:uid="{7E83E9EA-B698-48F4-B39A-AB9208F922FE}"/>
    <cellStyle name="20% - Accent3 3 2 5 3" xfId="6182" xr:uid="{00000000-0005-0000-0000-0000A3010000}"/>
    <cellStyle name="20% - Accent3 3 2 5 3 2" xfId="14611" xr:uid="{9377833E-B752-43F0-80CC-6FF437E49472}"/>
    <cellStyle name="20% - Accent3 3 2 5 4" xfId="10393" xr:uid="{B58CE15F-B153-4504-9B1F-B551C46E52A6}"/>
    <cellStyle name="20% - Accent3 3 2 6" xfId="2287" xr:uid="{00000000-0005-0000-0000-0000A4010000}"/>
    <cellStyle name="20% - Accent3 3 2 6 2" xfId="6595" xr:uid="{00000000-0005-0000-0000-0000A5010000}"/>
    <cellStyle name="20% - Accent3 3 2 6 2 2" xfId="15024" xr:uid="{611B76F9-AA94-42A9-97A6-F1FA3380621C}"/>
    <cellStyle name="20% - Accent3 3 2 6 3" xfId="10806" xr:uid="{E57BB1E1-516E-4D96-A77F-1D1D0BE217A3}"/>
    <cellStyle name="20% - Accent3 3 2 7" xfId="4529" xr:uid="{00000000-0005-0000-0000-0000A6010000}"/>
    <cellStyle name="20% - Accent3 3 2 7 2" xfId="12958" xr:uid="{75B4E6C7-C421-42CC-8ADF-0F65507E5EF7}"/>
    <cellStyle name="20% - Accent3 3 2 8" xfId="8740" xr:uid="{EAA4025B-9FDC-4C26-9C55-B2E08124D1FD}"/>
    <cellStyle name="20% - Accent3 3 3" xfId="592" xr:uid="{00000000-0005-0000-0000-0000A7010000}"/>
    <cellStyle name="20% - Accent3 3 3 2" xfId="2863" xr:uid="{00000000-0005-0000-0000-0000A8010000}"/>
    <cellStyle name="20% - Accent3 3 3 2 2" xfId="7087" xr:uid="{00000000-0005-0000-0000-0000A9010000}"/>
    <cellStyle name="20% - Accent3 3 3 2 2 2" xfId="15516" xr:uid="{9E2BEB53-5D8E-4CC4-AD53-A06A92008BF1}"/>
    <cellStyle name="20% - Accent3 3 3 2 3" xfId="11298" xr:uid="{D218012F-7492-4386-B63E-952C3D7BA502}"/>
    <cellStyle name="20% - Accent3 3 3 3" xfId="4942" xr:uid="{00000000-0005-0000-0000-0000AA010000}"/>
    <cellStyle name="20% - Accent3 3 3 3 2" xfId="13371" xr:uid="{E9291C16-5ABD-4C24-B2A9-E5AA0E14F798}"/>
    <cellStyle name="20% - Accent3 3 3 4" xfId="9153" xr:uid="{A30E4A64-7E0B-4720-9816-F19D2D3E724C}"/>
    <cellStyle name="20% - Accent3 3 4" xfId="1045" xr:uid="{00000000-0005-0000-0000-0000AB010000}"/>
    <cellStyle name="20% - Accent3 3 4 2" xfId="3276" xr:uid="{00000000-0005-0000-0000-0000AC010000}"/>
    <cellStyle name="20% - Accent3 3 4 2 2" xfId="7500" xr:uid="{00000000-0005-0000-0000-0000AD010000}"/>
    <cellStyle name="20% - Accent3 3 4 2 2 2" xfId="15929" xr:uid="{EEA4125B-BA38-43C3-A96F-9A25756C63A9}"/>
    <cellStyle name="20% - Accent3 3 4 2 3" xfId="11711" xr:uid="{D42BFA31-FA79-4E5D-A542-28DD1BA0B928}"/>
    <cellStyle name="20% - Accent3 3 4 3" xfId="5355" xr:uid="{00000000-0005-0000-0000-0000AE010000}"/>
    <cellStyle name="20% - Accent3 3 4 3 2" xfId="13784" xr:uid="{125257FB-A2A9-4668-B98F-3575235DA774}"/>
    <cellStyle name="20% - Accent3 3 4 4" xfId="9566" xr:uid="{0C7C45AC-E24D-46F4-9EEB-7FC31383C52B}"/>
    <cellStyle name="20% - Accent3 3 5" xfId="1459" xr:uid="{00000000-0005-0000-0000-0000AF010000}"/>
    <cellStyle name="20% - Accent3 3 5 2" xfId="3689" xr:uid="{00000000-0005-0000-0000-0000B0010000}"/>
    <cellStyle name="20% - Accent3 3 5 2 2" xfId="7913" xr:uid="{00000000-0005-0000-0000-0000B1010000}"/>
    <cellStyle name="20% - Accent3 3 5 2 2 2" xfId="16342" xr:uid="{2E4F009D-6D71-41B3-9DAD-A72E59083016}"/>
    <cellStyle name="20% - Accent3 3 5 2 3" xfId="12124" xr:uid="{18E35CE8-68BC-4D34-801E-84851DB93B07}"/>
    <cellStyle name="20% - Accent3 3 5 3" xfId="5768" xr:uid="{00000000-0005-0000-0000-0000B2010000}"/>
    <cellStyle name="20% - Accent3 3 5 3 2" xfId="14197" xr:uid="{E4F9F1F6-0877-4DCD-951D-06DB15841BB5}"/>
    <cellStyle name="20% - Accent3 3 5 4" xfId="9979" xr:uid="{FDB83C8B-374C-4361-93F3-559F9F4E5A66}"/>
    <cellStyle name="20% - Accent3 3 6" xfId="1873" xr:uid="{00000000-0005-0000-0000-0000B3010000}"/>
    <cellStyle name="20% - Accent3 3 6 2" xfId="4102" xr:uid="{00000000-0005-0000-0000-0000B4010000}"/>
    <cellStyle name="20% - Accent3 3 6 2 2" xfId="8326" xr:uid="{00000000-0005-0000-0000-0000B5010000}"/>
    <cellStyle name="20% - Accent3 3 6 2 2 2" xfId="16755" xr:uid="{9D4297B4-3FAF-4BB8-BBCE-1171A920B64D}"/>
    <cellStyle name="20% - Accent3 3 6 2 3" xfId="12537" xr:uid="{F06E9286-E913-4D44-95BD-5E4192472BB1}"/>
    <cellStyle name="20% - Accent3 3 6 3" xfId="6181" xr:uid="{00000000-0005-0000-0000-0000B6010000}"/>
    <cellStyle name="20% - Accent3 3 6 3 2" xfId="14610" xr:uid="{1A50E523-951E-4DD2-80E8-6BA582539FE3}"/>
    <cellStyle name="20% - Accent3 3 6 4" xfId="10392" xr:uid="{30F42CA1-C50C-471B-9E9A-FD4C935CF657}"/>
    <cellStyle name="20% - Accent3 3 7" xfId="2286" xr:uid="{00000000-0005-0000-0000-0000B7010000}"/>
    <cellStyle name="20% - Accent3 3 7 2" xfId="6594" xr:uid="{00000000-0005-0000-0000-0000B8010000}"/>
    <cellStyle name="20% - Accent3 3 7 2 2" xfId="15023" xr:uid="{A24C46AB-68FD-426B-9B5F-B99252ABE81C}"/>
    <cellStyle name="20% - Accent3 3 7 3" xfId="10805" xr:uid="{DDC734B8-528D-41CF-B9C6-918465F740DD}"/>
    <cellStyle name="20% - Accent3 3 8" xfId="4528" xr:uid="{00000000-0005-0000-0000-0000B9010000}"/>
    <cellStyle name="20% - Accent3 3 8 2" xfId="12957" xr:uid="{FAFE8643-BD56-4145-99A7-13B465250933}"/>
    <cellStyle name="20% - Accent3 3 9" xfId="8739" xr:uid="{10697FDD-EB5E-4B30-9967-328F494F9541}"/>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2 2 2" xfId="15518" xr:uid="{F75CE813-216D-41E5-BF8F-267A07AC325F}"/>
    <cellStyle name="20% - Accent3 4 2 2 3" xfId="11300" xr:uid="{D8A3EBA0-C7E5-40C2-B1A1-216CE5928816}"/>
    <cellStyle name="20% - Accent3 4 2 3" xfId="4944" xr:uid="{00000000-0005-0000-0000-0000BE010000}"/>
    <cellStyle name="20% - Accent3 4 2 3 2" xfId="13373" xr:uid="{0A5B40EE-17A0-479D-9A7B-BAC7372CA209}"/>
    <cellStyle name="20% - Accent3 4 2 4" xfId="9155" xr:uid="{E3564E05-03B4-45A5-88D0-51186E7A63F6}"/>
    <cellStyle name="20% - Accent3 4 3" xfId="1047" xr:uid="{00000000-0005-0000-0000-0000BF010000}"/>
    <cellStyle name="20% - Accent3 4 3 2" xfId="3278" xr:uid="{00000000-0005-0000-0000-0000C0010000}"/>
    <cellStyle name="20% - Accent3 4 3 2 2" xfId="7502" xr:uid="{00000000-0005-0000-0000-0000C1010000}"/>
    <cellStyle name="20% - Accent3 4 3 2 2 2" xfId="15931" xr:uid="{833AB28A-1515-4EC9-84A9-1F9C96DB4D37}"/>
    <cellStyle name="20% - Accent3 4 3 2 3" xfId="11713" xr:uid="{0003E0CB-2E49-488E-A841-7982863B685F}"/>
    <cellStyle name="20% - Accent3 4 3 3" xfId="5357" xr:uid="{00000000-0005-0000-0000-0000C2010000}"/>
    <cellStyle name="20% - Accent3 4 3 3 2" xfId="13786" xr:uid="{3A1DE9DF-22BE-4809-9F42-78E65B1FE026}"/>
    <cellStyle name="20% - Accent3 4 3 4" xfId="9568" xr:uid="{889402B0-C3D5-46BA-B564-B429D610EF00}"/>
    <cellStyle name="20% - Accent3 4 4" xfId="1461" xr:uid="{00000000-0005-0000-0000-0000C3010000}"/>
    <cellStyle name="20% - Accent3 4 4 2" xfId="3691" xr:uid="{00000000-0005-0000-0000-0000C4010000}"/>
    <cellStyle name="20% - Accent3 4 4 2 2" xfId="7915" xr:uid="{00000000-0005-0000-0000-0000C5010000}"/>
    <cellStyle name="20% - Accent3 4 4 2 2 2" xfId="16344" xr:uid="{0B5D258E-9896-4869-8B20-E6308B57ED7B}"/>
    <cellStyle name="20% - Accent3 4 4 2 3" xfId="12126" xr:uid="{0EDB994C-9D66-49E3-823F-C791237BD1B0}"/>
    <cellStyle name="20% - Accent3 4 4 3" xfId="5770" xr:uid="{00000000-0005-0000-0000-0000C6010000}"/>
    <cellStyle name="20% - Accent3 4 4 3 2" xfId="14199" xr:uid="{C94B4409-F6F7-44F1-ADB4-BF7650A89460}"/>
    <cellStyle name="20% - Accent3 4 4 4" xfId="9981" xr:uid="{04F0C057-A1AE-45E6-9068-DD7D0DE23397}"/>
    <cellStyle name="20% - Accent3 4 5" xfId="1875" xr:uid="{00000000-0005-0000-0000-0000C7010000}"/>
    <cellStyle name="20% - Accent3 4 5 2" xfId="4104" xr:uid="{00000000-0005-0000-0000-0000C8010000}"/>
    <cellStyle name="20% - Accent3 4 5 2 2" xfId="8328" xr:uid="{00000000-0005-0000-0000-0000C9010000}"/>
    <cellStyle name="20% - Accent3 4 5 2 2 2" xfId="16757" xr:uid="{14B4068F-E6C8-475C-AF3D-4A981CC5F85B}"/>
    <cellStyle name="20% - Accent3 4 5 2 3" xfId="12539" xr:uid="{32E5F1AC-EB68-459B-8F4F-8AB268D05828}"/>
    <cellStyle name="20% - Accent3 4 5 3" xfId="6183" xr:uid="{00000000-0005-0000-0000-0000CA010000}"/>
    <cellStyle name="20% - Accent3 4 5 3 2" xfId="14612" xr:uid="{AE998930-7746-4DB1-931C-92BDD0248947}"/>
    <cellStyle name="20% - Accent3 4 5 4" xfId="10394" xr:uid="{3D8F1583-7E7D-4C06-8A34-C83841E782CD}"/>
    <cellStyle name="20% - Accent3 4 6" xfId="2288" xr:uid="{00000000-0005-0000-0000-0000CB010000}"/>
    <cellStyle name="20% - Accent3 4 6 2" xfId="6596" xr:uid="{00000000-0005-0000-0000-0000CC010000}"/>
    <cellStyle name="20% - Accent3 4 6 2 2" xfId="15025" xr:uid="{CC84810E-8DC5-4725-908F-FBF63245D432}"/>
    <cellStyle name="20% - Accent3 4 6 3" xfId="10807" xr:uid="{FBAB3DAF-0C01-4CA7-A0D7-E07BE06CA251}"/>
    <cellStyle name="20% - Accent3 4 7" xfId="4530" xr:uid="{00000000-0005-0000-0000-0000CD010000}"/>
    <cellStyle name="20% - Accent3 4 7 2" xfId="12959" xr:uid="{5B138246-9458-44AC-8590-7FDDB6ABA110}"/>
    <cellStyle name="20% - Accent3 4 8" xfId="8741" xr:uid="{4D443994-51FB-41A0-8C29-ABB23C911297}"/>
    <cellStyle name="20% - Accent3 5" xfId="587" xr:uid="{00000000-0005-0000-0000-0000CE010000}"/>
    <cellStyle name="20% - Accent3 5 2" xfId="2858" xr:uid="{00000000-0005-0000-0000-0000CF010000}"/>
    <cellStyle name="20% - Accent3 5 2 2" xfId="7082" xr:uid="{00000000-0005-0000-0000-0000D0010000}"/>
    <cellStyle name="20% - Accent3 5 2 2 2" xfId="15511" xr:uid="{FD7B79AB-0474-4AAE-AB01-48FD31FF922A}"/>
    <cellStyle name="20% - Accent3 5 2 3" xfId="11293" xr:uid="{29AF73A9-63FF-4CDC-BFFE-A839CAFAFAAD}"/>
    <cellStyle name="20% - Accent3 5 3" xfId="4937" xr:uid="{00000000-0005-0000-0000-0000D1010000}"/>
    <cellStyle name="20% - Accent3 5 3 2" xfId="13366" xr:uid="{A55634DF-64DE-4DEC-8561-F719CF72041A}"/>
    <cellStyle name="20% - Accent3 5 4" xfId="9148" xr:uid="{07C35B62-9CF0-4600-AC97-8FA70B938D34}"/>
    <cellStyle name="20% - Accent3 6" xfId="1040" xr:uid="{00000000-0005-0000-0000-0000D2010000}"/>
    <cellStyle name="20% - Accent3 6 2" xfId="3271" xr:uid="{00000000-0005-0000-0000-0000D3010000}"/>
    <cellStyle name="20% - Accent3 6 2 2" xfId="7495" xr:uid="{00000000-0005-0000-0000-0000D4010000}"/>
    <cellStyle name="20% - Accent3 6 2 2 2" xfId="15924" xr:uid="{C52392D8-D33E-4B26-AC7B-55EB40E84956}"/>
    <cellStyle name="20% - Accent3 6 2 3" xfId="11706" xr:uid="{CA5E4EA1-AEB7-4C24-B06A-135D3D673D07}"/>
    <cellStyle name="20% - Accent3 6 3" xfId="5350" xr:uid="{00000000-0005-0000-0000-0000D5010000}"/>
    <cellStyle name="20% - Accent3 6 3 2" xfId="13779" xr:uid="{905EC1B4-8DF6-49DA-93C1-A5AE0F02CDDB}"/>
    <cellStyle name="20% - Accent3 6 4" xfId="9561" xr:uid="{58968B64-87E2-432E-B4D7-5CF7A6897436}"/>
    <cellStyle name="20% - Accent3 7" xfId="1454" xr:uid="{00000000-0005-0000-0000-0000D6010000}"/>
    <cellStyle name="20% - Accent3 7 2" xfId="3684" xr:uid="{00000000-0005-0000-0000-0000D7010000}"/>
    <cellStyle name="20% - Accent3 7 2 2" xfId="7908" xr:uid="{00000000-0005-0000-0000-0000D8010000}"/>
    <cellStyle name="20% - Accent3 7 2 2 2" xfId="16337" xr:uid="{77DC4886-86A9-49C9-B74C-0E810AA60AEB}"/>
    <cellStyle name="20% - Accent3 7 2 3" xfId="12119" xr:uid="{92888612-A952-40CD-9BE0-510D3F058812}"/>
    <cellStyle name="20% - Accent3 7 3" xfId="5763" xr:uid="{00000000-0005-0000-0000-0000D9010000}"/>
    <cellStyle name="20% - Accent3 7 3 2" xfId="14192" xr:uid="{70FAB47A-83B1-4AB8-86DA-72467225D667}"/>
    <cellStyle name="20% - Accent3 7 4" xfId="9974" xr:uid="{84EA83AA-D068-4DDF-8124-4DF160FE7637}"/>
    <cellStyle name="20% - Accent3 8" xfId="1868" xr:uid="{00000000-0005-0000-0000-0000DA010000}"/>
    <cellStyle name="20% - Accent3 8 2" xfId="4097" xr:uid="{00000000-0005-0000-0000-0000DB010000}"/>
    <cellStyle name="20% - Accent3 8 2 2" xfId="8321" xr:uid="{00000000-0005-0000-0000-0000DC010000}"/>
    <cellStyle name="20% - Accent3 8 2 2 2" xfId="16750" xr:uid="{B0A02A5E-2328-4E68-B297-D952F6EF0A7F}"/>
    <cellStyle name="20% - Accent3 8 2 3" xfId="12532" xr:uid="{2ADCA27A-9AB3-4DAC-A4E3-269D3E047944}"/>
    <cellStyle name="20% - Accent3 8 3" xfId="6176" xr:uid="{00000000-0005-0000-0000-0000DD010000}"/>
    <cellStyle name="20% - Accent3 8 3 2" xfId="14605" xr:uid="{8E7EB62E-7D9C-4C84-94F7-F2513693F489}"/>
    <cellStyle name="20% - Accent3 8 4" xfId="10387" xr:uid="{15275B3D-E48C-4838-97BF-5E309B0A681B}"/>
    <cellStyle name="20% - Accent3 9" xfId="2281" xr:uid="{00000000-0005-0000-0000-0000DE010000}"/>
    <cellStyle name="20% - Accent3 9 2" xfId="6589" xr:uid="{00000000-0005-0000-0000-0000DF010000}"/>
    <cellStyle name="20% - Accent3 9 2 2" xfId="15018" xr:uid="{7B2F607C-819D-49B3-93B7-88E70CAFFB6B}"/>
    <cellStyle name="20% - Accent3 9 3" xfId="10800" xr:uid="{E71C56CE-A133-4ABD-9736-E83B6B15B5EA}"/>
    <cellStyle name="20% - Accent4" xfId="25" builtinId="42" customBuiltin="1"/>
    <cellStyle name="20% - Accent4 10" xfId="4531" xr:uid="{00000000-0005-0000-0000-0000E1010000}"/>
    <cellStyle name="20% - Accent4 10 2" xfId="12960" xr:uid="{1BE5ED23-BAC3-4A99-AE5C-62A1BED45B9A}"/>
    <cellStyle name="20% - Accent4 11" xfId="8742" xr:uid="{2E4F4752-649B-4E39-863F-49DC9AF6A90C}"/>
    <cellStyle name="20% - Accent4 2" xfId="26" xr:uid="{00000000-0005-0000-0000-0000E2010000}"/>
    <cellStyle name="20% - Accent4 2 10" xfId="8743" xr:uid="{CE0150F9-7AFE-478B-9D0E-42369C086AB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2 2 2" xfId="15522" xr:uid="{3200456D-18EC-4C98-97FD-87DD3C6804BF}"/>
    <cellStyle name="20% - Accent4 2 2 2 2 2 3" xfId="11304" xr:uid="{39609964-DBD0-4763-803B-958DD447B6CF}"/>
    <cellStyle name="20% - Accent4 2 2 2 2 3" xfId="4948" xr:uid="{00000000-0005-0000-0000-0000E8010000}"/>
    <cellStyle name="20% - Accent4 2 2 2 2 3 2" xfId="13377" xr:uid="{8D36BD7B-FCA8-4A8E-9F34-0EC90E634912}"/>
    <cellStyle name="20% - Accent4 2 2 2 2 4" xfId="9159" xr:uid="{C71273CA-CF8C-4E8E-8A2B-73B11CE8D06B}"/>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2 2 2" xfId="15935" xr:uid="{A8B92701-AE24-455B-898B-F7302ACE040C}"/>
    <cellStyle name="20% - Accent4 2 2 2 3 2 3" xfId="11717" xr:uid="{ED1B08FB-FDE4-478F-BBD9-D781C4C52041}"/>
    <cellStyle name="20% - Accent4 2 2 2 3 3" xfId="5361" xr:uid="{00000000-0005-0000-0000-0000EC010000}"/>
    <cellStyle name="20% - Accent4 2 2 2 3 3 2" xfId="13790" xr:uid="{9EEA6702-9696-4DAE-97C5-5EA2876EA30C}"/>
    <cellStyle name="20% - Accent4 2 2 2 3 4" xfId="9572" xr:uid="{B6CF75EF-4A2D-4CB6-A5C4-F4DFFA1D87CA}"/>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2 2 2" xfId="16348" xr:uid="{905F8655-9AB5-4228-ADC5-28572909BB97}"/>
    <cellStyle name="20% - Accent4 2 2 2 4 2 3" xfId="12130" xr:uid="{8B679E23-C921-4C2D-B09B-F3DB60B342B8}"/>
    <cellStyle name="20% - Accent4 2 2 2 4 3" xfId="5774" xr:uid="{00000000-0005-0000-0000-0000F0010000}"/>
    <cellStyle name="20% - Accent4 2 2 2 4 3 2" xfId="14203" xr:uid="{9EDD5974-9443-4B96-8961-F9AEF05CD7C6}"/>
    <cellStyle name="20% - Accent4 2 2 2 4 4" xfId="9985" xr:uid="{8DF9EE97-8C13-4FFF-A314-52972405DAA8}"/>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2 2 2" xfId="16761" xr:uid="{D59EAB68-A48D-4250-95E0-1E152B11F1CC}"/>
    <cellStyle name="20% - Accent4 2 2 2 5 2 3" xfId="12543" xr:uid="{7333C57E-886F-4559-BE31-316FFFF12C4E}"/>
    <cellStyle name="20% - Accent4 2 2 2 5 3" xfId="6187" xr:uid="{00000000-0005-0000-0000-0000F4010000}"/>
    <cellStyle name="20% - Accent4 2 2 2 5 3 2" xfId="14616" xr:uid="{C0CA35B3-DAC8-4FAC-B017-B7CF6C1E6160}"/>
    <cellStyle name="20% - Accent4 2 2 2 5 4" xfId="10398" xr:uid="{01E0BF4F-0C8F-4D6A-B035-CF82A1E95FB7}"/>
    <cellStyle name="20% - Accent4 2 2 2 6" xfId="2292" xr:uid="{00000000-0005-0000-0000-0000F5010000}"/>
    <cellStyle name="20% - Accent4 2 2 2 6 2" xfId="6600" xr:uid="{00000000-0005-0000-0000-0000F6010000}"/>
    <cellStyle name="20% - Accent4 2 2 2 6 2 2" xfId="15029" xr:uid="{6318F571-9DBF-4440-A9A1-1F3623A75839}"/>
    <cellStyle name="20% - Accent4 2 2 2 6 3" xfId="10811" xr:uid="{51AB3FB9-FC1D-4F17-ABBB-310AA77A9DC3}"/>
    <cellStyle name="20% - Accent4 2 2 2 7" xfId="4534" xr:uid="{00000000-0005-0000-0000-0000F7010000}"/>
    <cellStyle name="20% - Accent4 2 2 2 7 2" xfId="12963" xr:uid="{F9EEAD88-EE6B-4F92-AE8D-16FF5106248F}"/>
    <cellStyle name="20% - Accent4 2 2 2 8" xfId="8745" xr:uid="{47D3281B-8AC1-4557-9561-A061D0D5CE3E}"/>
    <cellStyle name="20% - Accent4 2 2 3" xfId="597" xr:uid="{00000000-0005-0000-0000-0000F8010000}"/>
    <cellStyle name="20% - Accent4 2 2 3 2" xfId="2868" xr:uid="{00000000-0005-0000-0000-0000F9010000}"/>
    <cellStyle name="20% - Accent4 2 2 3 2 2" xfId="7092" xr:uid="{00000000-0005-0000-0000-0000FA010000}"/>
    <cellStyle name="20% - Accent4 2 2 3 2 2 2" xfId="15521" xr:uid="{34A7A2EB-30D0-43F3-BB52-CD12F9F7F381}"/>
    <cellStyle name="20% - Accent4 2 2 3 2 3" xfId="11303" xr:uid="{561079D9-BB90-460A-9E26-7F6A7A9156AA}"/>
    <cellStyle name="20% - Accent4 2 2 3 3" xfId="4947" xr:uid="{00000000-0005-0000-0000-0000FB010000}"/>
    <cellStyle name="20% - Accent4 2 2 3 3 2" xfId="13376" xr:uid="{468F1E2E-A5AB-4402-8B0F-2A6C4C30B4D8}"/>
    <cellStyle name="20% - Accent4 2 2 3 4" xfId="9158" xr:uid="{38DCE61D-775B-4BB3-AA72-1829B0CEF3F5}"/>
    <cellStyle name="20% - Accent4 2 2 4" xfId="1050" xr:uid="{00000000-0005-0000-0000-0000FC010000}"/>
    <cellStyle name="20% - Accent4 2 2 4 2" xfId="3281" xr:uid="{00000000-0005-0000-0000-0000FD010000}"/>
    <cellStyle name="20% - Accent4 2 2 4 2 2" xfId="7505" xr:uid="{00000000-0005-0000-0000-0000FE010000}"/>
    <cellStyle name="20% - Accent4 2 2 4 2 2 2" xfId="15934" xr:uid="{6E225EC6-F762-46B1-BA43-4148B55EC679}"/>
    <cellStyle name="20% - Accent4 2 2 4 2 3" xfId="11716" xr:uid="{C41F750B-4572-4642-BFF9-AF813C5F0266}"/>
    <cellStyle name="20% - Accent4 2 2 4 3" xfId="5360" xr:uid="{00000000-0005-0000-0000-0000FF010000}"/>
    <cellStyle name="20% - Accent4 2 2 4 3 2" xfId="13789" xr:uid="{F5460AA7-7604-4FC8-B951-1C03948A414B}"/>
    <cellStyle name="20% - Accent4 2 2 4 4" xfId="9571" xr:uid="{5FA5E162-6C99-42C4-B52E-0F509622E097}"/>
    <cellStyle name="20% - Accent4 2 2 5" xfId="1464" xr:uid="{00000000-0005-0000-0000-000000020000}"/>
    <cellStyle name="20% - Accent4 2 2 5 2" xfId="3694" xr:uid="{00000000-0005-0000-0000-000001020000}"/>
    <cellStyle name="20% - Accent4 2 2 5 2 2" xfId="7918" xr:uid="{00000000-0005-0000-0000-000002020000}"/>
    <cellStyle name="20% - Accent4 2 2 5 2 2 2" xfId="16347" xr:uid="{98055163-91F4-4916-8E30-7E91A2748E7F}"/>
    <cellStyle name="20% - Accent4 2 2 5 2 3" xfId="12129" xr:uid="{0A5D9F18-BC0F-4B83-B863-F2B42376258E}"/>
    <cellStyle name="20% - Accent4 2 2 5 3" xfId="5773" xr:uid="{00000000-0005-0000-0000-000003020000}"/>
    <cellStyle name="20% - Accent4 2 2 5 3 2" xfId="14202" xr:uid="{161337A5-C4E4-4F0A-B6C3-961062232216}"/>
    <cellStyle name="20% - Accent4 2 2 5 4" xfId="9984" xr:uid="{71C4171B-2823-4E8D-BF39-0DA4C7F90B02}"/>
    <cellStyle name="20% - Accent4 2 2 6" xfId="1878" xr:uid="{00000000-0005-0000-0000-000004020000}"/>
    <cellStyle name="20% - Accent4 2 2 6 2" xfId="4107" xr:uid="{00000000-0005-0000-0000-000005020000}"/>
    <cellStyle name="20% - Accent4 2 2 6 2 2" xfId="8331" xr:uid="{00000000-0005-0000-0000-000006020000}"/>
    <cellStyle name="20% - Accent4 2 2 6 2 2 2" xfId="16760" xr:uid="{B48BA979-566F-4730-9684-66FA14C46EA0}"/>
    <cellStyle name="20% - Accent4 2 2 6 2 3" xfId="12542" xr:uid="{7CF613E5-A8AB-48D0-B330-4DBA4A89AA67}"/>
    <cellStyle name="20% - Accent4 2 2 6 3" xfId="6186" xr:uid="{00000000-0005-0000-0000-000007020000}"/>
    <cellStyle name="20% - Accent4 2 2 6 3 2" xfId="14615" xr:uid="{35D72A13-C13B-4DCF-A3FC-930EAF243C3B}"/>
    <cellStyle name="20% - Accent4 2 2 6 4" xfId="10397" xr:uid="{6AF5ADC5-2883-46FC-A3C3-DB4A6A59C2B7}"/>
    <cellStyle name="20% - Accent4 2 2 7" xfId="2291" xr:uid="{00000000-0005-0000-0000-000008020000}"/>
    <cellStyle name="20% - Accent4 2 2 7 2" xfId="6599" xr:uid="{00000000-0005-0000-0000-000009020000}"/>
    <cellStyle name="20% - Accent4 2 2 7 2 2" xfId="15028" xr:uid="{4666B626-D944-4348-B312-7CC06AB6A30B}"/>
    <cellStyle name="20% - Accent4 2 2 7 3" xfId="10810" xr:uid="{E3EB81D5-6417-462C-BD1E-50E983582709}"/>
    <cellStyle name="20% - Accent4 2 2 8" xfId="4533" xr:uid="{00000000-0005-0000-0000-00000A020000}"/>
    <cellStyle name="20% - Accent4 2 2 8 2" xfId="12962" xr:uid="{E61D4F4A-D60D-4BA0-8AF9-3707010D08B9}"/>
    <cellStyle name="20% - Accent4 2 2 9" xfId="8744" xr:uid="{A7C65598-32DE-40EF-9745-92D8ABCF6A49}"/>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2 2 2" xfId="15523" xr:uid="{306522E1-A71C-4710-B977-455AA31A53E0}"/>
    <cellStyle name="20% - Accent4 2 3 2 2 3" xfId="11305" xr:uid="{862D6FE7-6475-4108-A69A-68740262B595}"/>
    <cellStyle name="20% - Accent4 2 3 2 3" xfId="4949" xr:uid="{00000000-0005-0000-0000-00000F020000}"/>
    <cellStyle name="20% - Accent4 2 3 2 3 2" xfId="13378" xr:uid="{31EB29F1-7E02-4AC8-BF4A-7121917CAA57}"/>
    <cellStyle name="20% - Accent4 2 3 2 4" xfId="9160" xr:uid="{A4ED6A54-0FF9-441B-AF4C-EF24214AE802}"/>
    <cellStyle name="20% - Accent4 2 3 3" xfId="1052" xr:uid="{00000000-0005-0000-0000-000010020000}"/>
    <cellStyle name="20% - Accent4 2 3 3 2" xfId="3283" xr:uid="{00000000-0005-0000-0000-000011020000}"/>
    <cellStyle name="20% - Accent4 2 3 3 2 2" xfId="7507" xr:uid="{00000000-0005-0000-0000-000012020000}"/>
    <cellStyle name="20% - Accent4 2 3 3 2 2 2" xfId="15936" xr:uid="{735DCAB2-15BD-43B5-8217-E1E9C3A4A3DF}"/>
    <cellStyle name="20% - Accent4 2 3 3 2 3" xfId="11718" xr:uid="{41B08BB4-A74F-4C53-8649-B67CB64C23BB}"/>
    <cellStyle name="20% - Accent4 2 3 3 3" xfId="5362" xr:uid="{00000000-0005-0000-0000-000013020000}"/>
    <cellStyle name="20% - Accent4 2 3 3 3 2" xfId="13791" xr:uid="{652E593F-63CD-4ED5-84FE-12816F85561B}"/>
    <cellStyle name="20% - Accent4 2 3 3 4" xfId="9573" xr:uid="{2A6D60B2-2465-497D-AC89-0EBE249EB9DC}"/>
    <cellStyle name="20% - Accent4 2 3 4" xfId="1466" xr:uid="{00000000-0005-0000-0000-000014020000}"/>
    <cellStyle name="20% - Accent4 2 3 4 2" xfId="3696" xr:uid="{00000000-0005-0000-0000-000015020000}"/>
    <cellStyle name="20% - Accent4 2 3 4 2 2" xfId="7920" xr:uid="{00000000-0005-0000-0000-000016020000}"/>
    <cellStyle name="20% - Accent4 2 3 4 2 2 2" xfId="16349" xr:uid="{5816F61D-8FEC-498E-BB18-7C504438D094}"/>
    <cellStyle name="20% - Accent4 2 3 4 2 3" xfId="12131" xr:uid="{3DDE81E0-26DC-4AAF-B941-7EE0F7F0C36A}"/>
    <cellStyle name="20% - Accent4 2 3 4 3" xfId="5775" xr:uid="{00000000-0005-0000-0000-000017020000}"/>
    <cellStyle name="20% - Accent4 2 3 4 3 2" xfId="14204" xr:uid="{19C6745F-BB4A-41D3-8552-BDA134E2F2FC}"/>
    <cellStyle name="20% - Accent4 2 3 4 4" xfId="9986" xr:uid="{72F2A1FE-2A59-48E2-8779-0F4D324E6E35}"/>
    <cellStyle name="20% - Accent4 2 3 5" xfId="1880" xr:uid="{00000000-0005-0000-0000-000018020000}"/>
    <cellStyle name="20% - Accent4 2 3 5 2" xfId="4109" xr:uid="{00000000-0005-0000-0000-000019020000}"/>
    <cellStyle name="20% - Accent4 2 3 5 2 2" xfId="8333" xr:uid="{00000000-0005-0000-0000-00001A020000}"/>
    <cellStyle name="20% - Accent4 2 3 5 2 2 2" xfId="16762" xr:uid="{34F49D27-8AD1-4065-AFF3-5EE672A3C38E}"/>
    <cellStyle name="20% - Accent4 2 3 5 2 3" xfId="12544" xr:uid="{00F55A44-4561-4067-A8CC-7FA1E9459161}"/>
    <cellStyle name="20% - Accent4 2 3 5 3" xfId="6188" xr:uid="{00000000-0005-0000-0000-00001B020000}"/>
    <cellStyle name="20% - Accent4 2 3 5 3 2" xfId="14617" xr:uid="{CF971533-F5BD-464D-AC96-54AD192E5F56}"/>
    <cellStyle name="20% - Accent4 2 3 5 4" xfId="10399" xr:uid="{79933EBE-70B6-45B8-83B4-C6167D7CD6B6}"/>
    <cellStyle name="20% - Accent4 2 3 6" xfId="2293" xr:uid="{00000000-0005-0000-0000-00001C020000}"/>
    <cellStyle name="20% - Accent4 2 3 6 2" xfId="6601" xr:uid="{00000000-0005-0000-0000-00001D020000}"/>
    <cellStyle name="20% - Accent4 2 3 6 2 2" xfId="15030" xr:uid="{8FD3F5A6-685A-47B2-A25E-F323B57B8294}"/>
    <cellStyle name="20% - Accent4 2 3 6 3" xfId="10812" xr:uid="{D09A69A0-BEBD-42A8-9756-3B8223D59CEC}"/>
    <cellStyle name="20% - Accent4 2 3 7" xfId="4535" xr:uid="{00000000-0005-0000-0000-00001E020000}"/>
    <cellStyle name="20% - Accent4 2 3 7 2" xfId="12964" xr:uid="{90172226-FB35-4E4F-A1B3-1944763098B7}"/>
    <cellStyle name="20% - Accent4 2 3 8" xfId="8746" xr:uid="{6050E23D-02F1-491E-AA32-70035D159EC8}"/>
    <cellStyle name="20% - Accent4 2 4" xfId="596" xr:uid="{00000000-0005-0000-0000-00001F020000}"/>
    <cellStyle name="20% - Accent4 2 4 2" xfId="2867" xr:uid="{00000000-0005-0000-0000-000020020000}"/>
    <cellStyle name="20% - Accent4 2 4 2 2" xfId="7091" xr:uid="{00000000-0005-0000-0000-000021020000}"/>
    <cellStyle name="20% - Accent4 2 4 2 2 2" xfId="15520" xr:uid="{ED11B5BE-EB24-4F9D-B6E7-8A76DEEFB14C}"/>
    <cellStyle name="20% - Accent4 2 4 2 3" xfId="11302" xr:uid="{0A4CA4BB-5064-41F7-9CFB-F47F0E1D09C3}"/>
    <cellStyle name="20% - Accent4 2 4 3" xfId="4946" xr:uid="{00000000-0005-0000-0000-000022020000}"/>
    <cellStyle name="20% - Accent4 2 4 3 2" xfId="13375" xr:uid="{1CC57247-BB4B-42E9-9D02-A4A0AEAD3723}"/>
    <cellStyle name="20% - Accent4 2 4 4" xfId="9157" xr:uid="{7F6E7498-6CA3-4B3C-887F-003791C619D3}"/>
    <cellStyle name="20% - Accent4 2 5" xfId="1049" xr:uid="{00000000-0005-0000-0000-000023020000}"/>
    <cellStyle name="20% - Accent4 2 5 2" xfId="3280" xr:uid="{00000000-0005-0000-0000-000024020000}"/>
    <cellStyle name="20% - Accent4 2 5 2 2" xfId="7504" xr:uid="{00000000-0005-0000-0000-000025020000}"/>
    <cellStyle name="20% - Accent4 2 5 2 2 2" xfId="15933" xr:uid="{2AAF39A1-3760-45B4-A1CF-141B9B9FE1E0}"/>
    <cellStyle name="20% - Accent4 2 5 2 3" xfId="11715" xr:uid="{12AB3212-527D-4C72-B5CF-8BF471308F2A}"/>
    <cellStyle name="20% - Accent4 2 5 3" xfId="5359" xr:uid="{00000000-0005-0000-0000-000026020000}"/>
    <cellStyle name="20% - Accent4 2 5 3 2" xfId="13788" xr:uid="{5F859100-31C3-45F4-B3ED-053945EA1B7A}"/>
    <cellStyle name="20% - Accent4 2 5 4" xfId="9570" xr:uid="{7A393DA5-1FBC-4FF3-9038-8B9FE7274FE8}"/>
    <cellStyle name="20% - Accent4 2 6" xfId="1463" xr:uid="{00000000-0005-0000-0000-000027020000}"/>
    <cellStyle name="20% - Accent4 2 6 2" xfId="3693" xr:uid="{00000000-0005-0000-0000-000028020000}"/>
    <cellStyle name="20% - Accent4 2 6 2 2" xfId="7917" xr:uid="{00000000-0005-0000-0000-000029020000}"/>
    <cellStyle name="20% - Accent4 2 6 2 2 2" xfId="16346" xr:uid="{1DC908FA-2E37-4B0A-A0FA-311E125F6D01}"/>
    <cellStyle name="20% - Accent4 2 6 2 3" xfId="12128" xr:uid="{23230914-5131-4188-8490-A27B5D4623F1}"/>
    <cellStyle name="20% - Accent4 2 6 3" xfId="5772" xr:uid="{00000000-0005-0000-0000-00002A020000}"/>
    <cellStyle name="20% - Accent4 2 6 3 2" xfId="14201" xr:uid="{C8EF5124-A9C0-4966-A260-7FFF9703D20B}"/>
    <cellStyle name="20% - Accent4 2 6 4" xfId="9983" xr:uid="{FF08C977-539F-44E2-81F1-7DE74C738BAD}"/>
    <cellStyle name="20% - Accent4 2 7" xfId="1877" xr:uid="{00000000-0005-0000-0000-00002B020000}"/>
    <cellStyle name="20% - Accent4 2 7 2" xfId="4106" xr:uid="{00000000-0005-0000-0000-00002C020000}"/>
    <cellStyle name="20% - Accent4 2 7 2 2" xfId="8330" xr:uid="{00000000-0005-0000-0000-00002D020000}"/>
    <cellStyle name="20% - Accent4 2 7 2 2 2" xfId="16759" xr:uid="{9D24F2D1-B9F4-4BA4-819E-2AE4561965BF}"/>
    <cellStyle name="20% - Accent4 2 7 2 3" xfId="12541" xr:uid="{FF81833B-11FC-40A1-B116-1A08FA9F45AA}"/>
    <cellStyle name="20% - Accent4 2 7 3" xfId="6185" xr:uid="{00000000-0005-0000-0000-00002E020000}"/>
    <cellStyle name="20% - Accent4 2 7 3 2" xfId="14614" xr:uid="{94B1ED90-102D-42B2-8B2C-11FEDD81B238}"/>
    <cellStyle name="20% - Accent4 2 7 4" xfId="10396" xr:uid="{B3D893CD-EACC-4A5B-B8D1-DCFC5592B542}"/>
    <cellStyle name="20% - Accent4 2 8" xfId="2290" xr:uid="{00000000-0005-0000-0000-00002F020000}"/>
    <cellStyle name="20% - Accent4 2 8 2" xfId="6598" xr:uid="{00000000-0005-0000-0000-000030020000}"/>
    <cellStyle name="20% - Accent4 2 8 2 2" xfId="15027" xr:uid="{1FF69514-BC09-427B-B227-F7A5E362A9D0}"/>
    <cellStyle name="20% - Accent4 2 8 3" xfId="10809" xr:uid="{0CDC3FC4-5A75-4518-ADF0-9B78180C0F56}"/>
    <cellStyle name="20% - Accent4 2 9" xfId="4532" xr:uid="{00000000-0005-0000-0000-000031020000}"/>
    <cellStyle name="20% - Accent4 2 9 2" xfId="12961" xr:uid="{DFB9FDE1-CA4A-4AB1-9882-7D8DB6C488E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2 2 2" xfId="15525" xr:uid="{6E05FF94-E236-4731-BA97-6CC71505B977}"/>
    <cellStyle name="20% - Accent4 3 2 2 2 3" xfId="11307" xr:uid="{04614F5B-0D7F-4F22-9A88-A3D7D8300D67}"/>
    <cellStyle name="20% - Accent4 3 2 2 3" xfId="4951" xr:uid="{00000000-0005-0000-0000-000037020000}"/>
    <cellStyle name="20% - Accent4 3 2 2 3 2" xfId="13380" xr:uid="{0F43200D-F922-429C-A85B-D1C54F978E4C}"/>
    <cellStyle name="20% - Accent4 3 2 2 4" xfId="9162" xr:uid="{2DDCD8E2-1DF4-4AF9-AEC6-E299DEB2D78C}"/>
    <cellStyle name="20% - Accent4 3 2 3" xfId="1054" xr:uid="{00000000-0005-0000-0000-000038020000}"/>
    <cellStyle name="20% - Accent4 3 2 3 2" xfId="3285" xr:uid="{00000000-0005-0000-0000-000039020000}"/>
    <cellStyle name="20% - Accent4 3 2 3 2 2" xfId="7509" xr:uid="{00000000-0005-0000-0000-00003A020000}"/>
    <cellStyle name="20% - Accent4 3 2 3 2 2 2" xfId="15938" xr:uid="{5C1F8943-A18C-4C2D-8227-DBA0C72CE68A}"/>
    <cellStyle name="20% - Accent4 3 2 3 2 3" xfId="11720" xr:uid="{F7197606-ECF3-4D5B-8993-EFE6597CB4D6}"/>
    <cellStyle name="20% - Accent4 3 2 3 3" xfId="5364" xr:uid="{00000000-0005-0000-0000-00003B020000}"/>
    <cellStyle name="20% - Accent4 3 2 3 3 2" xfId="13793" xr:uid="{A4A79718-E162-409F-AD25-B2AD0FF6A2A3}"/>
    <cellStyle name="20% - Accent4 3 2 3 4" xfId="9575" xr:uid="{2BB01915-2D02-408E-9146-208F29CE5F6E}"/>
    <cellStyle name="20% - Accent4 3 2 4" xfId="1468" xr:uid="{00000000-0005-0000-0000-00003C020000}"/>
    <cellStyle name="20% - Accent4 3 2 4 2" xfId="3698" xr:uid="{00000000-0005-0000-0000-00003D020000}"/>
    <cellStyle name="20% - Accent4 3 2 4 2 2" xfId="7922" xr:uid="{00000000-0005-0000-0000-00003E020000}"/>
    <cellStyle name="20% - Accent4 3 2 4 2 2 2" xfId="16351" xr:uid="{74CD446E-19FD-4A90-9657-206A9AA50AD4}"/>
    <cellStyle name="20% - Accent4 3 2 4 2 3" xfId="12133" xr:uid="{C427F53C-86C1-4707-B297-D3FB0E251D1A}"/>
    <cellStyle name="20% - Accent4 3 2 4 3" xfId="5777" xr:uid="{00000000-0005-0000-0000-00003F020000}"/>
    <cellStyle name="20% - Accent4 3 2 4 3 2" xfId="14206" xr:uid="{1644BCD0-8316-4787-9C69-0DE41BE67ABA}"/>
    <cellStyle name="20% - Accent4 3 2 4 4" xfId="9988" xr:uid="{8D631333-3C60-481F-8D0A-1FCEB1922C2C}"/>
    <cellStyle name="20% - Accent4 3 2 5" xfId="1882" xr:uid="{00000000-0005-0000-0000-000040020000}"/>
    <cellStyle name="20% - Accent4 3 2 5 2" xfId="4111" xr:uid="{00000000-0005-0000-0000-000041020000}"/>
    <cellStyle name="20% - Accent4 3 2 5 2 2" xfId="8335" xr:uid="{00000000-0005-0000-0000-000042020000}"/>
    <cellStyle name="20% - Accent4 3 2 5 2 2 2" xfId="16764" xr:uid="{E0ECD3C5-E3A4-4678-BD81-379F5E31E72A}"/>
    <cellStyle name="20% - Accent4 3 2 5 2 3" xfId="12546" xr:uid="{E9C5A92B-7E58-4961-BBC0-B733D064845D}"/>
    <cellStyle name="20% - Accent4 3 2 5 3" xfId="6190" xr:uid="{00000000-0005-0000-0000-000043020000}"/>
    <cellStyle name="20% - Accent4 3 2 5 3 2" xfId="14619" xr:uid="{F7BED9EB-C438-4F7B-841E-E4C28027068E}"/>
    <cellStyle name="20% - Accent4 3 2 5 4" xfId="10401" xr:uid="{85727F12-8AC0-4B7D-8AB5-9293E4C15E54}"/>
    <cellStyle name="20% - Accent4 3 2 6" xfId="2295" xr:uid="{00000000-0005-0000-0000-000044020000}"/>
    <cellStyle name="20% - Accent4 3 2 6 2" xfId="6603" xr:uid="{00000000-0005-0000-0000-000045020000}"/>
    <cellStyle name="20% - Accent4 3 2 6 2 2" xfId="15032" xr:uid="{B3D3F18D-D701-49BE-9F69-E0ED553F9CB9}"/>
    <cellStyle name="20% - Accent4 3 2 6 3" xfId="10814" xr:uid="{58DFEF53-5EA9-4407-90E0-25C9BD142887}"/>
    <cellStyle name="20% - Accent4 3 2 7" xfId="4537" xr:uid="{00000000-0005-0000-0000-000046020000}"/>
    <cellStyle name="20% - Accent4 3 2 7 2" xfId="12966" xr:uid="{FFB16DD1-6340-418A-B42C-F555D3EE45E4}"/>
    <cellStyle name="20% - Accent4 3 2 8" xfId="8748" xr:uid="{964DD2F5-C24A-4E32-A124-7B81E5425D6E}"/>
    <cellStyle name="20% - Accent4 3 3" xfId="600" xr:uid="{00000000-0005-0000-0000-000047020000}"/>
    <cellStyle name="20% - Accent4 3 3 2" xfId="2871" xr:uid="{00000000-0005-0000-0000-000048020000}"/>
    <cellStyle name="20% - Accent4 3 3 2 2" xfId="7095" xr:uid="{00000000-0005-0000-0000-000049020000}"/>
    <cellStyle name="20% - Accent4 3 3 2 2 2" xfId="15524" xr:uid="{60D2024C-2A18-45B6-B7D2-50C975D669F1}"/>
    <cellStyle name="20% - Accent4 3 3 2 3" xfId="11306" xr:uid="{7C0A4C81-4FBB-4AEC-B8C3-A80A41D7A19B}"/>
    <cellStyle name="20% - Accent4 3 3 3" xfId="4950" xr:uid="{00000000-0005-0000-0000-00004A020000}"/>
    <cellStyle name="20% - Accent4 3 3 3 2" xfId="13379" xr:uid="{2BD4F397-5A63-4DD1-8FF7-D04E8AD6906C}"/>
    <cellStyle name="20% - Accent4 3 3 4" xfId="9161" xr:uid="{46AF236B-43EF-4F40-A3E9-E1AD2EDA5D8F}"/>
    <cellStyle name="20% - Accent4 3 4" xfId="1053" xr:uid="{00000000-0005-0000-0000-00004B020000}"/>
    <cellStyle name="20% - Accent4 3 4 2" xfId="3284" xr:uid="{00000000-0005-0000-0000-00004C020000}"/>
    <cellStyle name="20% - Accent4 3 4 2 2" xfId="7508" xr:uid="{00000000-0005-0000-0000-00004D020000}"/>
    <cellStyle name="20% - Accent4 3 4 2 2 2" xfId="15937" xr:uid="{7C43B52E-B424-478C-AD4F-877557D9B1C7}"/>
    <cellStyle name="20% - Accent4 3 4 2 3" xfId="11719" xr:uid="{D824EA96-B2EC-4432-8713-5C15E5AFF450}"/>
    <cellStyle name="20% - Accent4 3 4 3" xfId="5363" xr:uid="{00000000-0005-0000-0000-00004E020000}"/>
    <cellStyle name="20% - Accent4 3 4 3 2" xfId="13792" xr:uid="{517A85A7-8416-4977-A389-DAA68D045594}"/>
    <cellStyle name="20% - Accent4 3 4 4" xfId="9574" xr:uid="{CDA8576B-3202-4098-9C2D-D99EFC335897}"/>
    <cellStyle name="20% - Accent4 3 5" xfId="1467" xr:uid="{00000000-0005-0000-0000-00004F020000}"/>
    <cellStyle name="20% - Accent4 3 5 2" xfId="3697" xr:uid="{00000000-0005-0000-0000-000050020000}"/>
    <cellStyle name="20% - Accent4 3 5 2 2" xfId="7921" xr:uid="{00000000-0005-0000-0000-000051020000}"/>
    <cellStyle name="20% - Accent4 3 5 2 2 2" xfId="16350" xr:uid="{5E2C00F7-CA72-4019-803F-7CFCE2A48021}"/>
    <cellStyle name="20% - Accent4 3 5 2 3" xfId="12132" xr:uid="{400D7278-E9BE-42C5-BCCB-EAA49DDF0D55}"/>
    <cellStyle name="20% - Accent4 3 5 3" xfId="5776" xr:uid="{00000000-0005-0000-0000-000052020000}"/>
    <cellStyle name="20% - Accent4 3 5 3 2" xfId="14205" xr:uid="{0FF51AD0-AEB9-4C82-9E33-584E84A08655}"/>
    <cellStyle name="20% - Accent4 3 5 4" xfId="9987" xr:uid="{505E1030-73FC-4FB7-909F-34DCBD988CFD}"/>
    <cellStyle name="20% - Accent4 3 6" xfId="1881" xr:uid="{00000000-0005-0000-0000-000053020000}"/>
    <cellStyle name="20% - Accent4 3 6 2" xfId="4110" xr:uid="{00000000-0005-0000-0000-000054020000}"/>
    <cellStyle name="20% - Accent4 3 6 2 2" xfId="8334" xr:uid="{00000000-0005-0000-0000-000055020000}"/>
    <cellStyle name="20% - Accent4 3 6 2 2 2" xfId="16763" xr:uid="{CF3D8EFA-DFFD-4421-B86F-26CAB7725D10}"/>
    <cellStyle name="20% - Accent4 3 6 2 3" xfId="12545" xr:uid="{101A535F-64D5-49A1-930C-BC7F66220114}"/>
    <cellStyle name="20% - Accent4 3 6 3" xfId="6189" xr:uid="{00000000-0005-0000-0000-000056020000}"/>
    <cellStyle name="20% - Accent4 3 6 3 2" xfId="14618" xr:uid="{79975B98-E88F-4F8A-BAC3-8C6FC09A6A7B}"/>
    <cellStyle name="20% - Accent4 3 6 4" xfId="10400" xr:uid="{83BBB0BE-4CB0-4AA8-BE2A-4DED6E50DFDF}"/>
    <cellStyle name="20% - Accent4 3 7" xfId="2294" xr:uid="{00000000-0005-0000-0000-000057020000}"/>
    <cellStyle name="20% - Accent4 3 7 2" xfId="6602" xr:uid="{00000000-0005-0000-0000-000058020000}"/>
    <cellStyle name="20% - Accent4 3 7 2 2" xfId="15031" xr:uid="{5BAF9128-E792-4840-A959-D85A1E02C1F7}"/>
    <cellStyle name="20% - Accent4 3 7 3" xfId="10813" xr:uid="{4C44C322-54BD-4446-8273-BD45FC11F883}"/>
    <cellStyle name="20% - Accent4 3 8" xfId="4536" xr:uid="{00000000-0005-0000-0000-000059020000}"/>
    <cellStyle name="20% - Accent4 3 8 2" xfId="12965" xr:uid="{F9032FC6-38E6-47C2-A808-2302770A76D6}"/>
    <cellStyle name="20% - Accent4 3 9" xfId="8747" xr:uid="{4518C59B-E4E1-4A32-9CCE-0D6C9372E43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2 2 2" xfId="15526" xr:uid="{344F4130-D345-47B0-AA49-FAA3F61C040A}"/>
    <cellStyle name="20% - Accent4 4 2 2 3" xfId="11308" xr:uid="{9DAD964E-52CD-4D52-B813-4745DE767539}"/>
    <cellStyle name="20% - Accent4 4 2 3" xfId="4952" xr:uid="{00000000-0005-0000-0000-00005E020000}"/>
    <cellStyle name="20% - Accent4 4 2 3 2" xfId="13381" xr:uid="{587850EF-2F78-4C02-8851-BE9AEE10B8C0}"/>
    <cellStyle name="20% - Accent4 4 2 4" xfId="9163" xr:uid="{848390DE-C27D-4E65-A173-EC56C45C9FEB}"/>
    <cellStyle name="20% - Accent4 4 3" xfId="1055" xr:uid="{00000000-0005-0000-0000-00005F020000}"/>
    <cellStyle name="20% - Accent4 4 3 2" xfId="3286" xr:uid="{00000000-0005-0000-0000-000060020000}"/>
    <cellStyle name="20% - Accent4 4 3 2 2" xfId="7510" xr:uid="{00000000-0005-0000-0000-000061020000}"/>
    <cellStyle name="20% - Accent4 4 3 2 2 2" xfId="15939" xr:uid="{0D1A0C40-B67D-42C3-A766-35CEFBEC5082}"/>
    <cellStyle name="20% - Accent4 4 3 2 3" xfId="11721" xr:uid="{BC7D1729-2928-4F28-8976-CC2BFC223457}"/>
    <cellStyle name="20% - Accent4 4 3 3" xfId="5365" xr:uid="{00000000-0005-0000-0000-000062020000}"/>
    <cellStyle name="20% - Accent4 4 3 3 2" xfId="13794" xr:uid="{3D45D80B-C44F-4C5D-8869-81CA36638162}"/>
    <cellStyle name="20% - Accent4 4 3 4" xfId="9576" xr:uid="{260C2563-4D0D-4316-B7CA-36D5432BA630}"/>
    <cellStyle name="20% - Accent4 4 4" xfId="1469" xr:uid="{00000000-0005-0000-0000-000063020000}"/>
    <cellStyle name="20% - Accent4 4 4 2" xfId="3699" xr:uid="{00000000-0005-0000-0000-000064020000}"/>
    <cellStyle name="20% - Accent4 4 4 2 2" xfId="7923" xr:uid="{00000000-0005-0000-0000-000065020000}"/>
    <cellStyle name="20% - Accent4 4 4 2 2 2" xfId="16352" xr:uid="{AC9A0156-5118-415B-AD44-155F1B7F5012}"/>
    <cellStyle name="20% - Accent4 4 4 2 3" xfId="12134" xr:uid="{4953375E-60E3-43AE-BD7B-2495F03593E6}"/>
    <cellStyle name="20% - Accent4 4 4 3" xfId="5778" xr:uid="{00000000-0005-0000-0000-000066020000}"/>
    <cellStyle name="20% - Accent4 4 4 3 2" xfId="14207" xr:uid="{8506710C-CFD7-4D6E-851A-1459E82186C1}"/>
    <cellStyle name="20% - Accent4 4 4 4" xfId="9989" xr:uid="{6FE104F8-164F-4072-91ED-3E21F8DC92CA}"/>
    <cellStyle name="20% - Accent4 4 5" xfId="1883" xr:uid="{00000000-0005-0000-0000-000067020000}"/>
    <cellStyle name="20% - Accent4 4 5 2" xfId="4112" xr:uid="{00000000-0005-0000-0000-000068020000}"/>
    <cellStyle name="20% - Accent4 4 5 2 2" xfId="8336" xr:uid="{00000000-0005-0000-0000-000069020000}"/>
    <cellStyle name="20% - Accent4 4 5 2 2 2" xfId="16765" xr:uid="{EA07FC08-97F3-4A68-86E7-0A7857F9CB40}"/>
    <cellStyle name="20% - Accent4 4 5 2 3" xfId="12547" xr:uid="{B774EA31-4A4E-45E3-82C1-C98027405B65}"/>
    <cellStyle name="20% - Accent4 4 5 3" xfId="6191" xr:uid="{00000000-0005-0000-0000-00006A020000}"/>
    <cellStyle name="20% - Accent4 4 5 3 2" xfId="14620" xr:uid="{FE10ADAD-29E1-4E1A-8FE3-8E6E0710D9AA}"/>
    <cellStyle name="20% - Accent4 4 5 4" xfId="10402" xr:uid="{31F41D3E-1E72-47A5-93FA-A6A7C94F9A03}"/>
    <cellStyle name="20% - Accent4 4 6" xfId="2296" xr:uid="{00000000-0005-0000-0000-00006B020000}"/>
    <cellStyle name="20% - Accent4 4 6 2" xfId="6604" xr:uid="{00000000-0005-0000-0000-00006C020000}"/>
    <cellStyle name="20% - Accent4 4 6 2 2" xfId="15033" xr:uid="{392B39B0-3BB7-4602-9538-C3D8474636B6}"/>
    <cellStyle name="20% - Accent4 4 6 3" xfId="10815" xr:uid="{DE3A8F67-F40C-4342-AE9C-4E22AEFB8DA2}"/>
    <cellStyle name="20% - Accent4 4 7" xfId="4538" xr:uid="{00000000-0005-0000-0000-00006D020000}"/>
    <cellStyle name="20% - Accent4 4 7 2" xfId="12967" xr:uid="{D9438746-6AE2-4D0B-B6B4-12702AEC1878}"/>
    <cellStyle name="20% - Accent4 4 8" xfId="8749" xr:uid="{E1750349-65E7-48B6-A7C8-66EEAF91F38A}"/>
    <cellStyle name="20% - Accent4 5" xfId="595" xr:uid="{00000000-0005-0000-0000-00006E020000}"/>
    <cellStyle name="20% - Accent4 5 2" xfId="2866" xr:uid="{00000000-0005-0000-0000-00006F020000}"/>
    <cellStyle name="20% - Accent4 5 2 2" xfId="7090" xr:uid="{00000000-0005-0000-0000-000070020000}"/>
    <cellStyle name="20% - Accent4 5 2 2 2" xfId="15519" xr:uid="{3439F4FF-C9B2-4A57-AF32-4384B2DCF77B}"/>
    <cellStyle name="20% - Accent4 5 2 3" xfId="11301" xr:uid="{37A1A255-ACFF-4226-873A-E715A078C2A3}"/>
    <cellStyle name="20% - Accent4 5 3" xfId="4945" xr:uid="{00000000-0005-0000-0000-000071020000}"/>
    <cellStyle name="20% - Accent4 5 3 2" xfId="13374" xr:uid="{77A5E61D-7726-4EA4-8C2C-576433A9D5C1}"/>
    <cellStyle name="20% - Accent4 5 4" xfId="9156" xr:uid="{3D679685-CF10-4C19-8923-8EBC4941CE5C}"/>
    <cellStyle name="20% - Accent4 6" xfId="1048" xr:uid="{00000000-0005-0000-0000-000072020000}"/>
    <cellStyle name="20% - Accent4 6 2" xfId="3279" xr:uid="{00000000-0005-0000-0000-000073020000}"/>
    <cellStyle name="20% - Accent4 6 2 2" xfId="7503" xr:uid="{00000000-0005-0000-0000-000074020000}"/>
    <cellStyle name="20% - Accent4 6 2 2 2" xfId="15932" xr:uid="{C2DB6D08-BB01-4534-83E2-B19507A84FBA}"/>
    <cellStyle name="20% - Accent4 6 2 3" xfId="11714" xr:uid="{E486A94B-8919-4E04-B095-9D554A3B49F6}"/>
    <cellStyle name="20% - Accent4 6 3" xfId="5358" xr:uid="{00000000-0005-0000-0000-000075020000}"/>
    <cellStyle name="20% - Accent4 6 3 2" xfId="13787" xr:uid="{137C012A-1E24-4D15-AAE9-B43D827F40A4}"/>
    <cellStyle name="20% - Accent4 6 4" xfId="9569" xr:uid="{5BE10587-220A-43AD-A022-0C9116E1013C}"/>
    <cellStyle name="20% - Accent4 7" xfId="1462" xr:uid="{00000000-0005-0000-0000-000076020000}"/>
    <cellStyle name="20% - Accent4 7 2" xfId="3692" xr:uid="{00000000-0005-0000-0000-000077020000}"/>
    <cellStyle name="20% - Accent4 7 2 2" xfId="7916" xr:uid="{00000000-0005-0000-0000-000078020000}"/>
    <cellStyle name="20% - Accent4 7 2 2 2" xfId="16345" xr:uid="{39EE4D51-4DD0-4EEA-9937-70570DA09B89}"/>
    <cellStyle name="20% - Accent4 7 2 3" xfId="12127" xr:uid="{B4EBC9EF-94C4-4332-89F6-C356B0FEF552}"/>
    <cellStyle name="20% - Accent4 7 3" xfId="5771" xr:uid="{00000000-0005-0000-0000-000079020000}"/>
    <cellStyle name="20% - Accent4 7 3 2" xfId="14200" xr:uid="{163B09C6-C88E-45F7-B8B0-AF47E4857AE3}"/>
    <cellStyle name="20% - Accent4 7 4" xfId="9982" xr:uid="{235D8231-EF7A-4738-8F45-9A1EE0EE3126}"/>
    <cellStyle name="20% - Accent4 8" xfId="1876" xr:uid="{00000000-0005-0000-0000-00007A020000}"/>
    <cellStyle name="20% - Accent4 8 2" xfId="4105" xr:uid="{00000000-0005-0000-0000-00007B020000}"/>
    <cellStyle name="20% - Accent4 8 2 2" xfId="8329" xr:uid="{00000000-0005-0000-0000-00007C020000}"/>
    <cellStyle name="20% - Accent4 8 2 2 2" xfId="16758" xr:uid="{0DF7C8EB-42A6-4F5D-9B5E-DE9F3122993C}"/>
    <cellStyle name="20% - Accent4 8 2 3" xfId="12540" xr:uid="{06BA9048-DC90-4328-9AC8-EE51C7F9AA1E}"/>
    <cellStyle name="20% - Accent4 8 3" xfId="6184" xr:uid="{00000000-0005-0000-0000-00007D020000}"/>
    <cellStyle name="20% - Accent4 8 3 2" xfId="14613" xr:uid="{4B8BDCFB-6287-4C11-850B-22ACC1667085}"/>
    <cellStyle name="20% - Accent4 8 4" xfId="10395" xr:uid="{F1A77997-988A-4869-98A4-146897F0D243}"/>
    <cellStyle name="20% - Accent4 9" xfId="2289" xr:uid="{00000000-0005-0000-0000-00007E020000}"/>
    <cellStyle name="20% - Accent4 9 2" xfId="6597" xr:uid="{00000000-0005-0000-0000-00007F020000}"/>
    <cellStyle name="20% - Accent4 9 2 2" xfId="15026" xr:uid="{4A4979A2-C2F2-4F8A-BF07-751D77B01C49}"/>
    <cellStyle name="20% - Accent4 9 3" xfId="10808" xr:uid="{22CA27E4-A375-4BB4-8274-C7CAB299BCAA}"/>
    <cellStyle name="20% - Accent5" xfId="33" builtinId="46" customBuiltin="1"/>
    <cellStyle name="20% - Accent5 10" xfId="4539" xr:uid="{00000000-0005-0000-0000-000081020000}"/>
    <cellStyle name="20% - Accent5 10 2" xfId="12968" xr:uid="{D9C10A00-C75D-4D11-8B87-80554107CEBC}"/>
    <cellStyle name="20% - Accent5 11" xfId="8750" xr:uid="{40F6CB3C-D9AE-42AD-9AD1-80187BA7A774}"/>
    <cellStyle name="20% - Accent5 2" xfId="34" xr:uid="{00000000-0005-0000-0000-000082020000}"/>
    <cellStyle name="20% - Accent5 2 10" xfId="8751" xr:uid="{899E59F8-22DC-441F-AB94-CCE85F6E98D6}"/>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2 2 2" xfId="15530" xr:uid="{D79AD9BB-D856-4196-81F7-408428C6E419}"/>
    <cellStyle name="20% - Accent5 2 2 2 2 2 3" xfId="11312" xr:uid="{BFD9B76A-9EE2-4DAB-9FA1-978F42206E03}"/>
    <cellStyle name="20% - Accent5 2 2 2 2 3" xfId="4956" xr:uid="{00000000-0005-0000-0000-000088020000}"/>
    <cellStyle name="20% - Accent5 2 2 2 2 3 2" xfId="13385" xr:uid="{5B2329C9-BD28-4DD9-A78B-58C1289C9D77}"/>
    <cellStyle name="20% - Accent5 2 2 2 2 4" xfId="9167" xr:uid="{B4E0C0F4-7CBE-4D7A-9B4F-D146113BEE4D}"/>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2 2 2" xfId="15943" xr:uid="{BFC3C94B-F2F0-44B2-B13B-B241119368D0}"/>
    <cellStyle name="20% - Accent5 2 2 2 3 2 3" xfId="11725" xr:uid="{BC151C88-991B-40CC-8848-D4F53B715C25}"/>
    <cellStyle name="20% - Accent5 2 2 2 3 3" xfId="5369" xr:uid="{00000000-0005-0000-0000-00008C020000}"/>
    <cellStyle name="20% - Accent5 2 2 2 3 3 2" xfId="13798" xr:uid="{2287020E-CFC6-4F49-8B3C-0FC0C7B95388}"/>
    <cellStyle name="20% - Accent5 2 2 2 3 4" xfId="9580" xr:uid="{162545EB-B4B6-433B-9F00-7AD95B5C672B}"/>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2 2 2" xfId="16356" xr:uid="{565F3760-4284-4452-8B10-0E30B7D1316A}"/>
    <cellStyle name="20% - Accent5 2 2 2 4 2 3" xfId="12138" xr:uid="{7AFC2FF5-D50E-4425-BBCD-FCA4B7073495}"/>
    <cellStyle name="20% - Accent5 2 2 2 4 3" xfId="5782" xr:uid="{00000000-0005-0000-0000-000090020000}"/>
    <cellStyle name="20% - Accent5 2 2 2 4 3 2" xfId="14211" xr:uid="{35FB7066-C652-40DB-9352-377FA9BC9DAB}"/>
    <cellStyle name="20% - Accent5 2 2 2 4 4" xfId="9993" xr:uid="{6C37F698-B525-49AF-BACD-16EB8848E7C2}"/>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2 2 2" xfId="16769" xr:uid="{9AA12523-BA79-4C8C-9DE5-E478C807075D}"/>
    <cellStyle name="20% - Accent5 2 2 2 5 2 3" xfId="12551" xr:uid="{F0E7FE7A-3E74-4DCE-8E0F-91ACE2BB5B14}"/>
    <cellStyle name="20% - Accent5 2 2 2 5 3" xfId="6195" xr:uid="{00000000-0005-0000-0000-000094020000}"/>
    <cellStyle name="20% - Accent5 2 2 2 5 3 2" xfId="14624" xr:uid="{AF2D31AF-C7AD-4547-AFB6-F2E9D8120E4B}"/>
    <cellStyle name="20% - Accent5 2 2 2 5 4" xfId="10406" xr:uid="{56BE4F08-4012-4D03-B0FA-92A9A99DCCB6}"/>
    <cellStyle name="20% - Accent5 2 2 2 6" xfId="2300" xr:uid="{00000000-0005-0000-0000-000095020000}"/>
    <cellStyle name="20% - Accent5 2 2 2 6 2" xfId="6608" xr:uid="{00000000-0005-0000-0000-000096020000}"/>
    <cellStyle name="20% - Accent5 2 2 2 6 2 2" xfId="15037" xr:uid="{51D4549F-A9A2-42B2-A730-86B3CCBCFDE6}"/>
    <cellStyle name="20% - Accent5 2 2 2 6 3" xfId="10819" xr:uid="{5A5651DE-1601-413D-998E-21E97E6033A3}"/>
    <cellStyle name="20% - Accent5 2 2 2 7" xfId="4542" xr:uid="{00000000-0005-0000-0000-000097020000}"/>
    <cellStyle name="20% - Accent5 2 2 2 7 2" xfId="12971" xr:uid="{2DC50361-12F5-4147-99CA-9419C621BC04}"/>
    <cellStyle name="20% - Accent5 2 2 2 8" xfId="8753" xr:uid="{5538A778-4F4C-4D56-8D68-DEA535AE8866}"/>
    <cellStyle name="20% - Accent5 2 2 3" xfId="605" xr:uid="{00000000-0005-0000-0000-000098020000}"/>
    <cellStyle name="20% - Accent5 2 2 3 2" xfId="2876" xr:uid="{00000000-0005-0000-0000-000099020000}"/>
    <cellStyle name="20% - Accent5 2 2 3 2 2" xfId="7100" xr:uid="{00000000-0005-0000-0000-00009A020000}"/>
    <cellStyle name="20% - Accent5 2 2 3 2 2 2" xfId="15529" xr:uid="{ED691E24-57DC-4F06-9496-90504D97AD27}"/>
    <cellStyle name="20% - Accent5 2 2 3 2 3" xfId="11311" xr:uid="{04B08138-E0AD-43ED-BD3F-88FFBCAFAAE6}"/>
    <cellStyle name="20% - Accent5 2 2 3 3" xfId="4955" xr:uid="{00000000-0005-0000-0000-00009B020000}"/>
    <cellStyle name="20% - Accent5 2 2 3 3 2" xfId="13384" xr:uid="{C07F1770-09A2-4403-9DAB-3D6C3CDB7373}"/>
    <cellStyle name="20% - Accent5 2 2 3 4" xfId="9166" xr:uid="{3CEBFD65-6932-4DB1-919B-046B66FDA09D}"/>
    <cellStyle name="20% - Accent5 2 2 4" xfId="1058" xr:uid="{00000000-0005-0000-0000-00009C020000}"/>
    <cellStyle name="20% - Accent5 2 2 4 2" xfId="3289" xr:uid="{00000000-0005-0000-0000-00009D020000}"/>
    <cellStyle name="20% - Accent5 2 2 4 2 2" xfId="7513" xr:uid="{00000000-0005-0000-0000-00009E020000}"/>
    <cellStyle name="20% - Accent5 2 2 4 2 2 2" xfId="15942" xr:uid="{F169BE70-F82B-48D0-BCC5-BF1D03C935A4}"/>
    <cellStyle name="20% - Accent5 2 2 4 2 3" xfId="11724" xr:uid="{D13512B1-5C59-4425-BB99-8296E7C039C3}"/>
    <cellStyle name="20% - Accent5 2 2 4 3" xfId="5368" xr:uid="{00000000-0005-0000-0000-00009F020000}"/>
    <cellStyle name="20% - Accent5 2 2 4 3 2" xfId="13797" xr:uid="{B99A9BC7-86D1-4773-A174-573B0A619A9C}"/>
    <cellStyle name="20% - Accent5 2 2 4 4" xfId="9579" xr:uid="{CBFB9CF0-1D3C-4338-99A1-66080EB81019}"/>
    <cellStyle name="20% - Accent5 2 2 5" xfId="1472" xr:uid="{00000000-0005-0000-0000-0000A0020000}"/>
    <cellStyle name="20% - Accent5 2 2 5 2" xfId="3702" xr:uid="{00000000-0005-0000-0000-0000A1020000}"/>
    <cellStyle name="20% - Accent5 2 2 5 2 2" xfId="7926" xr:uid="{00000000-0005-0000-0000-0000A2020000}"/>
    <cellStyle name="20% - Accent5 2 2 5 2 2 2" xfId="16355" xr:uid="{9F72FBC1-8C66-4F74-9C32-34715EBF4277}"/>
    <cellStyle name="20% - Accent5 2 2 5 2 3" xfId="12137" xr:uid="{8506F18B-E8DC-4FBF-A145-4357F93F4A28}"/>
    <cellStyle name="20% - Accent5 2 2 5 3" xfId="5781" xr:uid="{00000000-0005-0000-0000-0000A3020000}"/>
    <cellStyle name="20% - Accent5 2 2 5 3 2" xfId="14210" xr:uid="{B15C3FFA-3E20-4C13-8036-07C95FA1A9DF}"/>
    <cellStyle name="20% - Accent5 2 2 5 4" xfId="9992" xr:uid="{69AC7AAA-10DB-43B8-8D71-CCB581FF0920}"/>
    <cellStyle name="20% - Accent5 2 2 6" xfId="1886" xr:uid="{00000000-0005-0000-0000-0000A4020000}"/>
    <cellStyle name="20% - Accent5 2 2 6 2" xfId="4115" xr:uid="{00000000-0005-0000-0000-0000A5020000}"/>
    <cellStyle name="20% - Accent5 2 2 6 2 2" xfId="8339" xr:uid="{00000000-0005-0000-0000-0000A6020000}"/>
    <cellStyle name="20% - Accent5 2 2 6 2 2 2" xfId="16768" xr:uid="{E0F27F56-5524-432C-9763-3DC1BDF38D20}"/>
    <cellStyle name="20% - Accent5 2 2 6 2 3" xfId="12550" xr:uid="{F6004E0E-1E15-4939-B7A6-4A1037509DE9}"/>
    <cellStyle name="20% - Accent5 2 2 6 3" xfId="6194" xr:uid="{00000000-0005-0000-0000-0000A7020000}"/>
    <cellStyle name="20% - Accent5 2 2 6 3 2" xfId="14623" xr:uid="{C0FDFC19-F637-424D-83C8-BE226DB2D019}"/>
    <cellStyle name="20% - Accent5 2 2 6 4" xfId="10405" xr:uid="{DD5A40C8-4F82-409B-9318-EAA4AB08F8DD}"/>
    <cellStyle name="20% - Accent5 2 2 7" xfId="2299" xr:uid="{00000000-0005-0000-0000-0000A8020000}"/>
    <cellStyle name="20% - Accent5 2 2 7 2" xfId="6607" xr:uid="{00000000-0005-0000-0000-0000A9020000}"/>
    <cellStyle name="20% - Accent5 2 2 7 2 2" xfId="15036" xr:uid="{EED21B51-DE21-4DF1-B2A0-0C96F678BA2E}"/>
    <cellStyle name="20% - Accent5 2 2 7 3" xfId="10818" xr:uid="{A017293A-AC5D-4666-A8D8-4593201B4399}"/>
    <cellStyle name="20% - Accent5 2 2 8" xfId="4541" xr:uid="{00000000-0005-0000-0000-0000AA020000}"/>
    <cellStyle name="20% - Accent5 2 2 8 2" xfId="12970" xr:uid="{1A231340-2B70-4DFC-A848-F3DC70396892}"/>
    <cellStyle name="20% - Accent5 2 2 9" xfId="8752" xr:uid="{F38B360E-412B-4D99-BB04-3F6626583539}"/>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2 2 2" xfId="15531" xr:uid="{0F11D829-52B3-44B2-A56A-0007D96EFBEE}"/>
    <cellStyle name="20% - Accent5 2 3 2 2 3" xfId="11313" xr:uid="{683BA8C2-B34F-4FF7-8B7C-1CDB7E9323C6}"/>
    <cellStyle name="20% - Accent5 2 3 2 3" xfId="4957" xr:uid="{00000000-0005-0000-0000-0000AF020000}"/>
    <cellStyle name="20% - Accent5 2 3 2 3 2" xfId="13386" xr:uid="{5B92D620-8C89-449E-A9D9-1324D39F2452}"/>
    <cellStyle name="20% - Accent5 2 3 2 4" xfId="9168" xr:uid="{25BF923F-A0B5-4171-8D8F-64CBB167E69A}"/>
    <cellStyle name="20% - Accent5 2 3 3" xfId="1060" xr:uid="{00000000-0005-0000-0000-0000B0020000}"/>
    <cellStyle name="20% - Accent5 2 3 3 2" xfId="3291" xr:uid="{00000000-0005-0000-0000-0000B1020000}"/>
    <cellStyle name="20% - Accent5 2 3 3 2 2" xfId="7515" xr:uid="{00000000-0005-0000-0000-0000B2020000}"/>
    <cellStyle name="20% - Accent5 2 3 3 2 2 2" xfId="15944" xr:uid="{F9530C46-AD25-40C4-93BA-F1ACC4B95140}"/>
    <cellStyle name="20% - Accent5 2 3 3 2 3" xfId="11726" xr:uid="{D6347505-72F8-444F-9109-770CB2A42799}"/>
    <cellStyle name="20% - Accent5 2 3 3 3" xfId="5370" xr:uid="{00000000-0005-0000-0000-0000B3020000}"/>
    <cellStyle name="20% - Accent5 2 3 3 3 2" xfId="13799" xr:uid="{F2BA996D-9F6E-470E-B8B4-E702CF65E1D5}"/>
    <cellStyle name="20% - Accent5 2 3 3 4" xfId="9581" xr:uid="{0C7001E7-02AB-4D84-A8ED-6997F8AB21EB}"/>
    <cellStyle name="20% - Accent5 2 3 4" xfId="1474" xr:uid="{00000000-0005-0000-0000-0000B4020000}"/>
    <cellStyle name="20% - Accent5 2 3 4 2" xfId="3704" xr:uid="{00000000-0005-0000-0000-0000B5020000}"/>
    <cellStyle name="20% - Accent5 2 3 4 2 2" xfId="7928" xr:uid="{00000000-0005-0000-0000-0000B6020000}"/>
    <cellStyle name="20% - Accent5 2 3 4 2 2 2" xfId="16357" xr:uid="{B28AC25D-78B6-4E26-A6E1-6DC97F014C91}"/>
    <cellStyle name="20% - Accent5 2 3 4 2 3" xfId="12139" xr:uid="{9749320A-430A-48A5-BBA6-D455E5B56379}"/>
    <cellStyle name="20% - Accent5 2 3 4 3" xfId="5783" xr:uid="{00000000-0005-0000-0000-0000B7020000}"/>
    <cellStyle name="20% - Accent5 2 3 4 3 2" xfId="14212" xr:uid="{0E496894-3499-4F24-9557-2B739108515C}"/>
    <cellStyle name="20% - Accent5 2 3 4 4" xfId="9994" xr:uid="{AD2E4CE6-31E7-4B0A-8DD3-46E000D88F6A}"/>
    <cellStyle name="20% - Accent5 2 3 5" xfId="1888" xr:uid="{00000000-0005-0000-0000-0000B8020000}"/>
    <cellStyle name="20% - Accent5 2 3 5 2" xfId="4117" xr:uid="{00000000-0005-0000-0000-0000B9020000}"/>
    <cellStyle name="20% - Accent5 2 3 5 2 2" xfId="8341" xr:uid="{00000000-0005-0000-0000-0000BA020000}"/>
    <cellStyle name="20% - Accent5 2 3 5 2 2 2" xfId="16770" xr:uid="{76EDDB12-8BAD-4AC3-BAEC-8B4909F420E0}"/>
    <cellStyle name="20% - Accent5 2 3 5 2 3" xfId="12552" xr:uid="{ACF11E7B-DA53-4F3E-B80C-9EA530EE3837}"/>
    <cellStyle name="20% - Accent5 2 3 5 3" xfId="6196" xr:uid="{00000000-0005-0000-0000-0000BB020000}"/>
    <cellStyle name="20% - Accent5 2 3 5 3 2" xfId="14625" xr:uid="{14D7F7E7-75EE-46DD-A427-83451F370F68}"/>
    <cellStyle name="20% - Accent5 2 3 5 4" xfId="10407" xr:uid="{C4AAB138-F6DA-463E-849A-798470788BC9}"/>
    <cellStyle name="20% - Accent5 2 3 6" xfId="2301" xr:uid="{00000000-0005-0000-0000-0000BC020000}"/>
    <cellStyle name="20% - Accent5 2 3 6 2" xfId="6609" xr:uid="{00000000-0005-0000-0000-0000BD020000}"/>
    <cellStyle name="20% - Accent5 2 3 6 2 2" xfId="15038" xr:uid="{EE170AFE-18FD-42FF-AF0E-B77CDC9A7142}"/>
    <cellStyle name="20% - Accent5 2 3 6 3" xfId="10820" xr:uid="{E7AFCD4C-F8A8-411F-92B1-E36AA3309622}"/>
    <cellStyle name="20% - Accent5 2 3 7" xfId="4543" xr:uid="{00000000-0005-0000-0000-0000BE020000}"/>
    <cellStyle name="20% - Accent5 2 3 7 2" xfId="12972" xr:uid="{9A289FB7-D258-4D43-842F-590CE5F88B07}"/>
    <cellStyle name="20% - Accent5 2 3 8" xfId="8754" xr:uid="{E34C6FCE-313A-42ED-8490-C2501C4846DC}"/>
    <cellStyle name="20% - Accent5 2 4" xfId="604" xr:uid="{00000000-0005-0000-0000-0000BF020000}"/>
    <cellStyle name="20% - Accent5 2 4 2" xfId="2875" xr:uid="{00000000-0005-0000-0000-0000C0020000}"/>
    <cellStyle name="20% - Accent5 2 4 2 2" xfId="7099" xr:uid="{00000000-0005-0000-0000-0000C1020000}"/>
    <cellStyle name="20% - Accent5 2 4 2 2 2" xfId="15528" xr:uid="{45E174F9-58E6-4D4D-9738-3309E6583C0D}"/>
    <cellStyle name="20% - Accent5 2 4 2 3" xfId="11310" xr:uid="{6DFB1E77-9250-4141-8071-EDAB5F04ED55}"/>
    <cellStyle name="20% - Accent5 2 4 3" xfId="4954" xr:uid="{00000000-0005-0000-0000-0000C2020000}"/>
    <cellStyle name="20% - Accent5 2 4 3 2" xfId="13383" xr:uid="{989E457E-2FBA-4D55-B603-10ACE8275B89}"/>
    <cellStyle name="20% - Accent5 2 4 4" xfId="9165" xr:uid="{37ACC509-6B58-4C99-A609-E1008F8EB6C0}"/>
    <cellStyle name="20% - Accent5 2 5" xfId="1057" xr:uid="{00000000-0005-0000-0000-0000C3020000}"/>
    <cellStyle name="20% - Accent5 2 5 2" xfId="3288" xr:uid="{00000000-0005-0000-0000-0000C4020000}"/>
    <cellStyle name="20% - Accent5 2 5 2 2" xfId="7512" xr:uid="{00000000-0005-0000-0000-0000C5020000}"/>
    <cellStyle name="20% - Accent5 2 5 2 2 2" xfId="15941" xr:uid="{B8C288B4-6997-4C54-87B0-B15DCC7401CD}"/>
    <cellStyle name="20% - Accent5 2 5 2 3" xfId="11723" xr:uid="{3F7C0EB4-3336-427E-B6E0-14E4E9A9C5A3}"/>
    <cellStyle name="20% - Accent5 2 5 3" xfId="5367" xr:uid="{00000000-0005-0000-0000-0000C6020000}"/>
    <cellStyle name="20% - Accent5 2 5 3 2" xfId="13796" xr:uid="{B24AF240-83AD-47EC-9902-57B7F84BFA2A}"/>
    <cellStyle name="20% - Accent5 2 5 4" xfId="9578" xr:uid="{B05C8463-85EA-4B8C-A1FC-96E04B6BFFAA}"/>
    <cellStyle name="20% - Accent5 2 6" xfId="1471" xr:uid="{00000000-0005-0000-0000-0000C7020000}"/>
    <cellStyle name="20% - Accent5 2 6 2" xfId="3701" xr:uid="{00000000-0005-0000-0000-0000C8020000}"/>
    <cellStyle name="20% - Accent5 2 6 2 2" xfId="7925" xr:uid="{00000000-0005-0000-0000-0000C9020000}"/>
    <cellStyle name="20% - Accent5 2 6 2 2 2" xfId="16354" xr:uid="{D535F5B4-0AB6-43A3-96C7-498FCA82B27A}"/>
    <cellStyle name="20% - Accent5 2 6 2 3" xfId="12136" xr:uid="{F5A9A37F-D7E2-4F81-B4E7-944CC46E3457}"/>
    <cellStyle name="20% - Accent5 2 6 3" xfId="5780" xr:uid="{00000000-0005-0000-0000-0000CA020000}"/>
    <cellStyle name="20% - Accent5 2 6 3 2" xfId="14209" xr:uid="{580F0A1F-7667-4165-BB92-4E1FD3FF612A}"/>
    <cellStyle name="20% - Accent5 2 6 4" xfId="9991" xr:uid="{E124B690-744F-4727-B025-77BC2DE0ADE0}"/>
    <cellStyle name="20% - Accent5 2 7" xfId="1885" xr:uid="{00000000-0005-0000-0000-0000CB020000}"/>
    <cellStyle name="20% - Accent5 2 7 2" xfId="4114" xr:uid="{00000000-0005-0000-0000-0000CC020000}"/>
    <cellStyle name="20% - Accent5 2 7 2 2" xfId="8338" xr:uid="{00000000-0005-0000-0000-0000CD020000}"/>
    <cellStyle name="20% - Accent5 2 7 2 2 2" xfId="16767" xr:uid="{D5270D5F-FBBE-450C-9BF2-1B23C942E936}"/>
    <cellStyle name="20% - Accent5 2 7 2 3" xfId="12549" xr:uid="{732B8E42-8E87-49B3-BA2F-106197BCB60D}"/>
    <cellStyle name="20% - Accent5 2 7 3" xfId="6193" xr:uid="{00000000-0005-0000-0000-0000CE020000}"/>
    <cellStyle name="20% - Accent5 2 7 3 2" xfId="14622" xr:uid="{1520D4FB-5DC6-48D3-91DB-3842CB16BCA7}"/>
    <cellStyle name="20% - Accent5 2 7 4" xfId="10404" xr:uid="{CC210792-4FD7-4486-8C49-4C4E061F3443}"/>
    <cellStyle name="20% - Accent5 2 8" xfId="2298" xr:uid="{00000000-0005-0000-0000-0000CF020000}"/>
    <cellStyle name="20% - Accent5 2 8 2" xfId="6606" xr:uid="{00000000-0005-0000-0000-0000D0020000}"/>
    <cellStyle name="20% - Accent5 2 8 2 2" xfId="15035" xr:uid="{1F9DBCB8-2877-40F1-8A3B-0AB64297B7FF}"/>
    <cellStyle name="20% - Accent5 2 8 3" xfId="10817" xr:uid="{B9032FFB-8E95-43C9-B7B3-90F1F0BF5EF1}"/>
    <cellStyle name="20% - Accent5 2 9" xfId="4540" xr:uid="{00000000-0005-0000-0000-0000D1020000}"/>
    <cellStyle name="20% - Accent5 2 9 2" xfId="12969" xr:uid="{5E6BC9C8-1049-4614-9407-96C5EC49EE2D}"/>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2 2 2" xfId="15533" xr:uid="{87E538BB-542F-41C7-8D9F-C02FB2B8439E}"/>
    <cellStyle name="20% - Accent5 3 2 2 2 3" xfId="11315" xr:uid="{1A164E20-81CD-497A-B37C-FE634978F63C}"/>
    <cellStyle name="20% - Accent5 3 2 2 3" xfId="4959" xr:uid="{00000000-0005-0000-0000-0000D7020000}"/>
    <cellStyle name="20% - Accent5 3 2 2 3 2" xfId="13388" xr:uid="{76E7FF0F-50E5-4362-97D8-473B0B955AD2}"/>
    <cellStyle name="20% - Accent5 3 2 2 4" xfId="9170" xr:uid="{FFDED6FC-BE38-41D9-A234-3DFB5E1DC80B}"/>
    <cellStyle name="20% - Accent5 3 2 3" xfId="1062" xr:uid="{00000000-0005-0000-0000-0000D8020000}"/>
    <cellStyle name="20% - Accent5 3 2 3 2" xfId="3293" xr:uid="{00000000-0005-0000-0000-0000D9020000}"/>
    <cellStyle name="20% - Accent5 3 2 3 2 2" xfId="7517" xr:uid="{00000000-0005-0000-0000-0000DA020000}"/>
    <cellStyle name="20% - Accent5 3 2 3 2 2 2" xfId="15946" xr:uid="{631A9DBE-93A0-4F3A-87B8-6D5839347D58}"/>
    <cellStyle name="20% - Accent5 3 2 3 2 3" xfId="11728" xr:uid="{37717F5D-EDCF-432A-89AC-A0A82DAA0820}"/>
    <cellStyle name="20% - Accent5 3 2 3 3" xfId="5372" xr:uid="{00000000-0005-0000-0000-0000DB020000}"/>
    <cellStyle name="20% - Accent5 3 2 3 3 2" xfId="13801" xr:uid="{FD9652B2-96D4-4363-A327-DA6F020957EE}"/>
    <cellStyle name="20% - Accent5 3 2 3 4" xfId="9583" xr:uid="{0CDCBD39-7A39-4C19-8776-B6E9A2A00EC3}"/>
    <cellStyle name="20% - Accent5 3 2 4" xfId="1476" xr:uid="{00000000-0005-0000-0000-0000DC020000}"/>
    <cellStyle name="20% - Accent5 3 2 4 2" xfId="3706" xr:uid="{00000000-0005-0000-0000-0000DD020000}"/>
    <cellStyle name="20% - Accent5 3 2 4 2 2" xfId="7930" xr:uid="{00000000-0005-0000-0000-0000DE020000}"/>
    <cellStyle name="20% - Accent5 3 2 4 2 2 2" xfId="16359" xr:uid="{EAE60BEB-B3A5-4B30-990E-FF07EBA91111}"/>
    <cellStyle name="20% - Accent5 3 2 4 2 3" xfId="12141" xr:uid="{83035D51-277F-42D9-8527-2238D28128CA}"/>
    <cellStyle name="20% - Accent5 3 2 4 3" xfId="5785" xr:uid="{00000000-0005-0000-0000-0000DF020000}"/>
    <cellStyle name="20% - Accent5 3 2 4 3 2" xfId="14214" xr:uid="{54A6546F-87CC-439D-B7FA-790841ABEEAA}"/>
    <cellStyle name="20% - Accent5 3 2 4 4" xfId="9996" xr:uid="{1DBBBFE7-D298-4409-9DB6-285344C6E692}"/>
    <cellStyle name="20% - Accent5 3 2 5" xfId="1890" xr:uid="{00000000-0005-0000-0000-0000E0020000}"/>
    <cellStyle name="20% - Accent5 3 2 5 2" xfId="4119" xr:uid="{00000000-0005-0000-0000-0000E1020000}"/>
    <cellStyle name="20% - Accent5 3 2 5 2 2" xfId="8343" xr:uid="{00000000-0005-0000-0000-0000E2020000}"/>
    <cellStyle name="20% - Accent5 3 2 5 2 2 2" xfId="16772" xr:uid="{B75EA99E-D20A-4FCD-82A0-32CF4D0840D0}"/>
    <cellStyle name="20% - Accent5 3 2 5 2 3" xfId="12554" xr:uid="{F9E0F6BB-102D-42B0-A9A8-C08D057C664D}"/>
    <cellStyle name="20% - Accent5 3 2 5 3" xfId="6198" xr:uid="{00000000-0005-0000-0000-0000E3020000}"/>
    <cellStyle name="20% - Accent5 3 2 5 3 2" xfId="14627" xr:uid="{3CA56012-29B8-4A0C-B729-922D224390F4}"/>
    <cellStyle name="20% - Accent5 3 2 5 4" xfId="10409" xr:uid="{C0973687-10FD-48D4-9628-33764A93DDA9}"/>
    <cellStyle name="20% - Accent5 3 2 6" xfId="2303" xr:uid="{00000000-0005-0000-0000-0000E4020000}"/>
    <cellStyle name="20% - Accent5 3 2 6 2" xfId="6611" xr:uid="{00000000-0005-0000-0000-0000E5020000}"/>
    <cellStyle name="20% - Accent5 3 2 6 2 2" xfId="15040" xr:uid="{723BA344-95F7-4D18-8075-0AB45E3B553B}"/>
    <cellStyle name="20% - Accent5 3 2 6 3" xfId="10822" xr:uid="{5F8EEBF0-1F83-490A-BD75-EAB1F24F70C2}"/>
    <cellStyle name="20% - Accent5 3 2 7" xfId="4545" xr:uid="{00000000-0005-0000-0000-0000E6020000}"/>
    <cellStyle name="20% - Accent5 3 2 7 2" xfId="12974" xr:uid="{83A154C1-B331-4790-8202-9620942A1ADC}"/>
    <cellStyle name="20% - Accent5 3 2 8" xfId="8756" xr:uid="{3F942CF4-9D04-47A9-99B8-806529A18B9F}"/>
    <cellStyle name="20% - Accent5 3 3" xfId="608" xr:uid="{00000000-0005-0000-0000-0000E7020000}"/>
    <cellStyle name="20% - Accent5 3 3 2" xfId="2879" xr:uid="{00000000-0005-0000-0000-0000E8020000}"/>
    <cellStyle name="20% - Accent5 3 3 2 2" xfId="7103" xr:uid="{00000000-0005-0000-0000-0000E9020000}"/>
    <cellStyle name="20% - Accent5 3 3 2 2 2" xfId="15532" xr:uid="{4D9DF6D4-8660-4A94-BECB-0F24282B9774}"/>
    <cellStyle name="20% - Accent5 3 3 2 3" xfId="11314" xr:uid="{CFDC231F-3533-4D8F-B1D5-66F723FA5BAB}"/>
    <cellStyle name="20% - Accent5 3 3 3" xfId="4958" xr:uid="{00000000-0005-0000-0000-0000EA020000}"/>
    <cellStyle name="20% - Accent5 3 3 3 2" xfId="13387" xr:uid="{197C1BE6-8E65-4566-998B-A5210F6B02B0}"/>
    <cellStyle name="20% - Accent5 3 3 4" xfId="9169" xr:uid="{892E7D63-4624-4818-B262-A767BDBBA776}"/>
    <cellStyle name="20% - Accent5 3 4" xfId="1061" xr:uid="{00000000-0005-0000-0000-0000EB020000}"/>
    <cellStyle name="20% - Accent5 3 4 2" xfId="3292" xr:uid="{00000000-0005-0000-0000-0000EC020000}"/>
    <cellStyle name="20% - Accent5 3 4 2 2" xfId="7516" xr:uid="{00000000-0005-0000-0000-0000ED020000}"/>
    <cellStyle name="20% - Accent5 3 4 2 2 2" xfId="15945" xr:uid="{E2EF1628-3E0E-4576-8A2E-193C6E8DA4BF}"/>
    <cellStyle name="20% - Accent5 3 4 2 3" xfId="11727" xr:uid="{EE647519-7805-4859-B4E1-DD06ADB0B788}"/>
    <cellStyle name="20% - Accent5 3 4 3" xfId="5371" xr:uid="{00000000-0005-0000-0000-0000EE020000}"/>
    <cellStyle name="20% - Accent5 3 4 3 2" xfId="13800" xr:uid="{20BD7C82-9192-4679-8A36-70051003E897}"/>
    <cellStyle name="20% - Accent5 3 4 4" xfId="9582" xr:uid="{F45AC8A7-C289-427A-893F-D8CBC92C2CC0}"/>
    <cellStyle name="20% - Accent5 3 5" xfId="1475" xr:uid="{00000000-0005-0000-0000-0000EF020000}"/>
    <cellStyle name="20% - Accent5 3 5 2" xfId="3705" xr:uid="{00000000-0005-0000-0000-0000F0020000}"/>
    <cellStyle name="20% - Accent5 3 5 2 2" xfId="7929" xr:uid="{00000000-0005-0000-0000-0000F1020000}"/>
    <cellStyle name="20% - Accent5 3 5 2 2 2" xfId="16358" xr:uid="{669D82A9-BE60-4279-9E23-F591510EEAA0}"/>
    <cellStyle name="20% - Accent5 3 5 2 3" xfId="12140" xr:uid="{C6278229-F0A9-4AD9-8B5F-F5A6610C1C9D}"/>
    <cellStyle name="20% - Accent5 3 5 3" xfId="5784" xr:uid="{00000000-0005-0000-0000-0000F2020000}"/>
    <cellStyle name="20% - Accent5 3 5 3 2" xfId="14213" xr:uid="{382A72A9-93BC-4614-AAEB-D42BB3AE0526}"/>
    <cellStyle name="20% - Accent5 3 5 4" xfId="9995" xr:uid="{CFF063B1-7EA2-4FD3-BC45-36817350FFD6}"/>
    <cellStyle name="20% - Accent5 3 6" xfId="1889" xr:uid="{00000000-0005-0000-0000-0000F3020000}"/>
    <cellStyle name="20% - Accent5 3 6 2" xfId="4118" xr:uid="{00000000-0005-0000-0000-0000F4020000}"/>
    <cellStyle name="20% - Accent5 3 6 2 2" xfId="8342" xr:uid="{00000000-0005-0000-0000-0000F5020000}"/>
    <cellStyle name="20% - Accent5 3 6 2 2 2" xfId="16771" xr:uid="{E4248352-92CD-4E5F-9628-616B4B0625D2}"/>
    <cellStyle name="20% - Accent5 3 6 2 3" xfId="12553" xr:uid="{218DCAC7-B427-4DCD-830A-8277488BA40C}"/>
    <cellStyle name="20% - Accent5 3 6 3" xfId="6197" xr:uid="{00000000-0005-0000-0000-0000F6020000}"/>
    <cellStyle name="20% - Accent5 3 6 3 2" xfId="14626" xr:uid="{4422D58A-9EC4-4B63-B204-8C4204E97DA2}"/>
    <cellStyle name="20% - Accent5 3 6 4" xfId="10408" xr:uid="{6E676A4F-5503-4540-AF77-D907908348F1}"/>
    <cellStyle name="20% - Accent5 3 7" xfId="2302" xr:uid="{00000000-0005-0000-0000-0000F7020000}"/>
    <cellStyle name="20% - Accent5 3 7 2" xfId="6610" xr:uid="{00000000-0005-0000-0000-0000F8020000}"/>
    <cellStyle name="20% - Accent5 3 7 2 2" xfId="15039" xr:uid="{05900628-7C11-46D0-9F6D-95427AFB62A3}"/>
    <cellStyle name="20% - Accent5 3 7 3" xfId="10821" xr:uid="{45A21730-5A66-4C3D-91F7-99D5AA8C3E51}"/>
    <cellStyle name="20% - Accent5 3 8" xfId="4544" xr:uid="{00000000-0005-0000-0000-0000F9020000}"/>
    <cellStyle name="20% - Accent5 3 8 2" xfId="12973" xr:uid="{213A48ED-85D8-483C-BE4F-0AC48D89568A}"/>
    <cellStyle name="20% - Accent5 3 9" xfId="8755" xr:uid="{DECE19DA-9340-42A7-856C-6F0308081835}"/>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2 2 2" xfId="15534" xr:uid="{7B338B2C-6578-4B10-8CA4-E26D4AC4B5AF}"/>
    <cellStyle name="20% - Accent5 4 2 2 3" xfId="11316" xr:uid="{FABD100B-6405-4426-AABC-C77666F748A4}"/>
    <cellStyle name="20% - Accent5 4 2 3" xfId="4960" xr:uid="{00000000-0005-0000-0000-0000FE020000}"/>
    <cellStyle name="20% - Accent5 4 2 3 2" xfId="13389" xr:uid="{A1068B41-8F26-47B7-B07B-1DB506A71BCC}"/>
    <cellStyle name="20% - Accent5 4 2 4" xfId="9171" xr:uid="{2CC5C604-DBBD-419D-AA88-D2237A9FF5E6}"/>
    <cellStyle name="20% - Accent5 4 3" xfId="1063" xr:uid="{00000000-0005-0000-0000-0000FF020000}"/>
    <cellStyle name="20% - Accent5 4 3 2" xfId="3294" xr:uid="{00000000-0005-0000-0000-000000030000}"/>
    <cellStyle name="20% - Accent5 4 3 2 2" xfId="7518" xr:uid="{00000000-0005-0000-0000-000001030000}"/>
    <cellStyle name="20% - Accent5 4 3 2 2 2" xfId="15947" xr:uid="{487DC840-14A2-4F94-8D93-4CFC50BE12BF}"/>
    <cellStyle name="20% - Accent5 4 3 2 3" xfId="11729" xr:uid="{523B64C3-D254-44B5-8B56-C5F988969F3F}"/>
    <cellStyle name="20% - Accent5 4 3 3" xfId="5373" xr:uid="{00000000-0005-0000-0000-000002030000}"/>
    <cellStyle name="20% - Accent5 4 3 3 2" xfId="13802" xr:uid="{B0291640-2EDB-4971-A68C-D4F20D920E97}"/>
    <cellStyle name="20% - Accent5 4 3 4" xfId="9584" xr:uid="{2AAA67B7-C65A-49A7-8824-AE76D5514BC9}"/>
    <cellStyle name="20% - Accent5 4 4" xfId="1477" xr:uid="{00000000-0005-0000-0000-000003030000}"/>
    <cellStyle name="20% - Accent5 4 4 2" xfId="3707" xr:uid="{00000000-0005-0000-0000-000004030000}"/>
    <cellStyle name="20% - Accent5 4 4 2 2" xfId="7931" xr:uid="{00000000-0005-0000-0000-000005030000}"/>
    <cellStyle name="20% - Accent5 4 4 2 2 2" xfId="16360" xr:uid="{62E9211B-9EB4-4EF7-8032-67366EBEB624}"/>
    <cellStyle name="20% - Accent5 4 4 2 3" xfId="12142" xr:uid="{F12FE0FB-4D41-4F81-821E-AFC3B603D1C3}"/>
    <cellStyle name="20% - Accent5 4 4 3" xfId="5786" xr:uid="{00000000-0005-0000-0000-000006030000}"/>
    <cellStyle name="20% - Accent5 4 4 3 2" xfId="14215" xr:uid="{8E9FA5F9-FC69-4B0C-B616-4EF3079DBD97}"/>
    <cellStyle name="20% - Accent5 4 4 4" xfId="9997" xr:uid="{ADC10404-486E-4128-8233-324F8696030F}"/>
    <cellStyle name="20% - Accent5 4 5" xfId="1891" xr:uid="{00000000-0005-0000-0000-000007030000}"/>
    <cellStyle name="20% - Accent5 4 5 2" xfId="4120" xr:uid="{00000000-0005-0000-0000-000008030000}"/>
    <cellStyle name="20% - Accent5 4 5 2 2" xfId="8344" xr:uid="{00000000-0005-0000-0000-000009030000}"/>
    <cellStyle name="20% - Accent5 4 5 2 2 2" xfId="16773" xr:uid="{A624D27A-540A-42D3-B3F0-7043423132F8}"/>
    <cellStyle name="20% - Accent5 4 5 2 3" xfId="12555" xr:uid="{92C2C900-69A4-4169-A253-C98EE2F63699}"/>
    <cellStyle name="20% - Accent5 4 5 3" xfId="6199" xr:uid="{00000000-0005-0000-0000-00000A030000}"/>
    <cellStyle name="20% - Accent5 4 5 3 2" xfId="14628" xr:uid="{FDE57FD4-7D7F-4AEB-B140-337CC04219C1}"/>
    <cellStyle name="20% - Accent5 4 5 4" xfId="10410" xr:uid="{D6B78598-643D-4CBF-8027-B0ED35992617}"/>
    <cellStyle name="20% - Accent5 4 6" xfId="2304" xr:uid="{00000000-0005-0000-0000-00000B030000}"/>
    <cellStyle name="20% - Accent5 4 6 2" xfId="6612" xr:uid="{00000000-0005-0000-0000-00000C030000}"/>
    <cellStyle name="20% - Accent5 4 6 2 2" xfId="15041" xr:uid="{902EFB4C-7C09-4F9F-BD89-312CDFB04179}"/>
    <cellStyle name="20% - Accent5 4 6 3" xfId="10823" xr:uid="{AADB6487-0BCF-4EA2-BDE6-31067795B670}"/>
    <cellStyle name="20% - Accent5 4 7" xfId="4546" xr:uid="{00000000-0005-0000-0000-00000D030000}"/>
    <cellStyle name="20% - Accent5 4 7 2" xfId="12975" xr:uid="{75C26A13-CB63-4E93-B373-62029F8FAE59}"/>
    <cellStyle name="20% - Accent5 4 8" xfId="8757" xr:uid="{B16817E1-5ACE-4247-AF6C-74FA30D9C374}"/>
    <cellStyle name="20% - Accent5 5" xfId="603" xr:uid="{00000000-0005-0000-0000-00000E030000}"/>
    <cellStyle name="20% - Accent5 5 2" xfId="2874" xr:uid="{00000000-0005-0000-0000-00000F030000}"/>
    <cellStyle name="20% - Accent5 5 2 2" xfId="7098" xr:uid="{00000000-0005-0000-0000-000010030000}"/>
    <cellStyle name="20% - Accent5 5 2 2 2" xfId="15527" xr:uid="{98DE46A4-C042-4AF0-B592-78400753BABB}"/>
    <cellStyle name="20% - Accent5 5 2 3" xfId="11309" xr:uid="{A8CE67A0-3813-4F4B-8D7E-05E887CF03A8}"/>
    <cellStyle name="20% - Accent5 5 3" xfId="4953" xr:uid="{00000000-0005-0000-0000-000011030000}"/>
    <cellStyle name="20% - Accent5 5 3 2" xfId="13382" xr:uid="{9022704A-0D10-4C67-892D-68D23C9FA23A}"/>
    <cellStyle name="20% - Accent5 5 4" xfId="9164" xr:uid="{2DF14DB3-F5C3-4B20-ACA5-AD918A31DED8}"/>
    <cellStyle name="20% - Accent5 6" xfId="1056" xr:uid="{00000000-0005-0000-0000-000012030000}"/>
    <cellStyle name="20% - Accent5 6 2" xfId="3287" xr:uid="{00000000-0005-0000-0000-000013030000}"/>
    <cellStyle name="20% - Accent5 6 2 2" xfId="7511" xr:uid="{00000000-0005-0000-0000-000014030000}"/>
    <cellStyle name="20% - Accent5 6 2 2 2" xfId="15940" xr:uid="{3BE1FF99-1EAB-43B1-8A3F-584F23FEB8FA}"/>
    <cellStyle name="20% - Accent5 6 2 3" xfId="11722" xr:uid="{20B2530A-E02A-4FEC-A16A-7CEB65C603F3}"/>
    <cellStyle name="20% - Accent5 6 3" xfId="5366" xr:uid="{00000000-0005-0000-0000-000015030000}"/>
    <cellStyle name="20% - Accent5 6 3 2" xfId="13795" xr:uid="{AFAFBC6A-D66A-442C-AB8D-8A8157216A60}"/>
    <cellStyle name="20% - Accent5 6 4" xfId="9577" xr:uid="{EA01466F-EF29-4DCF-83C5-BE5C6D61D6B4}"/>
    <cellStyle name="20% - Accent5 7" xfId="1470" xr:uid="{00000000-0005-0000-0000-000016030000}"/>
    <cellStyle name="20% - Accent5 7 2" xfId="3700" xr:uid="{00000000-0005-0000-0000-000017030000}"/>
    <cellStyle name="20% - Accent5 7 2 2" xfId="7924" xr:uid="{00000000-0005-0000-0000-000018030000}"/>
    <cellStyle name="20% - Accent5 7 2 2 2" xfId="16353" xr:uid="{B8380726-1627-49E6-B8E0-4FE22E8E2A5D}"/>
    <cellStyle name="20% - Accent5 7 2 3" xfId="12135" xr:uid="{640DED1E-68FC-4F9B-A982-C457FFA974A5}"/>
    <cellStyle name="20% - Accent5 7 3" xfId="5779" xr:uid="{00000000-0005-0000-0000-000019030000}"/>
    <cellStyle name="20% - Accent5 7 3 2" xfId="14208" xr:uid="{FA576B9A-ED93-4ED0-AB85-B8D59CB67B08}"/>
    <cellStyle name="20% - Accent5 7 4" xfId="9990" xr:uid="{9751ED96-BC31-44E9-A9BC-72258980151A}"/>
    <cellStyle name="20% - Accent5 8" xfId="1884" xr:uid="{00000000-0005-0000-0000-00001A030000}"/>
    <cellStyle name="20% - Accent5 8 2" xfId="4113" xr:uid="{00000000-0005-0000-0000-00001B030000}"/>
    <cellStyle name="20% - Accent5 8 2 2" xfId="8337" xr:uid="{00000000-0005-0000-0000-00001C030000}"/>
    <cellStyle name="20% - Accent5 8 2 2 2" xfId="16766" xr:uid="{63F4A9E0-4CE7-4763-8C55-27EBEF1D7619}"/>
    <cellStyle name="20% - Accent5 8 2 3" xfId="12548" xr:uid="{0108E266-AFD7-40BA-9285-2C3D5926AD09}"/>
    <cellStyle name="20% - Accent5 8 3" xfId="6192" xr:uid="{00000000-0005-0000-0000-00001D030000}"/>
    <cellStyle name="20% - Accent5 8 3 2" xfId="14621" xr:uid="{7EFB36D7-F579-4C69-A459-887BEC27BFA5}"/>
    <cellStyle name="20% - Accent5 8 4" xfId="10403" xr:uid="{50639192-C93D-4ECF-A38F-64248AE87480}"/>
    <cellStyle name="20% - Accent5 9" xfId="2297" xr:uid="{00000000-0005-0000-0000-00001E030000}"/>
    <cellStyle name="20% - Accent5 9 2" xfId="6605" xr:uid="{00000000-0005-0000-0000-00001F030000}"/>
    <cellStyle name="20% - Accent5 9 2 2" xfId="15034" xr:uid="{F350CD57-B481-47F9-A5D3-FBC82BB9518F}"/>
    <cellStyle name="20% - Accent5 9 3" xfId="10816" xr:uid="{CB40EDE6-58F8-4CBB-ABC2-C65F03D37C90}"/>
    <cellStyle name="20% - Accent6" xfId="41" builtinId="50" customBuiltin="1"/>
    <cellStyle name="20% - Accent6 10" xfId="4547" xr:uid="{00000000-0005-0000-0000-000021030000}"/>
    <cellStyle name="20% - Accent6 10 2" xfId="12976" xr:uid="{0B9F1F49-66DD-4AB5-87DB-4F7E8A22E48B}"/>
    <cellStyle name="20% - Accent6 11" xfId="8758" xr:uid="{BA68B3FA-FC33-4CB7-93F7-CF4BB2A65AFE}"/>
    <cellStyle name="20% - Accent6 2" xfId="42" xr:uid="{00000000-0005-0000-0000-000022030000}"/>
    <cellStyle name="20% - Accent6 2 10" xfId="8759" xr:uid="{6EA50172-904F-4725-9A6D-3A6C8395C1E5}"/>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2 2 2" xfId="15538" xr:uid="{F55A38DF-90CA-4C82-A787-21F38168335A}"/>
    <cellStyle name="20% - Accent6 2 2 2 2 2 3" xfId="11320" xr:uid="{8206D4F3-89AE-48C0-BA08-A01EEB0A3BF5}"/>
    <cellStyle name="20% - Accent6 2 2 2 2 3" xfId="4964" xr:uid="{00000000-0005-0000-0000-000028030000}"/>
    <cellStyle name="20% - Accent6 2 2 2 2 3 2" xfId="13393" xr:uid="{23035E88-6E5C-4274-8AF8-22E9050177FB}"/>
    <cellStyle name="20% - Accent6 2 2 2 2 4" xfId="9175" xr:uid="{A65E8CBD-2924-47A0-A187-BF7D372481A9}"/>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2 2 2" xfId="15951" xr:uid="{DC9EDBEC-D008-4509-9DAB-A9818E78034F}"/>
    <cellStyle name="20% - Accent6 2 2 2 3 2 3" xfId="11733" xr:uid="{84C674F1-E1CA-43D0-954E-E9590C356FE0}"/>
    <cellStyle name="20% - Accent6 2 2 2 3 3" xfId="5377" xr:uid="{00000000-0005-0000-0000-00002C030000}"/>
    <cellStyle name="20% - Accent6 2 2 2 3 3 2" xfId="13806" xr:uid="{73C9C2B9-C0E3-495F-A87F-534325C105A7}"/>
    <cellStyle name="20% - Accent6 2 2 2 3 4" xfId="9588" xr:uid="{755FC8C9-B8F0-4388-BCAD-3FE080362287}"/>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2 2 2" xfId="16364" xr:uid="{D12E987B-01E7-4C50-AC79-D1BF807FC541}"/>
    <cellStyle name="20% - Accent6 2 2 2 4 2 3" xfId="12146" xr:uid="{9A462E55-963D-45BF-973E-1F669D603B2C}"/>
    <cellStyle name="20% - Accent6 2 2 2 4 3" xfId="5790" xr:uid="{00000000-0005-0000-0000-000030030000}"/>
    <cellStyle name="20% - Accent6 2 2 2 4 3 2" xfId="14219" xr:uid="{929A1E9E-A4D0-472C-8413-26CC5650EAF3}"/>
    <cellStyle name="20% - Accent6 2 2 2 4 4" xfId="10001" xr:uid="{7629483C-C6A7-4898-8A30-9EDC0C58E489}"/>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2 2 2" xfId="16777" xr:uid="{4CEDCF4B-5F05-4932-881E-B0CBE90EFFD1}"/>
    <cellStyle name="20% - Accent6 2 2 2 5 2 3" xfId="12559" xr:uid="{D5E174C5-DF9C-4A55-BA11-431B695F4A93}"/>
    <cellStyle name="20% - Accent6 2 2 2 5 3" xfId="6203" xr:uid="{00000000-0005-0000-0000-000034030000}"/>
    <cellStyle name="20% - Accent6 2 2 2 5 3 2" xfId="14632" xr:uid="{B76A376A-62AD-43EB-8576-F5FD1B4BF88F}"/>
    <cellStyle name="20% - Accent6 2 2 2 5 4" xfId="10414" xr:uid="{CF298FC3-1F5A-47F3-9DDA-A1D586AF18BE}"/>
    <cellStyle name="20% - Accent6 2 2 2 6" xfId="2308" xr:uid="{00000000-0005-0000-0000-000035030000}"/>
    <cellStyle name="20% - Accent6 2 2 2 6 2" xfId="6616" xr:uid="{00000000-0005-0000-0000-000036030000}"/>
    <cellStyle name="20% - Accent6 2 2 2 6 2 2" xfId="15045" xr:uid="{2728284F-B1B4-492B-8559-00A175541F2E}"/>
    <cellStyle name="20% - Accent6 2 2 2 6 3" xfId="10827" xr:uid="{E6C10FBB-3B49-45D8-84CF-57CA9F0971EE}"/>
    <cellStyle name="20% - Accent6 2 2 2 7" xfId="4550" xr:uid="{00000000-0005-0000-0000-000037030000}"/>
    <cellStyle name="20% - Accent6 2 2 2 7 2" xfId="12979" xr:uid="{647C8CE8-92E2-4597-9523-C10A91289099}"/>
    <cellStyle name="20% - Accent6 2 2 2 8" xfId="8761" xr:uid="{3D6F7968-D271-4CAE-8121-95CEE3D599B5}"/>
    <cellStyle name="20% - Accent6 2 2 3" xfId="613" xr:uid="{00000000-0005-0000-0000-000038030000}"/>
    <cellStyle name="20% - Accent6 2 2 3 2" xfId="2884" xr:uid="{00000000-0005-0000-0000-000039030000}"/>
    <cellStyle name="20% - Accent6 2 2 3 2 2" xfId="7108" xr:uid="{00000000-0005-0000-0000-00003A030000}"/>
    <cellStyle name="20% - Accent6 2 2 3 2 2 2" xfId="15537" xr:uid="{D9E40AE8-C79C-41AF-A9BF-980B41F0D463}"/>
    <cellStyle name="20% - Accent6 2 2 3 2 3" xfId="11319" xr:uid="{57A4756A-7BE8-4F08-8152-78C51412C841}"/>
    <cellStyle name="20% - Accent6 2 2 3 3" xfId="4963" xr:uid="{00000000-0005-0000-0000-00003B030000}"/>
    <cellStyle name="20% - Accent6 2 2 3 3 2" xfId="13392" xr:uid="{4E77D6E7-5932-4D03-8CC9-2756605BDE48}"/>
    <cellStyle name="20% - Accent6 2 2 3 4" xfId="9174" xr:uid="{2295EE70-2182-437F-9F24-57EC54C6DF1F}"/>
    <cellStyle name="20% - Accent6 2 2 4" xfId="1066" xr:uid="{00000000-0005-0000-0000-00003C030000}"/>
    <cellStyle name="20% - Accent6 2 2 4 2" xfId="3297" xr:uid="{00000000-0005-0000-0000-00003D030000}"/>
    <cellStyle name="20% - Accent6 2 2 4 2 2" xfId="7521" xr:uid="{00000000-0005-0000-0000-00003E030000}"/>
    <cellStyle name="20% - Accent6 2 2 4 2 2 2" xfId="15950" xr:uid="{1ACD8FAB-82F7-43F1-A061-7FA5C228CA02}"/>
    <cellStyle name="20% - Accent6 2 2 4 2 3" xfId="11732" xr:uid="{38E13DB9-BBB4-4C6E-9D3A-01CE9E459403}"/>
    <cellStyle name="20% - Accent6 2 2 4 3" xfId="5376" xr:uid="{00000000-0005-0000-0000-00003F030000}"/>
    <cellStyle name="20% - Accent6 2 2 4 3 2" xfId="13805" xr:uid="{C090C2AE-1F79-42EA-BD02-F70B02FFF1EF}"/>
    <cellStyle name="20% - Accent6 2 2 4 4" xfId="9587" xr:uid="{70DDC0CB-45E1-469A-94DC-3E167C53F5A4}"/>
    <cellStyle name="20% - Accent6 2 2 5" xfId="1480" xr:uid="{00000000-0005-0000-0000-000040030000}"/>
    <cellStyle name="20% - Accent6 2 2 5 2" xfId="3710" xr:uid="{00000000-0005-0000-0000-000041030000}"/>
    <cellStyle name="20% - Accent6 2 2 5 2 2" xfId="7934" xr:uid="{00000000-0005-0000-0000-000042030000}"/>
    <cellStyle name="20% - Accent6 2 2 5 2 2 2" xfId="16363" xr:uid="{E3CA8B16-3C37-4898-96B5-EC2CDA14FBBA}"/>
    <cellStyle name="20% - Accent6 2 2 5 2 3" xfId="12145" xr:uid="{E02CB645-1129-4F94-8BEA-F8F6DEDC90F8}"/>
    <cellStyle name="20% - Accent6 2 2 5 3" xfId="5789" xr:uid="{00000000-0005-0000-0000-000043030000}"/>
    <cellStyle name="20% - Accent6 2 2 5 3 2" xfId="14218" xr:uid="{91F403C6-B23C-4A0F-9956-8181FA403654}"/>
    <cellStyle name="20% - Accent6 2 2 5 4" xfId="10000" xr:uid="{29E1A717-AE88-4D06-93CD-6D9DC868A193}"/>
    <cellStyle name="20% - Accent6 2 2 6" xfId="1894" xr:uid="{00000000-0005-0000-0000-000044030000}"/>
    <cellStyle name="20% - Accent6 2 2 6 2" xfId="4123" xr:uid="{00000000-0005-0000-0000-000045030000}"/>
    <cellStyle name="20% - Accent6 2 2 6 2 2" xfId="8347" xr:uid="{00000000-0005-0000-0000-000046030000}"/>
    <cellStyle name="20% - Accent6 2 2 6 2 2 2" xfId="16776" xr:uid="{E3439667-51BC-43C2-897E-483A1089AC60}"/>
    <cellStyle name="20% - Accent6 2 2 6 2 3" xfId="12558" xr:uid="{7B95DCB3-AFB0-4AD2-89ED-B9A837342457}"/>
    <cellStyle name="20% - Accent6 2 2 6 3" xfId="6202" xr:uid="{00000000-0005-0000-0000-000047030000}"/>
    <cellStyle name="20% - Accent6 2 2 6 3 2" xfId="14631" xr:uid="{1345F1F4-5D1D-4824-9D57-CC9AC6B363E3}"/>
    <cellStyle name="20% - Accent6 2 2 6 4" xfId="10413" xr:uid="{B42469A4-AF98-4088-B83D-78D1831FC82B}"/>
    <cellStyle name="20% - Accent6 2 2 7" xfId="2307" xr:uid="{00000000-0005-0000-0000-000048030000}"/>
    <cellStyle name="20% - Accent6 2 2 7 2" xfId="6615" xr:uid="{00000000-0005-0000-0000-000049030000}"/>
    <cellStyle name="20% - Accent6 2 2 7 2 2" xfId="15044" xr:uid="{7BE3B50D-EE9E-4D17-AAC9-A621B00EBA89}"/>
    <cellStyle name="20% - Accent6 2 2 7 3" xfId="10826" xr:uid="{A9FEBEF0-37C8-4AF9-A696-8469D10BC8BD}"/>
    <cellStyle name="20% - Accent6 2 2 8" xfId="4549" xr:uid="{00000000-0005-0000-0000-00004A030000}"/>
    <cellStyle name="20% - Accent6 2 2 8 2" xfId="12978" xr:uid="{B82712A6-69E7-4765-AEBD-5C720EA87B12}"/>
    <cellStyle name="20% - Accent6 2 2 9" xfId="8760" xr:uid="{16B607D6-4EA3-48C8-88C4-127708CA33FE}"/>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2 2 2" xfId="15539" xr:uid="{0970B059-53FD-45E0-93E6-EDA14649DBAB}"/>
    <cellStyle name="20% - Accent6 2 3 2 2 3" xfId="11321" xr:uid="{B138524B-CA45-4C3B-8522-8B98BA25D906}"/>
    <cellStyle name="20% - Accent6 2 3 2 3" xfId="4965" xr:uid="{00000000-0005-0000-0000-00004F030000}"/>
    <cellStyle name="20% - Accent6 2 3 2 3 2" xfId="13394" xr:uid="{5E89A80C-BCE6-435D-8ADD-372C9323CE18}"/>
    <cellStyle name="20% - Accent6 2 3 2 4" xfId="9176" xr:uid="{34ABDEB7-0FFE-4784-85F9-ED30187D03A2}"/>
    <cellStyle name="20% - Accent6 2 3 3" xfId="1068" xr:uid="{00000000-0005-0000-0000-000050030000}"/>
    <cellStyle name="20% - Accent6 2 3 3 2" xfId="3299" xr:uid="{00000000-0005-0000-0000-000051030000}"/>
    <cellStyle name="20% - Accent6 2 3 3 2 2" xfId="7523" xr:uid="{00000000-0005-0000-0000-000052030000}"/>
    <cellStyle name="20% - Accent6 2 3 3 2 2 2" xfId="15952" xr:uid="{CDD9C649-F56A-4A7E-9DF6-6A0E7ADF1ADB}"/>
    <cellStyle name="20% - Accent6 2 3 3 2 3" xfId="11734" xr:uid="{B7554A12-69C4-461D-BE5E-9889386B667D}"/>
    <cellStyle name="20% - Accent6 2 3 3 3" xfId="5378" xr:uid="{00000000-0005-0000-0000-000053030000}"/>
    <cellStyle name="20% - Accent6 2 3 3 3 2" xfId="13807" xr:uid="{35DCEF6A-5BE2-40E3-AAD5-09CE4C0164AF}"/>
    <cellStyle name="20% - Accent6 2 3 3 4" xfId="9589" xr:uid="{EBE2453F-F339-4CCA-8D08-A9AAC45E5AC4}"/>
    <cellStyle name="20% - Accent6 2 3 4" xfId="1482" xr:uid="{00000000-0005-0000-0000-000054030000}"/>
    <cellStyle name="20% - Accent6 2 3 4 2" xfId="3712" xr:uid="{00000000-0005-0000-0000-000055030000}"/>
    <cellStyle name="20% - Accent6 2 3 4 2 2" xfId="7936" xr:uid="{00000000-0005-0000-0000-000056030000}"/>
    <cellStyle name="20% - Accent6 2 3 4 2 2 2" xfId="16365" xr:uid="{19BE2CC9-A36B-44F2-814F-6057F4E45326}"/>
    <cellStyle name="20% - Accent6 2 3 4 2 3" xfId="12147" xr:uid="{CBDD0734-BA39-455B-8B6D-AB66665BBCB7}"/>
    <cellStyle name="20% - Accent6 2 3 4 3" xfId="5791" xr:uid="{00000000-0005-0000-0000-000057030000}"/>
    <cellStyle name="20% - Accent6 2 3 4 3 2" xfId="14220" xr:uid="{B3A09C22-06DC-42A3-B40B-312CB32D9FDA}"/>
    <cellStyle name="20% - Accent6 2 3 4 4" xfId="10002" xr:uid="{C2E737F9-5985-4078-AC7D-3B859B5E6D61}"/>
    <cellStyle name="20% - Accent6 2 3 5" xfId="1896" xr:uid="{00000000-0005-0000-0000-000058030000}"/>
    <cellStyle name="20% - Accent6 2 3 5 2" xfId="4125" xr:uid="{00000000-0005-0000-0000-000059030000}"/>
    <cellStyle name="20% - Accent6 2 3 5 2 2" xfId="8349" xr:uid="{00000000-0005-0000-0000-00005A030000}"/>
    <cellStyle name="20% - Accent6 2 3 5 2 2 2" xfId="16778" xr:uid="{4B8FFAB2-1B4F-4BB8-ACF2-489E14AD71E3}"/>
    <cellStyle name="20% - Accent6 2 3 5 2 3" xfId="12560" xr:uid="{34EDE755-D608-4724-B0A4-93E89BE48A40}"/>
    <cellStyle name="20% - Accent6 2 3 5 3" xfId="6204" xr:uid="{00000000-0005-0000-0000-00005B030000}"/>
    <cellStyle name="20% - Accent6 2 3 5 3 2" xfId="14633" xr:uid="{9E6B4FF2-75B8-4492-B52B-DFB12EE79C92}"/>
    <cellStyle name="20% - Accent6 2 3 5 4" xfId="10415" xr:uid="{247F1727-86CF-4942-A954-FCAE0C5794D2}"/>
    <cellStyle name="20% - Accent6 2 3 6" xfId="2309" xr:uid="{00000000-0005-0000-0000-00005C030000}"/>
    <cellStyle name="20% - Accent6 2 3 6 2" xfId="6617" xr:uid="{00000000-0005-0000-0000-00005D030000}"/>
    <cellStyle name="20% - Accent6 2 3 6 2 2" xfId="15046" xr:uid="{11D8FC58-93B6-4EA2-A6CA-4FD7E3B3D2C9}"/>
    <cellStyle name="20% - Accent6 2 3 6 3" xfId="10828" xr:uid="{1E7637B8-065F-46F8-BB27-8650A1978154}"/>
    <cellStyle name="20% - Accent6 2 3 7" xfId="4551" xr:uid="{00000000-0005-0000-0000-00005E030000}"/>
    <cellStyle name="20% - Accent6 2 3 7 2" xfId="12980" xr:uid="{3D083C38-3769-4787-9853-571FAFF1F57F}"/>
    <cellStyle name="20% - Accent6 2 3 8" xfId="8762" xr:uid="{D7F592A0-2F45-4201-BD0C-BB02A298F481}"/>
    <cellStyle name="20% - Accent6 2 4" xfId="612" xr:uid="{00000000-0005-0000-0000-00005F030000}"/>
    <cellStyle name="20% - Accent6 2 4 2" xfId="2883" xr:uid="{00000000-0005-0000-0000-000060030000}"/>
    <cellStyle name="20% - Accent6 2 4 2 2" xfId="7107" xr:uid="{00000000-0005-0000-0000-000061030000}"/>
    <cellStyle name="20% - Accent6 2 4 2 2 2" xfId="15536" xr:uid="{FE1D47E8-D0E8-452D-9381-34EFD4648C7B}"/>
    <cellStyle name="20% - Accent6 2 4 2 3" xfId="11318" xr:uid="{108CB7C8-E774-4F0F-A880-DC22998B58AB}"/>
    <cellStyle name="20% - Accent6 2 4 3" xfId="4962" xr:uid="{00000000-0005-0000-0000-000062030000}"/>
    <cellStyle name="20% - Accent6 2 4 3 2" xfId="13391" xr:uid="{66A23A62-251C-4596-A983-413BC2BD732B}"/>
    <cellStyle name="20% - Accent6 2 4 4" xfId="9173" xr:uid="{32D15EE1-B1B8-4B37-801F-37D33F681C3A}"/>
    <cellStyle name="20% - Accent6 2 5" xfId="1065" xr:uid="{00000000-0005-0000-0000-000063030000}"/>
    <cellStyle name="20% - Accent6 2 5 2" xfId="3296" xr:uid="{00000000-0005-0000-0000-000064030000}"/>
    <cellStyle name="20% - Accent6 2 5 2 2" xfId="7520" xr:uid="{00000000-0005-0000-0000-000065030000}"/>
    <cellStyle name="20% - Accent6 2 5 2 2 2" xfId="15949" xr:uid="{B3A804EB-D50A-4FDA-8417-8E0E75BCEF86}"/>
    <cellStyle name="20% - Accent6 2 5 2 3" xfId="11731" xr:uid="{54A1D500-12D5-41CA-A856-91F87A1F9D61}"/>
    <cellStyle name="20% - Accent6 2 5 3" xfId="5375" xr:uid="{00000000-0005-0000-0000-000066030000}"/>
    <cellStyle name="20% - Accent6 2 5 3 2" xfId="13804" xr:uid="{74C64A18-5229-4C4F-BFFC-434E042603D4}"/>
    <cellStyle name="20% - Accent6 2 5 4" xfId="9586" xr:uid="{D3FAFBA0-A9D3-4FB3-BAC1-502FB2264B41}"/>
    <cellStyle name="20% - Accent6 2 6" xfId="1479" xr:uid="{00000000-0005-0000-0000-000067030000}"/>
    <cellStyle name="20% - Accent6 2 6 2" xfId="3709" xr:uid="{00000000-0005-0000-0000-000068030000}"/>
    <cellStyle name="20% - Accent6 2 6 2 2" xfId="7933" xr:uid="{00000000-0005-0000-0000-000069030000}"/>
    <cellStyle name="20% - Accent6 2 6 2 2 2" xfId="16362" xr:uid="{FB06473E-AFD1-4B7D-8EAE-397FDC9271E4}"/>
    <cellStyle name="20% - Accent6 2 6 2 3" xfId="12144" xr:uid="{2C86188C-21F6-4F44-93DD-6B0FE9363986}"/>
    <cellStyle name="20% - Accent6 2 6 3" xfId="5788" xr:uid="{00000000-0005-0000-0000-00006A030000}"/>
    <cellStyle name="20% - Accent6 2 6 3 2" xfId="14217" xr:uid="{099C8E6F-D48E-44A0-B13A-6DA35C27B18E}"/>
    <cellStyle name="20% - Accent6 2 6 4" xfId="9999" xr:uid="{A97B0D61-8478-4793-A21D-6DD85B8FD05E}"/>
    <cellStyle name="20% - Accent6 2 7" xfId="1893" xr:uid="{00000000-0005-0000-0000-00006B030000}"/>
    <cellStyle name="20% - Accent6 2 7 2" xfId="4122" xr:uid="{00000000-0005-0000-0000-00006C030000}"/>
    <cellStyle name="20% - Accent6 2 7 2 2" xfId="8346" xr:uid="{00000000-0005-0000-0000-00006D030000}"/>
    <cellStyle name="20% - Accent6 2 7 2 2 2" xfId="16775" xr:uid="{DDBE6851-7454-4C5D-AB1C-ECC8707CDE2E}"/>
    <cellStyle name="20% - Accent6 2 7 2 3" xfId="12557" xr:uid="{9E903371-3717-4E88-AAFE-2AAD06ADAB3B}"/>
    <cellStyle name="20% - Accent6 2 7 3" xfId="6201" xr:uid="{00000000-0005-0000-0000-00006E030000}"/>
    <cellStyle name="20% - Accent6 2 7 3 2" xfId="14630" xr:uid="{B66525AD-D05E-4F0F-A3BF-40EF57D1CA66}"/>
    <cellStyle name="20% - Accent6 2 7 4" xfId="10412" xr:uid="{1FB0908E-9EFD-4818-8D66-DA0A1BC87943}"/>
    <cellStyle name="20% - Accent6 2 8" xfId="2306" xr:uid="{00000000-0005-0000-0000-00006F030000}"/>
    <cellStyle name="20% - Accent6 2 8 2" xfId="6614" xr:uid="{00000000-0005-0000-0000-000070030000}"/>
    <cellStyle name="20% - Accent6 2 8 2 2" xfId="15043" xr:uid="{F9D43467-AD9B-438B-94D9-AA002AD34F4D}"/>
    <cellStyle name="20% - Accent6 2 8 3" xfId="10825" xr:uid="{F0E94158-44DB-4A7B-A069-3432524E419D}"/>
    <cellStyle name="20% - Accent6 2 9" xfId="4548" xr:uid="{00000000-0005-0000-0000-000071030000}"/>
    <cellStyle name="20% - Accent6 2 9 2" xfId="12977" xr:uid="{2D822ACB-EE01-4D48-ABAC-7D915EF5C2B8}"/>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2 2 2" xfId="15541" xr:uid="{7C8496C2-B03A-4B6D-8253-0A936382F217}"/>
    <cellStyle name="20% - Accent6 3 2 2 2 3" xfId="11323" xr:uid="{BA0A35A0-F05C-4C76-AEFE-7CDF5B2C355F}"/>
    <cellStyle name="20% - Accent6 3 2 2 3" xfId="4967" xr:uid="{00000000-0005-0000-0000-000077030000}"/>
    <cellStyle name="20% - Accent6 3 2 2 3 2" xfId="13396" xr:uid="{9F1A7A2B-667B-424D-BED7-D5AF2063337E}"/>
    <cellStyle name="20% - Accent6 3 2 2 4" xfId="9178" xr:uid="{3E3FEF48-F7DD-4759-BB03-0F6A04DD0E67}"/>
    <cellStyle name="20% - Accent6 3 2 3" xfId="1070" xr:uid="{00000000-0005-0000-0000-000078030000}"/>
    <cellStyle name="20% - Accent6 3 2 3 2" xfId="3301" xr:uid="{00000000-0005-0000-0000-000079030000}"/>
    <cellStyle name="20% - Accent6 3 2 3 2 2" xfId="7525" xr:uid="{00000000-0005-0000-0000-00007A030000}"/>
    <cellStyle name="20% - Accent6 3 2 3 2 2 2" xfId="15954" xr:uid="{C562BAC2-CE5C-48B5-984A-41835C23CB0A}"/>
    <cellStyle name="20% - Accent6 3 2 3 2 3" xfId="11736" xr:uid="{F5BB5AAE-AF16-489A-9681-D5A03B8DC495}"/>
    <cellStyle name="20% - Accent6 3 2 3 3" xfId="5380" xr:uid="{00000000-0005-0000-0000-00007B030000}"/>
    <cellStyle name="20% - Accent6 3 2 3 3 2" xfId="13809" xr:uid="{B0AE386C-E098-41EF-A907-1AAE5E56CF83}"/>
    <cellStyle name="20% - Accent6 3 2 3 4" xfId="9591" xr:uid="{B2317EA1-D750-41FE-B98E-90DB87BDEB79}"/>
    <cellStyle name="20% - Accent6 3 2 4" xfId="1484" xr:uid="{00000000-0005-0000-0000-00007C030000}"/>
    <cellStyle name="20% - Accent6 3 2 4 2" xfId="3714" xr:uid="{00000000-0005-0000-0000-00007D030000}"/>
    <cellStyle name="20% - Accent6 3 2 4 2 2" xfId="7938" xr:uid="{00000000-0005-0000-0000-00007E030000}"/>
    <cellStyle name="20% - Accent6 3 2 4 2 2 2" xfId="16367" xr:uid="{6ED05863-177E-4C88-B162-A16FD93311E2}"/>
    <cellStyle name="20% - Accent6 3 2 4 2 3" xfId="12149" xr:uid="{AC05BF5B-CE57-4E48-AB30-DF8F27AD9E27}"/>
    <cellStyle name="20% - Accent6 3 2 4 3" xfId="5793" xr:uid="{00000000-0005-0000-0000-00007F030000}"/>
    <cellStyle name="20% - Accent6 3 2 4 3 2" xfId="14222" xr:uid="{DD0361EA-88F0-44B1-A945-F39E80681D0F}"/>
    <cellStyle name="20% - Accent6 3 2 4 4" xfId="10004" xr:uid="{609C9EDC-48C7-4FB0-A0C4-D08784DE6F97}"/>
    <cellStyle name="20% - Accent6 3 2 5" xfId="1898" xr:uid="{00000000-0005-0000-0000-000080030000}"/>
    <cellStyle name="20% - Accent6 3 2 5 2" xfId="4127" xr:uid="{00000000-0005-0000-0000-000081030000}"/>
    <cellStyle name="20% - Accent6 3 2 5 2 2" xfId="8351" xr:uid="{00000000-0005-0000-0000-000082030000}"/>
    <cellStyle name="20% - Accent6 3 2 5 2 2 2" xfId="16780" xr:uid="{8CB88CE0-9D77-4144-9E05-C2E6343980CD}"/>
    <cellStyle name="20% - Accent6 3 2 5 2 3" xfId="12562" xr:uid="{4548264A-780C-4914-B119-42EFEDBC3038}"/>
    <cellStyle name="20% - Accent6 3 2 5 3" xfId="6206" xr:uid="{00000000-0005-0000-0000-000083030000}"/>
    <cellStyle name="20% - Accent6 3 2 5 3 2" xfId="14635" xr:uid="{7F45D533-0A79-42AF-BEEC-0118C2545709}"/>
    <cellStyle name="20% - Accent6 3 2 5 4" xfId="10417" xr:uid="{6BFDD94C-DD20-45F0-BC58-25BBF7BC8C9E}"/>
    <cellStyle name="20% - Accent6 3 2 6" xfId="2311" xr:uid="{00000000-0005-0000-0000-000084030000}"/>
    <cellStyle name="20% - Accent6 3 2 6 2" xfId="6619" xr:uid="{00000000-0005-0000-0000-000085030000}"/>
    <cellStyle name="20% - Accent6 3 2 6 2 2" xfId="15048" xr:uid="{E07D35C4-9B67-45A2-894A-C82DB698F4EB}"/>
    <cellStyle name="20% - Accent6 3 2 6 3" xfId="10830" xr:uid="{E5C58C44-1E85-4856-904D-942CC9FA1E8E}"/>
    <cellStyle name="20% - Accent6 3 2 7" xfId="4553" xr:uid="{00000000-0005-0000-0000-000086030000}"/>
    <cellStyle name="20% - Accent6 3 2 7 2" xfId="12982" xr:uid="{F503CC74-5413-4CFE-B611-21DD4C3498F0}"/>
    <cellStyle name="20% - Accent6 3 2 8" xfId="8764" xr:uid="{1603F7EC-30DD-4396-8EE3-9A7E54AFAFDA}"/>
    <cellStyle name="20% - Accent6 3 3" xfId="616" xr:uid="{00000000-0005-0000-0000-000087030000}"/>
    <cellStyle name="20% - Accent6 3 3 2" xfId="2887" xr:uid="{00000000-0005-0000-0000-000088030000}"/>
    <cellStyle name="20% - Accent6 3 3 2 2" xfId="7111" xr:uid="{00000000-0005-0000-0000-000089030000}"/>
    <cellStyle name="20% - Accent6 3 3 2 2 2" xfId="15540" xr:uid="{78467EBD-31B9-41AF-883E-AA3727E068B6}"/>
    <cellStyle name="20% - Accent6 3 3 2 3" xfId="11322" xr:uid="{808357EC-226D-444F-B132-00261A0C9E8E}"/>
    <cellStyle name="20% - Accent6 3 3 3" xfId="4966" xr:uid="{00000000-0005-0000-0000-00008A030000}"/>
    <cellStyle name="20% - Accent6 3 3 3 2" xfId="13395" xr:uid="{7847FB6B-24F0-475D-8821-9A12315E5BE5}"/>
    <cellStyle name="20% - Accent6 3 3 4" xfId="9177" xr:uid="{FAE9082C-5BFF-4EB0-B19F-4D04570DE106}"/>
    <cellStyle name="20% - Accent6 3 4" xfId="1069" xr:uid="{00000000-0005-0000-0000-00008B030000}"/>
    <cellStyle name="20% - Accent6 3 4 2" xfId="3300" xr:uid="{00000000-0005-0000-0000-00008C030000}"/>
    <cellStyle name="20% - Accent6 3 4 2 2" xfId="7524" xr:uid="{00000000-0005-0000-0000-00008D030000}"/>
    <cellStyle name="20% - Accent6 3 4 2 2 2" xfId="15953" xr:uid="{72F929EB-D649-4F85-B586-BB0F4B8B6C63}"/>
    <cellStyle name="20% - Accent6 3 4 2 3" xfId="11735" xr:uid="{4C77900F-70A5-479A-BB10-D8F124FC402B}"/>
    <cellStyle name="20% - Accent6 3 4 3" xfId="5379" xr:uid="{00000000-0005-0000-0000-00008E030000}"/>
    <cellStyle name="20% - Accent6 3 4 3 2" xfId="13808" xr:uid="{A9C62CA0-F7D6-44DB-8B4F-24F374C39372}"/>
    <cellStyle name="20% - Accent6 3 4 4" xfId="9590" xr:uid="{8A1175F3-2239-42A6-AED7-D0F593CA17A7}"/>
    <cellStyle name="20% - Accent6 3 5" xfId="1483" xr:uid="{00000000-0005-0000-0000-00008F030000}"/>
    <cellStyle name="20% - Accent6 3 5 2" xfId="3713" xr:uid="{00000000-0005-0000-0000-000090030000}"/>
    <cellStyle name="20% - Accent6 3 5 2 2" xfId="7937" xr:uid="{00000000-0005-0000-0000-000091030000}"/>
    <cellStyle name="20% - Accent6 3 5 2 2 2" xfId="16366" xr:uid="{F4943EED-1928-414C-B819-786F7B77B4DA}"/>
    <cellStyle name="20% - Accent6 3 5 2 3" xfId="12148" xr:uid="{BB311557-3A38-4E53-A199-893494FE9911}"/>
    <cellStyle name="20% - Accent6 3 5 3" xfId="5792" xr:uid="{00000000-0005-0000-0000-000092030000}"/>
    <cellStyle name="20% - Accent6 3 5 3 2" xfId="14221" xr:uid="{1B1DD1D1-9F24-43E7-82B7-7D7128D07A68}"/>
    <cellStyle name="20% - Accent6 3 5 4" xfId="10003" xr:uid="{A1AB09D3-625C-4158-8301-D2D41A5B6513}"/>
    <cellStyle name="20% - Accent6 3 6" xfId="1897" xr:uid="{00000000-0005-0000-0000-000093030000}"/>
    <cellStyle name="20% - Accent6 3 6 2" xfId="4126" xr:uid="{00000000-0005-0000-0000-000094030000}"/>
    <cellStyle name="20% - Accent6 3 6 2 2" xfId="8350" xr:uid="{00000000-0005-0000-0000-000095030000}"/>
    <cellStyle name="20% - Accent6 3 6 2 2 2" xfId="16779" xr:uid="{4FB7E00B-A2EF-4F69-9A89-3E8B56E0122F}"/>
    <cellStyle name="20% - Accent6 3 6 2 3" xfId="12561" xr:uid="{5714C8A4-D396-4031-8F4F-01C8F2C84AF4}"/>
    <cellStyle name="20% - Accent6 3 6 3" xfId="6205" xr:uid="{00000000-0005-0000-0000-000096030000}"/>
    <cellStyle name="20% - Accent6 3 6 3 2" xfId="14634" xr:uid="{5C6913AB-B687-4622-886B-42885C9F70DC}"/>
    <cellStyle name="20% - Accent6 3 6 4" xfId="10416" xr:uid="{1F084AD5-55BD-46A4-8B5D-C8E2A335D9CF}"/>
    <cellStyle name="20% - Accent6 3 7" xfId="2310" xr:uid="{00000000-0005-0000-0000-000097030000}"/>
    <cellStyle name="20% - Accent6 3 7 2" xfId="6618" xr:uid="{00000000-0005-0000-0000-000098030000}"/>
    <cellStyle name="20% - Accent6 3 7 2 2" xfId="15047" xr:uid="{85D4A9CE-6830-4DBF-8042-BD4B908E6153}"/>
    <cellStyle name="20% - Accent6 3 7 3" xfId="10829" xr:uid="{4726C3AC-D33A-44E8-ABB0-5A397F19058A}"/>
    <cellStyle name="20% - Accent6 3 8" xfId="4552" xr:uid="{00000000-0005-0000-0000-000099030000}"/>
    <cellStyle name="20% - Accent6 3 8 2" xfId="12981" xr:uid="{EFC8452E-F192-4248-B2A4-800D5F5C1B48}"/>
    <cellStyle name="20% - Accent6 3 9" xfId="8763" xr:uid="{4E45BAB1-2F18-4352-828C-E88E3FC5264E}"/>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2 2 2" xfId="15542" xr:uid="{8A58C4D5-43D5-486E-9273-7761A13C0CE9}"/>
    <cellStyle name="20% - Accent6 4 2 2 3" xfId="11324" xr:uid="{F67E17CC-E04C-4C16-9D81-D9BC7F9CD96F}"/>
    <cellStyle name="20% - Accent6 4 2 3" xfId="4968" xr:uid="{00000000-0005-0000-0000-00009E030000}"/>
    <cellStyle name="20% - Accent6 4 2 3 2" xfId="13397" xr:uid="{79D82091-BF2B-45EC-927D-7565D1EEF3CF}"/>
    <cellStyle name="20% - Accent6 4 2 4" xfId="9179" xr:uid="{F1691AA9-EC69-4526-AE9C-BC317758F86B}"/>
    <cellStyle name="20% - Accent6 4 3" xfId="1071" xr:uid="{00000000-0005-0000-0000-00009F030000}"/>
    <cellStyle name="20% - Accent6 4 3 2" xfId="3302" xr:uid="{00000000-0005-0000-0000-0000A0030000}"/>
    <cellStyle name="20% - Accent6 4 3 2 2" xfId="7526" xr:uid="{00000000-0005-0000-0000-0000A1030000}"/>
    <cellStyle name="20% - Accent6 4 3 2 2 2" xfId="15955" xr:uid="{A186F311-9ED5-4955-834F-E3D2DD3B0267}"/>
    <cellStyle name="20% - Accent6 4 3 2 3" xfId="11737" xr:uid="{41122D96-CFBF-45BA-826F-02196050F6BF}"/>
    <cellStyle name="20% - Accent6 4 3 3" xfId="5381" xr:uid="{00000000-0005-0000-0000-0000A2030000}"/>
    <cellStyle name="20% - Accent6 4 3 3 2" xfId="13810" xr:uid="{DEB75FCA-49BF-4EC4-95AC-ACD4FCE05155}"/>
    <cellStyle name="20% - Accent6 4 3 4" xfId="9592" xr:uid="{DDA52425-BF09-4A79-B329-FB72C24E149E}"/>
    <cellStyle name="20% - Accent6 4 4" xfId="1485" xr:uid="{00000000-0005-0000-0000-0000A3030000}"/>
    <cellStyle name="20% - Accent6 4 4 2" xfId="3715" xr:uid="{00000000-0005-0000-0000-0000A4030000}"/>
    <cellStyle name="20% - Accent6 4 4 2 2" xfId="7939" xr:uid="{00000000-0005-0000-0000-0000A5030000}"/>
    <cellStyle name="20% - Accent6 4 4 2 2 2" xfId="16368" xr:uid="{622C3E38-4787-4CDE-8ACF-32FDB8CBCD0C}"/>
    <cellStyle name="20% - Accent6 4 4 2 3" xfId="12150" xr:uid="{9642FC37-4970-49CA-B8D5-6AA1567D6EF5}"/>
    <cellStyle name="20% - Accent6 4 4 3" xfId="5794" xr:uid="{00000000-0005-0000-0000-0000A6030000}"/>
    <cellStyle name="20% - Accent6 4 4 3 2" xfId="14223" xr:uid="{F626CB4E-15E5-4E9E-89EC-EC201E53AF37}"/>
    <cellStyle name="20% - Accent6 4 4 4" xfId="10005" xr:uid="{990EB3D9-4C9A-409C-A230-FB66A473D6D5}"/>
    <cellStyle name="20% - Accent6 4 5" xfId="1899" xr:uid="{00000000-0005-0000-0000-0000A7030000}"/>
    <cellStyle name="20% - Accent6 4 5 2" xfId="4128" xr:uid="{00000000-0005-0000-0000-0000A8030000}"/>
    <cellStyle name="20% - Accent6 4 5 2 2" xfId="8352" xr:uid="{00000000-0005-0000-0000-0000A9030000}"/>
    <cellStyle name="20% - Accent6 4 5 2 2 2" xfId="16781" xr:uid="{E1357D4C-0DE7-45E4-8FE7-8AA340829B7C}"/>
    <cellStyle name="20% - Accent6 4 5 2 3" xfId="12563" xr:uid="{2F0BBF59-60C8-4FAC-A681-491C728B8F69}"/>
    <cellStyle name="20% - Accent6 4 5 3" xfId="6207" xr:uid="{00000000-0005-0000-0000-0000AA030000}"/>
    <cellStyle name="20% - Accent6 4 5 3 2" xfId="14636" xr:uid="{38C0737C-A6F8-4F65-80E5-62A3FE30F67F}"/>
    <cellStyle name="20% - Accent6 4 5 4" xfId="10418" xr:uid="{DC9F4908-F92A-488E-AA64-28C7B96F12A8}"/>
    <cellStyle name="20% - Accent6 4 6" xfId="2312" xr:uid="{00000000-0005-0000-0000-0000AB030000}"/>
    <cellStyle name="20% - Accent6 4 6 2" xfId="6620" xr:uid="{00000000-0005-0000-0000-0000AC030000}"/>
    <cellStyle name="20% - Accent6 4 6 2 2" xfId="15049" xr:uid="{D5550B84-82B1-4F98-86DC-8BFF7A15412A}"/>
    <cellStyle name="20% - Accent6 4 6 3" xfId="10831" xr:uid="{F54D605F-5956-457C-9246-32CE6C5C5F44}"/>
    <cellStyle name="20% - Accent6 4 7" xfId="4554" xr:uid="{00000000-0005-0000-0000-0000AD030000}"/>
    <cellStyle name="20% - Accent6 4 7 2" xfId="12983" xr:uid="{D80BD7F9-405C-4059-A0C1-5D8D03062353}"/>
    <cellStyle name="20% - Accent6 4 8" xfId="8765" xr:uid="{D38F4667-1146-406F-8F32-6F75C86D06A0}"/>
    <cellStyle name="20% - Accent6 5" xfId="611" xr:uid="{00000000-0005-0000-0000-0000AE030000}"/>
    <cellStyle name="20% - Accent6 5 2" xfId="2882" xr:uid="{00000000-0005-0000-0000-0000AF030000}"/>
    <cellStyle name="20% - Accent6 5 2 2" xfId="7106" xr:uid="{00000000-0005-0000-0000-0000B0030000}"/>
    <cellStyle name="20% - Accent6 5 2 2 2" xfId="15535" xr:uid="{4D67584E-A7DC-45F8-B4F2-543A492D708F}"/>
    <cellStyle name="20% - Accent6 5 2 3" xfId="11317" xr:uid="{86AA3852-9139-4BF7-B7C5-2DF1E2BADBCE}"/>
    <cellStyle name="20% - Accent6 5 3" xfId="4961" xr:uid="{00000000-0005-0000-0000-0000B1030000}"/>
    <cellStyle name="20% - Accent6 5 3 2" xfId="13390" xr:uid="{F95BFDAC-DE81-4331-A013-0F3CE7454ED3}"/>
    <cellStyle name="20% - Accent6 5 4" xfId="9172" xr:uid="{D362B2A8-F864-4C87-8617-C2A8535457DD}"/>
    <cellStyle name="20% - Accent6 6" xfId="1064" xr:uid="{00000000-0005-0000-0000-0000B2030000}"/>
    <cellStyle name="20% - Accent6 6 2" xfId="3295" xr:uid="{00000000-0005-0000-0000-0000B3030000}"/>
    <cellStyle name="20% - Accent6 6 2 2" xfId="7519" xr:uid="{00000000-0005-0000-0000-0000B4030000}"/>
    <cellStyle name="20% - Accent6 6 2 2 2" xfId="15948" xr:uid="{10FF889A-C64F-4CE5-9E5B-2CAEDAB53E98}"/>
    <cellStyle name="20% - Accent6 6 2 3" xfId="11730" xr:uid="{DD86DA0A-3DC8-41A5-9BD6-42958E9F59C6}"/>
    <cellStyle name="20% - Accent6 6 3" xfId="5374" xr:uid="{00000000-0005-0000-0000-0000B5030000}"/>
    <cellStyle name="20% - Accent6 6 3 2" xfId="13803" xr:uid="{97409BBC-8D8A-40D9-A7EF-95C089F9E64E}"/>
    <cellStyle name="20% - Accent6 6 4" xfId="9585" xr:uid="{B6B62CB2-3616-4E76-AEEB-F459B020FB79}"/>
    <cellStyle name="20% - Accent6 7" xfId="1478" xr:uid="{00000000-0005-0000-0000-0000B6030000}"/>
    <cellStyle name="20% - Accent6 7 2" xfId="3708" xr:uid="{00000000-0005-0000-0000-0000B7030000}"/>
    <cellStyle name="20% - Accent6 7 2 2" xfId="7932" xr:uid="{00000000-0005-0000-0000-0000B8030000}"/>
    <cellStyle name="20% - Accent6 7 2 2 2" xfId="16361" xr:uid="{29311897-ACD4-466B-937C-DD62F397D40A}"/>
    <cellStyle name="20% - Accent6 7 2 3" xfId="12143" xr:uid="{7516A5C1-FACE-40C8-978A-9285ED6A6D55}"/>
    <cellStyle name="20% - Accent6 7 3" xfId="5787" xr:uid="{00000000-0005-0000-0000-0000B9030000}"/>
    <cellStyle name="20% - Accent6 7 3 2" xfId="14216" xr:uid="{8FB4FCDC-779A-4017-BB74-0A3484D142F3}"/>
    <cellStyle name="20% - Accent6 7 4" xfId="9998" xr:uid="{1CC7EE0F-81D6-41D6-9DB8-A2B8268B063C}"/>
    <cellStyle name="20% - Accent6 8" xfId="1892" xr:uid="{00000000-0005-0000-0000-0000BA030000}"/>
    <cellStyle name="20% - Accent6 8 2" xfId="4121" xr:uid="{00000000-0005-0000-0000-0000BB030000}"/>
    <cellStyle name="20% - Accent6 8 2 2" xfId="8345" xr:uid="{00000000-0005-0000-0000-0000BC030000}"/>
    <cellStyle name="20% - Accent6 8 2 2 2" xfId="16774" xr:uid="{45EE91BC-8D63-491D-8D7B-9EC259D24F66}"/>
    <cellStyle name="20% - Accent6 8 2 3" xfId="12556" xr:uid="{1BF94177-43D6-4694-B8D6-1384E695FC90}"/>
    <cellStyle name="20% - Accent6 8 3" xfId="6200" xr:uid="{00000000-0005-0000-0000-0000BD030000}"/>
    <cellStyle name="20% - Accent6 8 3 2" xfId="14629" xr:uid="{E7443285-6B45-43AE-A3E1-DE5955B62FEA}"/>
    <cellStyle name="20% - Accent6 8 4" xfId="10411" xr:uid="{B58F84D7-4FCC-40D6-8260-44A1F7E92E4A}"/>
    <cellStyle name="20% - Accent6 9" xfId="2305" xr:uid="{00000000-0005-0000-0000-0000BE030000}"/>
    <cellStyle name="20% - Accent6 9 2" xfId="6613" xr:uid="{00000000-0005-0000-0000-0000BF030000}"/>
    <cellStyle name="20% - Accent6 9 2 2" xfId="15042" xr:uid="{37FAF0D4-D38C-4B01-AD79-52B145501D07}"/>
    <cellStyle name="20% - Accent6 9 3" xfId="10824" xr:uid="{8DE0894D-23F7-4643-A8E0-697D1DFDAED3}"/>
    <cellStyle name="40% - Accent1" xfId="49" builtinId="31" customBuiltin="1"/>
    <cellStyle name="40% - Accent1 10" xfId="4555" xr:uid="{00000000-0005-0000-0000-0000C1030000}"/>
    <cellStyle name="40% - Accent1 10 2" xfId="12984" xr:uid="{7D388A76-7E8C-4AAD-8CFA-62A049AEB113}"/>
    <cellStyle name="40% - Accent1 11" xfId="8766" xr:uid="{1DE2F642-1947-4262-B73C-CC75F6CB69BA}"/>
    <cellStyle name="40% - Accent1 2" xfId="50" xr:uid="{00000000-0005-0000-0000-0000C2030000}"/>
    <cellStyle name="40% - Accent1 2 10" xfId="8767" xr:uid="{C2788A11-DCFF-498D-B67A-4969AF427277}"/>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2 2 2" xfId="15546" xr:uid="{D6E90D3F-C21B-462B-BCA5-6A7A99D47C0A}"/>
    <cellStyle name="40% - Accent1 2 2 2 2 2 3" xfId="11328" xr:uid="{EF6DE017-2B49-47C9-B1B3-12271B7429F2}"/>
    <cellStyle name="40% - Accent1 2 2 2 2 3" xfId="4972" xr:uid="{00000000-0005-0000-0000-0000C8030000}"/>
    <cellStyle name="40% - Accent1 2 2 2 2 3 2" xfId="13401" xr:uid="{C8E5A2ED-7BF6-4C6E-8F3F-3F68F4F72556}"/>
    <cellStyle name="40% - Accent1 2 2 2 2 4" xfId="9183" xr:uid="{0608A3B9-DA3D-4F2E-8DF6-B39B5742E937}"/>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2 2 2" xfId="15959" xr:uid="{99A0203C-BED2-4C79-9563-F6FC94E72BE8}"/>
    <cellStyle name="40% - Accent1 2 2 2 3 2 3" xfId="11741" xr:uid="{0872AC7D-D71D-481F-8BBA-E44AC31241D8}"/>
    <cellStyle name="40% - Accent1 2 2 2 3 3" xfId="5385" xr:uid="{00000000-0005-0000-0000-0000CC030000}"/>
    <cellStyle name="40% - Accent1 2 2 2 3 3 2" xfId="13814" xr:uid="{7179514E-B14C-4E24-97FA-318F152CBB04}"/>
    <cellStyle name="40% - Accent1 2 2 2 3 4" xfId="9596" xr:uid="{87B72491-7024-4AB2-A47F-064E3974EBA4}"/>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2 2 2" xfId="16372" xr:uid="{CAF7FA17-481F-4076-AF91-AE1AC8CC9BD5}"/>
    <cellStyle name="40% - Accent1 2 2 2 4 2 3" xfId="12154" xr:uid="{D5299D16-C4A4-49B8-B3D0-9ADE7473153C}"/>
    <cellStyle name="40% - Accent1 2 2 2 4 3" xfId="5798" xr:uid="{00000000-0005-0000-0000-0000D0030000}"/>
    <cellStyle name="40% - Accent1 2 2 2 4 3 2" xfId="14227" xr:uid="{BBAF86E4-9C48-4565-9916-00373937E670}"/>
    <cellStyle name="40% - Accent1 2 2 2 4 4" xfId="10009" xr:uid="{EE2566EF-8854-4E23-872F-46371ED993F3}"/>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2 2 2" xfId="16785" xr:uid="{3CAA1D90-FF36-4CEE-8A87-952FA3A4EEF1}"/>
    <cellStyle name="40% - Accent1 2 2 2 5 2 3" xfId="12567" xr:uid="{91A18290-A460-4D84-8822-55DAD5524A76}"/>
    <cellStyle name="40% - Accent1 2 2 2 5 3" xfId="6211" xr:uid="{00000000-0005-0000-0000-0000D4030000}"/>
    <cellStyle name="40% - Accent1 2 2 2 5 3 2" xfId="14640" xr:uid="{DC4C9B8B-01C6-4FD8-B4FB-80A04B5BF015}"/>
    <cellStyle name="40% - Accent1 2 2 2 5 4" xfId="10422" xr:uid="{B306F73D-384B-4073-A1B7-7864A1B6175A}"/>
    <cellStyle name="40% - Accent1 2 2 2 6" xfId="2316" xr:uid="{00000000-0005-0000-0000-0000D5030000}"/>
    <cellStyle name="40% - Accent1 2 2 2 6 2" xfId="6624" xr:uid="{00000000-0005-0000-0000-0000D6030000}"/>
    <cellStyle name="40% - Accent1 2 2 2 6 2 2" xfId="15053" xr:uid="{01886A7C-6A56-43D8-82D6-B370F20AD725}"/>
    <cellStyle name="40% - Accent1 2 2 2 6 3" xfId="10835" xr:uid="{6A937A39-661B-4E49-8626-B35C0F087928}"/>
    <cellStyle name="40% - Accent1 2 2 2 7" xfId="4558" xr:uid="{00000000-0005-0000-0000-0000D7030000}"/>
    <cellStyle name="40% - Accent1 2 2 2 7 2" xfId="12987" xr:uid="{7596731A-6A3D-4DF3-8EA0-669ADFD9748A}"/>
    <cellStyle name="40% - Accent1 2 2 2 8" xfId="8769" xr:uid="{4EA537FC-D6E8-458C-87D6-2CE2E0F4CB37}"/>
    <cellStyle name="40% - Accent1 2 2 3" xfId="621" xr:uid="{00000000-0005-0000-0000-0000D8030000}"/>
    <cellStyle name="40% - Accent1 2 2 3 2" xfId="2892" xr:uid="{00000000-0005-0000-0000-0000D9030000}"/>
    <cellStyle name="40% - Accent1 2 2 3 2 2" xfId="7116" xr:uid="{00000000-0005-0000-0000-0000DA030000}"/>
    <cellStyle name="40% - Accent1 2 2 3 2 2 2" xfId="15545" xr:uid="{1A30646D-7989-4673-B672-145521CDE2DB}"/>
    <cellStyle name="40% - Accent1 2 2 3 2 3" xfId="11327" xr:uid="{3141119D-A8A5-41F9-A6EA-95C1ECA2A7E5}"/>
    <cellStyle name="40% - Accent1 2 2 3 3" xfId="4971" xr:uid="{00000000-0005-0000-0000-0000DB030000}"/>
    <cellStyle name="40% - Accent1 2 2 3 3 2" xfId="13400" xr:uid="{10181809-CF2F-4410-B827-DD19A96C8084}"/>
    <cellStyle name="40% - Accent1 2 2 3 4" xfId="9182" xr:uid="{3BF63964-325A-4E63-BAAE-7E3D9CF65776}"/>
    <cellStyle name="40% - Accent1 2 2 4" xfId="1074" xr:uid="{00000000-0005-0000-0000-0000DC030000}"/>
    <cellStyle name="40% - Accent1 2 2 4 2" xfId="3305" xr:uid="{00000000-0005-0000-0000-0000DD030000}"/>
    <cellStyle name="40% - Accent1 2 2 4 2 2" xfId="7529" xr:uid="{00000000-0005-0000-0000-0000DE030000}"/>
    <cellStyle name="40% - Accent1 2 2 4 2 2 2" xfId="15958" xr:uid="{9688F68D-8FE7-4E02-900C-26BA6F1665FF}"/>
    <cellStyle name="40% - Accent1 2 2 4 2 3" xfId="11740" xr:uid="{58C3272C-2018-442E-B973-B38BBE21A986}"/>
    <cellStyle name="40% - Accent1 2 2 4 3" xfId="5384" xr:uid="{00000000-0005-0000-0000-0000DF030000}"/>
    <cellStyle name="40% - Accent1 2 2 4 3 2" xfId="13813" xr:uid="{E04655EF-F5BB-47F7-8178-A17DB442EEED}"/>
    <cellStyle name="40% - Accent1 2 2 4 4" xfId="9595" xr:uid="{EB9C933E-CC2D-4FC9-8567-2BBE730F091D}"/>
    <cellStyle name="40% - Accent1 2 2 5" xfId="1488" xr:uid="{00000000-0005-0000-0000-0000E0030000}"/>
    <cellStyle name="40% - Accent1 2 2 5 2" xfId="3718" xr:uid="{00000000-0005-0000-0000-0000E1030000}"/>
    <cellStyle name="40% - Accent1 2 2 5 2 2" xfId="7942" xr:uid="{00000000-0005-0000-0000-0000E2030000}"/>
    <cellStyle name="40% - Accent1 2 2 5 2 2 2" xfId="16371" xr:uid="{718A1900-8231-4DA6-9CC8-76295147250D}"/>
    <cellStyle name="40% - Accent1 2 2 5 2 3" xfId="12153" xr:uid="{60CAAB8A-D07E-43BB-A734-63700D29A372}"/>
    <cellStyle name="40% - Accent1 2 2 5 3" xfId="5797" xr:uid="{00000000-0005-0000-0000-0000E3030000}"/>
    <cellStyle name="40% - Accent1 2 2 5 3 2" xfId="14226" xr:uid="{746FEEF7-2B3B-4351-B5BC-5FC51F0FC83F}"/>
    <cellStyle name="40% - Accent1 2 2 5 4" xfId="10008" xr:uid="{A3EE007B-721E-4A7F-BB46-71FBBE378998}"/>
    <cellStyle name="40% - Accent1 2 2 6" xfId="1902" xr:uid="{00000000-0005-0000-0000-0000E4030000}"/>
    <cellStyle name="40% - Accent1 2 2 6 2" xfId="4131" xr:uid="{00000000-0005-0000-0000-0000E5030000}"/>
    <cellStyle name="40% - Accent1 2 2 6 2 2" xfId="8355" xr:uid="{00000000-0005-0000-0000-0000E6030000}"/>
    <cellStyle name="40% - Accent1 2 2 6 2 2 2" xfId="16784" xr:uid="{EB8EF43D-F93E-4DF8-9055-BD850C0D63D0}"/>
    <cellStyle name="40% - Accent1 2 2 6 2 3" xfId="12566" xr:uid="{649B9268-0464-4EC3-8BE0-E4B676FE286F}"/>
    <cellStyle name="40% - Accent1 2 2 6 3" xfId="6210" xr:uid="{00000000-0005-0000-0000-0000E7030000}"/>
    <cellStyle name="40% - Accent1 2 2 6 3 2" xfId="14639" xr:uid="{9FC1D8DA-E772-4735-A892-9DAD817D23AD}"/>
    <cellStyle name="40% - Accent1 2 2 6 4" xfId="10421" xr:uid="{4D1A658D-23CF-4EF9-9400-40C0C4223267}"/>
    <cellStyle name="40% - Accent1 2 2 7" xfId="2315" xr:uid="{00000000-0005-0000-0000-0000E8030000}"/>
    <cellStyle name="40% - Accent1 2 2 7 2" xfId="6623" xr:uid="{00000000-0005-0000-0000-0000E9030000}"/>
    <cellStyle name="40% - Accent1 2 2 7 2 2" xfId="15052" xr:uid="{E4D3FC80-00FF-44CF-8C3C-330CB154EEC5}"/>
    <cellStyle name="40% - Accent1 2 2 7 3" xfId="10834" xr:uid="{E9CFA66B-CFBB-4AA5-A94C-018A37FE0F6C}"/>
    <cellStyle name="40% - Accent1 2 2 8" xfId="4557" xr:uid="{00000000-0005-0000-0000-0000EA030000}"/>
    <cellStyle name="40% - Accent1 2 2 8 2" xfId="12986" xr:uid="{F6F74F24-C7D9-448E-B33D-C86EDC69E40F}"/>
    <cellStyle name="40% - Accent1 2 2 9" xfId="8768" xr:uid="{D177D055-F6ED-4845-B5D6-EFD59D233649}"/>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2 2 2" xfId="15547" xr:uid="{EBC0521F-091E-4229-8AA6-4CF1AEAF9ACB}"/>
    <cellStyle name="40% - Accent1 2 3 2 2 3" xfId="11329" xr:uid="{5F75E652-BD9A-4F4A-B2A9-7D85A3223A43}"/>
    <cellStyle name="40% - Accent1 2 3 2 3" xfId="4973" xr:uid="{00000000-0005-0000-0000-0000EF030000}"/>
    <cellStyle name="40% - Accent1 2 3 2 3 2" xfId="13402" xr:uid="{02163410-0FD6-400E-A2D6-9AC39A57DD53}"/>
    <cellStyle name="40% - Accent1 2 3 2 4" xfId="9184" xr:uid="{0EB4BA82-5053-482E-B61C-2FF4833ADF68}"/>
    <cellStyle name="40% - Accent1 2 3 3" xfId="1076" xr:uid="{00000000-0005-0000-0000-0000F0030000}"/>
    <cellStyle name="40% - Accent1 2 3 3 2" xfId="3307" xr:uid="{00000000-0005-0000-0000-0000F1030000}"/>
    <cellStyle name="40% - Accent1 2 3 3 2 2" xfId="7531" xr:uid="{00000000-0005-0000-0000-0000F2030000}"/>
    <cellStyle name="40% - Accent1 2 3 3 2 2 2" xfId="15960" xr:uid="{F849DE95-5DAB-4578-8DF6-F7B43BE9B8AF}"/>
    <cellStyle name="40% - Accent1 2 3 3 2 3" xfId="11742" xr:uid="{A1F4417B-CA70-428F-86F5-C43A11A24EC1}"/>
    <cellStyle name="40% - Accent1 2 3 3 3" xfId="5386" xr:uid="{00000000-0005-0000-0000-0000F3030000}"/>
    <cellStyle name="40% - Accent1 2 3 3 3 2" xfId="13815" xr:uid="{478256B8-734C-4E50-94DE-CF4082519CA4}"/>
    <cellStyle name="40% - Accent1 2 3 3 4" xfId="9597" xr:uid="{838D08C9-AC26-4D1A-91C4-7610419066F2}"/>
    <cellStyle name="40% - Accent1 2 3 4" xfId="1490" xr:uid="{00000000-0005-0000-0000-0000F4030000}"/>
    <cellStyle name="40% - Accent1 2 3 4 2" xfId="3720" xr:uid="{00000000-0005-0000-0000-0000F5030000}"/>
    <cellStyle name="40% - Accent1 2 3 4 2 2" xfId="7944" xr:uid="{00000000-0005-0000-0000-0000F6030000}"/>
    <cellStyle name="40% - Accent1 2 3 4 2 2 2" xfId="16373" xr:uid="{2E11FA74-7FE4-4B77-B00E-CB672818B15F}"/>
    <cellStyle name="40% - Accent1 2 3 4 2 3" xfId="12155" xr:uid="{96C65C20-BEAC-49D4-95AD-12A52D04F38D}"/>
    <cellStyle name="40% - Accent1 2 3 4 3" xfId="5799" xr:uid="{00000000-0005-0000-0000-0000F7030000}"/>
    <cellStyle name="40% - Accent1 2 3 4 3 2" xfId="14228" xr:uid="{FE0DE4A1-4CD9-46ED-BC69-83A68D64D264}"/>
    <cellStyle name="40% - Accent1 2 3 4 4" xfId="10010" xr:uid="{9859475E-A5EF-4B38-B546-0447E7C51C9D}"/>
    <cellStyle name="40% - Accent1 2 3 5" xfId="1904" xr:uid="{00000000-0005-0000-0000-0000F8030000}"/>
    <cellStyle name="40% - Accent1 2 3 5 2" xfId="4133" xr:uid="{00000000-0005-0000-0000-0000F9030000}"/>
    <cellStyle name="40% - Accent1 2 3 5 2 2" xfId="8357" xr:uid="{00000000-0005-0000-0000-0000FA030000}"/>
    <cellStyle name="40% - Accent1 2 3 5 2 2 2" xfId="16786" xr:uid="{55A70941-BCF9-456E-968C-8D922D5378B6}"/>
    <cellStyle name="40% - Accent1 2 3 5 2 3" xfId="12568" xr:uid="{FD4E47EE-FB4F-4EE7-9B84-0C0F2C5D01C8}"/>
    <cellStyle name="40% - Accent1 2 3 5 3" xfId="6212" xr:uid="{00000000-0005-0000-0000-0000FB030000}"/>
    <cellStyle name="40% - Accent1 2 3 5 3 2" xfId="14641" xr:uid="{89F8CC66-08DE-4633-B3BB-25821F3DAB43}"/>
    <cellStyle name="40% - Accent1 2 3 5 4" xfId="10423" xr:uid="{877CCD48-B9BC-4EE4-979C-CA9222311A8F}"/>
    <cellStyle name="40% - Accent1 2 3 6" xfId="2317" xr:uid="{00000000-0005-0000-0000-0000FC030000}"/>
    <cellStyle name="40% - Accent1 2 3 6 2" xfId="6625" xr:uid="{00000000-0005-0000-0000-0000FD030000}"/>
    <cellStyle name="40% - Accent1 2 3 6 2 2" xfId="15054" xr:uid="{5A69C0C5-6CDA-41B6-8F4E-9C43270355E8}"/>
    <cellStyle name="40% - Accent1 2 3 6 3" xfId="10836" xr:uid="{F408BD3F-A48F-4A92-BD4F-6077DE5282A1}"/>
    <cellStyle name="40% - Accent1 2 3 7" xfId="4559" xr:uid="{00000000-0005-0000-0000-0000FE030000}"/>
    <cellStyle name="40% - Accent1 2 3 7 2" xfId="12988" xr:uid="{E6E6A764-EDBD-4BA0-A8E0-74D794D7B1FD}"/>
    <cellStyle name="40% - Accent1 2 3 8" xfId="8770" xr:uid="{84C6B894-A6DD-4851-9877-A190AF539C2A}"/>
    <cellStyle name="40% - Accent1 2 4" xfId="620" xr:uid="{00000000-0005-0000-0000-0000FF030000}"/>
    <cellStyle name="40% - Accent1 2 4 2" xfId="2891" xr:uid="{00000000-0005-0000-0000-000000040000}"/>
    <cellStyle name="40% - Accent1 2 4 2 2" xfId="7115" xr:uid="{00000000-0005-0000-0000-000001040000}"/>
    <cellStyle name="40% - Accent1 2 4 2 2 2" xfId="15544" xr:uid="{54767235-AEC5-4611-A261-9C91BAD1C2AA}"/>
    <cellStyle name="40% - Accent1 2 4 2 3" xfId="11326" xr:uid="{4D3FDABE-D676-4B17-AC4C-CBD901E825A6}"/>
    <cellStyle name="40% - Accent1 2 4 3" xfId="4970" xr:uid="{00000000-0005-0000-0000-000002040000}"/>
    <cellStyle name="40% - Accent1 2 4 3 2" xfId="13399" xr:uid="{E2CA720A-26AF-4E3F-A07A-F8851BC297F8}"/>
    <cellStyle name="40% - Accent1 2 4 4" xfId="9181" xr:uid="{2CA744AF-5511-4BDB-B8FE-D812E7F1E800}"/>
    <cellStyle name="40% - Accent1 2 5" xfId="1073" xr:uid="{00000000-0005-0000-0000-000003040000}"/>
    <cellStyle name="40% - Accent1 2 5 2" xfId="3304" xr:uid="{00000000-0005-0000-0000-000004040000}"/>
    <cellStyle name="40% - Accent1 2 5 2 2" xfId="7528" xr:uid="{00000000-0005-0000-0000-000005040000}"/>
    <cellStyle name="40% - Accent1 2 5 2 2 2" xfId="15957" xr:uid="{FDA7D2B1-9419-4421-A3A1-3BF2F7E415F1}"/>
    <cellStyle name="40% - Accent1 2 5 2 3" xfId="11739" xr:uid="{18DC4FD6-81FA-401E-94FA-6754E6F2AA6E}"/>
    <cellStyle name="40% - Accent1 2 5 3" xfId="5383" xr:uid="{00000000-0005-0000-0000-000006040000}"/>
    <cellStyle name="40% - Accent1 2 5 3 2" xfId="13812" xr:uid="{3A2D90BD-26CA-4F3A-A980-DDA833F20147}"/>
    <cellStyle name="40% - Accent1 2 5 4" xfId="9594" xr:uid="{9400674D-2E87-4BE7-8FED-338D3D547C35}"/>
    <cellStyle name="40% - Accent1 2 6" xfId="1487" xr:uid="{00000000-0005-0000-0000-000007040000}"/>
    <cellStyle name="40% - Accent1 2 6 2" xfId="3717" xr:uid="{00000000-0005-0000-0000-000008040000}"/>
    <cellStyle name="40% - Accent1 2 6 2 2" xfId="7941" xr:uid="{00000000-0005-0000-0000-000009040000}"/>
    <cellStyle name="40% - Accent1 2 6 2 2 2" xfId="16370" xr:uid="{DB8C2D0C-D654-455C-B1FF-F2DBF59A8932}"/>
    <cellStyle name="40% - Accent1 2 6 2 3" xfId="12152" xr:uid="{30180F1E-46E2-4991-80AB-4BD5F17C084A}"/>
    <cellStyle name="40% - Accent1 2 6 3" xfId="5796" xr:uid="{00000000-0005-0000-0000-00000A040000}"/>
    <cellStyle name="40% - Accent1 2 6 3 2" xfId="14225" xr:uid="{D1ED9235-39AD-4630-AB61-EE40D3712CA2}"/>
    <cellStyle name="40% - Accent1 2 6 4" xfId="10007" xr:uid="{CA0694F8-A128-435B-8E45-9192366ADA1A}"/>
    <cellStyle name="40% - Accent1 2 7" xfId="1901" xr:uid="{00000000-0005-0000-0000-00000B040000}"/>
    <cellStyle name="40% - Accent1 2 7 2" xfId="4130" xr:uid="{00000000-0005-0000-0000-00000C040000}"/>
    <cellStyle name="40% - Accent1 2 7 2 2" xfId="8354" xr:uid="{00000000-0005-0000-0000-00000D040000}"/>
    <cellStyle name="40% - Accent1 2 7 2 2 2" xfId="16783" xr:uid="{E2E4F5BF-F1E8-4B71-88F1-C42AB54E74E5}"/>
    <cellStyle name="40% - Accent1 2 7 2 3" xfId="12565" xr:uid="{80A79454-3666-498F-A711-B69E7410B0C6}"/>
    <cellStyle name="40% - Accent1 2 7 3" xfId="6209" xr:uid="{00000000-0005-0000-0000-00000E040000}"/>
    <cellStyle name="40% - Accent1 2 7 3 2" xfId="14638" xr:uid="{F26BFBD0-33ED-472B-B482-EBE6B0AC3293}"/>
    <cellStyle name="40% - Accent1 2 7 4" xfId="10420" xr:uid="{DEA250C8-42C1-4D35-ADA4-EE08E6E3F188}"/>
    <cellStyle name="40% - Accent1 2 8" xfId="2314" xr:uid="{00000000-0005-0000-0000-00000F040000}"/>
    <cellStyle name="40% - Accent1 2 8 2" xfId="6622" xr:uid="{00000000-0005-0000-0000-000010040000}"/>
    <cellStyle name="40% - Accent1 2 8 2 2" xfId="15051" xr:uid="{BD1C77DB-F464-416E-B143-B72C44104318}"/>
    <cellStyle name="40% - Accent1 2 8 3" xfId="10833" xr:uid="{C6BEC79B-3BE4-4097-943E-2F4841A094EB}"/>
    <cellStyle name="40% - Accent1 2 9" xfId="4556" xr:uid="{00000000-0005-0000-0000-000011040000}"/>
    <cellStyle name="40% - Accent1 2 9 2" xfId="12985" xr:uid="{8B6EE486-943B-4600-B0C0-DB525025853B}"/>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2 2 2" xfId="15549" xr:uid="{5271234A-4DE4-4EBE-91C6-2C5E5BC6E0FB}"/>
    <cellStyle name="40% - Accent1 3 2 2 2 3" xfId="11331" xr:uid="{C777BC91-25A6-4F36-982A-700C20088AE3}"/>
    <cellStyle name="40% - Accent1 3 2 2 3" xfId="4975" xr:uid="{00000000-0005-0000-0000-000017040000}"/>
    <cellStyle name="40% - Accent1 3 2 2 3 2" xfId="13404" xr:uid="{F87FF99A-0DE2-440E-9807-4EC444DBF059}"/>
    <cellStyle name="40% - Accent1 3 2 2 4" xfId="9186" xr:uid="{ED5B2D05-EF18-4332-B728-F5DDFC041CCF}"/>
    <cellStyle name="40% - Accent1 3 2 3" xfId="1078" xr:uid="{00000000-0005-0000-0000-000018040000}"/>
    <cellStyle name="40% - Accent1 3 2 3 2" xfId="3309" xr:uid="{00000000-0005-0000-0000-000019040000}"/>
    <cellStyle name="40% - Accent1 3 2 3 2 2" xfId="7533" xr:uid="{00000000-0005-0000-0000-00001A040000}"/>
    <cellStyle name="40% - Accent1 3 2 3 2 2 2" xfId="15962" xr:uid="{007BED00-0092-4FFE-9F2A-4BC5BC6A0B61}"/>
    <cellStyle name="40% - Accent1 3 2 3 2 3" xfId="11744" xr:uid="{A0176BE6-2A55-488B-B25D-8472C3485295}"/>
    <cellStyle name="40% - Accent1 3 2 3 3" xfId="5388" xr:uid="{00000000-0005-0000-0000-00001B040000}"/>
    <cellStyle name="40% - Accent1 3 2 3 3 2" xfId="13817" xr:uid="{7170E2DF-1D3C-4A79-9803-3A7F6A195D32}"/>
    <cellStyle name="40% - Accent1 3 2 3 4" xfId="9599" xr:uid="{3E028816-1B1C-4EDC-B1D9-851E90B2A0F3}"/>
    <cellStyle name="40% - Accent1 3 2 4" xfId="1492" xr:uid="{00000000-0005-0000-0000-00001C040000}"/>
    <cellStyle name="40% - Accent1 3 2 4 2" xfId="3722" xr:uid="{00000000-0005-0000-0000-00001D040000}"/>
    <cellStyle name="40% - Accent1 3 2 4 2 2" xfId="7946" xr:uid="{00000000-0005-0000-0000-00001E040000}"/>
    <cellStyle name="40% - Accent1 3 2 4 2 2 2" xfId="16375" xr:uid="{1208F36E-DAF9-4150-A13F-92FB9DC08B82}"/>
    <cellStyle name="40% - Accent1 3 2 4 2 3" xfId="12157" xr:uid="{9E1D244F-E29E-4575-AB55-9386DC3782C7}"/>
    <cellStyle name="40% - Accent1 3 2 4 3" xfId="5801" xr:uid="{00000000-0005-0000-0000-00001F040000}"/>
    <cellStyle name="40% - Accent1 3 2 4 3 2" xfId="14230" xr:uid="{715F36FD-B695-4456-BCE1-0D7E51445397}"/>
    <cellStyle name="40% - Accent1 3 2 4 4" xfId="10012" xr:uid="{D35C32EA-FFF5-4368-B009-C21202C7DCBD}"/>
    <cellStyle name="40% - Accent1 3 2 5" xfId="1906" xr:uid="{00000000-0005-0000-0000-000020040000}"/>
    <cellStyle name="40% - Accent1 3 2 5 2" xfId="4135" xr:uid="{00000000-0005-0000-0000-000021040000}"/>
    <cellStyle name="40% - Accent1 3 2 5 2 2" xfId="8359" xr:uid="{00000000-0005-0000-0000-000022040000}"/>
    <cellStyle name="40% - Accent1 3 2 5 2 2 2" xfId="16788" xr:uid="{C3A15981-0043-42F9-BDF8-DF3827B00CDD}"/>
    <cellStyle name="40% - Accent1 3 2 5 2 3" xfId="12570" xr:uid="{ADBE9DDE-B08B-4E3B-B4CB-828F0EFCFAA4}"/>
    <cellStyle name="40% - Accent1 3 2 5 3" xfId="6214" xr:uid="{00000000-0005-0000-0000-000023040000}"/>
    <cellStyle name="40% - Accent1 3 2 5 3 2" xfId="14643" xr:uid="{CCFCF98D-F351-4FA0-807D-687A05F8A02F}"/>
    <cellStyle name="40% - Accent1 3 2 5 4" xfId="10425" xr:uid="{582FE483-CE39-45CF-A796-7CB40521A26A}"/>
    <cellStyle name="40% - Accent1 3 2 6" xfId="2319" xr:uid="{00000000-0005-0000-0000-000024040000}"/>
    <cellStyle name="40% - Accent1 3 2 6 2" xfId="6627" xr:uid="{00000000-0005-0000-0000-000025040000}"/>
    <cellStyle name="40% - Accent1 3 2 6 2 2" xfId="15056" xr:uid="{FDC7D209-EAE0-48C5-8850-CEED36DB728A}"/>
    <cellStyle name="40% - Accent1 3 2 6 3" xfId="10838" xr:uid="{AB4C8262-8BB4-4007-B973-CF5271372656}"/>
    <cellStyle name="40% - Accent1 3 2 7" xfId="4561" xr:uid="{00000000-0005-0000-0000-000026040000}"/>
    <cellStyle name="40% - Accent1 3 2 7 2" xfId="12990" xr:uid="{180A9979-13F1-4000-B95B-AC654AC67E42}"/>
    <cellStyle name="40% - Accent1 3 2 8" xfId="8772" xr:uid="{E05252AF-4567-486B-BE2F-781B805DF077}"/>
    <cellStyle name="40% - Accent1 3 3" xfId="624" xr:uid="{00000000-0005-0000-0000-000027040000}"/>
    <cellStyle name="40% - Accent1 3 3 2" xfId="2895" xr:uid="{00000000-0005-0000-0000-000028040000}"/>
    <cellStyle name="40% - Accent1 3 3 2 2" xfId="7119" xr:uid="{00000000-0005-0000-0000-000029040000}"/>
    <cellStyle name="40% - Accent1 3 3 2 2 2" xfId="15548" xr:uid="{2007C58C-4ED2-4021-B3FE-1A52CDDBCA68}"/>
    <cellStyle name="40% - Accent1 3 3 2 3" xfId="11330" xr:uid="{F87A1588-22C2-43A4-AD3B-C46696BF3811}"/>
    <cellStyle name="40% - Accent1 3 3 3" xfId="4974" xr:uid="{00000000-0005-0000-0000-00002A040000}"/>
    <cellStyle name="40% - Accent1 3 3 3 2" xfId="13403" xr:uid="{0174FD9C-6A9F-448D-90A2-A6FBD1E600DE}"/>
    <cellStyle name="40% - Accent1 3 3 4" xfId="9185" xr:uid="{C58B7E10-430B-4F7D-8D8C-2EAC0F76B36A}"/>
    <cellStyle name="40% - Accent1 3 4" xfId="1077" xr:uid="{00000000-0005-0000-0000-00002B040000}"/>
    <cellStyle name="40% - Accent1 3 4 2" xfId="3308" xr:uid="{00000000-0005-0000-0000-00002C040000}"/>
    <cellStyle name="40% - Accent1 3 4 2 2" xfId="7532" xr:uid="{00000000-0005-0000-0000-00002D040000}"/>
    <cellStyle name="40% - Accent1 3 4 2 2 2" xfId="15961" xr:uid="{BE89C14B-42B7-490D-AF4B-0964EDB88E89}"/>
    <cellStyle name="40% - Accent1 3 4 2 3" xfId="11743" xr:uid="{BB97FF94-E639-4101-89B1-EAC083871D6D}"/>
    <cellStyle name="40% - Accent1 3 4 3" xfId="5387" xr:uid="{00000000-0005-0000-0000-00002E040000}"/>
    <cellStyle name="40% - Accent1 3 4 3 2" xfId="13816" xr:uid="{84F0F7A3-0DB6-4F57-81B4-37AD74DC49FC}"/>
    <cellStyle name="40% - Accent1 3 4 4" xfId="9598" xr:uid="{FD1F27C4-393D-47DE-AD62-0F058E6F4882}"/>
    <cellStyle name="40% - Accent1 3 5" xfId="1491" xr:uid="{00000000-0005-0000-0000-00002F040000}"/>
    <cellStyle name="40% - Accent1 3 5 2" xfId="3721" xr:uid="{00000000-0005-0000-0000-000030040000}"/>
    <cellStyle name="40% - Accent1 3 5 2 2" xfId="7945" xr:uid="{00000000-0005-0000-0000-000031040000}"/>
    <cellStyle name="40% - Accent1 3 5 2 2 2" xfId="16374" xr:uid="{A1B4104E-2C24-41FB-9228-22CA4974597F}"/>
    <cellStyle name="40% - Accent1 3 5 2 3" xfId="12156" xr:uid="{21308FDF-575E-4F4E-8D51-DC19FEA89C73}"/>
    <cellStyle name="40% - Accent1 3 5 3" xfId="5800" xr:uid="{00000000-0005-0000-0000-000032040000}"/>
    <cellStyle name="40% - Accent1 3 5 3 2" xfId="14229" xr:uid="{50E5947D-EA61-4D67-B8CC-4B120C611BC3}"/>
    <cellStyle name="40% - Accent1 3 5 4" xfId="10011" xr:uid="{11196F6C-AE0A-4453-857E-93B6D0AB5D5F}"/>
    <cellStyle name="40% - Accent1 3 6" xfId="1905" xr:uid="{00000000-0005-0000-0000-000033040000}"/>
    <cellStyle name="40% - Accent1 3 6 2" xfId="4134" xr:uid="{00000000-0005-0000-0000-000034040000}"/>
    <cellStyle name="40% - Accent1 3 6 2 2" xfId="8358" xr:uid="{00000000-0005-0000-0000-000035040000}"/>
    <cellStyle name="40% - Accent1 3 6 2 2 2" xfId="16787" xr:uid="{ECA617AF-585B-460E-B393-0E6199938C82}"/>
    <cellStyle name="40% - Accent1 3 6 2 3" xfId="12569" xr:uid="{0D66178B-D02D-43D1-865D-A0269F1493E2}"/>
    <cellStyle name="40% - Accent1 3 6 3" xfId="6213" xr:uid="{00000000-0005-0000-0000-000036040000}"/>
    <cellStyle name="40% - Accent1 3 6 3 2" xfId="14642" xr:uid="{F11104A5-8D76-461E-875B-01221DCBC6E6}"/>
    <cellStyle name="40% - Accent1 3 6 4" xfId="10424" xr:uid="{93883C9A-75C9-4C45-AEB9-414F36C9AA07}"/>
    <cellStyle name="40% - Accent1 3 7" xfId="2318" xr:uid="{00000000-0005-0000-0000-000037040000}"/>
    <cellStyle name="40% - Accent1 3 7 2" xfId="6626" xr:uid="{00000000-0005-0000-0000-000038040000}"/>
    <cellStyle name="40% - Accent1 3 7 2 2" xfId="15055" xr:uid="{235B728D-E299-4745-BDE0-27E424062813}"/>
    <cellStyle name="40% - Accent1 3 7 3" xfId="10837" xr:uid="{E35C31C8-F4DA-4C1E-AF9B-D9ABBE5872F7}"/>
    <cellStyle name="40% - Accent1 3 8" xfId="4560" xr:uid="{00000000-0005-0000-0000-000039040000}"/>
    <cellStyle name="40% - Accent1 3 8 2" xfId="12989" xr:uid="{88EE5BC3-2D19-4FA4-B131-21691DA090F4}"/>
    <cellStyle name="40% - Accent1 3 9" xfId="8771" xr:uid="{D78B139A-2299-4E18-A311-B01E5DB7D63B}"/>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2 2 2" xfId="15550" xr:uid="{9AB82AAF-0AA9-4461-86B8-53237E544FF3}"/>
    <cellStyle name="40% - Accent1 4 2 2 3" xfId="11332" xr:uid="{3D51C44F-CFA9-44DA-9F9F-9BBE0BC99C3C}"/>
    <cellStyle name="40% - Accent1 4 2 3" xfId="4976" xr:uid="{00000000-0005-0000-0000-00003E040000}"/>
    <cellStyle name="40% - Accent1 4 2 3 2" xfId="13405" xr:uid="{1994ADCA-6DC8-472C-B994-11B2C55E9029}"/>
    <cellStyle name="40% - Accent1 4 2 4" xfId="9187" xr:uid="{B4D29B5E-9C46-4DAA-83C5-B970967F43B7}"/>
    <cellStyle name="40% - Accent1 4 3" xfId="1079" xr:uid="{00000000-0005-0000-0000-00003F040000}"/>
    <cellStyle name="40% - Accent1 4 3 2" xfId="3310" xr:uid="{00000000-0005-0000-0000-000040040000}"/>
    <cellStyle name="40% - Accent1 4 3 2 2" xfId="7534" xr:uid="{00000000-0005-0000-0000-000041040000}"/>
    <cellStyle name="40% - Accent1 4 3 2 2 2" xfId="15963" xr:uid="{040B13E0-E756-46D1-B8B6-CE704F303342}"/>
    <cellStyle name="40% - Accent1 4 3 2 3" xfId="11745" xr:uid="{1B7C5EEB-7FBE-4E4E-8006-E88E29987E40}"/>
    <cellStyle name="40% - Accent1 4 3 3" xfId="5389" xr:uid="{00000000-0005-0000-0000-000042040000}"/>
    <cellStyle name="40% - Accent1 4 3 3 2" xfId="13818" xr:uid="{03BA3D6E-0A4B-4543-A812-DC17C8DA8E53}"/>
    <cellStyle name="40% - Accent1 4 3 4" xfId="9600" xr:uid="{DCB5698A-96CA-4D25-B4C3-778A0007741E}"/>
    <cellStyle name="40% - Accent1 4 4" xfId="1493" xr:uid="{00000000-0005-0000-0000-000043040000}"/>
    <cellStyle name="40% - Accent1 4 4 2" xfId="3723" xr:uid="{00000000-0005-0000-0000-000044040000}"/>
    <cellStyle name="40% - Accent1 4 4 2 2" xfId="7947" xr:uid="{00000000-0005-0000-0000-000045040000}"/>
    <cellStyle name="40% - Accent1 4 4 2 2 2" xfId="16376" xr:uid="{E4381456-3CF0-4AFD-8CD5-5B4C6AF5F7D6}"/>
    <cellStyle name="40% - Accent1 4 4 2 3" xfId="12158" xr:uid="{4C5272C1-7576-4964-B151-69FF2460DE77}"/>
    <cellStyle name="40% - Accent1 4 4 3" xfId="5802" xr:uid="{00000000-0005-0000-0000-000046040000}"/>
    <cellStyle name="40% - Accent1 4 4 3 2" xfId="14231" xr:uid="{E9C52BA8-BB7A-47D8-A23C-70E16A0FC8C2}"/>
    <cellStyle name="40% - Accent1 4 4 4" xfId="10013" xr:uid="{BE905090-F319-44DF-94D3-B6E948632770}"/>
    <cellStyle name="40% - Accent1 4 5" xfId="1907" xr:uid="{00000000-0005-0000-0000-000047040000}"/>
    <cellStyle name="40% - Accent1 4 5 2" xfId="4136" xr:uid="{00000000-0005-0000-0000-000048040000}"/>
    <cellStyle name="40% - Accent1 4 5 2 2" xfId="8360" xr:uid="{00000000-0005-0000-0000-000049040000}"/>
    <cellStyle name="40% - Accent1 4 5 2 2 2" xfId="16789" xr:uid="{7AEDC9D3-2313-42D4-A0E0-AD73BFC26116}"/>
    <cellStyle name="40% - Accent1 4 5 2 3" xfId="12571" xr:uid="{5DD59259-91C5-4686-91EA-D2C595739E23}"/>
    <cellStyle name="40% - Accent1 4 5 3" xfId="6215" xr:uid="{00000000-0005-0000-0000-00004A040000}"/>
    <cellStyle name="40% - Accent1 4 5 3 2" xfId="14644" xr:uid="{7DDB41F4-3DF9-4334-B74B-C102A070FF31}"/>
    <cellStyle name="40% - Accent1 4 5 4" xfId="10426" xr:uid="{1C64837C-609F-4223-B992-CF7F4D6721AB}"/>
    <cellStyle name="40% - Accent1 4 6" xfId="2320" xr:uid="{00000000-0005-0000-0000-00004B040000}"/>
    <cellStyle name="40% - Accent1 4 6 2" xfId="6628" xr:uid="{00000000-0005-0000-0000-00004C040000}"/>
    <cellStyle name="40% - Accent1 4 6 2 2" xfId="15057" xr:uid="{C1AE2408-3F66-47E5-9D7E-9CD432EBD9EB}"/>
    <cellStyle name="40% - Accent1 4 6 3" xfId="10839" xr:uid="{B414C865-7478-47AC-8549-43B6147C4A45}"/>
    <cellStyle name="40% - Accent1 4 7" xfId="4562" xr:uid="{00000000-0005-0000-0000-00004D040000}"/>
    <cellStyle name="40% - Accent1 4 7 2" xfId="12991" xr:uid="{207288C8-99E0-4F62-8213-EB3BEAFA1FF2}"/>
    <cellStyle name="40% - Accent1 4 8" xfId="8773" xr:uid="{3CBF0257-702F-4446-A19C-3941C160943F}"/>
    <cellStyle name="40% - Accent1 5" xfId="619" xr:uid="{00000000-0005-0000-0000-00004E040000}"/>
    <cellStyle name="40% - Accent1 5 2" xfId="2890" xr:uid="{00000000-0005-0000-0000-00004F040000}"/>
    <cellStyle name="40% - Accent1 5 2 2" xfId="7114" xr:uid="{00000000-0005-0000-0000-000050040000}"/>
    <cellStyle name="40% - Accent1 5 2 2 2" xfId="15543" xr:uid="{2DBFCCE4-430C-4B1E-9686-D5371CB298C2}"/>
    <cellStyle name="40% - Accent1 5 2 3" xfId="11325" xr:uid="{04E81C85-D816-4C2A-AAE1-1A00DEC7C422}"/>
    <cellStyle name="40% - Accent1 5 3" xfId="4969" xr:uid="{00000000-0005-0000-0000-000051040000}"/>
    <cellStyle name="40% - Accent1 5 3 2" xfId="13398" xr:uid="{E9782B64-24B5-45BD-AEA1-1A6B4DE84643}"/>
    <cellStyle name="40% - Accent1 5 4" xfId="9180" xr:uid="{6BD5D6D8-A5ED-4183-AB47-30DBDD8C58A4}"/>
    <cellStyle name="40% - Accent1 6" xfId="1072" xr:uid="{00000000-0005-0000-0000-000052040000}"/>
    <cellStyle name="40% - Accent1 6 2" xfId="3303" xr:uid="{00000000-0005-0000-0000-000053040000}"/>
    <cellStyle name="40% - Accent1 6 2 2" xfId="7527" xr:uid="{00000000-0005-0000-0000-000054040000}"/>
    <cellStyle name="40% - Accent1 6 2 2 2" xfId="15956" xr:uid="{87728AA9-A21A-486C-BD1F-2615252EE3F2}"/>
    <cellStyle name="40% - Accent1 6 2 3" xfId="11738" xr:uid="{32F63C16-0780-4F97-80D1-905C0448E348}"/>
    <cellStyle name="40% - Accent1 6 3" xfId="5382" xr:uid="{00000000-0005-0000-0000-000055040000}"/>
    <cellStyle name="40% - Accent1 6 3 2" xfId="13811" xr:uid="{03AA1E38-429B-498E-B638-E7E9D92C385A}"/>
    <cellStyle name="40% - Accent1 6 4" xfId="9593" xr:uid="{D5EFE7B4-24B8-49B1-86DE-065CC35B5CFD}"/>
    <cellStyle name="40% - Accent1 7" xfId="1486" xr:uid="{00000000-0005-0000-0000-000056040000}"/>
    <cellStyle name="40% - Accent1 7 2" xfId="3716" xr:uid="{00000000-0005-0000-0000-000057040000}"/>
    <cellStyle name="40% - Accent1 7 2 2" xfId="7940" xr:uid="{00000000-0005-0000-0000-000058040000}"/>
    <cellStyle name="40% - Accent1 7 2 2 2" xfId="16369" xr:uid="{47970434-1154-43C2-933B-1ED4E8088BFD}"/>
    <cellStyle name="40% - Accent1 7 2 3" xfId="12151" xr:uid="{704E46B0-E060-451D-9F6C-4EA969F62D66}"/>
    <cellStyle name="40% - Accent1 7 3" xfId="5795" xr:uid="{00000000-0005-0000-0000-000059040000}"/>
    <cellStyle name="40% - Accent1 7 3 2" xfId="14224" xr:uid="{1EBFEC40-22A5-441A-8F33-38502184AE83}"/>
    <cellStyle name="40% - Accent1 7 4" xfId="10006" xr:uid="{E51044D9-E80E-47AB-8F61-FAC1BD682241}"/>
    <cellStyle name="40% - Accent1 8" xfId="1900" xr:uid="{00000000-0005-0000-0000-00005A040000}"/>
    <cellStyle name="40% - Accent1 8 2" xfId="4129" xr:uid="{00000000-0005-0000-0000-00005B040000}"/>
    <cellStyle name="40% - Accent1 8 2 2" xfId="8353" xr:uid="{00000000-0005-0000-0000-00005C040000}"/>
    <cellStyle name="40% - Accent1 8 2 2 2" xfId="16782" xr:uid="{FEDE5176-DD22-4701-B5F5-35076BA9A348}"/>
    <cellStyle name="40% - Accent1 8 2 3" xfId="12564" xr:uid="{9C319D39-FE4D-4B76-98F9-CDD50B37A3FC}"/>
    <cellStyle name="40% - Accent1 8 3" xfId="6208" xr:uid="{00000000-0005-0000-0000-00005D040000}"/>
    <cellStyle name="40% - Accent1 8 3 2" xfId="14637" xr:uid="{F9FC1A1B-4689-4D2C-84E9-276CB66A81CF}"/>
    <cellStyle name="40% - Accent1 8 4" xfId="10419" xr:uid="{0ECD2A3B-AEE9-4DCC-A1B9-91960D0253A1}"/>
    <cellStyle name="40% - Accent1 9" xfId="2313" xr:uid="{00000000-0005-0000-0000-00005E040000}"/>
    <cellStyle name="40% - Accent1 9 2" xfId="6621" xr:uid="{00000000-0005-0000-0000-00005F040000}"/>
    <cellStyle name="40% - Accent1 9 2 2" xfId="15050" xr:uid="{D4187BF2-A1A5-4180-82E8-91660CA25A15}"/>
    <cellStyle name="40% - Accent1 9 3" xfId="10832" xr:uid="{956B1462-87AA-495E-8832-D8C0CC1083D7}"/>
    <cellStyle name="40% - Accent2" xfId="57" builtinId="35" customBuiltin="1"/>
    <cellStyle name="40% - Accent2 10" xfId="4563" xr:uid="{00000000-0005-0000-0000-000061040000}"/>
    <cellStyle name="40% - Accent2 10 2" xfId="12992" xr:uid="{E01B72AB-574A-4E90-8179-A24F474BB0DE}"/>
    <cellStyle name="40% - Accent2 11" xfId="8774" xr:uid="{1A62E9F2-123E-48BD-AEEA-9C0D2F2A8174}"/>
    <cellStyle name="40% - Accent2 2" xfId="58" xr:uid="{00000000-0005-0000-0000-000062040000}"/>
    <cellStyle name="40% - Accent2 2 10" xfId="8775" xr:uid="{3744596A-2622-4212-9C44-81D419C9DC6F}"/>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2 2 2" xfId="15554" xr:uid="{890D703D-0939-4C72-94DA-BCA5A019D6DD}"/>
    <cellStyle name="40% - Accent2 2 2 2 2 2 3" xfId="11336" xr:uid="{768647D9-07A7-483C-B0FE-1BE384D88E2D}"/>
    <cellStyle name="40% - Accent2 2 2 2 2 3" xfId="4980" xr:uid="{00000000-0005-0000-0000-000068040000}"/>
    <cellStyle name="40% - Accent2 2 2 2 2 3 2" xfId="13409" xr:uid="{D5CEB65C-4DE1-47ED-86CB-86637F539012}"/>
    <cellStyle name="40% - Accent2 2 2 2 2 4" xfId="9191" xr:uid="{5F138B66-0567-4EB1-AED9-7B5DEBC4259E}"/>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2 2 2" xfId="15967" xr:uid="{0F2ADB53-FD2C-418C-B9EF-5740C8373884}"/>
    <cellStyle name="40% - Accent2 2 2 2 3 2 3" xfId="11749" xr:uid="{0F748A84-B012-4274-9CE4-D281184CF229}"/>
    <cellStyle name="40% - Accent2 2 2 2 3 3" xfId="5393" xr:uid="{00000000-0005-0000-0000-00006C040000}"/>
    <cellStyle name="40% - Accent2 2 2 2 3 3 2" xfId="13822" xr:uid="{AB3CA02C-CF66-494C-84DF-BF1E0BE4C6A3}"/>
    <cellStyle name="40% - Accent2 2 2 2 3 4" xfId="9604" xr:uid="{AA6F026E-06F6-411B-B8F2-653793063BAC}"/>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2 2 2" xfId="16380" xr:uid="{5B2C716F-2C4C-4E71-B287-890ACC860D3C}"/>
    <cellStyle name="40% - Accent2 2 2 2 4 2 3" xfId="12162" xr:uid="{5A15E275-4864-4CE3-94DB-CDEF5E020FC3}"/>
    <cellStyle name="40% - Accent2 2 2 2 4 3" xfId="5806" xr:uid="{00000000-0005-0000-0000-000070040000}"/>
    <cellStyle name="40% - Accent2 2 2 2 4 3 2" xfId="14235" xr:uid="{46F25586-C72D-433D-8030-CF1786E183FB}"/>
    <cellStyle name="40% - Accent2 2 2 2 4 4" xfId="10017" xr:uid="{EE02BE37-7135-41A6-B99E-556BC2C0EA69}"/>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2 2 2" xfId="16793" xr:uid="{04124EE4-D0BB-4267-8E20-E6DB7FADA30C}"/>
    <cellStyle name="40% - Accent2 2 2 2 5 2 3" xfId="12575" xr:uid="{C3BCD8A9-EE57-4936-AAA8-BA8AD985D757}"/>
    <cellStyle name="40% - Accent2 2 2 2 5 3" xfId="6219" xr:uid="{00000000-0005-0000-0000-000074040000}"/>
    <cellStyle name="40% - Accent2 2 2 2 5 3 2" xfId="14648" xr:uid="{4DC02523-88AC-4D7D-B6EA-6FDC1A9B5474}"/>
    <cellStyle name="40% - Accent2 2 2 2 5 4" xfId="10430" xr:uid="{6A75238B-0782-43F0-94BD-3E832647A0AC}"/>
    <cellStyle name="40% - Accent2 2 2 2 6" xfId="2324" xr:uid="{00000000-0005-0000-0000-000075040000}"/>
    <cellStyle name="40% - Accent2 2 2 2 6 2" xfId="6632" xr:uid="{00000000-0005-0000-0000-000076040000}"/>
    <cellStyle name="40% - Accent2 2 2 2 6 2 2" xfId="15061" xr:uid="{EE8A2878-4222-4A0D-8F48-42B73F564947}"/>
    <cellStyle name="40% - Accent2 2 2 2 6 3" xfId="10843" xr:uid="{50F3BB9C-C868-4617-A40F-9FAA16745B61}"/>
    <cellStyle name="40% - Accent2 2 2 2 7" xfId="4566" xr:uid="{00000000-0005-0000-0000-000077040000}"/>
    <cellStyle name="40% - Accent2 2 2 2 7 2" xfId="12995" xr:uid="{5E9F29D1-8FC5-4F52-8867-B208DA6DA673}"/>
    <cellStyle name="40% - Accent2 2 2 2 8" xfId="8777" xr:uid="{302B7292-7A5F-456E-94FC-F711BA5E7EAB}"/>
    <cellStyle name="40% - Accent2 2 2 3" xfId="629" xr:uid="{00000000-0005-0000-0000-000078040000}"/>
    <cellStyle name="40% - Accent2 2 2 3 2" xfId="2900" xr:uid="{00000000-0005-0000-0000-000079040000}"/>
    <cellStyle name="40% - Accent2 2 2 3 2 2" xfId="7124" xr:uid="{00000000-0005-0000-0000-00007A040000}"/>
    <cellStyle name="40% - Accent2 2 2 3 2 2 2" xfId="15553" xr:uid="{E3439CE8-0B63-4FC2-8985-646317066300}"/>
    <cellStyle name="40% - Accent2 2 2 3 2 3" xfId="11335" xr:uid="{51328966-E9FC-4678-8E19-63DBA6D903ED}"/>
    <cellStyle name="40% - Accent2 2 2 3 3" xfId="4979" xr:uid="{00000000-0005-0000-0000-00007B040000}"/>
    <cellStyle name="40% - Accent2 2 2 3 3 2" xfId="13408" xr:uid="{C44CF587-A870-424B-BF22-21D49B1C7CAA}"/>
    <cellStyle name="40% - Accent2 2 2 3 4" xfId="9190" xr:uid="{E1A8C908-2C81-4A64-B747-F3CE031DF4C3}"/>
    <cellStyle name="40% - Accent2 2 2 4" xfId="1082" xr:uid="{00000000-0005-0000-0000-00007C040000}"/>
    <cellStyle name="40% - Accent2 2 2 4 2" xfId="3313" xr:uid="{00000000-0005-0000-0000-00007D040000}"/>
    <cellStyle name="40% - Accent2 2 2 4 2 2" xfId="7537" xr:uid="{00000000-0005-0000-0000-00007E040000}"/>
    <cellStyle name="40% - Accent2 2 2 4 2 2 2" xfId="15966" xr:uid="{162B173F-8305-45F2-9620-514D889EE6D0}"/>
    <cellStyle name="40% - Accent2 2 2 4 2 3" xfId="11748" xr:uid="{22702823-9B98-44A3-8C77-B5646A1FF789}"/>
    <cellStyle name="40% - Accent2 2 2 4 3" xfId="5392" xr:uid="{00000000-0005-0000-0000-00007F040000}"/>
    <cellStyle name="40% - Accent2 2 2 4 3 2" xfId="13821" xr:uid="{E959BCEB-19CA-4A04-9C0D-4AFB99298A47}"/>
    <cellStyle name="40% - Accent2 2 2 4 4" xfId="9603" xr:uid="{5F325F07-8132-4FAB-869C-6BEDD926123B}"/>
    <cellStyle name="40% - Accent2 2 2 5" xfId="1496" xr:uid="{00000000-0005-0000-0000-000080040000}"/>
    <cellStyle name="40% - Accent2 2 2 5 2" xfId="3726" xr:uid="{00000000-0005-0000-0000-000081040000}"/>
    <cellStyle name="40% - Accent2 2 2 5 2 2" xfId="7950" xr:uid="{00000000-0005-0000-0000-000082040000}"/>
    <cellStyle name="40% - Accent2 2 2 5 2 2 2" xfId="16379" xr:uid="{E2A92862-27BB-4FDA-9908-E1DA68CF3450}"/>
    <cellStyle name="40% - Accent2 2 2 5 2 3" xfId="12161" xr:uid="{66C5D5E7-EAB7-46A7-90D1-A9D1FF031B93}"/>
    <cellStyle name="40% - Accent2 2 2 5 3" xfId="5805" xr:uid="{00000000-0005-0000-0000-000083040000}"/>
    <cellStyle name="40% - Accent2 2 2 5 3 2" xfId="14234" xr:uid="{DD712639-EF1F-43D5-BAC0-CDA0C6851551}"/>
    <cellStyle name="40% - Accent2 2 2 5 4" xfId="10016" xr:uid="{0D1018F1-8440-4840-93D2-88090494DBC0}"/>
    <cellStyle name="40% - Accent2 2 2 6" xfId="1910" xr:uid="{00000000-0005-0000-0000-000084040000}"/>
    <cellStyle name="40% - Accent2 2 2 6 2" xfId="4139" xr:uid="{00000000-0005-0000-0000-000085040000}"/>
    <cellStyle name="40% - Accent2 2 2 6 2 2" xfId="8363" xr:uid="{00000000-0005-0000-0000-000086040000}"/>
    <cellStyle name="40% - Accent2 2 2 6 2 2 2" xfId="16792" xr:uid="{AFFDADCC-DDC6-4ECD-B47E-B511FD758864}"/>
    <cellStyle name="40% - Accent2 2 2 6 2 3" xfId="12574" xr:uid="{BE29D5B2-73A6-4311-B535-25DC1C2B5197}"/>
    <cellStyle name="40% - Accent2 2 2 6 3" xfId="6218" xr:uid="{00000000-0005-0000-0000-000087040000}"/>
    <cellStyle name="40% - Accent2 2 2 6 3 2" xfId="14647" xr:uid="{A178CF74-E27E-478F-8E3E-4994E2CC1576}"/>
    <cellStyle name="40% - Accent2 2 2 6 4" xfId="10429" xr:uid="{6448C348-EEE6-4389-9901-EE52EE88ACA4}"/>
    <cellStyle name="40% - Accent2 2 2 7" xfId="2323" xr:uid="{00000000-0005-0000-0000-000088040000}"/>
    <cellStyle name="40% - Accent2 2 2 7 2" xfId="6631" xr:uid="{00000000-0005-0000-0000-000089040000}"/>
    <cellStyle name="40% - Accent2 2 2 7 2 2" xfId="15060" xr:uid="{012F7A64-CDF2-47DD-B0D9-0F00D7D2379D}"/>
    <cellStyle name="40% - Accent2 2 2 7 3" xfId="10842" xr:uid="{B4801D33-4256-4530-86E4-D32A29AB16B8}"/>
    <cellStyle name="40% - Accent2 2 2 8" xfId="4565" xr:uid="{00000000-0005-0000-0000-00008A040000}"/>
    <cellStyle name="40% - Accent2 2 2 8 2" xfId="12994" xr:uid="{6AE6F7F3-8BFE-4683-AFD0-54F1A0BD9972}"/>
    <cellStyle name="40% - Accent2 2 2 9" xfId="8776" xr:uid="{304AB340-C866-4EDF-874E-D3BE1BC696A2}"/>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2 2 2" xfId="15555" xr:uid="{4D64745F-3351-4D4E-A2F0-D248F99B579D}"/>
    <cellStyle name="40% - Accent2 2 3 2 2 3" xfId="11337" xr:uid="{C245CD8E-F389-4324-84AA-9007E16AAD70}"/>
    <cellStyle name="40% - Accent2 2 3 2 3" xfId="4981" xr:uid="{00000000-0005-0000-0000-00008F040000}"/>
    <cellStyle name="40% - Accent2 2 3 2 3 2" xfId="13410" xr:uid="{2E85CF8E-8F44-452C-B5E4-E44C04A60DB7}"/>
    <cellStyle name="40% - Accent2 2 3 2 4" xfId="9192" xr:uid="{99DEF479-06E8-48E3-AFA2-72BA13DEB174}"/>
    <cellStyle name="40% - Accent2 2 3 3" xfId="1084" xr:uid="{00000000-0005-0000-0000-000090040000}"/>
    <cellStyle name="40% - Accent2 2 3 3 2" xfId="3315" xr:uid="{00000000-0005-0000-0000-000091040000}"/>
    <cellStyle name="40% - Accent2 2 3 3 2 2" xfId="7539" xr:uid="{00000000-0005-0000-0000-000092040000}"/>
    <cellStyle name="40% - Accent2 2 3 3 2 2 2" xfId="15968" xr:uid="{EB85A94B-2BF6-4164-8A8C-E507A45BF68E}"/>
    <cellStyle name="40% - Accent2 2 3 3 2 3" xfId="11750" xr:uid="{0913A3FA-998B-4AA5-85A0-35139149A4C0}"/>
    <cellStyle name="40% - Accent2 2 3 3 3" xfId="5394" xr:uid="{00000000-0005-0000-0000-000093040000}"/>
    <cellStyle name="40% - Accent2 2 3 3 3 2" xfId="13823" xr:uid="{1452F32C-EE56-4704-AD1A-596FE0C91B1E}"/>
    <cellStyle name="40% - Accent2 2 3 3 4" xfId="9605" xr:uid="{1AA52E05-D225-4388-83A4-488A1BD67F08}"/>
    <cellStyle name="40% - Accent2 2 3 4" xfId="1498" xr:uid="{00000000-0005-0000-0000-000094040000}"/>
    <cellStyle name="40% - Accent2 2 3 4 2" xfId="3728" xr:uid="{00000000-0005-0000-0000-000095040000}"/>
    <cellStyle name="40% - Accent2 2 3 4 2 2" xfId="7952" xr:uid="{00000000-0005-0000-0000-000096040000}"/>
    <cellStyle name="40% - Accent2 2 3 4 2 2 2" xfId="16381" xr:uid="{3A7F3796-CED6-4EFF-A204-542A31710555}"/>
    <cellStyle name="40% - Accent2 2 3 4 2 3" xfId="12163" xr:uid="{76F19E18-C89B-4E28-B6CA-2413D9463994}"/>
    <cellStyle name="40% - Accent2 2 3 4 3" xfId="5807" xr:uid="{00000000-0005-0000-0000-000097040000}"/>
    <cellStyle name="40% - Accent2 2 3 4 3 2" xfId="14236" xr:uid="{B3BF94D1-392E-4BCF-AC89-A65483EE5470}"/>
    <cellStyle name="40% - Accent2 2 3 4 4" xfId="10018" xr:uid="{32A3C647-FED2-47B6-8FD7-3954ECAB2F98}"/>
    <cellStyle name="40% - Accent2 2 3 5" xfId="1912" xr:uid="{00000000-0005-0000-0000-000098040000}"/>
    <cellStyle name="40% - Accent2 2 3 5 2" xfId="4141" xr:uid="{00000000-0005-0000-0000-000099040000}"/>
    <cellStyle name="40% - Accent2 2 3 5 2 2" xfId="8365" xr:uid="{00000000-0005-0000-0000-00009A040000}"/>
    <cellStyle name="40% - Accent2 2 3 5 2 2 2" xfId="16794" xr:uid="{D79D38CB-4A21-4B85-920E-42F5B4B70298}"/>
    <cellStyle name="40% - Accent2 2 3 5 2 3" xfId="12576" xr:uid="{4EB80631-9230-49EB-9993-58FD9C23B6DB}"/>
    <cellStyle name="40% - Accent2 2 3 5 3" xfId="6220" xr:uid="{00000000-0005-0000-0000-00009B040000}"/>
    <cellStyle name="40% - Accent2 2 3 5 3 2" xfId="14649" xr:uid="{084269A3-E50F-45D1-BC42-A951F192B896}"/>
    <cellStyle name="40% - Accent2 2 3 5 4" xfId="10431" xr:uid="{D7A58CB8-87F4-4B42-AB63-A40B96F1DDE0}"/>
    <cellStyle name="40% - Accent2 2 3 6" xfId="2325" xr:uid="{00000000-0005-0000-0000-00009C040000}"/>
    <cellStyle name="40% - Accent2 2 3 6 2" xfId="6633" xr:uid="{00000000-0005-0000-0000-00009D040000}"/>
    <cellStyle name="40% - Accent2 2 3 6 2 2" xfId="15062" xr:uid="{0306BA88-5D8C-411E-8904-ACBD4E80F5B2}"/>
    <cellStyle name="40% - Accent2 2 3 6 3" xfId="10844" xr:uid="{FA609651-2CF9-4241-A2ED-C5CDFD85CA77}"/>
    <cellStyle name="40% - Accent2 2 3 7" xfId="4567" xr:uid="{00000000-0005-0000-0000-00009E040000}"/>
    <cellStyle name="40% - Accent2 2 3 7 2" xfId="12996" xr:uid="{28DEAB68-F520-4884-B520-34BE5D4460EB}"/>
    <cellStyle name="40% - Accent2 2 3 8" xfId="8778" xr:uid="{92E4D8A8-55DC-4CE2-B4C2-1BC1736E5151}"/>
    <cellStyle name="40% - Accent2 2 4" xfId="628" xr:uid="{00000000-0005-0000-0000-00009F040000}"/>
    <cellStyle name="40% - Accent2 2 4 2" xfId="2899" xr:uid="{00000000-0005-0000-0000-0000A0040000}"/>
    <cellStyle name="40% - Accent2 2 4 2 2" xfId="7123" xr:uid="{00000000-0005-0000-0000-0000A1040000}"/>
    <cellStyle name="40% - Accent2 2 4 2 2 2" xfId="15552" xr:uid="{8E45473A-7C57-4177-95C4-0481165C633C}"/>
    <cellStyle name="40% - Accent2 2 4 2 3" xfId="11334" xr:uid="{C1DC0951-D19E-40C4-9950-99D3007ECDE1}"/>
    <cellStyle name="40% - Accent2 2 4 3" xfId="4978" xr:uid="{00000000-0005-0000-0000-0000A2040000}"/>
    <cellStyle name="40% - Accent2 2 4 3 2" xfId="13407" xr:uid="{2DBEFF92-CF54-407B-8C75-125CF067DC4C}"/>
    <cellStyle name="40% - Accent2 2 4 4" xfId="9189" xr:uid="{2FB0DFAF-E853-4680-A15A-A0CB5ED0F8E3}"/>
    <cellStyle name="40% - Accent2 2 5" xfId="1081" xr:uid="{00000000-0005-0000-0000-0000A3040000}"/>
    <cellStyle name="40% - Accent2 2 5 2" xfId="3312" xr:uid="{00000000-0005-0000-0000-0000A4040000}"/>
    <cellStyle name="40% - Accent2 2 5 2 2" xfId="7536" xr:uid="{00000000-0005-0000-0000-0000A5040000}"/>
    <cellStyle name="40% - Accent2 2 5 2 2 2" xfId="15965" xr:uid="{5F214EF6-F50F-40BC-9912-38608A65AE65}"/>
    <cellStyle name="40% - Accent2 2 5 2 3" xfId="11747" xr:uid="{5D6BCADC-FFFE-457A-B30F-1EED43CD293F}"/>
    <cellStyle name="40% - Accent2 2 5 3" xfId="5391" xr:uid="{00000000-0005-0000-0000-0000A6040000}"/>
    <cellStyle name="40% - Accent2 2 5 3 2" xfId="13820" xr:uid="{C983E919-8ACD-4DCB-B8DC-5051B72F265E}"/>
    <cellStyle name="40% - Accent2 2 5 4" xfId="9602" xr:uid="{755D226B-AFEC-435C-95A6-3E54C9928D6E}"/>
    <cellStyle name="40% - Accent2 2 6" xfId="1495" xr:uid="{00000000-0005-0000-0000-0000A7040000}"/>
    <cellStyle name="40% - Accent2 2 6 2" xfId="3725" xr:uid="{00000000-0005-0000-0000-0000A8040000}"/>
    <cellStyle name="40% - Accent2 2 6 2 2" xfId="7949" xr:uid="{00000000-0005-0000-0000-0000A9040000}"/>
    <cellStyle name="40% - Accent2 2 6 2 2 2" xfId="16378" xr:uid="{86BF1BE6-93AC-461C-AB31-5EB612E65B25}"/>
    <cellStyle name="40% - Accent2 2 6 2 3" xfId="12160" xr:uid="{BB6E051B-1E20-449C-80A8-9872DE9161AA}"/>
    <cellStyle name="40% - Accent2 2 6 3" xfId="5804" xr:uid="{00000000-0005-0000-0000-0000AA040000}"/>
    <cellStyle name="40% - Accent2 2 6 3 2" xfId="14233" xr:uid="{1D9261D6-A48A-4C81-ADA5-F53F0CBAE353}"/>
    <cellStyle name="40% - Accent2 2 6 4" xfId="10015" xr:uid="{068CBD21-E847-413B-A7CF-FDDC5F127969}"/>
    <cellStyle name="40% - Accent2 2 7" xfId="1909" xr:uid="{00000000-0005-0000-0000-0000AB040000}"/>
    <cellStyle name="40% - Accent2 2 7 2" xfId="4138" xr:uid="{00000000-0005-0000-0000-0000AC040000}"/>
    <cellStyle name="40% - Accent2 2 7 2 2" xfId="8362" xr:uid="{00000000-0005-0000-0000-0000AD040000}"/>
    <cellStyle name="40% - Accent2 2 7 2 2 2" xfId="16791" xr:uid="{CEC2AD45-242C-4C17-B76F-A5E3DD2D59A0}"/>
    <cellStyle name="40% - Accent2 2 7 2 3" xfId="12573" xr:uid="{EFB03287-7CF7-4612-924D-31CD418E003A}"/>
    <cellStyle name="40% - Accent2 2 7 3" xfId="6217" xr:uid="{00000000-0005-0000-0000-0000AE040000}"/>
    <cellStyle name="40% - Accent2 2 7 3 2" xfId="14646" xr:uid="{907469EA-1AF4-4035-835C-E073E882500C}"/>
    <cellStyle name="40% - Accent2 2 7 4" xfId="10428" xr:uid="{3BF2DEE6-66D5-40B1-B181-65ADE737F86B}"/>
    <cellStyle name="40% - Accent2 2 8" xfId="2322" xr:uid="{00000000-0005-0000-0000-0000AF040000}"/>
    <cellStyle name="40% - Accent2 2 8 2" xfId="6630" xr:uid="{00000000-0005-0000-0000-0000B0040000}"/>
    <cellStyle name="40% - Accent2 2 8 2 2" xfId="15059" xr:uid="{BD4473AC-5526-4B7C-914B-61133730CF68}"/>
    <cellStyle name="40% - Accent2 2 8 3" xfId="10841" xr:uid="{5E579F16-CA79-441D-B9EF-468D782396D2}"/>
    <cellStyle name="40% - Accent2 2 9" xfId="4564" xr:uid="{00000000-0005-0000-0000-0000B1040000}"/>
    <cellStyle name="40% - Accent2 2 9 2" xfId="12993" xr:uid="{97C3E9AE-F4A4-45DE-82FA-488DCE71230A}"/>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2 2 2" xfId="15557" xr:uid="{AB7F890C-51F0-45A3-A405-6115881B4D9D}"/>
    <cellStyle name="40% - Accent2 3 2 2 2 3" xfId="11339" xr:uid="{ADDD780A-D081-4CD4-8972-F6AC385ACD0A}"/>
    <cellStyle name="40% - Accent2 3 2 2 3" xfId="4983" xr:uid="{00000000-0005-0000-0000-0000B7040000}"/>
    <cellStyle name="40% - Accent2 3 2 2 3 2" xfId="13412" xr:uid="{AC8C78A1-D04E-412F-85DE-893B2852AEAF}"/>
    <cellStyle name="40% - Accent2 3 2 2 4" xfId="9194" xr:uid="{43E7618A-75AB-4823-8C41-EA7F3335076D}"/>
    <cellStyle name="40% - Accent2 3 2 3" xfId="1086" xr:uid="{00000000-0005-0000-0000-0000B8040000}"/>
    <cellStyle name="40% - Accent2 3 2 3 2" xfId="3317" xr:uid="{00000000-0005-0000-0000-0000B9040000}"/>
    <cellStyle name="40% - Accent2 3 2 3 2 2" xfId="7541" xr:uid="{00000000-0005-0000-0000-0000BA040000}"/>
    <cellStyle name="40% - Accent2 3 2 3 2 2 2" xfId="15970" xr:uid="{92C2B7EC-09E1-47C0-8B1A-E4A548F7FF6D}"/>
    <cellStyle name="40% - Accent2 3 2 3 2 3" xfId="11752" xr:uid="{5D9E42D5-6B9F-4E28-8B8B-0B2AE5C4FFB4}"/>
    <cellStyle name="40% - Accent2 3 2 3 3" xfId="5396" xr:uid="{00000000-0005-0000-0000-0000BB040000}"/>
    <cellStyle name="40% - Accent2 3 2 3 3 2" xfId="13825" xr:uid="{43730C98-9179-40F1-AE4F-08CAAE293128}"/>
    <cellStyle name="40% - Accent2 3 2 3 4" xfId="9607" xr:uid="{EC0B5F8D-DF87-4438-9734-CAF274F1C057}"/>
    <cellStyle name="40% - Accent2 3 2 4" xfId="1500" xr:uid="{00000000-0005-0000-0000-0000BC040000}"/>
    <cellStyle name="40% - Accent2 3 2 4 2" xfId="3730" xr:uid="{00000000-0005-0000-0000-0000BD040000}"/>
    <cellStyle name="40% - Accent2 3 2 4 2 2" xfId="7954" xr:uid="{00000000-0005-0000-0000-0000BE040000}"/>
    <cellStyle name="40% - Accent2 3 2 4 2 2 2" xfId="16383" xr:uid="{B1295CF6-E6A6-48EF-B797-9D36F793B5FD}"/>
    <cellStyle name="40% - Accent2 3 2 4 2 3" xfId="12165" xr:uid="{0DAD4EF6-64FD-4699-A18D-04433C886BA3}"/>
    <cellStyle name="40% - Accent2 3 2 4 3" xfId="5809" xr:uid="{00000000-0005-0000-0000-0000BF040000}"/>
    <cellStyle name="40% - Accent2 3 2 4 3 2" xfId="14238" xr:uid="{06EF7D8E-A052-4887-9F22-9F73B4DAE477}"/>
    <cellStyle name="40% - Accent2 3 2 4 4" xfId="10020" xr:uid="{749E2F49-4853-4FF1-80CD-8A328CA550A1}"/>
    <cellStyle name="40% - Accent2 3 2 5" xfId="1914" xr:uid="{00000000-0005-0000-0000-0000C0040000}"/>
    <cellStyle name="40% - Accent2 3 2 5 2" xfId="4143" xr:uid="{00000000-0005-0000-0000-0000C1040000}"/>
    <cellStyle name="40% - Accent2 3 2 5 2 2" xfId="8367" xr:uid="{00000000-0005-0000-0000-0000C2040000}"/>
    <cellStyle name="40% - Accent2 3 2 5 2 2 2" xfId="16796" xr:uid="{39DDCD8B-AFF8-4695-A598-B1AD7C2C814B}"/>
    <cellStyle name="40% - Accent2 3 2 5 2 3" xfId="12578" xr:uid="{96E0B8F6-1F8D-4135-8721-B11B5A66A921}"/>
    <cellStyle name="40% - Accent2 3 2 5 3" xfId="6222" xr:uid="{00000000-0005-0000-0000-0000C3040000}"/>
    <cellStyle name="40% - Accent2 3 2 5 3 2" xfId="14651" xr:uid="{B9AFC8F1-1D0C-48DE-9B5C-5845D8628795}"/>
    <cellStyle name="40% - Accent2 3 2 5 4" xfId="10433" xr:uid="{CB717B72-CA51-47ED-B94C-5525B512A9BE}"/>
    <cellStyle name="40% - Accent2 3 2 6" xfId="2327" xr:uid="{00000000-0005-0000-0000-0000C4040000}"/>
    <cellStyle name="40% - Accent2 3 2 6 2" xfId="6635" xr:uid="{00000000-0005-0000-0000-0000C5040000}"/>
    <cellStyle name="40% - Accent2 3 2 6 2 2" xfId="15064" xr:uid="{D9E42666-5BCE-4B31-8DAF-2202C88B40E0}"/>
    <cellStyle name="40% - Accent2 3 2 6 3" xfId="10846" xr:uid="{50904E4F-40DE-40E7-81FB-577923C783B1}"/>
    <cellStyle name="40% - Accent2 3 2 7" xfId="4569" xr:uid="{00000000-0005-0000-0000-0000C6040000}"/>
    <cellStyle name="40% - Accent2 3 2 7 2" xfId="12998" xr:uid="{DB667D5C-8631-49C9-AC00-CF40694BE000}"/>
    <cellStyle name="40% - Accent2 3 2 8" xfId="8780" xr:uid="{5AF1B5A8-42F4-4192-8D90-7DA73DE956F7}"/>
    <cellStyle name="40% - Accent2 3 3" xfId="632" xr:uid="{00000000-0005-0000-0000-0000C7040000}"/>
    <cellStyle name="40% - Accent2 3 3 2" xfId="2903" xr:uid="{00000000-0005-0000-0000-0000C8040000}"/>
    <cellStyle name="40% - Accent2 3 3 2 2" xfId="7127" xr:uid="{00000000-0005-0000-0000-0000C9040000}"/>
    <cellStyle name="40% - Accent2 3 3 2 2 2" xfId="15556" xr:uid="{6879C1F5-5DC8-4E92-BDB3-E7EFB0F9F6FE}"/>
    <cellStyle name="40% - Accent2 3 3 2 3" xfId="11338" xr:uid="{3F48A8DA-31E7-4E6C-8F98-3E3210F3E17E}"/>
    <cellStyle name="40% - Accent2 3 3 3" xfId="4982" xr:uid="{00000000-0005-0000-0000-0000CA040000}"/>
    <cellStyle name="40% - Accent2 3 3 3 2" xfId="13411" xr:uid="{4852D340-6E84-4D77-939F-85C1E4DEB81F}"/>
    <cellStyle name="40% - Accent2 3 3 4" xfId="9193" xr:uid="{3AFE660E-681E-4A00-A1B8-3DAE1A70FDB7}"/>
    <cellStyle name="40% - Accent2 3 4" xfId="1085" xr:uid="{00000000-0005-0000-0000-0000CB040000}"/>
    <cellStyle name="40% - Accent2 3 4 2" xfId="3316" xr:uid="{00000000-0005-0000-0000-0000CC040000}"/>
    <cellStyle name="40% - Accent2 3 4 2 2" xfId="7540" xr:uid="{00000000-0005-0000-0000-0000CD040000}"/>
    <cellStyle name="40% - Accent2 3 4 2 2 2" xfId="15969" xr:uid="{87C66E47-6C41-443E-BB8A-8917937B39B2}"/>
    <cellStyle name="40% - Accent2 3 4 2 3" xfId="11751" xr:uid="{08894683-3662-4C91-8DAD-F6395AF99672}"/>
    <cellStyle name="40% - Accent2 3 4 3" xfId="5395" xr:uid="{00000000-0005-0000-0000-0000CE040000}"/>
    <cellStyle name="40% - Accent2 3 4 3 2" xfId="13824" xr:uid="{FAC31EF8-C46F-4311-A600-9AD483B1D1A1}"/>
    <cellStyle name="40% - Accent2 3 4 4" xfId="9606" xr:uid="{B190E3DA-1C0A-4D22-AFA9-49E60AB7B678}"/>
    <cellStyle name="40% - Accent2 3 5" xfId="1499" xr:uid="{00000000-0005-0000-0000-0000CF040000}"/>
    <cellStyle name="40% - Accent2 3 5 2" xfId="3729" xr:uid="{00000000-0005-0000-0000-0000D0040000}"/>
    <cellStyle name="40% - Accent2 3 5 2 2" xfId="7953" xr:uid="{00000000-0005-0000-0000-0000D1040000}"/>
    <cellStyle name="40% - Accent2 3 5 2 2 2" xfId="16382" xr:uid="{2335A124-456F-4153-8AD8-31E1854C908C}"/>
    <cellStyle name="40% - Accent2 3 5 2 3" xfId="12164" xr:uid="{7C51FEAD-475D-49DC-8E50-C3957C2248C0}"/>
    <cellStyle name="40% - Accent2 3 5 3" xfId="5808" xr:uid="{00000000-0005-0000-0000-0000D2040000}"/>
    <cellStyle name="40% - Accent2 3 5 3 2" xfId="14237" xr:uid="{3FAE89AA-75D7-47CB-89A7-A0A4BF64153D}"/>
    <cellStyle name="40% - Accent2 3 5 4" xfId="10019" xr:uid="{D563453D-D2A0-4DCE-9334-62B25166EF9A}"/>
    <cellStyle name="40% - Accent2 3 6" xfId="1913" xr:uid="{00000000-0005-0000-0000-0000D3040000}"/>
    <cellStyle name="40% - Accent2 3 6 2" xfId="4142" xr:uid="{00000000-0005-0000-0000-0000D4040000}"/>
    <cellStyle name="40% - Accent2 3 6 2 2" xfId="8366" xr:uid="{00000000-0005-0000-0000-0000D5040000}"/>
    <cellStyle name="40% - Accent2 3 6 2 2 2" xfId="16795" xr:uid="{292578A2-DF5E-41B7-9855-0B8F9F4AFC0C}"/>
    <cellStyle name="40% - Accent2 3 6 2 3" xfId="12577" xr:uid="{912293D9-6473-40D2-9CE0-966C9C7CD6A0}"/>
    <cellStyle name="40% - Accent2 3 6 3" xfId="6221" xr:uid="{00000000-0005-0000-0000-0000D6040000}"/>
    <cellStyle name="40% - Accent2 3 6 3 2" xfId="14650" xr:uid="{FCBC9EDC-0B01-47C3-B676-16C58686D1EB}"/>
    <cellStyle name="40% - Accent2 3 6 4" xfId="10432" xr:uid="{D82BF57B-636F-4EEF-BC9A-4D598E1D2B83}"/>
    <cellStyle name="40% - Accent2 3 7" xfId="2326" xr:uid="{00000000-0005-0000-0000-0000D7040000}"/>
    <cellStyle name="40% - Accent2 3 7 2" xfId="6634" xr:uid="{00000000-0005-0000-0000-0000D8040000}"/>
    <cellStyle name="40% - Accent2 3 7 2 2" xfId="15063" xr:uid="{F3463401-8EB8-428E-8EFD-3BA8F890A973}"/>
    <cellStyle name="40% - Accent2 3 7 3" xfId="10845" xr:uid="{EE58E938-2174-4895-B152-275C67B0913C}"/>
    <cellStyle name="40% - Accent2 3 8" xfId="4568" xr:uid="{00000000-0005-0000-0000-0000D9040000}"/>
    <cellStyle name="40% - Accent2 3 8 2" xfId="12997" xr:uid="{75A91F8F-92F1-4600-B9B4-C29F63EADCC6}"/>
    <cellStyle name="40% - Accent2 3 9" xfId="8779" xr:uid="{721834B4-D0CD-40F9-AA7D-1C292898A7BF}"/>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2 2 2" xfId="15558" xr:uid="{ED58BD34-E034-4572-9A66-9FEF03465533}"/>
    <cellStyle name="40% - Accent2 4 2 2 3" xfId="11340" xr:uid="{DD8FB55F-9517-4DE0-B2B4-87327DDA99EA}"/>
    <cellStyle name="40% - Accent2 4 2 3" xfId="4984" xr:uid="{00000000-0005-0000-0000-0000DE040000}"/>
    <cellStyle name="40% - Accent2 4 2 3 2" xfId="13413" xr:uid="{0F18EB97-2AEA-44F6-A72E-01201841C34F}"/>
    <cellStyle name="40% - Accent2 4 2 4" xfId="9195" xr:uid="{93CFAE73-BE5C-462D-9950-927812CEBA92}"/>
    <cellStyle name="40% - Accent2 4 3" xfId="1087" xr:uid="{00000000-0005-0000-0000-0000DF040000}"/>
    <cellStyle name="40% - Accent2 4 3 2" xfId="3318" xr:uid="{00000000-0005-0000-0000-0000E0040000}"/>
    <cellStyle name="40% - Accent2 4 3 2 2" xfId="7542" xr:uid="{00000000-0005-0000-0000-0000E1040000}"/>
    <cellStyle name="40% - Accent2 4 3 2 2 2" xfId="15971" xr:uid="{F2FD563D-89A1-46EA-BDD9-4DFCAB367242}"/>
    <cellStyle name="40% - Accent2 4 3 2 3" xfId="11753" xr:uid="{360A1109-CCB6-4B90-A64A-F284B7C9FFE8}"/>
    <cellStyle name="40% - Accent2 4 3 3" xfId="5397" xr:uid="{00000000-0005-0000-0000-0000E2040000}"/>
    <cellStyle name="40% - Accent2 4 3 3 2" xfId="13826" xr:uid="{896D6BB0-AF41-448B-A7A7-183CD5235148}"/>
    <cellStyle name="40% - Accent2 4 3 4" xfId="9608" xr:uid="{361910D6-1D71-43C0-BF8E-67F527DB320A}"/>
    <cellStyle name="40% - Accent2 4 4" xfId="1501" xr:uid="{00000000-0005-0000-0000-0000E3040000}"/>
    <cellStyle name="40% - Accent2 4 4 2" xfId="3731" xr:uid="{00000000-0005-0000-0000-0000E4040000}"/>
    <cellStyle name="40% - Accent2 4 4 2 2" xfId="7955" xr:uid="{00000000-0005-0000-0000-0000E5040000}"/>
    <cellStyle name="40% - Accent2 4 4 2 2 2" xfId="16384" xr:uid="{3374B986-343C-4C78-8ACD-176620AD6600}"/>
    <cellStyle name="40% - Accent2 4 4 2 3" xfId="12166" xr:uid="{3E4CBD00-9E71-42A1-A742-D26435CC8720}"/>
    <cellStyle name="40% - Accent2 4 4 3" xfId="5810" xr:uid="{00000000-0005-0000-0000-0000E6040000}"/>
    <cellStyle name="40% - Accent2 4 4 3 2" xfId="14239" xr:uid="{FEBAB2FC-9E2C-4D2F-AC56-4B2736F78AFF}"/>
    <cellStyle name="40% - Accent2 4 4 4" xfId="10021" xr:uid="{10B29E5A-1E17-4977-B160-BBD07F08FBEE}"/>
    <cellStyle name="40% - Accent2 4 5" xfId="1915" xr:uid="{00000000-0005-0000-0000-0000E7040000}"/>
    <cellStyle name="40% - Accent2 4 5 2" xfId="4144" xr:uid="{00000000-0005-0000-0000-0000E8040000}"/>
    <cellStyle name="40% - Accent2 4 5 2 2" xfId="8368" xr:uid="{00000000-0005-0000-0000-0000E9040000}"/>
    <cellStyle name="40% - Accent2 4 5 2 2 2" xfId="16797" xr:uid="{DB71E7D0-F42B-4493-A5B0-8CB966B47BF4}"/>
    <cellStyle name="40% - Accent2 4 5 2 3" xfId="12579" xr:uid="{AB84D984-3906-4EA0-8743-2B6FFFD001F0}"/>
    <cellStyle name="40% - Accent2 4 5 3" xfId="6223" xr:uid="{00000000-0005-0000-0000-0000EA040000}"/>
    <cellStyle name="40% - Accent2 4 5 3 2" xfId="14652" xr:uid="{BED9D411-9FCF-49E8-A765-8615BE1EC570}"/>
    <cellStyle name="40% - Accent2 4 5 4" xfId="10434" xr:uid="{5DDBC912-FDF4-4F45-A30B-4D6265184EAF}"/>
    <cellStyle name="40% - Accent2 4 6" xfId="2328" xr:uid="{00000000-0005-0000-0000-0000EB040000}"/>
    <cellStyle name="40% - Accent2 4 6 2" xfId="6636" xr:uid="{00000000-0005-0000-0000-0000EC040000}"/>
    <cellStyle name="40% - Accent2 4 6 2 2" xfId="15065" xr:uid="{725B186C-691D-4B3D-9928-B7812DC3DA55}"/>
    <cellStyle name="40% - Accent2 4 6 3" xfId="10847" xr:uid="{B4669B8F-B51D-47A5-83E5-FA036F6ECBC7}"/>
    <cellStyle name="40% - Accent2 4 7" xfId="4570" xr:uid="{00000000-0005-0000-0000-0000ED040000}"/>
    <cellStyle name="40% - Accent2 4 7 2" xfId="12999" xr:uid="{404224AF-E5D1-463F-978B-B17E30C550C8}"/>
    <cellStyle name="40% - Accent2 4 8" xfId="8781" xr:uid="{D80303AA-E0A7-41F2-AB4D-8D66645AD8C3}"/>
    <cellStyle name="40% - Accent2 5" xfId="627" xr:uid="{00000000-0005-0000-0000-0000EE040000}"/>
    <cellStyle name="40% - Accent2 5 2" xfId="2898" xr:uid="{00000000-0005-0000-0000-0000EF040000}"/>
    <cellStyle name="40% - Accent2 5 2 2" xfId="7122" xr:uid="{00000000-0005-0000-0000-0000F0040000}"/>
    <cellStyle name="40% - Accent2 5 2 2 2" xfId="15551" xr:uid="{13DC4623-98B7-4745-88B4-DE792A55992D}"/>
    <cellStyle name="40% - Accent2 5 2 3" xfId="11333" xr:uid="{74FAB350-CAB1-4D04-80DC-FAF1BEFAC7E3}"/>
    <cellStyle name="40% - Accent2 5 3" xfId="4977" xr:uid="{00000000-0005-0000-0000-0000F1040000}"/>
    <cellStyle name="40% - Accent2 5 3 2" xfId="13406" xr:uid="{A1717A58-172D-4A6B-A60F-5583B643BC3F}"/>
    <cellStyle name="40% - Accent2 5 4" xfId="9188" xr:uid="{A5C9BF3E-3749-45CE-9802-CA67B4094D57}"/>
    <cellStyle name="40% - Accent2 6" xfId="1080" xr:uid="{00000000-0005-0000-0000-0000F2040000}"/>
    <cellStyle name="40% - Accent2 6 2" xfId="3311" xr:uid="{00000000-0005-0000-0000-0000F3040000}"/>
    <cellStyle name="40% - Accent2 6 2 2" xfId="7535" xr:uid="{00000000-0005-0000-0000-0000F4040000}"/>
    <cellStyle name="40% - Accent2 6 2 2 2" xfId="15964" xr:uid="{18C587D3-00B6-4C68-95EB-8D80105A58AD}"/>
    <cellStyle name="40% - Accent2 6 2 3" xfId="11746" xr:uid="{5CB017A2-C43D-4A1F-99E8-C0261601F395}"/>
    <cellStyle name="40% - Accent2 6 3" xfId="5390" xr:uid="{00000000-0005-0000-0000-0000F5040000}"/>
    <cellStyle name="40% - Accent2 6 3 2" xfId="13819" xr:uid="{64CEBC5B-FE13-4039-BCAA-5B4164C2D305}"/>
    <cellStyle name="40% - Accent2 6 4" xfId="9601" xr:uid="{BE21C660-830C-4D92-BE3A-2F1372E45CCD}"/>
    <cellStyle name="40% - Accent2 7" xfId="1494" xr:uid="{00000000-0005-0000-0000-0000F6040000}"/>
    <cellStyle name="40% - Accent2 7 2" xfId="3724" xr:uid="{00000000-0005-0000-0000-0000F7040000}"/>
    <cellStyle name="40% - Accent2 7 2 2" xfId="7948" xr:uid="{00000000-0005-0000-0000-0000F8040000}"/>
    <cellStyle name="40% - Accent2 7 2 2 2" xfId="16377" xr:uid="{3A764500-B5E5-4078-AD40-177A63B387AD}"/>
    <cellStyle name="40% - Accent2 7 2 3" xfId="12159" xr:uid="{63449A33-CCF9-4791-A2EE-E703A6C8D28A}"/>
    <cellStyle name="40% - Accent2 7 3" xfId="5803" xr:uid="{00000000-0005-0000-0000-0000F9040000}"/>
    <cellStyle name="40% - Accent2 7 3 2" xfId="14232" xr:uid="{0AAFDAA7-EF0F-4250-8DAC-AC5D413137AF}"/>
    <cellStyle name="40% - Accent2 7 4" xfId="10014" xr:uid="{22953BFA-3D74-42B7-A4BE-0EE884F8CE14}"/>
    <cellStyle name="40% - Accent2 8" xfId="1908" xr:uid="{00000000-0005-0000-0000-0000FA040000}"/>
    <cellStyle name="40% - Accent2 8 2" xfId="4137" xr:uid="{00000000-0005-0000-0000-0000FB040000}"/>
    <cellStyle name="40% - Accent2 8 2 2" xfId="8361" xr:uid="{00000000-0005-0000-0000-0000FC040000}"/>
    <cellStyle name="40% - Accent2 8 2 2 2" xfId="16790" xr:uid="{129E9560-B290-40C2-9F28-7A77207D49EA}"/>
    <cellStyle name="40% - Accent2 8 2 3" xfId="12572" xr:uid="{1977E850-3064-4096-9A86-E0B991ED3614}"/>
    <cellStyle name="40% - Accent2 8 3" xfId="6216" xr:uid="{00000000-0005-0000-0000-0000FD040000}"/>
    <cellStyle name="40% - Accent2 8 3 2" xfId="14645" xr:uid="{157A660D-4954-4E34-B7B5-122729CE9199}"/>
    <cellStyle name="40% - Accent2 8 4" xfId="10427" xr:uid="{10045C47-32A9-4CEF-BBA8-4E9993CE6211}"/>
    <cellStyle name="40% - Accent2 9" xfId="2321" xr:uid="{00000000-0005-0000-0000-0000FE040000}"/>
    <cellStyle name="40% - Accent2 9 2" xfId="6629" xr:uid="{00000000-0005-0000-0000-0000FF040000}"/>
    <cellStyle name="40% - Accent2 9 2 2" xfId="15058" xr:uid="{B384097E-6717-46CB-97B3-D2734B57AFA6}"/>
    <cellStyle name="40% - Accent2 9 3" xfId="10840" xr:uid="{F8CC156E-DADB-4C14-8854-F00BFA52ABCC}"/>
    <cellStyle name="40% - Accent3" xfId="65" builtinId="39" customBuiltin="1"/>
    <cellStyle name="40% - Accent3 10" xfId="4571" xr:uid="{00000000-0005-0000-0000-000001050000}"/>
    <cellStyle name="40% - Accent3 10 2" xfId="13000" xr:uid="{919AE65B-82B4-4531-9388-A790C20F3B9F}"/>
    <cellStyle name="40% - Accent3 11" xfId="8782" xr:uid="{06978964-7F7B-4620-AB9C-C7717312BCEB}"/>
    <cellStyle name="40% - Accent3 2" xfId="66" xr:uid="{00000000-0005-0000-0000-000002050000}"/>
    <cellStyle name="40% - Accent3 2 10" xfId="8783" xr:uid="{278BFCC1-E85A-48F1-B826-FC31E5CC6AFB}"/>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2 2 2" xfId="15562" xr:uid="{F7566146-D885-4F1C-BCE3-57833FEEFF45}"/>
    <cellStyle name="40% - Accent3 2 2 2 2 2 3" xfId="11344" xr:uid="{5C58DB12-39B6-45DA-865C-645DF99057E2}"/>
    <cellStyle name="40% - Accent3 2 2 2 2 3" xfId="4988" xr:uid="{00000000-0005-0000-0000-000008050000}"/>
    <cellStyle name="40% - Accent3 2 2 2 2 3 2" xfId="13417" xr:uid="{142E9535-ED57-419E-A042-699314ABE9EC}"/>
    <cellStyle name="40% - Accent3 2 2 2 2 4" xfId="9199" xr:uid="{5EEDA2DC-D3D3-411C-8667-D6ED0E6F1EA4}"/>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2 2 2" xfId="15975" xr:uid="{8363F921-6F63-4D90-8E95-C7408D47B0BD}"/>
    <cellStyle name="40% - Accent3 2 2 2 3 2 3" xfId="11757" xr:uid="{A6F1A509-4307-46BE-927B-7495790071C7}"/>
    <cellStyle name="40% - Accent3 2 2 2 3 3" xfId="5401" xr:uid="{00000000-0005-0000-0000-00000C050000}"/>
    <cellStyle name="40% - Accent3 2 2 2 3 3 2" xfId="13830" xr:uid="{0F02E7C2-4A32-4927-A167-B547EDBB9958}"/>
    <cellStyle name="40% - Accent3 2 2 2 3 4" xfId="9612" xr:uid="{6ACF94E5-4DC4-4CF7-A450-DF9A16DE591C}"/>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2 2 2" xfId="16388" xr:uid="{3CE5D75E-056E-4653-8EB1-7797E84AB6A4}"/>
    <cellStyle name="40% - Accent3 2 2 2 4 2 3" xfId="12170" xr:uid="{12F2203D-A478-4F80-AEDF-FB51BD7F9494}"/>
    <cellStyle name="40% - Accent3 2 2 2 4 3" xfId="5814" xr:uid="{00000000-0005-0000-0000-000010050000}"/>
    <cellStyle name="40% - Accent3 2 2 2 4 3 2" xfId="14243" xr:uid="{4C57B810-9A23-41D0-A61F-BB9C64A7D3CD}"/>
    <cellStyle name="40% - Accent3 2 2 2 4 4" xfId="10025" xr:uid="{D632C249-A5BC-4629-B5A9-5F7841D4D3E2}"/>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2 2 2" xfId="16801" xr:uid="{C8D1136C-52FB-49F8-868B-6EFCC94548C4}"/>
    <cellStyle name="40% - Accent3 2 2 2 5 2 3" xfId="12583" xr:uid="{CFF68330-4884-4AFB-A6D4-DF0134A6E4E5}"/>
    <cellStyle name="40% - Accent3 2 2 2 5 3" xfId="6227" xr:uid="{00000000-0005-0000-0000-000014050000}"/>
    <cellStyle name="40% - Accent3 2 2 2 5 3 2" xfId="14656" xr:uid="{1C37967C-6B31-494A-BDBB-92EB06626724}"/>
    <cellStyle name="40% - Accent3 2 2 2 5 4" xfId="10438" xr:uid="{FC1DC459-315F-4B1F-B92A-43072C114BEA}"/>
    <cellStyle name="40% - Accent3 2 2 2 6" xfId="2332" xr:uid="{00000000-0005-0000-0000-000015050000}"/>
    <cellStyle name="40% - Accent3 2 2 2 6 2" xfId="6640" xr:uid="{00000000-0005-0000-0000-000016050000}"/>
    <cellStyle name="40% - Accent3 2 2 2 6 2 2" xfId="15069" xr:uid="{606238F7-5456-4E43-B2D9-94F6B5C2F07E}"/>
    <cellStyle name="40% - Accent3 2 2 2 6 3" xfId="10851" xr:uid="{BEEF635B-E239-48C9-94B7-23362E92524D}"/>
    <cellStyle name="40% - Accent3 2 2 2 7" xfId="4574" xr:uid="{00000000-0005-0000-0000-000017050000}"/>
    <cellStyle name="40% - Accent3 2 2 2 7 2" xfId="13003" xr:uid="{404B0CBC-5FDB-4F86-A70B-4A135E3D73D8}"/>
    <cellStyle name="40% - Accent3 2 2 2 8" xfId="8785" xr:uid="{D7A8CB69-B7BC-4382-842C-3F97C973B9E5}"/>
    <cellStyle name="40% - Accent3 2 2 3" xfId="637" xr:uid="{00000000-0005-0000-0000-000018050000}"/>
    <cellStyle name="40% - Accent3 2 2 3 2" xfId="2908" xr:uid="{00000000-0005-0000-0000-000019050000}"/>
    <cellStyle name="40% - Accent3 2 2 3 2 2" xfId="7132" xr:uid="{00000000-0005-0000-0000-00001A050000}"/>
    <cellStyle name="40% - Accent3 2 2 3 2 2 2" xfId="15561" xr:uid="{A08E3801-CF26-493B-A32C-70D82EDAEEDE}"/>
    <cellStyle name="40% - Accent3 2 2 3 2 3" xfId="11343" xr:uid="{52FDE9EA-E822-4A97-961A-DB2A8756C03C}"/>
    <cellStyle name="40% - Accent3 2 2 3 3" xfId="4987" xr:uid="{00000000-0005-0000-0000-00001B050000}"/>
    <cellStyle name="40% - Accent3 2 2 3 3 2" xfId="13416" xr:uid="{EA18B847-A1D4-432C-98F5-E2684CB9B77E}"/>
    <cellStyle name="40% - Accent3 2 2 3 4" xfId="9198" xr:uid="{C7252C29-3114-4E11-8D44-95CD5EEB8950}"/>
    <cellStyle name="40% - Accent3 2 2 4" xfId="1090" xr:uid="{00000000-0005-0000-0000-00001C050000}"/>
    <cellStyle name="40% - Accent3 2 2 4 2" xfId="3321" xr:uid="{00000000-0005-0000-0000-00001D050000}"/>
    <cellStyle name="40% - Accent3 2 2 4 2 2" xfId="7545" xr:uid="{00000000-0005-0000-0000-00001E050000}"/>
    <cellStyle name="40% - Accent3 2 2 4 2 2 2" xfId="15974" xr:uid="{A14735E6-5424-45AA-8B9D-32D9DC47D8A7}"/>
    <cellStyle name="40% - Accent3 2 2 4 2 3" xfId="11756" xr:uid="{8AA99815-7589-494C-B9B0-95985FE7C713}"/>
    <cellStyle name="40% - Accent3 2 2 4 3" xfId="5400" xr:uid="{00000000-0005-0000-0000-00001F050000}"/>
    <cellStyle name="40% - Accent3 2 2 4 3 2" xfId="13829" xr:uid="{98CCFACF-1E7B-4797-A246-5827B2B6DC94}"/>
    <cellStyle name="40% - Accent3 2 2 4 4" xfId="9611" xr:uid="{2B8E9FCC-5A1E-40B5-83C9-905A2795EEB4}"/>
    <cellStyle name="40% - Accent3 2 2 5" xfId="1504" xr:uid="{00000000-0005-0000-0000-000020050000}"/>
    <cellStyle name="40% - Accent3 2 2 5 2" xfId="3734" xr:uid="{00000000-0005-0000-0000-000021050000}"/>
    <cellStyle name="40% - Accent3 2 2 5 2 2" xfId="7958" xr:uid="{00000000-0005-0000-0000-000022050000}"/>
    <cellStyle name="40% - Accent3 2 2 5 2 2 2" xfId="16387" xr:uid="{587BB4C4-5374-4C63-AA69-59DB190CFA3E}"/>
    <cellStyle name="40% - Accent3 2 2 5 2 3" xfId="12169" xr:uid="{A65185C1-6459-4D5F-A797-1ACB74855866}"/>
    <cellStyle name="40% - Accent3 2 2 5 3" xfId="5813" xr:uid="{00000000-0005-0000-0000-000023050000}"/>
    <cellStyle name="40% - Accent3 2 2 5 3 2" xfId="14242" xr:uid="{56BD6896-F0E8-43FC-A57B-AD7A1BED6FF5}"/>
    <cellStyle name="40% - Accent3 2 2 5 4" xfId="10024" xr:uid="{96F968F0-7ACD-4F98-87E5-6D864C3A3582}"/>
    <cellStyle name="40% - Accent3 2 2 6" xfId="1918" xr:uid="{00000000-0005-0000-0000-000024050000}"/>
    <cellStyle name="40% - Accent3 2 2 6 2" xfId="4147" xr:uid="{00000000-0005-0000-0000-000025050000}"/>
    <cellStyle name="40% - Accent3 2 2 6 2 2" xfId="8371" xr:uid="{00000000-0005-0000-0000-000026050000}"/>
    <cellStyle name="40% - Accent3 2 2 6 2 2 2" xfId="16800" xr:uid="{32FF8969-852C-40FC-838F-897EDD1545C8}"/>
    <cellStyle name="40% - Accent3 2 2 6 2 3" xfId="12582" xr:uid="{C93625B1-0780-4EF4-93C8-607F774B7D1B}"/>
    <cellStyle name="40% - Accent3 2 2 6 3" xfId="6226" xr:uid="{00000000-0005-0000-0000-000027050000}"/>
    <cellStyle name="40% - Accent3 2 2 6 3 2" xfId="14655" xr:uid="{80F69948-D24F-4495-9079-8B56D0F32FCB}"/>
    <cellStyle name="40% - Accent3 2 2 6 4" xfId="10437" xr:uid="{CB8EDDCC-3834-4F31-B60C-CFA03D43F8DE}"/>
    <cellStyle name="40% - Accent3 2 2 7" xfId="2331" xr:uid="{00000000-0005-0000-0000-000028050000}"/>
    <cellStyle name="40% - Accent3 2 2 7 2" xfId="6639" xr:uid="{00000000-0005-0000-0000-000029050000}"/>
    <cellStyle name="40% - Accent3 2 2 7 2 2" xfId="15068" xr:uid="{882EEFE0-31EF-4ED1-8CF1-094FCAC7B6F7}"/>
    <cellStyle name="40% - Accent3 2 2 7 3" xfId="10850" xr:uid="{E4BCD3F6-0C87-445A-85FB-E9C417608835}"/>
    <cellStyle name="40% - Accent3 2 2 8" xfId="4573" xr:uid="{00000000-0005-0000-0000-00002A050000}"/>
    <cellStyle name="40% - Accent3 2 2 8 2" xfId="13002" xr:uid="{952CAED1-2B30-4B25-89EF-CE21F66354DF}"/>
    <cellStyle name="40% - Accent3 2 2 9" xfId="8784" xr:uid="{3E314750-8003-41C0-98EF-8D9465F17F7C}"/>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2 2 2" xfId="15563" xr:uid="{0E33458A-B794-4B36-A917-5F534E7AC6C2}"/>
    <cellStyle name="40% - Accent3 2 3 2 2 3" xfId="11345" xr:uid="{F628746C-9C4C-4443-9549-E3794EA5A656}"/>
    <cellStyle name="40% - Accent3 2 3 2 3" xfId="4989" xr:uid="{00000000-0005-0000-0000-00002F050000}"/>
    <cellStyle name="40% - Accent3 2 3 2 3 2" xfId="13418" xr:uid="{410381EE-4B30-4833-A287-E55BC591E0D8}"/>
    <cellStyle name="40% - Accent3 2 3 2 4" xfId="9200" xr:uid="{665F75E7-2F8A-47E0-8E0F-B9AD35D929BF}"/>
    <cellStyle name="40% - Accent3 2 3 3" xfId="1092" xr:uid="{00000000-0005-0000-0000-000030050000}"/>
    <cellStyle name="40% - Accent3 2 3 3 2" xfId="3323" xr:uid="{00000000-0005-0000-0000-000031050000}"/>
    <cellStyle name="40% - Accent3 2 3 3 2 2" xfId="7547" xr:uid="{00000000-0005-0000-0000-000032050000}"/>
    <cellStyle name="40% - Accent3 2 3 3 2 2 2" xfId="15976" xr:uid="{77B56784-97C9-48DC-A7C8-85134C195FF2}"/>
    <cellStyle name="40% - Accent3 2 3 3 2 3" xfId="11758" xr:uid="{BF56DF5D-753C-4390-834B-9A608173B43F}"/>
    <cellStyle name="40% - Accent3 2 3 3 3" xfId="5402" xr:uid="{00000000-0005-0000-0000-000033050000}"/>
    <cellStyle name="40% - Accent3 2 3 3 3 2" xfId="13831" xr:uid="{3F2A359D-0A3E-4A81-A6C4-559441B0D97A}"/>
    <cellStyle name="40% - Accent3 2 3 3 4" xfId="9613" xr:uid="{ED562ABC-B91D-41BB-BBBC-B598495A87EC}"/>
    <cellStyle name="40% - Accent3 2 3 4" xfId="1506" xr:uid="{00000000-0005-0000-0000-000034050000}"/>
    <cellStyle name="40% - Accent3 2 3 4 2" xfId="3736" xr:uid="{00000000-0005-0000-0000-000035050000}"/>
    <cellStyle name="40% - Accent3 2 3 4 2 2" xfId="7960" xr:uid="{00000000-0005-0000-0000-000036050000}"/>
    <cellStyle name="40% - Accent3 2 3 4 2 2 2" xfId="16389" xr:uid="{927CB2DA-5230-45D9-9920-A1D981FABB0C}"/>
    <cellStyle name="40% - Accent3 2 3 4 2 3" xfId="12171" xr:uid="{FFB2D6D1-61E0-47D5-A884-12CBE334B0B8}"/>
    <cellStyle name="40% - Accent3 2 3 4 3" xfId="5815" xr:uid="{00000000-0005-0000-0000-000037050000}"/>
    <cellStyle name="40% - Accent3 2 3 4 3 2" xfId="14244" xr:uid="{463EB1EE-F03E-41B1-B367-A59E60BCB8D4}"/>
    <cellStyle name="40% - Accent3 2 3 4 4" xfId="10026" xr:uid="{0B33DD5F-2DD0-4FD8-BD66-3C073CD06A60}"/>
    <cellStyle name="40% - Accent3 2 3 5" xfId="1920" xr:uid="{00000000-0005-0000-0000-000038050000}"/>
    <cellStyle name="40% - Accent3 2 3 5 2" xfId="4149" xr:uid="{00000000-0005-0000-0000-000039050000}"/>
    <cellStyle name="40% - Accent3 2 3 5 2 2" xfId="8373" xr:uid="{00000000-0005-0000-0000-00003A050000}"/>
    <cellStyle name="40% - Accent3 2 3 5 2 2 2" xfId="16802" xr:uid="{07FAAF13-1FC4-4E6A-81CB-714773441B98}"/>
    <cellStyle name="40% - Accent3 2 3 5 2 3" xfId="12584" xr:uid="{B28EBFD3-BA80-4441-9390-55D5A56245F7}"/>
    <cellStyle name="40% - Accent3 2 3 5 3" xfId="6228" xr:uid="{00000000-0005-0000-0000-00003B050000}"/>
    <cellStyle name="40% - Accent3 2 3 5 3 2" xfId="14657" xr:uid="{37E73C47-2100-4BCD-B849-97E064620BCC}"/>
    <cellStyle name="40% - Accent3 2 3 5 4" xfId="10439" xr:uid="{BFDBA865-098F-4EA2-8216-2520F61FA43C}"/>
    <cellStyle name="40% - Accent3 2 3 6" xfId="2333" xr:uid="{00000000-0005-0000-0000-00003C050000}"/>
    <cellStyle name="40% - Accent3 2 3 6 2" xfId="6641" xr:uid="{00000000-0005-0000-0000-00003D050000}"/>
    <cellStyle name="40% - Accent3 2 3 6 2 2" xfId="15070" xr:uid="{99839A6E-C1BA-44B6-9C02-0778EE341941}"/>
    <cellStyle name="40% - Accent3 2 3 6 3" xfId="10852" xr:uid="{149FD9A9-596D-4E0C-983F-E4188285002B}"/>
    <cellStyle name="40% - Accent3 2 3 7" xfId="4575" xr:uid="{00000000-0005-0000-0000-00003E050000}"/>
    <cellStyle name="40% - Accent3 2 3 7 2" xfId="13004" xr:uid="{1DE4BCF5-8A86-46A7-B622-98E1B9119201}"/>
    <cellStyle name="40% - Accent3 2 3 8" xfId="8786" xr:uid="{CD7135C7-535E-41C8-82D4-1CFFA4FE06BB}"/>
    <cellStyle name="40% - Accent3 2 4" xfId="636" xr:uid="{00000000-0005-0000-0000-00003F050000}"/>
    <cellStyle name="40% - Accent3 2 4 2" xfId="2907" xr:uid="{00000000-0005-0000-0000-000040050000}"/>
    <cellStyle name="40% - Accent3 2 4 2 2" xfId="7131" xr:uid="{00000000-0005-0000-0000-000041050000}"/>
    <cellStyle name="40% - Accent3 2 4 2 2 2" xfId="15560" xr:uid="{10D8283A-DF53-46B0-89FE-AFD0DFE36EAE}"/>
    <cellStyle name="40% - Accent3 2 4 2 3" xfId="11342" xr:uid="{C5395807-BAE3-4E00-9F76-D5F512BBFC5C}"/>
    <cellStyle name="40% - Accent3 2 4 3" xfId="4986" xr:uid="{00000000-0005-0000-0000-000042050000}"/>
    <cellStyle name="40% - Accent3 2 4 3 2" xfId="13415" xr:uid="{2561DBE3-DE88-4758-B88E-E38554B8D28D}"/>
    <cellStyle name="40% - Accent3 2 4 4" xfId="9197" xr:uid="{37E4F818-A6FA-4CD7-99C0-56E85413F379}"/>
    <cellStyle name="40% - Accent3 2 5" xfId="1089" xr:uid="{00000000-0005-0000-0000-000043050000}"/>
    <cellStyle name="40% - Accent3 2 5 2" xfId="3320" xr:uid="{00000000-0005-0000-0000-000044050000}"/>
    <cellStyle name="40% - Accent3 2 5 2 2" xfId="7544" xr:uid="{00000000-0005-0000-0000-000045050000}"/>
    <cellStyle name="40% - Accent3 2 5 2 2 2" xfId="15973" xr:uid="{1C18258F-836C-4AC8-9F9E-7A8D0B39AC38}"/>
    <cellStyle name="40% - Accent3 2 5 2 3" xfId="11755" xr:uid="{FCB03B05-B926-4BA7-8DA9-B2FC4AA06522}"/>
    <cellStyle name="40% - Accent3 2 5 3" xfId="5399" xr:uid="{00000000-0005-0000-0000-000046050000}"/>
    <cellStyle name="40% - Accent3 2 5 3 2" xfId="13828" xr:uid="{72BBBFE0-0A56-41E7-9090-9EF8ACEF0163}"/>
    <cellStyle name="40% - Accent3 2 5 4" xfId="9610" xr:uid="{F100DCCF-D23E-480D-8AC9-E35A85D43D02}"/>
    <cellStyle name="40% - Accent3 2 6" xfId="1503" xr:uid="{00000000-0005-0000-0000-000047050000}"/>
    <cellStyle name="40% - Accent3 2 6 2" xfId="3733" xr:uid="{00000000-0005-0000-0000-000048050000}"/>
    <cellStyle name="40% - Accent3 2 6 2 2" xfId="7957" xr:uid="{00000000-0005-0000-0000-000049050000}"/>
    <cellStyle name="40% - Accent3 2 6 2 2 2" xfId="16386" xr:uid="{840CA027-4168-44EA-9760-08F43B2D3CE5}"/>
    <cellStyle name="40% - Accent3 2 6 2 3" xfId="12168" xr:uid="{2ADE206C-6B0D-438F-ABBE-DC9BA50E0DB2}"/>
    <cellStyle name="40% - Accent3 2 6 3" xfId="5812" xr:uid="{00000000-0005-0000-0000-00004A050000}"/>
    <cellStyle name="40% - Accent3 2 6 3 2" xfId="14241" xr:uid="{FA4C6D06-A093-4207-9BC7-2C51108DAECC}"/>
    <cellStyle name="40% - Accent3 2 6 4" xfId="10023" xr:uid="{EEF78592-5821-4E07-AFCE-4C4047351124}"/>
    <cellStyle name="40% - Accent3 2 7" xfId="1917" xr:uid="{00000000-0005-0000-0000-00004B050000}"/>
    <cellStyle name="40% - Accent3 2 7 2" xfId="4146" xr:uid="{00000000-0005-0000-0000-00004C050000}"/>
    <cellStyle name="40% - Accent3 2 7 2 2" xfId="8370" xr:uid="{00000000-0005-0000-0000-00004D050000}"/>
    <cellStyle name="40% - Accent3 2 7 2 2 2" xfId="16799" xr:uid="{C79FE626-F120-4498-8E2A-4573488280AA}"/>
    <cellStyle name="40% - Accent3 2 7 2 3" xfId="12581" xr:uid="{5F0972E7-0294-4889-A5F0-4E1D8B61755C}"/>
    <cellStyle name="40% - Accent3 2 7 3" xfId="6225" xr:uid="{00000000-0005-0000-0000-00004E050000}"/>
    <cellStyle name="40% - Accent3 2 7 3 2" xfId="14654" xr:uid="{E68A7241-33EF-41C4-9684-C73CA7693B8A}"/>
    <cellStyle name="40% - Accent3 2 7 4" xfId="10436" xr:uid="{CA7B2666-CA74-4229-9E2D-66B9494BD1C4}"/>
    <cellStyle name="40% - Accent3 2 8" xfId="2330" xr:uid="{00000000-0005-0000-0000-00004F050000}"/>
    <cellStyle name="40% - Accent3 2 8 2" xfId="6638" xr:uid="{00000000-0005-0000-0000-000050050000}"/>
    <cellStyle name="40% - Accent3 2 8 2 2" xfId="15067" xr:uid="{FDEA6BE1-1531-4BC4-89ED-26FB51705444}"/>
    <cellStyle name="40% - Accent3 2 8 3" xfId="10849" xr:uid="{3C487EDA-DDF9-4727-8C93-8D60B093E556}"/>
    <cellStyle name="40% - Accent3 2 9" xfId="4572" xr:uid="{00000000-0005-0000-0000-000051050000}"/>
    <cellStyle name="40% - Accent3 2 9 2" xfId="13001" xr:uid="{C7F0FEEA-F56A-4C49-80EC-0471889C2D72}"/>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2 2 2" xfId="15565" xr:uid="{22A799EC-AD69-49E6-8510-E3ECC19857BD}"/>
    <cellStyle name="40% - Accent3 3 2 2 2 3" xfId="11347" xr:uid="{99156F37-504A-408F-A135-30C68E2D2CA8}"/>
    <cellStyle name="40% - Accent3 3 2 2 3" xfId="4991" xr:uid="{00000000-0005-0000-0000-000057050000}"/>
    <cellStyle name="40% - Accent3 3 2 2 3 2" xfId="13420" xr:uid="{17A4E070-9AA4-4A3B-9526-857A82600DFD}"/>
    <cellStyle name="40% - Accent3 3 2 2 4" xfId="9202" xr:uid="{59DDE3DA-8DB0-4889-9D93-9BD7256AA0A6}"/>
    <cellStyle name="40% - Accent3 3 2 3" xfId="1094" xr:uid="{00000000-0005-0000-0000-000058050000}"/>
    <cellStyle name="40% - Accent3 3 2 3 2" xfId="3325" xr:uid="{00000000-0005-0000-0000-000059050000}"/>
    <cellStyle name="40% - Accent3 3 2 3 2 2" xfId="7549" xr:uid="{00000000-0005-0000-0000-00005A050000}"/>
    <cellStyle name="40% - Accent3 3 2 3 2 2 2" xfId="15978" xr:uid="{DA74EC26-55D1-4E65-82DC-B9D13B9D211E}"/>
    <cellStyle name="40% - Accent3 3 2 3 2 3" xfId="11760" xr:uid="{92D1638E-7DD6-40E2-A8F8-090F057643A5}"/>
    <cellStyle name="40% - Accent3 3 2 3 3" xfId="5404" xr:uid="{00000000-0005-0000-0000-00005B050000}"/>
    <cellStyle name="40% - Accent3 3 2 3 3 2" xfId="13833" xr:uid="{2AFCB5F1-B7B3-42EA-8C69-03346E806D5F}"/>
    <cellStyle name="40% - Accent3 3 2 3 4" xfId="9615" xr:uid="{491C1912-F1F9-4E1D-B54F-1CF3DEAAA13D}"/>
    <cellStyle name="40% - Accent3 3 2 4" xfId="1508" xr:uid="{00000000-0005-0000-0000-00005C050000}"/>
    <cellStyle name="40% - Accent3 3 2 4 2" xfId="3738" xr:uid="{00000000-0005-0000-0000-00005D050000}"/>
    <cellStyle name="40% - Accent3 3 2 4 2 2" xfId="7962" xr:uid="{00000000-0005-0000-0000-00005E050000}"/>
    <cellStyle name="40% - Accent3 3 2 4 2 2 2" xfId="16391" xr:uid="{453561DD-849E-4747-9305-8402EE42B3FA}"/>
    <cellStyle name="40% - Accent3 3 2 4 2 3" xfId="12173" xr:uid="{03FCEC95-8502-4C72-88B0-EFB7E3EB4BBC}"/>
    <cellStyle name="40% - Accent3 3 2 4 3" xfId="5817" xr:uid="{00000000-0005-0000-0000-00005F050000}"/>
    <cellStyle name="40% - Accent3 3 2 4 3 2" xfId="14246" xr:uid="{9EB620D9-75B1-4F15-90FD-627DE07DF3C5}"/>
    <cellStyle name="40% - Accent3 3 2 4 4" xfId="10028" xr:uid="{762C2358-C7F6-45F6-A1FB-6CA6CB4DDBDF}"/>
    <cellStyle name="40% - Accent3 3 2 5" xfId="1922" xr:uid="{00000000-0005-0000-0000-000060050000}"/>
    <cellStyle name="40% - Accent3 3 2 5 2" xfId="4151" xr:uid="{00000000-0005-0000-0000-000061050000}"/>
    <cellStyle name="40% - Accent3 3 2 5 2 2" xfId="8375" xr:uid="{00000000-0005-0000-0000-000062050000}"/>
    <cellStyle name="40% - Accent3 3 2 5 2 2 2" xfId="16804" xr:uid="{4A4B3D82-B8D5-4DDB-B1F5-93B582A7922B}"/>
    <cellStyle name="40% - Accent3 3 2 5 2 3" xfId="12586" xr:uid="{BCBC681B-3731-402A-BA68-7EF6FA0AC886}"/>
    <cellStyle name="40% - Accent3 3 2 5 3" xfId="6230" xr:uid="{00000000-0005-0000-0000-000063050000}"/>
    <cellStyle name="40% - Accent3 3 2 5 3 2" xfId="14659" xr:uid="{214CEB44-AC83-4BA9-B1F7-AB3D98D95F03}"/>
    <cellStyle name="40% - Accent3 3 2 5 4" xfId="10441" xr:uid="{7611BF7A-7845-4947-AC07-F744979D3179}"/>
    <cellStyle name="40% - Accent3 3 2 6" xfId="2335" xr:uid="{00000000-0005-0000-0000-000064050000}"/>
    <cellStyle name="40% - Accent3 3 2 6 2" xfId="6643" xr:uid="{00000000-0005-0000-0000-000065050000}"/>
    <cellStyle name="40% - Accent3 3 2 6 2 2" xfId="15072" xr:uid="{EACD04A5-55C4-4DA3-A8DC-C9B632D980F9}"/>
    <cellStyle name="40% - Accent3 3 2 6 3" xfId="10854" xr:uid="{A83DAF72-7756-4C34-A5B9-BA6ED2D00451}"/>
    <cellStyle name="40% - Accent3 3 2 7" xfId="4577" xr:uid="{00000000-0005-0000-0000-000066050000}"/>
    <cellStyle name="40% - Accent3 3 2 7 2" xfId="13006" xr:uid="{1D501130-2115-4EC9-AE61-5D02719780A6}"/>
    <cellStyle name="40% - Accent3 3 2 8" xfId="8788" xr:uid="{C30398B3-5A9D-473C-BE4B-8A674845D224}"/>
    <cellStyle name="40% - Accent3 3 3" xfId="640" xr:uid="{00000000-0005-0000-0000-000067050000}"/>
    <cellStyle name="40% - Accent3 3 3 2" xfId="2911" xr:uid="{00000000-0005-0000-0000-000068050000}"/>
    <cellStyle name="40% - Accent3 3 3 2 2" xfId="7135" xr:uid="{00000000-0005-0000-0000-000069050000}"/>
    <cellStyle name="40% - Accent3 3 3 2 2 2" xfId="15564" xr:uid="{8E43E9F3-4640-4E4F-B92E-EF70308277CA}"/>
    <cellStyle name="40% - Accent3 3 3 2 3" xfId="11346" xr:uid="{985C6E43-0C7C-4C08-B4E6-D43663227C2A}"/>
    <cellStyle name="40% - Accent3 3 3 3" xfId="4990" xr:uid="{00000000-0005-0000-0000-00006A050000}"/>
    <cellStyle name="40% - Accent3 3 3 3 2" xfId="13419" xr:uid="{0EEE20FD-2264-4D23-9E26-2FA957D04638}"/>
    <cellStyle name="40% - Accent3 3 3 4" xfId="9201" xr:uid="{D31C875C-D18D-4F96-9E51-09D14A7A4D07}"/>
    <cellStyle name="40% - Accent3 3 4" xfId="1093" xr:uid="{00000000-0005-0000-0000-00006B050000}"/>
    <cellStyle name="40% - Accent3 3 4 2" xfId="3324" xr:uid="{00000000-0005-0000-0000-00006C050000}"/>
    <cellStyle name="40% - Accent3 3 4 2 2" xfId="7548" xr:uid="{00000000-0005-0000-0000-00006D050000}"/>
    <cellStyle name="40% - Accent3 3 4 2 2 2" xfId="15977" xr:uid="{A4CD27B8-A69B-4727-B68E-CB37B5EB6D76}"/>
    <cellStyle name="40% - Accent3 3 4 2 3" xfId="11759" xr:uid="{473A1FAE-38A4-4A91-805A-261EAD26FCDB}"/>
    <cellStyle name="40% - Accent3 3 4 3" xfId="5403" xr:uid="{00000000-0005-0000-0000-00006E050000}"/>
    <cellStyle name="40% - Accent3 3 4 3 2" xfId="13832" xr:uid="{A5F7ED3C-ABD1-43E3-ACAE-8F3A9A2BB285}"/>
    <cellStyle name="40% - Accent3 3 4 4" xfId="9614" xr:uid="{612F1A85-5B72-4B7C-8653-048349F706CC}"/>
    <cellStyle name="40% - Accent3 3 5" xfId="1507" xr:uid="{00000000-0005-0000-0000-00006F050000}"/>
    <cellStyle name="40% - Accent3 3 5 2" xfId="3737" xr:uid="{00000000-0005-0000-0000-000070050000}"/>
    <cellStyle name="40% - Accent3 3 5 2 2" xfId="7961" xr:uid="{00000000-0005-0000-0000-000071050000}"/>
    <cellStyle name="40% - Accent3 3 5 2 2 2" xfId="16390" xr:uid="{A89A1E4B-047A-4A4F-B622-89EA579218DF}"/>
    <cellStyle name="40% - Accent3 3 5 2 3" xfId="12172" xr:uid="{3C6D3247-6B17-4D2F-9F6B-2FDD9845551C}"/>
    <cellStyle name="40% - Accent3 3 5 3" xfId="5816" xr:uid="{00000000-0005-0000-0000-000072050000}"/>
    <cellStyle name="40% - Accent3 3 5 3 2" xfId="14245" xr:uid="{9F4DC918-D788-43A0-8219-6E8809848010}"/>
    <cellStyle name="40% - Accent3 3 5 4" xfId="10027" xr:uid="{BCB7B107-2FE0-4BFA-87F8-624672E6536F}"/>
    <cellStyle name="40% - Accent3 3 6" xfId="1921" xr:uid="{00000000-0005-0000-0000-000073050000}"/>
    <cellStyle name="40% - Accent3 3 6 2" xfId="4150" xr:uid="{00000000-0005-0000-0000-000074050000}"/>
    <cellStyle name="40% - Accent3 3 6 2 2" xfId="8374" xr:uid="{00000000-0005-0000-0000-000075050000}"/>
    <cellStyle name="40% - Accent3 3 6 2 2 2" xfId="16803" xr:uid="{B0783A30-CE28-4E15-B9DF-29340D47D477}"/>
    <cellStyle name="40% - Accent3 3 6 2 3" xfId="12585" xr:uid="{9ECC7AE8-0A1F-4BE5-A3B6-823E97607475}"/>
    <cellStyle name="40% - Accent3 3 6 3" xfId="6229" xr:uid="{00000000-0005-0000-0000-000076050000}"/>
    <cellStyle name="40% - Accent3 3 6 3 2" xfId="14658" xr:uid="{8605B519-4171-4D3B-AB26-B33BC681DF46}"/>
    <cellStyle name="40% - Accent3 3 6 4" xfId="10440" xr:uid="{BC091525-AF4E-4693-B89B-BC4E6E85532E}"/>
    <cellStyle name="40% - Accent3 3 7" xfId="2334" xr:uid="{00000000-0005-0000-0000-000077050000}"/>
    <cellStyle name="40% - Accent3 3 7 2" xfId="6642" xr:uid="{00000000-0005-0000-0000-000078050000}"/>
    <cellStyle name="40% - Accent3 3 7 2 2" xfId="15071" xr:uid="{A5379BDA-CAA7-46C2-8D20-7CBE5590E1D4}"/>
    <cellStyle name="40% - Accent3 3 7 3" xfId="10853" xr:uid="{878A83A3-585B-4D6E-A9C3-E46CB516854A}"/>
    <cellStyle name="40% - Accent3 3 8" xfId="4576" xr:uid="{00000000-0005-0000-0000-000079050000}"/>
    <cellStyle name="40% - Accent3 3 8 2" xfId="13005" xr:uid="{6D10C09D-E3D8-4F88-BE6C-84E161748313}"/>
    <cellStyle name="40% - Accent3 3 9" xfId="8787" xr:uid="{BB207D20-41FD-4FED-8064-1B1A1CFD9A9B}"/>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2 2 2" xfId="15566" xr:uid="{9B8E9EC3-F4E4-4F2E-9BE6-2D4DB6C21E25}"/>
    <cellStyle name="40% - Accent3 4 2 2 3" xfId="11348" xr:uid="{2D306816-19A7-45E2-A450-280D89D8B464}"/>
    <cellStyle name="40% - Accent3 4 2 3" xfId="4992" xr:uid="{00000000-0005-0000-0000-00007E050000}"/>
    <cellStyle name="40% - Accent3 4 2 3 2" xfId="13421" xr:uid="{32B65EB8-320C-4CEB-B45A-3F66FBB99409}"/>
    <cellStyle name="40% - Accent3 4 2 4" xfId="9203" xr:uid="{FCBE79E4-84D1-473D-9E87-54D5E3391596}"/>
    <cellStyle name="40% - Accent3 4 3" xfId="1095" xr:uid="{00000000-0005-0000-0000-00007F050000}"/>
    <cellStyle name="40% - Accent3 4 3 2" xfId="3326" xr:uid="{00000000-0005-0000-0000-000080050000}"/>
    <cellStyle name="40% - Accent3 4 3 2 2" xfId="7550" xr:uid="{00000000-0005-0000-0000-000081050000}"/>
    <cellStyle name="40% - Accent3 4 3 2 2 2" xfId="15979" xr:uid="{30AEDBB1-90D7-487B-A6E6-20E5EB5E7A01}"/>
    <cellStyle name="40% - Accent3 4 3 2 3" xfId="11761" xr:uid="{68D688AA-FA1D-49D4-8BA5-7B170FD87053}"/>
    <cellStyle name="40% - Accent3 4 3 3" xfId="5405" xr:uid="{00000000-0005-0000-0000-000082050000}"/>
    <cellStyle name="40% - Accent3 4 3 3 2" xfId="13834" xr:uid="{34D9D424-038D-4933-A89E-46FB69711ED2}"/>
    <cellStyle name="40% - Accent3 4 3 4" xfId="9616" xr:uid="{68450548-E766-410C-B2CF-E5C474D993F3}"/>
    <cellStyle name="40% - Accent3 4 4" xfId="1509" xr:uid="{00000000-0005-0000-0000-000083050000}"/>
    <cellStyle name="40% - Accent3 4 4 2" xfId="3739" xr:uid="{00000000-0005-0000-0000-000084050000}"/>
    <cellStyle name="40% - Accent3 4 4 2 2" xfId="7963" xr:uid="{00000000-0005-0000-0000-000085050000}"/>
    <cellStyle name="40% - Accent3 4 4 2 2 2" xfId="16392" xr:uid="{498AD4AE-EE02-4AE7-B731-19AC73DD1EE5}"/>
    <cellStyle name="40% - Accent3 4 4 2 3" xfId="12174" xr:uid="{DA38370D-AF4C-48EF-BF03-969B60C55EFF}"/>
    <cellStyle name="40% - Accent3 4 4 3" xfId="5818" xr:uid="{00000000-0005-0000-0000-000086050000}"/>
    <cellStyle name="40% - Accent3 4 4 3 2" xfId="14247" xr:uid="{66F12A1B-CED6-4406-93A9-FA41424DEB7E}"/>
    <cellStyle name="40% - Accent3 4 4 4" xfId="10029" xr:uid="{24E0B56B-FD2E-4201-8FA9-674C59AB2AD1}"/>
    <cellStyle name="40% - Accent3 4 5" xfId="1923" xr:uid="{00000000-0005-0000-0000-000087050000}"/>
    <cellStyle name="40% - Accent3 4 5 2" xfId="4152" xr:uid="{00000000-0005-0000-0000-000088050000}"/>
    <cellStyle name="40% - Accent3 4 5 2 2" xfId="8376" xr:uid="{00000000-0005-0000-0000-000089050000}"/>
    <cellStyle name="40% - Accent3 4 5 2 2 2" xfId="16805" xr:uid="{D0000CB0-8DF6-4811-AB3F-B762B91853A9}"/>
    <cellStyle name="40% - Accent3 4 5 2 3" xfId="12587" xr:uid="{6F81B3F3-308F-4725-8F08-DEB068BADA96}"/>
    <cellStyle name="40% - Accent3 4 5 3" xfId="6231" xr:uid="{00000000-0005-0000-0000-00008A050000}"/>
    <cellStyle name="40% - Accent3 4 5 3 2" xfId="14660" xr:uid="{44C94E42-161D-4B6B-A18A-23898DB82816}"/>
    <cellStyle name="40% - Accent3 4 5 4" xfId="10442" xr:uid="{E4FA465F-D5E9-44EA-B969-80B6DFAE1F29}"/>
    <cellStyle name="40% - Accent3 4 6" xfId="2336" xr:uid="{00000000-0005-0000-0000-00008B050000}"/>
    <cellStyle name="40% - Accent3 4 6 2" xfId="6644" xr:uid="{00000000-0005-0000-0000-00008C050000}"/>
    <cellStyle name="40% - Accent3 4 6 2 2" xfId="15073" xr:uid="{EC8167E0-D9A1-4E1F-8300-062320D50815}"/>
    <cellStyle name="40% - Accent3 4 6 3" xfId="10855" xr:uid="{ADF05DB8-396E-4E46-A9BF-EC88468B25ED}"/>
    <cellStyle name="40% - Accent3 4 7" xfId="4578" xr:uid="{00000000-0005-0000-0000-00008D050000}"/>
    <cellStyle name="40% - Accent3 4 7 2" xfId="13007" xr:uid="{89383395-DC18-46DC-BAB3-5A44FD544493}"/>
    <cellStyle name="40% - Accent3 4 8" xfId="8789" xr:uid="{0339E2F2-2043-4F09-B201-B1A52E32C4A9}"/>
    <cellStyle name="40% - Accent3 5" xfId="635" xr:uid="{00000000-0005-0000-0000-00008E050000}"/>
    <cellStyle name="40% - Accent3 5 2" xfId="2906" xr:uid="{00000000-0005-0000-0000-00008F050000}"/>
    <cellStyle name="40% - Accent3 5 2 2" xfId="7130" xr:uid="{00000000-0005-0000-0000-000090050000}"/>
    <cellStyle name="40% - Accent3 5 2 2 2" xfId="15559" xr:uid="{3828BD53-936F-48DE-A8A9-81526416E3B9}"/>
    <cellStyle name="40% - Accent3 5 2 3" xfId="11341" xr:uid="{6E1740F5-0B60-4D0C-B872-30349CA4579C}"/>
    <cellStyle name="40% - Accent3 5 3" xfId="4985" xr:uid="{00000000-0005-0000-0000-000091050000}"/>
    <cellStyle name="40% - Accent3 5 3 2" xfId="13414" xr:uid="{470525E8-5C1E-44FA-BC72-5FDC3F5E1313}"/>
    <cellStyle name="40% - Accent3 5 4" xfId="9196" xr:uid="{EE05BF36-7829-4298-8BB3-96C80B244E9C}"/>
    <cellStyle name="40% - Accent3 6" xfId="1088" xr:uid="{00000000-0005-0000-0000-000092050000}"/>
    <cellStyle name="40% - Accent3 6 2" xfId="3319" xr:uid="{00000000-0005-0000-0000-000093050000}"/>
    <cellStyle name="40% - Accent3 6 2 2" xfId="7543" xr:uid="{00000000-0005-0000-0000-000094050000}"/>
    <cellStyle name="40% - Accent3 6 2 2 2" xfId="15972" xr:uid="{827931FA-E55B-4B61-A65C-064DEBF8B889}"/>
    <cellStyle name="40% - Accent3 6 2 3" xfId="11754" xr:uid="{A9F891E7-2A55-4390-A54C-7872BE345D0B}"/>
    <cellStyle name="40% - Accent3 6 3" xfId="5398" xr:uid="{00000000-0005-0000-0000-000095050000}"/>
    <cellStyle name="40% - Accent3 6 3 2" xfId="13827" xr:uid="{1DEA7D52-0DA4-4291-9EE5-E8B91E9FA587}"/>
    <cellStyle name="40% - Accent3 6 4" xfId="9609" xr:uid="{5F74FFF8-1B92-4495-89C4-AF401D9E9EA6}"/>
    <cellStyle name="40% - Accent3 7" xfId="1502" xr:uid="{00000000-0005-0000-0000-000096050000}"/>
    <cellStyle name="40% - Accent3 7 2" xfId="3732" xr:uid="{00000000-0005-0000-0000-000097050000}"/>
    <cellStyle name="40% - Accent3 7 2 2" xfId="7956" xr:uid="{00000000-0005-0000-0000-000098050000}"/>
    <cellStyle name="40% - Accent3 7 2 2 2" xfId="16385" xr:uid="{D9B7EDF8-71D9-440E-9452-784210654730}"/>
    <cellStyle name="40% - Accent3 7 2 3" xfId="12167" xr:uid="{6FD1CB41-6672-4176-83AB-146332F14428}"/>
    <cellStyle name="40% - Accent3 7 3" xfId="5811" xr:uid="{00000000-0005-0000-0000-000099050000}"/>
    <cellStyle name="40% - Accent3 7 3 2" xfId="14240" xr:uid="{471B428B-C992-4BC3-BDAB-6D6563CD94AB}"/>
    <cellStyle name="40% - Accent3 7 4" xfId="10022" xr:uid="{724F52C5-8A7B-4179-B14F-8F5BAA7D9FDE}"/>
    <cellStyle name="40% - Accent3 8" xfId="1916" xr:uid="{00000000-0005-0000-0000-00009A050000}"/>
    <cellStyle name="40% - Accent3 8 2" xfId="4145" xr:uid="{00000000-0005-0000-0000-00009B050000}"/>
    <cellStyle name="40% - Accent3 8 2 2" xfId="8369" xr:uid="{00000000-0005-0000-0000-00009C050000}"/>
    <cellStyle name="40% - Accent3 8 2 2 2" xfId="16798" xr:uid="{A1E2E918-6436-450A-8B38-3894622CCD66}"/>
    <cellStyle name="40% - Accent3 8 2 3" xfId="12580" xr:uid="{A94D95AE-78D4-486D-9C41-9BD2815C1561}"/>
    <cellStyle name="40% - Accent3 8 3" xfId="6224" xr:uid="{00000000-0005-0000-0000-00009D050000}"/>
    <cellStyle name="40% - Accent3 8 3 2" xfId="14653" xr:uid="{EF13DCA6-4106-4683-AE5E-3F5D559359BB}"/>
    <cellStyle name="40% - Accent3 8 4" xfId="10435" xr:uid="{D90307F0-057B-4704-8BB5-79C42ED5B327}"/>
    <cellStyle name="40% - Accent3 9" xfId="2329" xr:uid="{00000000-0005-0000-0000-00009E050000}"/>
    <cellStyle name="40% - Accent3 9 2" xfId="6637" xr:uid="{00000000-0005-0000-0000-00009F050000}"/>
    <cellStyle name="40% - Accent3 9 2 2" xfId="15066" xr:uid="{ABCB7F14-D525-4232-A5FE-F5CBF2250646}"/>
    <cellStyle name="40% - Accent3 9 3" xfId="10848" xr:uid="{20A7DC83-A274-41FC-B3FB-71806B5B594C}"/>
    <cellStyle name="40% - Accent4" xfId="73" builtinId="43" customBuiltin="1"/>
    <cellStyle name="40% - Accent4 10" xfId="4579" xr:uid="{00000000-0005-0000-0000-0000A1050000}"/>
    <cellStyle name="40% - Accent4 10 2" xfId="13008" xr:uid="{55E5A486-CDDB-4A22-9779-4F895120F0A0}"/>
    <cellStyle name="40% - Accent4 11" xfId="8790" xr:uid="{D258D90F-F2AE-4CDF-85F3-AC9F7DAD214D}"/>
    <cellStyle name="40% - Accent4 2" xfId="74" xr:uid="{00000000-0005-0000-0000-0000A2050000}"/>
    <cellStyle name="40% - Accent4 2 10" xfId="8791" xr:uid="{677B643A-CD58-4DE8-98A9-E47118AA1513}"/>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2 2 2" xfId="15570" xr:uid="{43BBCDD3-BEDD-4E0A-982F-C7792C72A6CE}"/>
    <cellStyle name="40% - Accent4 2 2 2 2 2 3" xfId="11352" xr:uid="{0F1858B9-BA8C-44C6-A3DC-023380868D7F}"/>
    <cellStyle name="40% - Accent4 2 2 2 2 3" xfId="4996" xr:uid="{00000000-0005-0000-0000-0000A8050000}"/>
    <cellStyle name="40% - Accent4 2 2 2 2 3 2" xfId="13425" xr:uid="{7216D37F-89F1-426D-A9C3-98AE5EAA8031}"/>
    <cellStyle name="40% - Accent4 2 2 2 2 4" xfId="9207" xr:uid="{64D892C1-0461-4EDC-8B16-0F239F966478}"/>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2 2 2" xfId="15983" xr:uid="{2545660A-EB57-454A-ABB9-609903ED9BA2}"/>
    <cellStyle name="40% - Accent4 2 2 2 3 2 3" xfId="11765" xr:uid="{8B28BC53-9178-4F96-B568-9502074AE2AE}"/>
    <cellStyle name="40% - Accent4 2 2 2 3 3" xfId="5409" xr:uid="{00000000-0005-0000-0000-0000AC050000}"/>
    <cellStyle name="40% - Accent4 2 2 2 3 3 2" xfId="13838" xr:uid="{2CF98278-6726-4CCB-B066-AEE08DA48BD5}"/>
    <cellStyle name="40% - Accent4 2 2 2 3 4" xfId="9620" xr:uid="{E4CF6E53-A772-455B-AC28-0B2D7300A39C}"/>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2 2 2" xfId="16396" xr:uid="{D91A6CB8-0F6D-4DC3-994F-2690C5FA1D8C}"/>
    <cellStyle name="40% - Accent4 2 2 2 4 2 3" xfId="12178" xr:uid="{4BECC5D8-9950-4CA5-B01B-854C25E864BF}"/>
    <cellStyle name="40% - Accent4 2 2 2 4 3" xfId="5822" xr:uid="{00000000-0005-0000-0000-0000B0050000}"/>
    <cellStyle name="40% - Accent4 2 2 2 4 3 2" xfId="14251" xr:uid="{BC4BC66E-6CBC-4CD6-B5B6-55996BDB6B04}"/>
    <cellStyle name="40% - Accent4 2 2 2 4 4" xfId="10033" xr:uid="{228FC3AE-45CB-42F6-8809-F47DAB41A672}"/>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2 2 2" xfId="16809" xr:uid="{7E6FA32C-A5A9-43E0-B015-57ACCD0F53D0}"/>
    <cellStyle name="40% - Accent4 2 2 2 5 2 3" xfId="12591" xr:uid="{72949388-C8C1-4F55-A04D-A6F23CE066E0}"/>
    <cellStyle name="40% - Accent4 2 2 2 5 3" xfId="6235" xr:uid="{00000000-0005-0000-0000-0000B4050000}"/>
    <cellStyle name="40% - Accent4 2 2 2 5 3 2" xfId="14664" xr:uid="{C90283F5-EEAD-451C-ADA9-93C4ED4D3C2A}"/>
    <cellStyle name="40% - Accent4 2 2 2 5 4" xfId="10446" xr:uid="{4CB23E6F-8869-4FCB-9393-B32472C06A75}"/>
    <cellStyle name="40% - Accent4 2 2 2 6" xfId="2340" xr:uid="{00000000-0005-0000-0000-0000B5050000}"/>
    <cellStyle name="40% - Accent4 2 2 2 6 2" xfId="6648" xr:uid="{00000000-0005-0000-0000-0000B6050000}"/>
    <cellStyle name="40% - Accent4 2 2 2 6 2 2" xfId="15077" xr:uid="{BECE9A32-CD65-47F9-B666-375AAF6E420D}"/>
    <cellStyle name="40% - Accent4 2 2 2 6 3" xfId="10859" xr:uid="{322CADA2-C338-48D2-AB56-4DA4BF61FA51}"/>
    <cellStyle name="40% - Accent4 2 2 2 7" xfId="4582" xr:uid="{00000000-0005-0000-0000-0000B7050000}"/>
    <cellStyle name="40% - Accent4 2 2 2 7 2" xfId="13011" xr:uid="{A0DD3718-6474-4645-86D5-20717B926A24}"/>
    <cellStyle name="40% - Accent4 2 2 2 8" xfId="8793" xr:uid="{BA47A997-0712-46B0-8920-DC25074F40C0}"/>
    <cellStyle name="40% - Accent4 2 2 3" xfId="645" xr:uid="{00000000-0005-0000-0000-0000B8050000}"/>
    <cellStyle name="40% - Accent4 2 2 3 2" xfId="2916" xr:uid="{00000000-0005-0000-0000-0000B9050000}"/>
    <cellStyle name="40% - Accent4 2 2 3 2 2" xfId="7140" xr:uid="{00000000-0005-0000-0000-0000BA050000}"/>
    <cellStyle name="40% - Accent4 2 2 3 2 2 2" xfId="15569" xr:uid="{330A0B7B-9079-4020-ACD2-C6F9FD0DB6E7}"/>
    <cellStyle name="40% - Accent4 2 2 3 2 3" xfId="11351" xr:uid="{5B2E5C4F-A70E-4514-AB7B-A224EF39A944}"/>
    <cellStyle name="40% - Accent4 2 2 3 3" xfId="4995" xr:uid="{00000000-0005-0000-0000-0000BB050000}"/>
    <cellStyle name="40% - Accent4 2 2 3 3 2" xfId="13424" xr:uid="{1A162B6A-D979-4701-8B96-39762EFCAE11}"/>
    <cellStyle name="40% - Accent4 2 2 3 4" xfId="9206" xr:uid="{B1004CBC-B0C0-408A-B507-B99B1545784E}"/>
    <cellStyle name="40% - Accent4 2 2 4" xfId="1098" xr:uid="{00000000-0005-0000-0000-0000BC050000}"/>
    <cellStyle name="40% - Accent4 2 2 4 2" xfId="3329" xr:uid="{00000000-0005-0000-0000-0000BD050000}"/>
    <cellStyle name="40% - Accent4 2 2 4 2 2" xfId="7553" xr:uid="{00000000-0005-0000-0000-0000BE050000}"/>
    <cellStyle name="40% - Accent4 2 2 4 2 2 2" xfId="15982" xr:uid="{C194A86B-DB4E-4C13-8074-C6D3D2930741}"/>
    <cellStyle name="40% - Accent4 2 2 4 2 3" xfId="11764" xr:uid="{A466AA48-BC5A-406B-86F8-E58C9662B0A0}"/>
    <cellStyle name="40% - Accent4 2 2 4 3" xfId="5408" xr:uid="{00000000-0005-0000-0000-0000BF050000}"/>
    <cellStyle name="40% - Accent4 2 2 4 3 2" xfId="13837" xr:uid="{1CC9DC75-5A55-49F7-B7C8-0122AACBABD5}"/>
    <cellStyle name="40% - Accent4 2 2 4 4" xfId="9619" xr:uid="{44629607-DC16-42DB-B6D7-C51525449C05}"/>
    <cellStyle name="40% - Accent4 2 2 5" xfId="1512" xr:uid="{00000000-0005-0000-0000-0000C0050000}"/>
    <cellStyle name="40% - Accent4 2 2 5 2" xfId="3742" xr:uid="{00000000-0005-0000-0000-0000C1050000}"/>
    <cellStyle name="40% - Accent4 2 2 5 2 2" xfId="7966" xr:uid="{00000000-0005-0000-0000-0000C2050000}"/>
    <cellStyle name="40% - Accent4 2 2 5 2 2 2" xfId="16395" xr:uid="{68A2BB3A-A85E-4213-B692-904D9B72F461}"/>
    <cellStyle name="40% - Accent4 2 2 5 2 3" xfId="12177" xr:uid="{34C1C125-6244-46A6-B212-29E90DA18B42}"/>
    <cellStyle name="40% - Accent4 2 2 5 3" xfId="5821" xr:uid="{00000000-0005-0000-0000-0000C3050000}"/>
    <cellStyle name="40% - Accent4 2 2 5 3 2" xfId="14250" xr:uid="{EF26A0E4-F0CA-4FEB-9F87-A1247E3C142A}"/>
    <cellStyle name="40% - Accent4 2 2 5 4" xfId="10032" xr:uid="{6299C059-4210-4347-95E1-CA7B67C243DA}"/>
    <cellStyle name="40% - Accent4 2 2 6" xfId="1926" xr:uid="{00000000-0005-0000-0000-0000C4050000}"/>
    <cellStyle name="40% - Accent4 2 2 6 2" xfId="4155" xr:uid="{00000000-0005-0000-0000-0000C5050000}"/>
    <cellStyle name="40% - Accent4 2 2 6 2 2" xfId="8379" xr:uid="{00000000-0005-0000-0000-0000C6050000}"/>
    <cellStyle name="40% - Accent4 2 2 6 2 2 2" xfId="16808" xr:uid="{25E6ED3F-5FE1-42BE-9143-CD1B97141746}"/>
    <cellStyle name="40% - Accent4 2 2 6 2 3" xfId="12590" xr:uid="{59B11D33-D32B-42D5-A40C-8476A4B842A6}"/>
    <cellStyle name="40% - Accent4 2 2 6 3" xfId="6234" xr:uid="{00000000-0005-0000-0000-0000C7050000}"/>
    <cellStyle name="40% - Accent4 2 2 6 3 2" xfId="14663" xr:uid="{D2C88AED-A5C0-4186-998C-F3860E64124A}"/>
    <cellStyle name="40% - Accent4 2 2 6 4" xfId="10445" xr:uid="{50A43CCA-A07C-42E1-A1FC-EFC14EFAA08C}"/>
    <cellStyle name="40% - Accent4 2 2 7" xfId="2339" xr:uid="{00000000-0005-0000-0000-0000C8050000}"/>
    <cellStyle name="40% - Accent4 2 2 7 2" xfId="6647" xr:uid="{00000000-0005-0000-0000-0000C9050000}"/>
    <cellStyle name="40% - Accent4 2 2 7 2 2" xfId="15076" xr:uid="{31342DD8-6E99-4634-B06C-0520A8AC5506}"/>
    <cellStyle name="40% - Accent4 2 2 7 3" xfId="10858" xr:uid="{C0F08003-20EE-4E87-AA3F-2D1537DF1334}"/>
    <cellStyle name="40% - Accent4 2 2 8" xfId="4581" xr:uid="{00000000-0005-0000-0000-0000CA050000}"/>
    <cellStyle name="40% - Accent4 2 2 8 2" xfId="13010" xr:uid="{B7C0B2F8-892F-4622-8FAE-E131C1ECDB7E}"/>
    <cellStyle name="40% - Accent4 2 2 9" xfId="8792" xr:uid="{31C86730-B291-4FCE-A4DA-D62EBDDD9E2F}"/>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2 2 2" xfId="15571" xr:uid="{B2FE8727-8B6A-4825-8DD2-513C58435A0F}"/>
    <cellStyle name="40% - Accent4 2 3 2 2 3" xfId="11353" xr:uid="{05140EE3-FEAC-4B92-BCE5-9862A3DB71A3}"/>
    <cellStyle name="40% - Accent4 2 3 2 3" xfId="4997" xr:uid="{00000000-0005-0000-0000-0000CF050000}"/>
    <cellStyle name="40% - Accent4 2 3 2 3 2" xfId="13426" xr:uid="{CD0DC863-7E94-4BC9-810E-890C6FFDD56A}"/>
    <cellStyle name="40% - Accent4 2 3 2 4" xfId="9208" xr:uid="{AB105297-52D3-4426-8055-C13ED298C410}"/>
    <cellStyle name="40% - Accent4 2 3 3" xfId="1100" xr:uid="{00000000-0005-0000-0000-0000D0050000}"/>
    <cellStyle name="40% - Accent4 2 3 3 2" xfId="3331" xr:uid="{00000000-0005-0000-0000-0000D1050000}"/>
    <cellStyle name="40% - Accent4 2 3 3 2 2" xfId="7555" xr:uid="{00000000-0005-0000-0000-0000D2050000}"/>
    <cellStyle name="40% - Accent4 2 3 3 2 2 2" xfId="15984" xr:uid="{48625E84-6F97-4DD5-BB4D-8E7D3A7C5397}"/>
    <cellStyle name="40% - Accent4 2 3 3 2 3" xfId="11766" xr:uid="{367BE68A-78AB-4139-8FD4-5DEB6C4054F8}"/>
    <cellStyle name="40% - Accent4 2 3 3 3" xfId="5410" xr:uid="{00000000-0005-0000-0000-0000D3050000}"/>
    <cellStyle name="40% - Accent4 2 3 3 3 2" xfId="13839" xr:uid="{47460354-16B5-46B4-9F6D-39319138F503}"/>
    <cellStyle name="40% - Accent4 2 3 3 4" xfId="9621" xr:uid="{4AE41952-73B2-4F1C-9288-A1226E53A53B}"/>
    <cellStyle name="40% - Accent4 2 3 4" xfId="1514" xr:uid="{00000000-0005-0000-0000-0000D4050000}"/>
    <cellStyle name="40% - Accent4 2 3 4 2" xfId="3744" xr:uid="{00000000-0005-0000-0000-0000D5050000}"/>
    <cellStyle name="40% - Accent4 2 3 4 2 2" xfId="7968" xr:uid="{00000000-0005-0000-0000-0000D6050000}"/>
    <cellStyle name="40% - Accent4 2 3 4 2 2 2" xfId="16397" xr:uid="{B307FF9B-868F-48F7-9FF9-54FE6392BD56}"/>
    <cellStyle name="40% - Accent4 2 3 4 2 3" xfId="12179" xr:uid="{AF7DD911-E49C-4AC4-8574-1554B8DD3930}"/>
    <cellStyle name="40% - Accent4 2 3 4 3" xfId="5823" xr:uid="{00000000-0005-0000-0000-0000D7050000}"/>
    <cellStyle name="40% - Accent4 2 3 4 3 2" xfId="14252" xr:uid="{061A3F01-429A-4698-9A08-AF1A48B535EE}"/>
    <cellStyle name="40% - Accent4 2 3 4 4" xfId="10034" xr:uid="{DDEADB27-8C18-4A88-B902-1CAE00DF9D2D}"/>
    <cellStyle name="40% - Accent4 2 3 5" xfId="1928" xr:uid="{00000000-0005-0000-0000-0000D8050000}"/>
    <cellStyle name="40% - Accent4 2 3 5 2" xfId="4157" xr:uid="{00000000-0005-0000-0000-0000D9050000}"/>
    <cellStyle name="40% - Accent4 2 3 5 2 2" xfId="8381" xr:uid="{00000000-0005-0000-0000-0000DA050000}"/>
    <cellStyle name="40% - Accent4 2 3 5 2 2 2" xfId="16810" xr:uid="{4250D9BD-61FF-44DF-9629-FA0E2FED00AA}"/>
    <cellStyle name="40% - Accent4 2 3 5 2 3" xfId="12592" xr:uid="{ED45F6CC-1FFE-49F7-BC6B-754DD7CDA703}"/>
    <cellStyle name="40% - Accent4 2 3 5 3" xfId="6236" xr:uid="{00000000-0005-0000-0000-0000DB050000}"/>
    <cellStyle name="40% - Accent4 2 3 5 3 2" xfId="14665" xr:uid="{BA4001AE-3CF8-4412-9D90-93CB496A808B}"/>
    <cellStyle name="40% - Accent4 2 3 5 4" xfId="10447" xr:uid="{FC84A91D-98EA-4253-8645-3B5461D365AB}"/>
    <cellStyle name="40% - Accent4 2 3 6" xfId="2341" xr:uid="{00000000-0005-0000-0000-0000DC050000}"/>
    <cellStyle name="40% - Accent4 2 3 6 2" xfId="6649" xr:uid="{00000000-0005-0000-0000-0000DD050000}"/>
    <cellStyle name="40% - Accent4 2 3 6 2 2" xfId="15078" xr:uid="{3DA4A0EC-E6E5-4C36-B8F3-E299929AC22D}"/>
    <cellStyle name="40% - Accent4 2 3 6 3" xfId="10860" xr:uid="{EE26DC7F-087C-47B0-B409-CC79D755FE1E}"/>
    <cellStyle name="40% - Accent4 2 3 7" xfId="4583" xr:uid="{00000000-0005-0000-0000-0000DE050000}"/>
    <cellStyle name="40% - Accent4 2 3 7 2" xfId="13012" xr:uid="{30CEB42F-30B9-4F87-8C3F-74317B7631CB}"/>
    <cellStyle name="40% - Accent4 2 3 8" xfId="8794" xr:uid="{D735F781-7EC5-4D43-9291-B8CB41AE5BD6}"/>
    <cellStyle name="40% - Accent4 2 4" xfId="644" xr:uid="{00000000-0005-0000-0000-0000DF050000}"/>
    <cellStyle name="40% - Accent4 2 4 2" xfId="2915" xr:uid="{00000000-0005-0000-0000-0000E0050000}"/>
    <cellStyle name="40% - Accent4 2 4 2 2" xfId="7139" xr:uid="{00000000-0005-0000-0000-0000E1050000}"/>
    <cellStyle name="40% - Accent4 2 4 2 2 2" xfId="15568" xr:uid="{2E094FA3-D2E9-41DC-B094-9315751B6401}"/>
    <cellStyle name="40% - Accent4 2 4 2 3" xfId="11350" xr:uid="{107E3A6E-EC64-43DB-9DC7-9B102237D988}"/>
    <cellStyle name="40% - Accent4 2 4 3" xfId="4994" xr:uid="{00000000-0005-0000-0000-0000E2050000}"/>
    <cellStyle name="40% - Accent4 2 4 3 2" xfId="13423" xr:uid="{8052FDD5-E278-4878-AA1D-3348F8278F73}"/>
    <cellStyle name="40% - Accent4 2 4 4" xfId="9205" xr:uid="{96338470-3928-4EA8-BFC4-E9B30A5F8A9C}"/>
    <cellStyle name="40% - Accent4 2 5" xfId="1097" xr:uid="{00000000-0005-0000-0000-0000E3050000}"/>
    <cellStyle name="40% - Accent4 2 5 2" xfId="3328" xr:uid="{00000000-0005-0000-0000-0000E4050000}"/>
    <cellStyle name="40% - Accent4 2 5 2 2" xfId="7552" xr:uid="{00000000-0005-0000-0000-0000E5050000}"/>
    <cellStyle name="40% - Accent4 2 5 2 2 2" xfId="15981" xr:uid="{17F0F0F3-A9CC-4AE5-B588-2D652F7C2E74}"/>
    <cellStyle name="40% - Accent4 2 5 2 3" xfId="11763" xr:uid="{FA5D9CF7-9984-4867-974A-2DBB9A068B2D}"/>
    <cellStyle name="40% - Accent4 2 5 3" xfId="5407" xr:uid="{00000000-0005-0000-0000-0000E6050000}"/>
    <cellStyle name="40% - Accent4 2 5 3 2" xfId="13836" xr:uid="{CD7E870A-F3DC-4527-8F08-2322FD4323C6}"/>
    <cellStyle name="40% - Accent4 2 5 4" xfId="9618" xr:uid="{99ECD423-83C2-4B8A-96DF-B195ADC8517A}"/>
    <cellStyle name="40% - Accent4 2 6" xfId="1511" xr:uid="{00000000-0005-0000-0000-0000E7050000}"/>
    <cellStyle name="40% - Accent4 2 6 2" xfId="3741" xr:uid="{00000000-0005-0000-0000-0000E8050000}"/>
    <cellStyle name="40% - Accent4 2 6 2 2" xfId="7965" xr:uid="{00000000-0005-0000-0000-0000E9050000}"/>
    <cellStyle name="40% - Accent4 2 6 2 2 2" xfId="16394" xr:uid="{6FD30905-5B8E-4D6F-9DB2-1FEF900A6081}"/>
    <cellStyle name="40% - Accent4 2 6 2 3" xfId="12176" xr:uid="{5068ADAF-DBA4-423F-8A3E-43CA218513C6}"/>
    <cellStyle name="40% - Accent4 2 6 3" xfId="5820" xr:uid="{00000000-0005-0000-0000-0000EA050000}"/>
    <cellStyle name="40% - Accent4 2 6 3 2" xfId="14249" xr:uid="{AA85E12A-84A7-418B-87E2-B62E5012567E}"/>
    <cellStyle name="40% - Accent4 2 6 4" xfId="10031" xr:uid="{CE665DF7-59EA-448C-A3C7-11CB758E4DD3}"/>
    <cellStyle name="40% - Accent4 2 7" xfId="1925" xr:uid="{00000000-0005-0000-0000-0000EB050000}"/>
    <cellStyle name="40% - Accent4 2 7 2" xfId="4154" xr:uid="{00000000-0005-0000-0000-0000EC050000}"/>
    <cellStyle name="40% - Accent4 2 7 2 2" xfId="8378" xr:uid="{00000000-0005-0000-0000-0000ED050000}"/>
    <cellStyle name="40% - Accent4 2 7 2 2 2" xfId="16807" xr:uid="{12675499-7BEF-4B45-AF5C-25C390BFF317}"/>
    <cellStyle name="40% - Accent4 2 7 2 3" xfId="12589" xr:uid="{9D3B9153-6D57-40F9-BBAF-2E32C82D6C8C}"/>
    <cellStyle name="40% - Accent4 2 7 3" xfId="6233" xr:uid="{00000000-0005-0000-0000-0000EE050000}"/>
    <cellStyle name="40% - Accent4 2 7 3 2" xfId="14662" xr:uid="{B989F080-5842-459F-9E17-D11FE1304EC8}"/>
    <cellStyle name="40% - Accent4 2 7 4" xfId="10444" xr:uid="{B7E25F5A-A070-4564-82FC-67E42C791D4F}"/>
    <cellStyle name="40% - Accent4 2 8" xfId="2338" xr:uid="{00000000-0005-0000-0000-0000EF050000}"/>
    <cellStyle name="40% - Accent4 2 8 2" xfId="6646" xr:uid="{00000000-0005-0000-0000-0000F0050000}"/>
    <cellStyle name="40% - Accent4 2 8 2 2" xfId="15075" xr:uid="{CE0E0BCF-4FDF-4392-A3E3-EDC3966EF41F}"/>
    <cellStyle name="40% - Accent4 2 8 3" xfId="10857" xr:uid="{AE22CE11-0DA1-436B-97C3-7F58A2E15948}"/>
    <cellStyle name="40% - Accent4 2 9" xfId="4580" xr:uid="{00000000-0005-0000-0000-0000F1050000}"/>
    <cellStyle name="40% - Accent4 2 9 2" xfId="13009" xr:uid="{06F210D7-7023-4416-8710-639F44EA7F9F}"/>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2 2 2" xfId="15573" xr:uid="{6B8BA2E5-26D0-4EA0-88C3-973C0B3C2959}"/>
    <cellStyle name="40% - Accent4 3 2 2 2 3" xfId="11355" xr:uid="{C5E7FFC7-9E25-4B7E-9655-E5CF55F3EA43}"/>
    <cellStyle name="40% - Accent4 3 2 2 3" xfId="4999" xr:uid="{00000000-0005-0000-0000-0000F7050000}"/>
    <cellStyle name="40% - Accent4 3 2 2 3 2" xfId="13428" xr:uid="{3D30B2FC-7291-42DF-935D-B6EF0C728AAE}"/>
    <cellStyle name="40% - Accent4 3 2 2 4" xfId="9210" xr:uid="{D9BE51F1-609C-4AE2-9FCF-DFB854818CA6}"/>
    <cellStyle name="40% - Accent4 3 2 3" xfId="1102" xr:uid="{00000000-0005-0000-0000-0000F8050000}"/>
    <cellStyle name="40% - Accent4 3 2 3 2" xfId="3333" xr:uid="{00000000-0005-0000-0000-0000F9050000}"/>
    <cellStyle name="40% - Accent4 3 2 3 2 2" xfId="7557" xr:uid="{00000000-0005-0000-0000-0000FA050000}"/>
    <cellStyle name="40% - Accent4 3 2 3 2 2 2" xfId="15986" xr:uid="{83FD88BF-0198-4A98-862E-4B1AED9A9973}"/>
    <cellStyle name="40% - Accent4 3 2 3 2 3" xfId="11768" xr:uid="{DDC7A317-CBFD-4F79-9A8C-CA3E66804DE3}"/>
    <cellStyle name="40% - Accent4 3 2 3 3" xfId="5412" xr:uid="{00000000-0005-0000-0000-0000FB050000}"/>
    <cellStyle name="40% - Accent4 3 2 3 3 2" xfId="13841" xr:uid="{2A11B1E0-3907-40BA-8E37-9B7F0852B452}"/>
    <cellStyle name="40% - Accent4 3 2 3 4" xfId="9623" xr:uid="{4C6C3A69-2281-4AA3-91AF-CDAF3A1CE879}"/>
    <cellStyle name="40% - Accent4 3 2 4" xfId="1516" xr:uid="{00000000-0005-0000-0000-0000FC050000}"/>
    <cellStyle name="40% - Accent4 3 2 4 2" xfId="3746" xr:uid="{00000000-0005-0000-0000-0000FD050000}"/>
    <cellStyle name="40% - Accent4 3 2 4 2 2" xfId="7970" xr:uid="{00000000-0005-0000-0000-0000FE050000}"/>
    <cellStyle name="40% - Accent4 3 2 4 2 2 2" xfId="16399" xr:uid="{47C0EA73-D0F8-495C-AF1A-4BD36F5445AF}"/>
    <cellStyle name="40% - Accent4 3 2 4 2 3" xfId="12181" xr:uid="{AF34E493-7346-4112-94F8-00A3F791928C}"/>
    <cellStyle name="40% - Accent4 3 2 4 3" xfId="5825" xr:uid="{00000000-0005-0000-0000-0000FF050000}"/>
    <cellStyle name="40% - Accent4 3 2 4 3 2" xfId="14254" xr:uid="{F3C2D512-DFEF-4452-BCCD-D4B42FEF267B}"/>
    <cellStyle name="40% - Accent4 3 2 4 4" xfId="10036" xr:uid="{107FF9B7-25FA-4524-860E-9028341E2142}"/>
    <cellStyle name="40% - Accent4 3 2 5" xfId="1930" xr:uid="{00000000-0005-0000-0000-000000060000}"/>
    <cellStyle name="40% - Accent4 3 2 5 2" xfId="4159" xr:uid="{00000000-0005-0000-0000-000001060000}"/>
    <cellStyle name="40% - Accent4 3 2 5 2 2" xfId="8383" xr:uid="{00000000-0005-0000-0000-000002060000}"/>
    <cellStyle name="40% - Accent4 3 2 5 2 2 2" xfId="16812" xr:uid="{8F188045-C043-44A3-BEC4-C2AE84D6688D}"/>
    <cellStyle name="40% - Accent4 3 2 5 2 3" xfId="12594" xr:uid="{EDB06C82-64F8-4700-A367-DA1BB1148A8C}"/>
    <cellStyle name="40% - Accent4 3 2 5 3" xfId="6238" xr:uid="{00000000-0005-0000-0000-000003060000}"/>
    <cellStyle name="40% - Accent4 3 2 5 3 2" xfId="14667" xr:uid="{703D4034-778F-4069-9D41-363CE2363F58}"/>
    <cellStyle name="40% - Accent4 3 2 5 4" xfId="10449" xr:uid="{4FFDA464-2D3F-4ED1-8EBB-40E366615987}"/>
    <cellStyle name="40% - Accent4 3 2 6" xfId="2343" xr:uid="{00000000-0005-0000-0000-000004060000}"/>
    <cellStyle name="40% - Accent4 3 2 6 2" xfId="6651" xr:uid="{00000000-0005-0000-0000-000005060000}"/>
    <cellStyle name="40% - Accent4 3 2 6 2 2" xfId="15080" xr:uid="{DE7CF86A-B64D-4AF4-B9D8-65A4151FF2FE}"/>
    <cellStyle name="40% - Accent4 3 2 6 3" xfId="10862" xr:uid="{EC02E1EF-8CF4-4487-915C-E25B61F8BC0D}"/>
    <cellStyle name="40% - Accent4 3 2 7" xfId="4585" xr:uid="{00000000-0005-0000-0000-000006060000}"/>
    <cellStyle name="40% - Accent4 3 2 7 2" xfId="13014" xr:uid="{D42F4B56-4EB7-4357-8182-DEF331DA518A}"/>
    <cellStyle name="40% - Accent4 3 2 8" xfId="8796" xr:uid="{705320C3-FD59-44D1-8837-79A6E963EFA4}"/>
    <cellStyle name="40% - Accent4 3 3" xfId="648" xr:uid="{00000000-0005-0000-0000-000007060000}"/>
    <cellStyle name="40% - Accent4 3 3 2" xfId="2919" xr:uid="{00000000-0005-0000-0000-000008060000}"/>
    <cellStyle name="40% - Accent4 3 3 2 2" xfId="7143" xr:uid="{00000000-0005-0000-0000-000009060000}"/>
    <cellStyle name="40% - Accent4 3 3 2 2 2" xfId="15572" xr:uid="{AC26397C-4175-4CDC-9F8B-FC7B826517C7}"/>
    <cellStyle name="40% - Accent4 3 3 2 3" xfId="11354" xr:uid="{4DF6478D-C21F-438A-92E2-200F16BA4C3E}"/>
    <cellStyle name="40% - Accent4 3 3 3" xfId="4998" xr:uid="{00000000-0005-0000-0000-00000A060000}"/>
    <cellStyle name="40% - Accent4 3 3 3 2" xfId="13427" xr:uid="{7642F539-72E7-4D60-8590-B12FC0EF1158}"/>
    <cellStyle name="40% - Accent4 3 3 4" xfId="9209" xr:uid="{A8540635-5CC1-4303-842E-BE3EA8396085}"/>
    <cellStyle name="40% - Accent4 3 4" xfId="1101" xr:uid="{00000000-0005-0000-0000-00000B060000}"/>
    <cellStyle name="40% - Accent4 3 4 2" xfId="3332" xr:uid="{00000000-0005-0000-0000-00000C060000}"/>
    <cellStyle name="40% - Accent4 3 4 2 2" xfId="7556" xr:uid="{00000000-0005-0000-0000-00000D060000}"/>
    <cellStyle name="40% - Accent4 3 4 2 2 2" xfId="15985" xr:uid="{B306C96B-4292-4599-A3C3-2B196079408C}"/>
    <cellStyle name="40% - Accent4 3 4 2 3" xfId="11767" xr:uid="{9DAB9402-FB54-4A24-85E5-3C6DC24073D3}"/>
    <cellStyle name="40% - Accent4 3 4 3" xfId="5411" xr:uid="{00000000-0005-0000-0000-00000E060000}"/>
    <cellStyle name="40% - Accent4 3 4 3 2" xfId="13840" xr:uid="{A4482323-D1A5-463F-BA49-0DCE9C7A24B5}"/>
    <cellStyle name="40% - Accent4 3 4 4" xfId="9622" xr:uid="{EE19EFEA-7D73-4505-ABF2-BA90266FA5A7}"/>
    <cellStyle name="40% - Accent4 3 5" xfId="1515" xr:uid="{00000000-0005-0000-0000-00000F060000}"/>
    <cellStyle name="40% - Accent4 3 5 2" xfId="3745" xr:uid="{00000000-0005-0000-0000-000010060000}"/>
    <cellStyle name="40% - Accent4 3 5 2 2" xfId="7969" xr:uid="{00000000-0005-0000-0000-000011060000}"/>
    <cellStyle name="40% - Accent4 3 5 2 2 2" xfId="16398" xr:uid="{548882E1-3823-45CB-844B-3938A435B51B}"/>
    <cellStyle name="40% - Accent4 3 5 2 3" xfId="12180" xr:uid="{6A0F29EE-1DF3-441C-BE56-AF2500C5A1E3}"/>
    <cellStyle name="40% - Accent4 3 5 3" xfId="5824" xr:uid="{00000000-0005-0000-0000-000012060000}"/>
    <cellStyle name="40% - Accent4 3 5 3 2" xfId="14253" xr:uid="{D96263C1-6DC5-4B04-962C-621572BB5DB3}"/>
    <cellStyle name="40% - Accent4 3 5 4" xfId="10035" xr:uid="{63C316D5-AC90-4949-91E8-DF1A57C252D1}"/>
    <cellStyle name="40% - Accent4 3 6" xfId="1929" xr:uid="{00000000-0005-0000-0000-000013060000}"/>
    <cellStyle name="40% - Accent4 3 6 2" xfId="4158" xr:uid="{00000000-0005-0000-0000-000014060000}"/>
    <cellStyle name="40% - Accent4 3 6 2 2" xfId="8382" xr:uid="{00000000-0005-0000-0000-000015060000}"/>
    <cellStyle name="40% - Accent4 3 6 2 2 2" xfId="16811" xr:uid="{1434561A-FC47-467C-9421-93A82143FAC3}"/>
    <cellStyle name="40% - Accent4 3 6 2 3" xfId="12593" xr:uid="{B532AFA3-E407-4043-9905-58B993E47C0C}"/>
    <cellStyle name="40% - Accent4 3 6 3" xfId="6237" xr:uid="{00000000-0005-0000-0000-000016060000}"/>
    <cellStyle name="40% - Accent4 3 6 3 2" xfId="14666" xr:uid="{45012EBE-9F07-402F-8245-E4B3915EA640}"/>
    <cellStyle name="40% - Accent4 3 6 4" xfId="10448" xr:uid="{FF9F8640-3A29-4466-9AD3-A12CA9F7A0EA}"/>
    <cellStyle name="40% - Accent4 3 7" xfId="2342" xr:uid="{00000000-0005-0000-0000-000017060000}"/>
    <cellStyle name="40% - Accent4 3 7 2" xfId="6650" xr:uid="{00000000-0005-0000-0000-000018060000}"/>
    <cellStyle name="40% - Accent4 3 7 2 2" xfId="15079" xr:uid="{12B3725E-9AD9-4E21-824E-EA730C62E593}"/>
    <cellStyle name="40% - Accent4 3 7 3" xfId="10861" xr:uid="{D4A347D7-CE24-4832-BE68-02F453616D23}"/>
    <cellStyle name="40% - Accent4 3 8" xfId="4584" xr:uid="{00000000-0005-0000-0000-000019060000}"/>
    <cellStyle name="40% - Accent4 3 8 2" xfId="13013" xr:uid="{EE8F66A3-7A83-4DD5-ACE3-B88B078C4200}"/>
    <cellStyle name="40% - Accent4 3 9" xfId="8795" xr:uid="{E87C8BB7-146A-4188-9E76-E0A7E4CA78A4}"/>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2 2 2" xfId="15574" xr:uid="{05862189-5C7C-4A15-AE1F-932D421EE879}"/>
    <cellStyle name="40% - Accent4 4 2 2 3" xfId="11356" xr:uid="{1F1B5BA0-3892-4C2B-A258-AFE3D0A1DD2D}"/>
    <cellStyle name="40% - Accent4 4 2 3" xfId="5000" xr:uid="{00000000-0005-0000-0000-00001E060000}"/>
    <cellStyle name="40% - Accent4 4 2 3 2" xfId="13429" xr:uid="{BDC0A686-6D75-42AA-B11E-06D2F063922A}"/>
    <cellStyle name="40% - Accent4 4 2 4" xfId="9211" xr:uid="{1C413D95-EB01-4ABB-9497-4490E297762F}"/>
    <cellStyle name="40% - Accent4 4 3" xfId="1103" xr:uid="{00000000-0005-0000-0000-00001F060000}"/>
    <cellStyle name="40% - Accent4 4 3 2" xfId="3334" xr:uid="{00000000-0005-0000-0000-000020060000}"/>
    <cellStyle name="40% - Accent4 4 3 2 2" xfId="7558" xr:uid="{00000000-0005-0000-0000-000021060000}"/>
    <cellStyle name="40% - Accent4 4 3 2 2 2" xfId="15987" xr:uid="{5B36C922-8FC3-4CF6-8D6D-875D99D83070}"/>
    <cellStyle name="40% - Accent4 4 3 2 3" xfId="11769" xr:uid="{37B01F05-0FD9-4480-BFAB-801081CDA458}"/>
    <cellStyle name="40% - Accent4 4 3 3" xfId="5413" xr:uid="{00000000-0005-0000-0000-000022060000}"/>
    <cellStyle name="40% - Accent4 4 3 3 2" xfId="13842" xr:uid="{01985C64-97DC-4D75-AA6A-EF8063EA7EBB}"/>
    <cellStyle name="40% - Accent4 4 3 4" xfId="9624" xr:uid="{CF0281F9-92AD-4422-A320-03B10811FED1}"/>
    <cellStyle name="40% - Accent4 4 4" xfId="1517" xr:uid="{00000000-0005-0000-0000-000023060000}"/>
    <cellStyle name="40% - Accent4 4 4 2" xfId="3747" xr:uid="{00000000-0005-0000-0000-000024060000}"/>
    <cellStyle name="40% - Accent4 4 4 2 2" xfId="7971" xr:uid="{00000000-0005-0000-0000-000025060000}"/>
    <cellStyle name="40% - Accent4 4 4 2 2 2" xfId="16400" xr:uid="{813E4CE5-D581-45E7-B804-8EB1AA136FF6}"/>
    <cellStyle name="40% - Accent4 4 4 2 3" xfId="12182" xr:uid="{A666AB5D-88E9-4CEE-B7C5-89AE474EE372}"/>
    <cellStyle name="40% - Accent4 4 4 3" xfId="5826" xr:uid="{00000000-0005-0000-0000-000026060000}"/>
    <cellStyle name="40% - Accent4 4 4 3 2" xfId="14255" xr:uid="{884FD3FB-6DD1-4B58-B645-089F056E704B}"/>
    <cellStyle name="40% - Accent4 4 4 4" xfId="10037" xr:uid="{FDA83240-1287-4AE4-AC1B-7BC49E1E6DC1}"/>
    <cellStyle name="40% - Accent4 4 5" xfId="1931" xr:uid="{00000000-0005-0000-0000-000027060000}"/>
    <cellStyle name="40% - Accent4 4 5 2" xfId="4160" xr:uid="{00000000-0005-0000-0000-000028060000}"/>
    <cellStyle name="40% - Accent4 4 5 2 2" xfId="8384" xr:uid="{00000000-0005-0000-0000-000029060000}"/>
    <cellStyle name="40% - Accent4 4 5 2 2 2" xfId="16813" xr:uid="{363CA3A6-A215-4C89-B483-67412F21D407}"/>
    <cellStyle name="40% - Accent4 4 5 2 3" xfId="12595" xr:uid="{D0436BB2-DDBB-4620-A18D-A82B2B8380A9}"/>
    <cellStyle name="40% - Accent4 4 5 3" xfId="6239" xr:uid="{00000000-0005-0000-0000-00002A060000}"/>
    <cellStyle name="40% - Accent4 4 5 3 2" xfId="14668" xr:uid="{3852E042-52A2-4EA4-8BAD-B7AC475F86D4}"/>
    <cellStyle name="40% - Accent4 4 5 4" xfId="10450" xr:uid="{14F3BFCA-A4B6-40E4-92DE-06A5D90E62CF}"/>
    <cellStyle name="40% - Accent4 4 6" xfId="2344" xr:uid="{00000000-0005-0000-0000-00002B060000}"/>
    <cellStyle name="40% - Accent4 4 6 2" xfId="6652" xr:uid="{00000000-0005-0000-0000-00002C060000}"/>
    <cellStyle name="40% - Accent4 4 6 2 2" xfId="15081" xr:uid="{DF77E997-8325-4C7F-857B-53E609688156}"/>
    <cellStyle name="40% - Accent4 4 6 3" xfId="10863" xr:uid="{71AF600F-D245-4501-BAF0-243D11A59B14}"/>
    <cellStyle name="40% - Accent4 4 7" xfId="4586" xr:uid="{00000000-0005-0000-0000-00002D060000}"/>
    <cellStyle name="40% - Accent4 4 7 2" xfId="13015" xr:uid="{C4840811-E9F3-4E2F-9556-B4694CDD1ECC}"/>
    <cellStyle name="40% - Accent4 4 8" xfId="8797" xr:uid="{BD3B1D09-5F8D-4D73-8C04-90475B064FD6}"/>
    <cellStyle name="40% - Accent4 5" xfId="643" xr:uid="{00000000-0005-0000-0000-00002E060000}"/>
    <cellStyle name="40% - Accent4 5 2" xfId="2914" xr:uid="{00000000-0005-0000-0000-00002F060000}"/>
    <cellStyle name="40% - Accent4 5 2 2" xfId="7138" xr:uid="{00000000-0005-0000-0000-000030060000}"/>
    <cellStyle name="40% - Accent4 5 2 2 2" xfId="15567" xr:uid="{6B96E26F-44D1-44EB-9A12-579F78ED4020}"/>
    <cellStyle name="40% - Accent4 5 2 3" xfId="11349" xr:uid="{50795593-F575-42E2-8277-FD39AD785822}"/>
    <cellStyle name="40% - Accent4 5 3" xfId="4993" xr:uid="{00000000-0005-0000-0000-000031060000}"/>
    <cellStyle name="40% - Accent4 5 3 2" xfId="13422" xr:uid="{EA9F3970-BD9F-4131-9F81-8F8E639E6021}"/>
    <cellStyle name="40% - Accent4 5 4" xfId="9204" xr:uid="{45236F8E-5014-4584-8615-957054562910}"/>
    <cellStyle name="40% - Accent4 6" xfId="1096" xr:uid="{00000000-0005-0000-0000-000032060000}"/>
    <cellStyle name="40% - Accent4 6 2" xfId="3327" xr:uid="{00000000-0005-0000-0000-000033060000}"/>
    <cellStyle name="40% - Accent4 6 2 2" xfId="7551" xr:uid="{00000000-0005-0000-0000-000034060000}"/>
    <cellStyle name="40% - Accent4 6 2 2 2" xfId="15980" xr:uid="{D9AE59F8-AA80-427A-A22C-9E4AC58D2FF8}"/>
    <cellStyle name="40% - Accent4 6 2 3" xfId="11762" xr:uid="{4A1767D1-715F-4CF1-BEC8-58217CBD64FE}"/>
    <cellStyle name="40% - Accent4 6 3" xfId="5406" xr:uid="{00000000-0005-0000-0000-000035060000}"/>
    <cellStyle name="40% - Accent4 6 3 2" xfId="13835" xr:uid="{19EC79B7-2FA2-47BF-83DC-B0FAE214E2E3}"/>
    <cellStyle name="40% - Accent4 6 4" xfId="9617" xr:uid="{71F7085E-4046-4061-9667-0C9F35E44B00}"/>
    <cellStyle name="40% - Accent4 7" xfId="1510" xr:uid="{00000000-0005-0000-0000-000036060000}"/>
    <cellStyle name="40% - Accent4 7 2" xfId="3740" xr:uid="{00000000-0005-0000-0000-000037060000}"/>
    <cellStyle name="40% - Accent4 7 2 2" xfId="7964" xr:uid="{00000000-0005-0000-0000-000038060000}"/>
    <cellStyle name="40% - Accent4 7 2 2 2" xfId="16393" xr:uid="{ACCC45F1-F1FA-49B1-BB0C-34D2A70D98D9}"/>
    <cellStyle name="40% - Accent4 7 2 3" xfId="12175" xr:uid="{7672F622-D89F-43E4-BBBE-1F29531BCE53}"/>
    <cellStyle name="40% - Accent4 7 3" xfId="5819" xr:uid="{00000000-0005-0000-0000-000039060000}"/>
    <cellStyle name="40% - Accent4 7 3 2" xfId="14248" xr:uid="{26BAA920-A249-4FB4-950A-CC6DAFD272EE}"/>
    <cellStyle name="40% - Accent4 7 4" xfId="10030" xr:uid="{065AFDF2-6991-4F0F-BF62-13E2D8B5DED1}"/>
    <cellStyle name="40% - Accent4 8" xfId="1924" xr:uid="{00000000-0005-0000-0000-00003A060000}"/>
    <cellStyle name="40% - Accent4 8 2" xfId="4153" xr:uid="{00000000-0005-0000-0000-00003B060000}"/>
    <cellStyle name="40% - Accent4 8 2 2" xfId="8377" xr:uid="{00000000-0005-0000-0000-00003C060000}"/>
    <cellStyle name="40% - Accent4 8 2 2 2" xfId="16806" xr:uid="{1B98FCAD-0A38-4F11-A0FC-F5973BB9778D}"/>
    <cellStyle name="40% - Accent4 8 2 3" xfId="12588" xr:uid="{DB09F9F7-0FE0-486E-A9DF-6EE773C6AB7B}"/>
    <cellStyle name="40% - Accent4 8 3" xfId="6232" xr:uid="{00000000-0005-0000-0000-00003D060000}"/>
    <cellStyle name="40% - Accent4 8 3 2" xfId="14661" xr:uid="{D13EAC06-16E0-4BBA-8FF3-FFE845C11735}"/>
    <cellStyle name="40% - Accent4 8 4" xfId="10443" xr:uid="{72850E3E-E2E0-4299-8B08-436DE19FFF54}"/>
    <cellStyle name="40% - Accent4 9" xfId="2337" xr:uid="{00000000-0005-0000-0000-00003E060000}"/>
    <cellStyle name="40% - Accent4 9 2" xfId="6645" xr:uid="{00000000-0005-0000-0000-00003F060000}"/>
    <cellStyle name="40% - Accent4 9 2 2" xfId="15074" xr:uid="{110728C0-1CC8-4C5E-823B-B4DCDECC6095}"/>
    <cellStyle name="40% - Accent4 9 3" xfId="10856" xr:uid="{3E3D5A9B-D293-4D81-9037-ECBF3B70B494}"/>
    <cellStyle name="40% - Accent5" xfId="81" builtinId="47" customBuiltin="1"/>
    <cellStyle name="40% - Accent5 10" xfId="4587" xr:uid="{00000000-0005-0000-0000-000041060000}"/>
    <cellStyle name="40% - Accent5 10 2" xfId="13016" xr:uid="{81B19EE5-A4B9-4AEE-8ED2-AC7019EEC924}"/>
    <cellStyle name="40% - Accent5 11" xfId="8798" xr:uid="{FB7662B1-0B29-435C-9042-C1967AAE14AD}"/>
    <cellStyle name="40% - Accent5 2" xfId="82" xr:uid="{00000000-0005-0000-0000-000042060000}"/>
    <cellStyle name="40% - Accent5 2 10" xfId="8799" xr:uid="{B63758C8-9DE3-4812-BCEA-B1B1EC32C63C}"/>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2 2 2" xfId="15578" xr:uid="{E09B3C25-5BA4-42A3-A3E7-D594D7824954}"/>
    <cellStyle name="40% - Accent5 2 2 2 2 2 3" xfId="11360" xr:uid="{B931F0F5-53C3-4353-B524-BABDE7D1CF75}"/>
    <cellStyle name="40% - Accent5 2 2 2 2 3" xfId="5004" xr:uid="{00000000-0005-0000-0000-000048060000}"/>
    <cellStyle name="40% - Accent5 2 2 2 2 3 2" xfId="13433" xr:uid="{DD1C8353-D102-4573-BB6B-5658979FBE98}"/>
    <cellStyle name="40% - Accent5 2 2 2 2 4" xfId="9215" xr:uid="{C7D785F7-E927-48D0-8CE7-9D96C23E409B}"/>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2 2 2" xfId="15991" xr:uid="{86025DC3-74D7-49F6-A909-10C759B860A9}"/>
    <cellStyle name="40% - Accent5 2 2 2 3 2 3" xfId="11773" xr:uid="{9CB23BCF-57F2-4B3D-BCB1-1CEB934977EB}"/>
    <cellStyle name="40% - Accent5 2 2 2 3 3" xfId="5417" xr:uid="{00000000-0005-0000-0000-00004C060000}"/>
    <cellStyle name="40% - Accent5 2 2 2 3 3 2" xfId="13846" xr:uid="{42168C5D-CAC1-469B-98C6-B8DAAB5AD96F}"/>
    <cellStyle name="40% - Accent5 2 2 2 3 4" xfId="9628" xr:uid="{E9E1FBF4-CE54-4A10-BB31-236EAC67E556}"/>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2 2 2" xfId="16404" xr:uid="{9495FEC0-EF00-444F-9ABC-B26FC2AC63E4}"/>
    <cellStyle name="40% - Accent5 2 2 2 4 2 3" xfId="12186" xr:uid="{761DE3F8-03CE-475E-B70E-E81CA88C2BFE}"/>
    <cellStyle name="40% - Accent5 2 2 2 4 3" xfId="5830" xr:uid="{00000000-0005-0000-0000-000050060000}"/>
    <cellStyle name="40% - Accent5 2 2 2 4 3 2" xfId="14259" xr:uid="{F2A84667-4640-44AA-89C2-976D69074663}"/>
    <cellStyle name="40% - Accent5 2 2 2 4 4" xfId="10041" xr:uid="{A592C087-B03F-4A3A-974B-BB4E97FAAF07}"/>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2 2 2" xfId="16817" xr:uid="{F75F09E4-0B05-43FD-B337-BE1C1934ADC0}"/>
    <cellStyle name="40% - Accent5 2 2 2 5 2 3" xfId="12599" xr:uid="{97AFABB7-08E0-463A-A696-1B1CC5B9BDD8}"/>
    <cellStyle name="40% - Accent5 2 2 2 5 3" xfId="6243" xr:uid="{00000000-0005-0000-0000-000054060000}"/>
    <cellStyle name="40% - Accent5 2 2 2 5 3 2" xfId="14672" xr:uid="{05F13F1C-74AC-491D-AAD5-CAB15A518C99}"/>
    <cellStyle name="40% - Accent5 2 2 2 5 4" xfId="10454" xr:uid="{E8DAF6A4-57FD-4669-B227-1E34D907A98E}"/>
    <cellStyle name="40% - Accent5 2 2 2 6" xfId="2348" xr:uid="{00000000-0005-0000-0000-000055060000}"/>
    <cellStyle name="40% - Accent5 2 2 2 6 2" xfId="6656" xr:uid="{00000000-0005-0000-0000-000056060000}"/>
    <cellStyle name="40% - Accent5 2 2 2 6 2 2" xfId="15085" xr:uid="{9D8D59D5-BDD5-4383-A1C1-B67877382327}"/>
    <cellStyle name="40% - Accent5 2 2 2 6 3" xfId="10867" xr:uid="{F56E4101-EDA4-485D-9AAF-4A637706B2A9}"/>
    <cellStyle name="40% - Accent5 2 2 2 7" xfId="4590" xr:uid="{00000000-0005-0000-0000-000057060000}"/>
    <cellStyle name="40% - Accent5 2 2 2 7 2" xfId="13019" xr:uid="{5C74D84E-C3BA-4D6F-83EA-5E300CD27DF5}"/>
    <cellStyle name="40% - Accent5 2 2 2 8" xfId="8801" xr:uid="{CA285BBF-3696-4F1F-806A-7D8C4BB850C1}"/>
    <cellStyle name="40% - Accent5 2 2 3" xfId="653" xr:uid="{00000000-0005-0000-0000-000058060000}"/>
    <cellStyle name="40% - Accent5 2 2 3 2" xfId="2924" xr:uid="{00000000-0005-0000-0000-000059060000}"/>
    <cellStyle name="40% - Accent5 2 2 3 2 2" xfId="7148" xr:uid="{00000000-0005-0000-0000-00005A060000}"/>
    <cellStyle name="40% - Accent5 2 2 3 2 2 2" xfId="15577" xr:uid="{5B7EB4E3-8D30-452E-ABEE-7FAEEC5BB8E7}"/>
    <cellStyle name="40% - Accent5 2 2 3 2 3" xfId="11359" xr:uid="{D6D82F3F-AD1D-4DC4-B060-59667FF658FB}"/>
    <cellStyle name="40% - Accent5 2 2 3 3" xfId="5003" xr:uid="{00000000-0005-0000-0000-00005B060000}"/>
    <cellStyle name="40% - Accent5 2 2 3 3 2" xfId="13432" xr:uid="{91A2D790-62FB-45B2-89FA-841F094F9A42}"/>
    <cellStyle name="40% - Accent5 2 2 3 4" xfId="9214" xr:uid="{B58B55EE-8328-439A-9D97-FC23C92874FA}"/>
    <cellStyle name="40% - Accent5 2 2 4" xfId="1106" xr:uid="{00000000-0005-0000-0000-00005C060000}"/>
    <cellStyle name="40% - Accent5 2 2 4 2" xfId="3337" xr:uid="{00000000-0005-0000-0000-00005D060000}"/>
    <cellStyle name="40% - Accent5 2 2 4 2 2" xfId="7561" xr:uid="{00000000-0005-0000-0000-00005E060000}"/>
    <cellStyle name="40% - Accent5 2 2 4 2 2 2" xfId="15990" xr:uid="{82C10292-2E7F-4F12-BD19-9E58B1B72297}"/>
    <cellStyle name="40% - Accent5 2 2 4 2 3" xfId="11772" xr:uid="{1F6438BE-9202-4E3B-AEF4-02C9619A565A}"/>
    <cellStyle name="40% - Accent5 2 2 4 3" xfId="5416" xr:uid="{00000000-0005-0000-0000-00005F060000}"/>
    <cellStyle name="40% - Accent5 2 2 4 3 2" xfId="13845" xr:uid="{EA1C4776-E785-4165-861D-54438E8CF7D5}"/>
    <cellStyle name="40% - Accent5 2 2 4 4" xfId="9627" xr:uid="{1C7D93CD-3225-4F22-97CA-913B934FA946}"/>
    <cellStyle name="40% - Accent5 2 2 5" xfId="1520" xr:uid="{00000000-0005-0000-0000-000060060000}"/>
    <cellStyle name="40% - Accent5 2 2 5 2" xfId="3750" xr:uid="{00000000-0005-0000-0000-000061060000}"/>
    <cellStyle name="40% - Accent5 2 2 5 2 2" xfId="7974" xr:uid="{00000000-0005-0000-0000-000062060000}"/>
    <cellStyle name="40% - Accent5 2 2 5 2 2 2" xfId="16403" xr:uid="{54A98744-86AF-4B0E-96F8-FCC174C19F64}"/>
    <cellStyle name="40% - Accent5 2 2 5 2 3" xfId="12185" xr:uid="{C62374CB-43D3-4383-A0DC-71C4C8A421D0}"/>
    <cellStyle name="40% - Accent5 2 2 5 3" xfId="5829" xr:uid="{00000000-0005-0000-0000-000063060000}"/>
    <cellStyle name="40% - Accent5 2 2 5 3 2" xfId="14258" xr:uid="{7FC4AB57-89E0-44F7-80E1-EA6823700920}"/>
    <cellStyle name="40% - Accent5 2 2 5 4" xfId="10040" xr:uid="{9740FD77-600D-44C1-ADCE-363C9FF4CCFD}"/>
    <cellStyle name="40% - Accent5 2 2 6" xfId="1934" xr:uid="{00000000-0005-0000-0000-000064060000}"/>
    <cellStyle name="40% - Accent5 2 2 6 2" xfId="4163" xr:uid="{00000000-0005-0000-0000-000065060000}"/>
    <cellStyle name="40% - Accent5 2 2 6 2 2" xfId="8387" xr:uid="{00000000-0005-0000-0000-000066060000}"/>
    <cellStyle name="40% - Accent5 2 2 6 2 2 2" xfId="16816" xr:uid="{129E0D0E-58E1-4A74-A3AF-B16D301075B3}"/>
    <cellStyle name="40% - Accent5 2 2 6 2 3" xfId="12598" xr:uid="{877507A0-2618-42C5-AC6B-5C480B583225}"/>
    <cellStyle name="40% - Accent5 2 2 6 3" xfId="6242" xr:uid="{00000000-0005-0000-0000-000067060000}"/>
    <cellStyle name="40% - Accent5 2 2 6 3 2" xfId="14671" xr:uid="{2FAA927F-8A20-41DB-B1B3-EB3891BD2ADD}"/>
    <cellStyle name="40% - Accent5 2 2 6 4" xfId="10453" xr:uid="{A2702829-CA54-4E7A-8CEB-0A75B86C6931}"/>
    <cellStyle name="40% - Accent5 2 2 7" xfId="2347" xr:uid="{00000000-0005-0000-0000-000068060000}"/>
    <cellStyle name="40% - Accent5 2 2 7 2" xfId="6655" xr:uid="{00000000-0005-0000-0000-000069060000}"/>
    <cellStyle name="40% - Accent5 2 2 7 2 2" xfId="15084" xr:uid="{6C94DEDF-03BF-4CBA-8A87-9F5DB3EA1B7C}"/>
    <cellStyle name="40% - Accent5 2 2 7 3" xfId="10866" xr:uid="{696613F1-EBDE-422B-B1D1-8409055F24BF}"/>
    <cellStyle name="40% - Accent5 2 2 8" xfId="4589" xr:uid="{00000000-0005-0000-0000-00006A060000}"/>
    <cellStyle name="40% - Accent5 2 2 8 2" xfId="13018" xr:uid="{94CFA273-C0C2-4BF6-AB1A-D698621DFC9B}"/>
    <cellStyle name="40% - Accent5 2 2 9" xfId="8800" xr:uid="{4059F58A-3246-4436-A69C-141FE8929D98}"/>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2 2 2" xfId="15579" xr:uid="{D91BEBB9-DDA3-4D9C-8B16-D548708A28C1}"/>
    <cellStyle name="40% - Accent5 2 3 2 2 3" xfId="11361" xr:uid="{BACE0E55-4CCA-4A34-B9BE-7E9677D3D6B0}"/>
    <cellStyle name="40% - Accent5 2 3 2 3" xfId="5005" xr:uid="{00000000-0005-0000-0000-00006F060000}"/>
    <cellStyle name="40% - Accent5 2 3 2 3 2" xfId="13434" xr:uid="{8D871D00-AD9B-4A64-845A-A4A55F3731B2}"/>
    <cellStyle name="40% - Accent5 2 3 2 4" xfId="9216" xr:uid="{B3605164-EAD8-4A4E-8AAC-18C9F3A26CB1}"/>
    <cellStyle name="40% - Accent5 2 3 3" xfId="1108" xr:uid="{00000000-0005-0000-0000-000070060000}"/>
    <cellStyle name="40% - Accent5 2 3 3 2" xfId="3339" xr:uid="{00000000-0005-0000-0000-000071060000}"/>
    <cellStyle name="40% - Accent5 2 3 3 2 2" xfId="7563" xr:uid="{00000000-0005-0000-0000-000072060000}"/>
    <cellStyle name="40% - Accent5 2 3 3 2 2 2" xfId="15992" xr:uid="{B74B032F-74D6-4C33-9AC2-47C98CACD1A3}"/>
    <cellStyle name="40% - Accent5 2 3 3 2 3" xfId="11774" xr:uid="{B27A0142-096A-41B9-AAA8-9A772AFF4103}"/>
    <cellStyle name="40% - Accent5 2 3 3 3" xfId="5418" xr:uid="{00000000-0005-0000-0000-000073060000}"/>
    <cellStyle name="40% - Accent5 2 3 3 3 2" xfId="13847" xr:uid="{7CBB93DC-B0DB-4D6B-AEEC-6CE96D169CE9}"/>
    <cellStyle name="40% - Accent5 2 3 3 4" xfId="9629" xr:uid="{96A03039-7093-41BF-B57D-5178E64D9F76}"/>
    <cellStyle name="40% - Accent5 2 3 4" xfId="1522" xr:uid="{00000000-0005-0000-0000-000074060000}"/>
    <cellStyle name="40% - Accent5 2 3 4 2" xfId="3752" xr:uid="{00000000-0005-0000-0000-000075060000}"/>
    <cellStyle name="40% - Accent5 2 3 4 2 2" xfId="7976" xr:uid="{00000000-0005-0000-0000-000076060000}"/>
    <cellStyle name="40% - Accent5 2 3 4 2 2 2" xfId="16405" xr:uid="{8981365A-B68E-4DD5-A8DC-9E1455AC4181}"/>
    <cellStyle name="40% - Accent5 2 3 4 2 3" xfId="12187" xr:uid="{72EF7272-9687-4272-B268-20F3BEDF3E06}"/>
    <cellStyle name="40% - Accent5 2 3 4 3" xfId="5831" xr:uid="{00000000-0005-0000-0000-000077060000}"/>
    <cellStyle name="40% - Accent5 2 3 4 3 2" xfId="14260" xr:uid="{72FCBECB-26BC-443E-B28E-801C5B808235}"/>
    <cellStyle name="40% - Accent5 2 3 4 4" xfId="10042" xr:uid="{A1B86BA8-7482-4AC2-BF84-4AAC941D4DFE}"/>
    <cellStyle name="40% - Accent5 2 3 5" xfId="1936" xr:uid="{00000000-0005-0000-0000-000078060000}"/>
    <cellStyle name="40% - Accent5 2 3 5 2" xfId="4165" xr:uid="{00000000-0005-0000-0000-000079060000}"/>
    <cellStyle name="40% - Accent5 2 3 5 2 2" xfId="8389" xr:uid="{00000000-0005-0000-0000-00007A060000}"/>
    <cellStyle name="40% - Accent5 2 3 5 2 2 2" xfId="16818" xr:uid="{913885E5-F215-40C7-BF66-514A673C5002}"/>
    <cellStyle name="40% - Accent5 2 3 5 2 3" xfId="12600" xr:uid="{9E776FC4-7999-4C3F-89E1-CDCCB5B6D29E}"/>
    <cellStyle name="40% - Accent5 2 3 5 3" xfId="6244" xr:uid="{00000000-0005-0000-0000-00007B060000}"/>
    <cellStyle name="40% - Accent5 2 3 5 3 2" xfId="14673" xr:uid="{BEE2BE33-A7FD-4D72-88A3-07760FC911B5}"/>
    <cellStyle name="40% - Accent5 2 3 5 4" xfId="10455" xr:uid="{6DAB9907-2317-4350-9D73-CC1B7313DAAD}"/>
    <cellStyle name="40% - Accent5 2 3 6" xfId="2349" xr:uid="{00000000-0005-0000-0000-00007C060000}"/>
    <cellStyle name="40% - Accent5 2 3 6 2" xfId="6657" xr:uid="{00000000-0005-0000-0000-00007D060000}"/>
    <cellStyle name="40% - Accent5 2 3 6 2 2" xfId="15086" xr:uid="{93A6C61A-9006-425A-B064-51131E85D2AA}"/>
    <cellStyle name="40% - Accent5 2 3 6 3" xfId="10868" xr:uid="{7D027D7C-08D9-493D-B7EF-B362618AD5E4}"/>
    <cellStyle name="40% - Accent5 2 3 7" xfId="4591" xr:uid="{00000000-0005-0000-0000-00007E060000}"/>
    <cellStyle name="40% - Accent5 2 3 7 2" xfId="13020" xr:uid="{04D127E2-4E86-4A44-AD4E-30D993DD8296}"/>
    <cellStyle name="40% - Accent5 2 3 8" xfId="8802" xr:uid="{8330D093-477F-4FC6-99B5-183F07CB2462}"/>
    <cellStyle name="40% - Accent5 2 4" xfId="652" xr:uid="{00000000-0005-0000-0000-00007F060000}"/>
    <cellStyle name="40% - Accent5 2 4 2" xfId="2923" xr:uid="{00000000-0005-0000-0000-000080060000}"/>
    <cellStyle name="40% - Accent5 2 4 2 2" xfId="7147" xr:uid="{00000000-0005-0000-0000-000081060000}"/>
    <cellStyle name="40% - Accent5 2 4 2 2 2" xfId="15576" xr:uid="{B6D3827C-8E89-44F3-A977-D7C8F82FDC1E}"/>
    <cellStyle name="40% - Accent5 2 4 2 3" xfId="11358" xr:uid="{25CD30A0-6DCB-4CFB-9ED6-2DCE0BF21A84}"/>
    <cellStyle name="40% - Accent5 2 4 3" xfId="5002" xr:uid="{00000000-0005-0000-0000-000082060000}"/>
    <cellStyle name="40% - Accent5 2 4 3 2" xfId="13431" xr:uid="{651BEC49-2141-471F-9A77-53B1EEE4ACB7}"/>
    <cellStyle name="40% - Accent5 2 4 4" xfId="9213" xr:uid="{CEF22E10-D9A5-4E13-A09F-4A9D016F7654}"/>
    <cellStyle name="40% - Accent5 2 5" xfId="1105" xr:uid="{00000000-0005-0000-0000-000083060000}"/>
    <cellStyle name="40% - Accent5 2 5 2" xfId="3336" xr:uid="{00000000-0005-0000-0000-000084060000}"/>
    <cellStyle name="40% - Accent5 2 5 2 2" xfId="7560" xr:uid="{00000000-0005-0000-0000-000085060000}"/>
    <cellStyle name="40% - Accent5 2 5 2 2 2" xfId="15989" xr:uid="{EE037881-12DF-4FD8-B4DA-72804EB32AA1}"/>
    <cellStyle name="40% - Accent5 2 5 2 3" xfId="11771" xr:uid="{A70A275F-B985-4793-AD7D-D9B5B5783122}"/>
    <cellStyle name="40% - Accent5 2 5 3" xfId="5415" xr:uid="{00000000-0005-0000-0000-000086060000}"/>
    <cellStyle name="40% - Accent5 2 5 3 2" xfId="13844" xr:uid="{F64629AA-F0AF-467C-BDA0-2D1F91FDC15D}"/>
    <cellStyle name="40% - Accent5 2 5 4" xfId="9626" xr:uid="{E40033FB-F735-4409-AC79-EA0724DF4359}"/>
    <cellStyle name="40% - Accent5 2 6" xfId="1519" xr:uid="{00000000-0005-0000-0000-000087060000}"/>
    <cellStyle name="40% - Accent5 2 6 2" xfId="3749" xr:uid="{00000000-0005-0000-0000-000088060000}"/>
    <cellStyle name="40% - Accent5 2 6 2 2" xfId="7973" xr:uid="{00000000-0005-0000-0000-000089060000}"/>
    <cellStyle name="40% - Accent5 2 6 2 2 2" xfId="16402" xr:uid="{929971ED-487D-4821-917C-5350B6B7F7D6}"/>
    <cellStyle name="40% - Accent5 2 6 2 3" xfId="12184" xr:uid="{F656575E-ED6F-4637-9EA1-89FE62C1A322}"/>
    <cellStyle name="40% - Accent5 2 6 3" xfId="5828" xr:uid="{00000000-0005-0000-0000-00008A060000}"/>
    <cellStyle name="40% - Accent5 2 6 3 2" xfId="14257" xr:uid="{59D9E133-40D3-4335-A72B-91A7C3B04035}"/>
    <cellStyle name="40% - Accent5 2 6 4" xfId="10039" xr:uid="{90DA169C-C18E-4153-AB5C-23A16E5F880A}"/>
    <cellStyle name="40% - Accent5 2 7" xfId="1933" xr:uid="{00000000-0005-0000-0000-00008B060000}"/>
    <cellStyle name="40% - Accent5 2 7 2" xfId="4162" xr:uid="{00000000-0005-0000-0000-00008C060000}"/>
    <cellStyle name="40% - Accent5 2 7 2 2" xfId="8386" xr:uid="{00000000-0005-0000-0000-00008D060000}"/>
    <cellStyle name="40% - Accent5 2 7 2 2 2" xfId="16815" xr:uid="{2B85AF95-9B0D-42C0-B6C0-DBC75BD56334}"/>
    <cellStyle name="40% - Accent5 2 7 2 3" xfId="12597" xr:uid="{2B0CB5B2-FED5-478B-BB2D-0888AD3F1EF0}"/>
    <cellStyle name="40% - Accent5 2 7 3" xfId="6241" xr:uid="{00000000-0005-0000-0000-00008E060000}"/>
    <cellStyle name="40% - Accent5 2 7 3 2" xfId="14670" xr:uid="{F2F9B9C7-1AE0-45B2-85EB-6FBD5B6B64CB}"/>
    <cellStyle name="40% - Accent5 2 7 4" xfId="10452" xr:uid="{CDFFFC82-0A11-4A3D-A293-8BDBEAD96563}"/>
    <cellStyle name="40% - Accent5 2 8" xfId="2346" xr:uid="{00000000-0005-0000-0000-00008F060000}"/>
    <cellStyle name="40% - Accent5 2 8 2" xfId="6654" xr:uid="{00000000-0005-0000-0000-000090060000}"/>
    <cellStyle name="40% - Accent5 2 8 2 2" xfId="15083" xr:uid="{D7AA4939-FBE7-4BFF-868D-DDF6DBC18E89}"/>
    <cellStyle name="40% - Accent5 2 8 3" xfId="10865" xr:uid="{CB2FF6CC-86AD-41A1-AA13-7EE86DFDE35B}"/>
    <cellStyle name="40% - Accent5 2 9" xfId="4588" xr:uid="{00000000-0005-0000-0000-000091060000}"/>
    <cellStyle name="40% - Accent5 2 9 2" xfId="13017" xr:uid="{513B1B77-4BF0-4D93-A5C3-26469258D113}"/>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2 2 2" xfId="15581" xr:uid="{668540DD-48AD-4940-AA4F-135BD2E75FE3}"/>
    <cellStyle name="40% - Accent5 3 2 2 2 3" xfId="11363" xr:uid="{D57ACA86-E2EF-42C0-B442-0855463F3D25}"/>
    <cellStyle name="40% - Accent5 3 2 2 3" xfId="5007" xr:uid="{00000000-0005-0000-0000-000097060000}"/>
    <cellStyle name="40% - Accent5 3 2 2 3 2" xfId="13436" xr:uid="{8755D5C5-8FF1-4896-B589-FBF7D3D02A18}"/>
    <cellStyle name="40% - Accent5 3 2 2 4" xfId="9218" xr:uid="{C3D41C46-7C00-428C-87EE-0B74DA41CC4B}"/>
    <cellStyle name="40% - Accent5 3 2 3" xfId="1110" xr:uid="{00000000-0005-0000-0000-000098060000}"/>
    <cellStyle name="40% - Accent5 3 2 3 2" xfId="3341" xr:uid="{00000000-0005-0000-0000-000099060000}"/>
    <cellStyle name="40% - Accent5 3 2 3 2 2" xfId="7565" xr:uid="{00000000-0005-0000-0000-00009A060000}"/>
    <cellStyle name="40% - Accent5 3 2 3 2 2 2" xfId="15994" xr:uid="{6767DFD7-449D-43FA-9AFC-F2E07DF6323C}"/>
    <cellStyle name="40% - Accent5 3 2 3 2 3" xfId="11776" xr:uid="{39DD98F2-6434-41EB-B7C8-05E582FD758D}"/>
    <cellStyle name="40% - Accent5 3 2 3 3" xfId="5420" xr:uid="{00000000-0005-0000-0000-00009B060000}"/>
    <cellStyle name="40% - Accent5 3 2 3 3 2" xfId="13849" xr:uid="{E5A48981-8D54-4824-912D-F0CB2C4DDC1F}"/>
    <cellStyle name="40% - Accent5 3 2 3 4" xfId="9631" xr:uid="{AB493C07-AA5E-4B77-A8BB-E86EA0A517CC}"/>
    <cellStyle name="40% - Accent5 3 2 4" xfId="1524" xr:uid="{00000000-0005-0000-0000-00009C060000}"/>
    <cellStyle name="40% - Accent5 3 2 4 2" xfId="3754" xr:uid="{00000000-0005-0000-0000-00009D060000}"/>
    <cellStyle name="40% - Accent5 3 2 4 2 2" xfId="7978" xr:uid="{00000000-0005-0000-0000-00009E060000}"/>
    <cellStyle name="40% - Accent5 3 2 4 2 2 2" xfId="16407" xr:uid="{6F84976F-639F-4615-8A7B-B3635560DA70}"/>
    <cellStyle name="40% - Accent5 3 2 4 2 3" xfId="12189" xr:uid="{52DEEEC0-5CC5-4AE8-A052-A343A16D83E5}"/>
    <cellStyle name="40% - Accent5 3 2 4 3" xfId="5833" xr:uid="{00000000-0005-0000-0000-00009F060000}"/>
    <cellStyle name="40% - Accent5 3 2 4 3 2" xfId="14262" xr:uid="{ED818792-063F-4355-9FD4-EA087581F1BC}"/>
    <cellStyle name="40% - Accent5 3 2 4 4" xfId="10044" xr:uid="{94BD1D60-91D6-41B7-BF97-1DFE8BEB45A3}"/>
    <cellStyle name="40% - Accent5 3 2 5" xfId="1938" xr:uid="{00000000-0005-0000-0000-0000A0060000}"/>
    <cellStyle name="40% - Accent5 3 2 5 2" xfId="4167" xr:uid="{00000000-0005-0000-0000-0000A1060000}"/>
    <cellStyle name="40% - Accent5 3 2 5 2 2" xfId="8391" xr:uid="{00000000-0005-0000-0000-0000A2060000}"/>
    <cellStyle name="40% - Accent5 3 2 5 2 2 2" xfId="16820" xr:uid="{B998C414-2634-449B-8303-ED2F99A965F5}"/>
    <cellStyle name="40% - Accent5 3 2 5 2 3" xfId="12602" xr:uid="{E7064C74-8863-4DF6-A31B-14999B02F035}"/>
    <cellStyle name="40% - Accent5 3 2 5 3" xfId="6246" xr:uid="{00000000-0005-0000-0000-0000A3060000}"/>
    <cellStyle name="40% - Accent5 3 2 5 3 2" xfId="14675" xr:uid="{DEFAC8F7-4EE3-42B5-BD94-253CEABB01FA}"/>
    <cellStyle name="40% - Accent5 3 2 5 4" xfId="10457" xr:uid="{3525ACC6-72B4-49D1-98F4-4FBB6D575D2A}"/>
    <cellStyle name="40% - Accent5 3 2 6" xfId="2351" xr:uid="{00000000-0005-0000-0000-0000A4060000}"/>
    <cellStyle name="40% - Accent5 3 2 6 2" xfId="6659" xr:uid="{00000000-0005-0000-0000-0000A5060000}"/>
    <cellStyle name="40% - Accent5 3 2 6 2 2" xfId="15088" xr:uid="{D3D53D59-A41A-44D2-B234-4D436D405337}"/>
    <cellStyle name="40% - Accent5 3 2 6 3" xfId="10870" xr:uid="{AD53FE4C-2B66-4E7E-877F-1F743AB388FA}"/>
    <cellStyle name="40% - Accent5 3 2 7" xfId="4593" xr:uid="{00000000-0005-0000-0000-0000A6060000}"/>
    <cellStyle name="40% - Accent5 3 2 7 2" xfId="13022" xr:uid="{D1648596-4396-4C49-825A-2F9801F492BB}"/>
    <cellStyle name="40% - Accent5 3 2 8" xfId="8804" xr:uid="{308DAEDA-DA05-4753-AB49-281C5539CFFE}"/>
    <cellStyle name="40% - Accent5 3 3" xfId="656" xr:uid="{00000000-0005-0000-0000-0000A7060000}"/>
    <cellStyle name="40% - Accent5 3 3 2" xfId="2927" xr:uid="{00000000-0005-0000-0000-0000A8060000}"/>
    <cellStyle name="40% - Accent5 3 3 2 2" xfId="7151" xr:uid="{00000000-0005-0000-0000-0000A9060000}"/>
    <cellStyle name="40% - Accent5 3 3 2 2 2" xfId="15580" xr:uid="{0D5B8709-B22A-4D3E-B5C3-2D5569C5C0C1}"/>
    <cellStyle name="40% - Accent5 3 3 2 3" xfId="11362" xr:uid="{AEF5D59E-D965-4851-8492-14D2EC33E895}"/>
    <cellStyle name="40% - Accent5 3 3 3" xfId="5006" xr:uid="{00000000-0005-0000-0000-0000AA060000}"/>
    <cellStyle name="40% - Accent5 3 3 3 2" xfId="13435" xr:uid="{5A1885F5-BD36-4E8B-BC2A-3AB94C60C720}"/>
    <cellStyle name="40% - Accent5 3 3 4" xfId="9217" xr:uid="{4C716624-42D9-4CF6-82AD-76349ABC7153}"/>
    <cellStyle name="40% - Accent5 3 4" xfId="1109" xr:uid="{00000000-0005-0000-0000-0000AB060000}"/>
    <cellStyle name="40% - Accent5 3 4 2" xfId="3340" xr:uid="{00000000-0005-0000-0000-0000AC060000}"/>
    <cellStyle name="40% - Accent5 3 4 2 2" xfId="7564" xr:uid="{00000000-0005-0000-0000-0000AD060000}"/>
    <cellStyle name="40% - Accent5 3 4 2 2 2" xfId="15993" xr:uid="{E0FCC096-B8E4-40F3-A9B6-A518CBAC04F1}"/>
    <cellStyle name="40% - Accent5 3 4 2 3" xfId="11775" xr:uid="{7F14EB7A-985B-48A4-80D2-7A8CA1E55981}"/>
    <cellStyle name="40% - Accent5 3 4 3" xfId="5419" xr:uid="{00000000-0005-0000-0000-0000AE060000}"/>
    <cellStyle name="40% - Accent5 3 4 3 2" xfId="13848" xr:uid="{236471AB-FE08-4629-9CEC-E3ED972495DF}"/>
    <cellStyle name="40% - Accent5 3 4 4" xfId="9630" xr:uid="{F8034499-12CB-4B80-A6AA-108D71BAA773}"/>
    <cellStyle name="40% - Accent5 3 5" xfId="1523" xr:uid="{00000000-0005-0000-0000-0000AF060000}"/>
    <cellStyle name="40% - Accent5 3 5 2" xfId="3753" xr:uid="{00000000-0005-0000-0000-0000B0060000}"/>
    <cellStyle name="40% - Accent5 3 5 2 2" xfId="7977" xr:uid="{00000000-0005-0000-0000-0000B1060000}"/>
    <cellStyle name="40% - Accent5 3 5 2 2 2" xfId="16406" xr:uid="{42A3C9C2-32E9-465A-9D84-516EC4C2E05B}"/>
    <cellStyle name="40% - Accent5 3 5 2 3" xfId="12188" xr:uid="{D1DB80C3-6880-44E1-8173-7759CED6E221}"/>
    <cellStyle name="40% - Accent5 3 5 3" xfId="5832" xr:uid="{00000000-0005-0000-0000-0000B2060000}"/>
    <cellStyle name="40% - Accent5 3 5 3 2" xfId="14261" xr:uid="{CDE3355D-DBB8-4982-888D-1FD933F09744}"/>
    <cellStyle name="40% - Accent5 3 5 4" xfId="10043" xr:uid="{78162684-9DC6-4BE0-B98A-97EB63A246AD}"/>
    <cellStyle name="40% - Accent5 3 6" xfId="1937" xr:uid="{00000000-0005-0000-0000-0000B3060000}"/>
    <cellStyle name="40% - Accent5 3 6 2" xfId="4166" xr:uid="{00000000-0005-0000-0000-0000B4060000}"/>
    <cellStyle name="40% - Accent5 3 6 2 2" xfId="8390" xr:uid="{00000000-0005-0000-0000-0000B5060000}"/>
    <cellStyle name="40% - Accent5 3 6 2 2 2" xfId="16819" xr:uid="{B73FFDF2-2E8B-4050-AC9A-FBF47B638427}"/>
    <cellStyle name="40% - Accent5 3 6 2 3" xfId="12601" xr:uid="{8FAC8D31-32B2-4622-9441-11777C3515A8}"/>
    <cellStyle name="40% - Accent5 3 6 3" xfId="6245" xr:uid="{00000000-0005-0000-0000-0000B6060000}"/>
    <cellStyle name="40% - Accent5 3 6 3 2" xfId="14674" xr:uid="{16CD6E1D-C43D-4B0D-BBC5-D1735826AA4D}"/>
    <cellStyle name="40% - Accent5 3 6 4" xfId="10456" xr:uid="{1CCBFF8F-F905-41B5-888A-02676FA02A1C}"/>
    <cellStyle name="40% - Accent5 3 7" xfId="2350" xr:uid="{00000000-0005-0000-0000-0000B7060000}"/>
    <cellStyle name="40% - Accent5 3 7 2" xfId="6658" xr:uid="{00000000-0005-0000-0000-0000B8060000}"/>
    <cellStyle name="40% - Accent5 3 7 2 2" xfId="15087" xr:uid="{32B3B823-7354-4A00-BE05-D50FF67FB597}"/>
    <cellStyle name="40% - Accent5 3 7 3" xfId="10869" xr:uid="{926B7602-E0A7-48AD-988C-D81B0BC59F29}"/>
    <cellStyle name="40% - Accent5 3 8" xfId="4592" xr:uid="{00000000-0005-0000-0000-0000B9060000}"/>
    <cellStyle name="40% - Accent5 3 8 2" xfId="13021" xr:uid="{A7D25EFF-6BE4-4B43-A8FB-9340D132967D}"/>
    <cellStyle name="40% - Accent5 3 9" xfId="8803" xr:uid="{677D52A0-97C8-4BCE-A77D-76E2A5A3A0D5}"/>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2 2 2" xfId="15582" xr:uid="{19F713D5-6207-452D-A70B-A80CC73E5D46}"/>
    <cellStyle name="40% - Accent5 4 2 2 3" xfId="11364" xr:uid="{01AFB60B-9FA5-4DCA-ADA6-956BB7401F46}"/>
    <cellStyle name="40% - Accent5 4 2 3" xfId="5008" xr:uid="{00000000-0005-0000-0000-0000BE060000}"/>
    <cellStyle name="40% - Accent5 4 2 3 2" xfId="13437" xr:uid="{759938DB-579B-4D5C-A3FB-994745B9F716}"/>
    <cellStyle name="40% - Accent5 4 2 4" xfId="9219" xr:uid="{AF426293-1A7E-4E5B-8A4F-470CBE9E3532}"/>
    <cellStyle name="40% - Accent5 4 3" xfId="1111" xr:uid="{00000000-0005-0000-0000-0000BF060000}"/>
    <cellStyle name="40% - Accent5 4 3 2" xfId="3342" xr:uid="{00000000-0005-0000-0000-0000C0060000}"/>
    <cellStyle name="40% - Accent5 4 3 2 2" xfId="7566" xr:uid="{00000000-0005-0000-0000-0000C1060000}"/>
    <cellStyle name="40% - Accent5 4 3 2 2 2" xfId="15995" xr:uid="{92D27598-55E1-4D72-8354-34C86702BF72}"/>
    <cellStyle name="40% - Accent5 4 3 2 3" xfId="11777" xr:uid="{02A131BD-1B63-45FF-B9CA-A013A463A82C}"/>
    <cellStyle name="40% - Accent5 4 3 3" xfId="5421" xr:uid="{00000000-0005-0000-0000-0000C2060000}"/>
    <cellStyle name="40% - Accent5 4 3 3 2" xfId="13850" xr:uid="{16B9BA32-954C-4213-A556-18C4580421D1}"/>
    <cellStyle name="40% - Accent5 4 3 4" xfId="9632" xr:uid="{F303F120-1469-4AF3-87AC-D12CEAA24D50}"/>
    <cellStyle name="40% - Accent5 4 4" xfId="1525" xr:uid="{00000000-0005-0000-0000-0000C3060000}"/>
    <cellStyle name="40% - Accent5 4 4 2" xfId="3755" xr:uid="{00000000-0005-0000-0000-0000C4060000}"/>
    <cellStyle name="40% - Accent5 4 4 2 2" xfId="7979" xr:uid="{00000000-0005-0000-0000-0000C5060000}"/>
    <cellStyle name="40% - Accent5 4 4 2 2 2" xfId="16408" xr:uid="{F8C992E0-D120-492A-9575-F96E638A4E07}"/>
    <cellStyle name="40% - Accent5 4 4 2 3" xfId="12190" xr:uid="{A903D02E-F77F-4782-9CF8-E2BF8E9385E4}"/>
    <cellStyle name="40% - Accent5 4 4 3" xfId="5834" xr:uid="{00000000-0005-0000-0000-0000C6060000}"/>
    <cellStyle name="40% - Accent5 4 4 3 2" xfId="14263" xr:uid="{15FCA573-FD82-41BC-A7BF-26BCC82C9989}"/>
    <cellStyle name="40% - Accent5 4 4 4" xfId="10045" xr:uid="{C26E5CA3-F95E-4509-829D-7B75674D6B4C}"/>
    <cellStyle name="40% - Accent5 4 5" xfId="1939" xr:uid="{00000000-0005-0000-0000-0000C7060000}"/>
    <cellStyle name="40% - Accent5 4 5 2" xfId="4168" xr:uid="{00000000-0005-0000-0000-0000C8060000}"/>
    <cellStyle name="40% - Accent5 4 5 2 2" xfId="8392" xr:uid="{00000000-0005-0000-0000-0000C9060000}"/>
    <cellStyle name="40% - Accent5 4 5 2 2 2" xfId="16821" xr:uid="{7D0C95EF-A233-4451-8217-3A8A3BD3308A}"/>
    <cellStyle name="40% - Accent5 4 5 2 3" xfId="12603" xr:uid="{4D71C883-1D75-4228-A5B8-1F399BB35056}"/>
    <cellStyle name="40% - Accent5 4 5 3" xfId="6247" xr:uid="{00000000-0005-0000-0000-0000CA060000}"/>
    <cellStyle name="40% - Accent5 4 5 3 2" xfId="14676" xr:uid="{7340372E-9ED8-4982-B864-1C989F444BC5}"/>
    <cellStyle name="40% - Accent5 4 5 4" xfId="10458" xr:uid="{D2202F2C-CD58-4DE3-873E-F64F57262A85}"/>
    <cellStyle name="40% - Accent5 4 6" xfId="2352" xr:uid="{00000000-0005-0000-0000-0000CB060000}"/>
    <cellStyle name="40% - Accent5 4 6 2" xfId="6660" xr:uid="{00000000-0005-0000-0000-0000CC060000}"/>
    <cellStyle name="40% - Accent5 4 6 2 2" xfId="15089" xr:uid="{66EBAD7E-4CF5-4F3A-AFB9-A13CF7037B90}"/>
    <cellStyle name="40% - Accent5 4 6 3" xfId="10871" xr:uid="{1CC18C48-2133-4C98-A433-E68694993B48}"/>
    <cellStyle name="40% - Accent5 4 7" xfId="4594" xr:uid="{00000000-0005-0000-0000-0000CD060000}"/>
    <cellStyle name="40% - Accent5 4 7 2" xfId="13023" xr:uid="{6B18E1F1-38CB-4A1F-A68E-2AB87F00AC32}"/>
    <cellStyle name="40% - Accent5 4 8" xfId="8805" xr:uid="{06F88E46-3758-43E9-87A3-8751CB899DF5}"/>
    <cellStyle name="40% - Accent5 5" xfId="651" xr:uid="{00000000-0005-0000-0000-0000CE060000}"/>
    <cellStyle name="40% - Accent5 5 2" xfId="2922" xr:uid="{00000000-0005-0000-0000-0000CF060000}"/>
    <cellStyle name="40% - Accent5 5 2 2" xfId="7146" xr:uid="{00000000-0005-0000-0000-0000D0060000}"/>
    <cellStyle name="40% - Accent5 5 2 2 2" xfId="15575" xr:uid="{012D045A-BD68-4739-97BF-3027DBB8513C}"/>
    <cellStyle name="40% - Accent5 5 2 3" xfId="11357" xr:uid="{DE53B194-F342-4588-86AA-4816D33C5E77}"/>
    <cellStyle name="40% - Accent5 5 3" xfId="5001" xr:uid="{00000000-0005-0000-0000-0000D1060000}"/>
    <cellStyle name="40% - Accent5 5 3 2" xfId="13430" xr:uid="{72888A53-77F4-4D8B-BD77-E6614EE040D5}"/>
    <cellStyle name="40% - Accent5 5 4" xfId="9212" xr:uid="{09E0FC5B-2613-428C-8999-D1E15FE08495}"/>
    <cellStyle name="40% - Accent5 6" xfId="1104" xr:uid="{00000000-0005-0000-0000-0000D2060000}"/>
    <cellStyle name="40% - Accent5 6 2" xfId="3335" xr:uid="{00000000-0005-0000-0000-0000D3060000}"/>
    <cellStyle name="40% - Accent5 6 2 2" xfId="7559" xr:uid="{00000000-0005-0000-0000-0000D4060000}"/>
    <cellStyle name="40% - Accent5 6 2 2 2" xfId="15988" xr:uid="{D8E5A722-8913-4230-B452-6B3BF37DB488}"/>
    <cellStyle name="40% - Accent5 6 2 3" xfId="11770" xr:uid="{B2834F6B-D8D5-42A5-82AF-8D88C124D5FB}"/>
    <cellStyle name="40% - Accent5 6 3" xfId="5414" xr:uid="{00000000-0005-0000-0000-0000D5060000}"/>
    <cellStyle name="40% - Accent5 6 3 2" xfId="13843" xr:uid="{68D81E1B-7DF0-43C0-A44F-BE25B18B300B}"/>
    <cellStyle name="40% - Accent5 6 4" xfId="9625" xr:uid="{ED8597E9-0528-455D-B9FD-94A319C2229F}"/>
    <cellStyle name="40% - Accent5 7" xfId="1518" xr:uid="{00000000-0005-0000-0000-0000D6060000}"/>
    <cellStyle name="40% - Accent5 7 2" xfId="3748" xr:uid="{00000000-0005-0000-0000-0000D7060000}"/>
    <cellStyle name="40% - Accent5 7 2 2" xfId="7972" xr:uid="{00000000-0005-0000-0000-0000D8060000}"/>
    <cellStyle name="40% - Accent5 7 2 2 2" xfId="16401" xr:uid="{AE746139-796C-4266-A6F6-3060FCF95216}"/>
    <cellStyle name="40% - Accent5 7 2 3" xfId="12183" xr:uid="{FC592982-5F29-41A9-AE65-515C0274C0E0}"/>
    <cellStyle name="40% - Accent5 7 3" xfId="5827" xr:uid="{00000000-0005-0000-0000-0000D9060000}"/>
    <cellStyle name="40% - Accent5 7 3 2" xfId="14256" xr:uid="{BB16625A-0230-4556-B6AF-E4D97DCB5BEF}"/>
    <cellStyle name="40% - Accent5 7 4" xfId="10038" xr:uid="{C4D96841-F151-4254-93A3-18BB6307BA29}"/>
    <cellStyle name="40% - Accent5 8" xfId="1932" xr:uid="{00000000-0005-0000-0000-0000DA060000}"/>
    <cellStyle name="40% - Accent5 8 2" xfId="4161" xr:uid="{00000000-0005-0000-0000-0000DB060000}"/>
    <cellStyle name="40% - Accent5 8 2 2" xfId="8385" xr:uid="{00000000-0005-0000-0000-0000DC060000}"/>
    <cellStyle name="40% - Accent5 8 2 2 2" xfId="16814" xr:uid="{FFE5B167-42ED-40AF-93FD-CE033F4293AB}"/>
    <cellStyle name="40% - Accent5 8 2 3" xfId="12596" xr:uid="{6B1B52F1-7566-432A-83E8-8835218F3D97}"/>
    <cellStyle name="40% - Accent5 8 3" xfId="6240" xr:uid="{00000000-0005-0000-0000-0000DD060000}"/>
    <cellStyle name="40% - Accent5 8 3 2" xfId="14669" xr:uid="{40E1D782-25E2-498F-831F-7A80A7B48094}"/>
    <cellStyle name="40% - Accent5 8 4" xfId="10451" xr:uid="{F1416E6D-E0BD-4EC1-ADD4-B1A3575CE9BC}"/>
    <cellStyle name="40% - Accent5 9" xfId="2345" xr:uid="{00000000-0005-0000-0000-0000DE060000}"/>
    <cellStyle name="40% - Accent5 9 2" xfId="6653" xr:uid="{00000000-0005-0000-0000-0000DF060000}"/>
    <cellStyle name="40% - Accent5 9 2 2" xfId="15082" xr:uid="{B3CE6A67-8C44-4A61-A63E-F80F4D4CD179}"/>
    <cellStyle name="40% - Accent5 9 3" xfId="10864" xr:uid="{08563899-F7A1-4CA3-B7EE-71215C3AEB91}"/>
    <cellStyle name="40% - Accent6" xfId="89" builtinId="51" customBuiltin="1"/>
    <cellStyle name="40% - Accent6 10" xfId="4595" xr:uid="{00000000-0005-0000-0000-0000E1060000}"/>
    <cellStyle name="40% - Accent6 10 2" xfId="13024" xr:uid="{01AE9915-8A60-4C11-ADEC-019B73BBEF44}"/>
    <cellStyle name="40% - Accent6 11" xfId="8806" xr:uid="{F3D4D516-EE06-41E2-BDA4-77D300E7D105}"/>
    <cellStyle name="40% - Accent6 2" xfId="90" xr:uid="{00000000-0005-0000-0000-0000E2060000}"/>
    <cellStyle name="40% - Accent6 2 10" xfId="8807" xr:uid="{EB94CAB5-814D-4CBF-A968-12FAFA26511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2 2 2" xfId="15586" xr:uid="{9B413730-931A-4B49-A776-56E203794FAE}"/>
    <cellStyle name="40% - Accent6 2 2 2 2 2 3" xfId="11368" xr:uid="{71CAF9E6-178D-4F00-A278-0791C7708985}"/>
    <cellStyle name="40% - Accent6 2 2 2 2 3" xfId="5012" xr:uid="{00000000-0005-0000-0000-0000E8060000}"/>
    <cellStyle name="40% - Accent6 2 2 2 2 3 2" xfId="13441" xr:uid="{B63F6DCB-FA30-41E2-85BA-3D96EFC87663}"/>
    <cellStyle name="40% - Accent6 2 2 2 2 4" xfId="9223" xr:uid="{6E10F16E-5281-4467-84B9-2E00EED6C96A}"/>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2 2 2" xfId="15999" xr:uid="{259A2466-6EF3-47CE-BE95-D3A6042DAF88}"/>
    <cellStyle name="40% - Accent6 2 2 2 3 2 3" xfId="11781" xr:uid="{092CC73E-08E7-4D01-A977-0407C4A76502}"/>
    <cellStyle name="40% - Accent6 2 2 2 3 3" xfId="5425" xr:uid="{00000000-0005-0000-0000-0000EC060000}"/>
    <cellStyle name="40% - Accent6 2 2 2 3 3 2" xfId="13854" xr:uid="{F973F2DA-8FB0-4EDF-9C52-C5A63CE4A027}"/>
    <cellStyle name="40% - Accent6 2 2 2 3 4" xfId="9636" xr:uid="{F87564D1-38CC-4F53-A930-02B47B056832}"/>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2 2 2" xfId="16412" xr:uid="{762849D8-E208-4C00-BB5F-1231642666F2}"/>
    <cellStyle name="40% - Accent6 2 2 2 4 2 3" xfId="12194" xr:uid="{92072C99-E59E-4B73-9F0A-A8D27C97C3C6}"/>
    <cellStyle name="40% - Accent6 2 2 2 4 3" xfId="5838" xr:uid="{00000000-0005-0000-0000-0000F0060000}"/>
    <cellStyle name="40% - Accent6 2 2 2 4 3 2" xfId="14267" xr:uid="{E02E9DA6-106C-4174-84AF-8DF45C7A143E}"/>
    <cellStyle name="40% - Accent6 2 2 2 4 4" xfId="10049" xr:uid="{1C55E621-6FC4-41D0-B724-B9EA322033BE}"/>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2 2 2" xfId="16825" xr:uid="{05246AA7-C88F-42BD-BF8A-62B90215D732}"/>
    <cellStyle name="40% - Accent6 2 2 2 5 2 3" xfId="12607" xr:uid="{4CCC3B78-D1F7-4363-90D8-D2A9619FF191}"/>
    <cellStyle name="40% - Accent6 2 2 2 5 3" xfId="6251" xr:uid="{00000000-0005-0000-0000-0000F4060000}"/>
    <cellStyle name="40% - Accent6 2 2 2 5 3 2" xfId="14680" xr:uid="{C8D69D06-A0B6-4A1A-8AE3-93088CF04FD2}"/>
    <cellStyle name="40% - Accent6 2 2 2 5 4" xfId="10462" xr:uid="{F929693D-A929-49B0-AC5B-C5A3679E9CC3}"/>
    <cellStyle name="40% - Accent6 2 2 2 6" xfId="2356" xr:uid="{00000000-0005-0000-0000-0000F5060000}"/>
    <cellStyle name="40% - Accent6 2 2 2 6 2" xfId="6664" xr:uid="{00000000-0005-0000-0000-0000F6060000}"/>
    <cellStyle name="40% - Accent6 2 2 2 6 2 2" xfId="15093" xr:uid="{4864B2D2-D477-40D5-8696-4DB9B394A587}"/>
    <cellStyle name="40% - Accent6 2 2 2 6 3" xfId="10875" xr:uid="{2795420D-5BDE-4D32-AEF1-B6185298A97B}"/>
    <cellStyle name="40% - Accent6 2 2 2 7" xfId="4598" xr:uid="{00000000-0005-0000-0000-0000F7060000}"/>
    <cellStyle name="40% - Accent6 2 2 2 7 2" xfId="13027" xr:uid="{97168A28-A95B-44AC-ABC5-1947176BA7B1}"/>
    <cellStyle name="40% - Accent6 2 2 2 8" xfId="8809" xr:uid="{8470E88F-518E-419D-9FAF-3D1BDA175ECA}"/>
    <cellStyle name="40% - Accent6 2 2 3" xfId="661" xr:uid="{00000000-0005-0000-0000-0000F8060000}"/>
    <cellStyle name="40% - Accent6 2 2 3 2" xfId="2932" xr:uid="{00000000-0005-0000-0000-0000F9060000}"/>
    <cellStyle name="40% - Accent6 2 2 3 2 2" xfId="7156" xr:uid="{00000000-0005-0000-0000-0000FA060000}"/>
    <cellStyle name="40% - Accent6 2 2 3 2 2 2" xfId="15585" xr:uid="{9D2A4FE7-A27A-404F-A711-45A25D1B7A1D}"/>
    <cellStyle name="40% - Accent6 2 2 3 2 3" xfId="11367" xr:uid="{96919657-E862-40AF-8C0E-24F6D11046B9}"/>
    <cellStyle name="40% - Accent6 2 2 3 3" xfId="5011" xr:uid="{00000000-0005-0000-0000-0000FB060000}"/>
    <cellStyle name="40% - Accent6 2 2 3 3 2" xfId="13440" xr:uid="{EED73B5A-4825-4A31-920C-F559FF0FF32D}"/>
    <cellStyle name="40% - Accent6 2 2 3 4" xfId="9222" xr:uid="{6C914C81-726D-4F31-A30E-6D5706A5C4B1}"/>
    <cellStyle name="40% - Accent6 2 2 4" xfId="1114" xr:uid="{00000000-0005-0000-0000-0000FC060000}"/>
    <cellStyle name="40% - Accent6 2 2 4 2" xfId="3345" xr:uid="{00000000-0005-0000-0000-0000FD060000}"/>
    <cellStyle name="40% - Accent6 2 2 4 2 2" xfId="7569" xr:uid="{00000000-0005-0000-0000-0000FE060000}"/>
    <cellStyle name="40% - Accent6 2 2 4 2 2 2" xfId="15998" xr:uid="{C5B636B4-6A90-4FF6-999A-99A155175B9C}"/>
    <cellStyle name="40% - Accent6 2 2 4 2 3" xfId="11780" xr:uid="{B8BE49CD-6AC0-45C9-98A7-E4BAD81C4A00}"/>
    <cellStyle name="40% - Accent6 2 2 4 3" xfId="5424" xr:uid="{00000000-0005-0000-0000-0000FF060000}"/>
    <cellStyle name="40% - Accent6 2 2 4 3 2" xfId="13853" xr:uid="{81433F01-0E4D-43C0-94A6-26C1C9F7C0E8}"/>
    <cellStyle name="40% - Accent6 2 2 4 4" xfId="9635" xr:uid="{C418A235-B27F-4B7D-AEEE-764D3DFA6269}"/>
    <cellStyle name="40% - Accent6 2 2 5" xfId="1528" xr:uid="{00000000-0005-0000-0000-000000070000}"/>
    <cellStyle name="40% - Accent6 2 2 5 2" xfId="3758" xr:uid="{00000000-0005-0000-0000-000001070000}"/>
    <cellStyle name="40% - Accent6 2 2 5 2 2" xfId="7982" xr:uid="{00000000-0005-0000-0000-000002070000}"/>
    <cellStyle name="40% - Accent6 2 2 5 2 2 2" xfId="16411" xr:uid="{904F6ED2-B1EE-4D94-9EAA-EBB4B26EAFD8}"/>
    <cellStyle name="40% - Accent6 2 2 5 2 3" xfId="12193" xr:uid="{C2E190C7-983E-4911-B09A-22154F2C4F8C}"/>
    <cellStyle name="40% - Accent6 2 2 5 3" xfId="5837" xr:uid="{00000000-0005-0000-0000-000003070000}"/>
    <cellStyle name="40% - Accent6 2 2 5 3 2" xfId="14266" xr:uid="{A7B7C547-06C1-4C6D-BC70-8A78B3F3F271}"/>
    <cellStyle name="40% - Accent6 2 2 5 4" xfId="10048" xr:uid="{EE68515C-92C8-40BA-93A1-248D04B58D79}"/>
    <cellStyle name="40% - Accent6 2 2 6" xfId="1942" xr:uid="{00000000-0005-0000-0000-000004070000}"/>
    <cellStyle name="40% - Accent6 2 2 6 2" xfId="4171" xr:uid="{00000000-0005-0000-0000-000005070000}"/>
    <cellStyle name="40% - Accent6 2 2 6 2 2" xfId="8395" xr:uid="{00000000-0005-0000-0000-000006070000}"/>
    <cellStyle name="40% - Accent6 2 2 6 2 2 2" xfId="16824" xr:uid="{AAE06BB1-20E6-463D-A193-EFBDA36F19E9}"/>
    <cellStyle name="40% - Accent6 2 2 6 2 3" xfId="12606" xr:uid="{284363CA-2898-470C-BBBB-1A40CD6EFA1D}"/>
    <cellStyle name="40% - Accent6 2 2 6 3" xfId="6250" xr:uid="{00000000-0005-0000-0000-000007070000}"/>
    <cellStyle name="40% - Accent6 2 2 6 3 2" xfId="14679" xr:uid="{6F64F1B4-870A-44AF-804A-C0B009D8ED6B}"/>
    <cellStyle name="40% - Accent6 2 2 6 4" xfId="10461" xr:uid="{F6F3F92D-E6BB-4ED4-818B-67F5E7179E55}"/>
    <cellStyle name="40% - Accent6 2 2 7" xfId="2355" xr:uid="{00000000-0005-0000-0000-000008070000}"/>
    <cellStyle name="40% - Accent6 2 2 7 2" xfId="6663" xr:uid="{00000000-0005-0000-0000-000009070000}"/>
    <cellStyle name="40% - Accent6 2 2 7 2 2" xfId="15092" xr:uid="{B2C05BF5-A1A3-4385-89DC-4E42343B09C5}"/>
    <cellStyle name="40% - Accent6 2 2 7 3" xfId="10874" xr:uid="{7B6AEAAA-C985-43EB-B23D-96F6A20865E7}"/>
    <cellStyle name="40% - Accent6 2 2 8" xfId="4597" xr:uid="{00000000-0005-0000-0000-00000A070000}"/>
    <cellStyle name="40% - Accent6 2 2 8 2" xfId="13026" xr:uid="{1F2D5D95-466D-42BF-B4D5-E466B72EE28F}"/>
    <cellStyle name="40% - Accent6 2 2 9" xfId="8808" xr:uid="{2F672926-75C2-43E0-B5BB-59CCD8D72986}"/>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2 2 2" xfId="15587" xr:uid="{D7A16D2B-D90F-4E06-A569-92A0E6B4BC40}"/>
    <cellStyle name="40% - Accent6 2 3 2 2 3" xfId="11369" xr:uid="{41F3FDBA-A3F0-4665-B26D-872A635CD21B}"/>
    <cellStyle name="40% - Accent6 2 3 2 3" xfId="5013" xr:uid="{00000000-0005-0000-0000-00000F070000}"/>
    <cellStyle name="40% - Accent6 2 3 2 3 2" xfId="13442" xr:uid="{E6426498-20F2-4608-86C7-720AA6A59900}"/>
    <cellStyle name="40% - Accent6 2 3 2 4" xfId="9224" xr:uid="{0A75C57C-EED6-4092-BBB2-60ADEFE9C9F9}"/>
    <cellStyle name="40% - Accent6 2 3 3" xfId="1116" xr:uid="{00000000-0005-0000-0000-000010070000}"/>
    <cellStyle name="40% - Accent6 2 3 3 2" xfId="3347" xr:uid="{00000000-0005-0000-0000-000011070000}"/>
    <cellStyle name="40% - Accent6 2 3 3 2 2" xfId="7571" xr:uid="{00000000-0005-0000-0000-000012070000}"/>
    <cellStyle name="40% - Accent6 2 3 3 2 2 2" xfId="16000" xr:uid="{DA4AA4F7-DA37-43AA-B15E-4399D4CCC9D8}"/>
    <cellStyle name="40% - Accent6 2 3 3 2 3" xfId="11782" xr:uid="{7986F505-BF33-46FA-8CEB-1D2F28648102}"/>
    <cellStyle name="40% - Accent6 2 3 3 3" xfId="5426" xr:uid="{00000000-0005-0000-0000-000013070000}"/>
    <cellStyle name="40% - Accent6 2 3 3 3 2" xfId="13855" xr:uid="{3EDBC26F-AAA7-4821-9AAF-DBACDBEA4BEC}"/>
    <cellStyle name="40% - Accent6 2 3 3 4" xfId="9637" xr:uid="{59450ECD-1901-4A5F-BEFC-20716DBD60A2}"/>
    <cellStyle name="40% - Accent6 2 3 4" xfId="1530" xr:uid="{00000000-0005-0000-0000-000014070000}"/>
    <cellStyle name="40% - Accent6 2 3 4 2" xfId="3760" xr:uid="{00000000-0005-0000-0000-000015070000}"/>
    <cellStyle name="40% - Accent6 2 3 4 2 2" xfId="7984" xr:uid="{00000000-0005-0000-0000-000016070000}"/>
    <cellStyle name="40% - Accent6 2 3 4 2 2 2" xfId="16413" xr:uid="{D84AC076-9AA0-477D-B3ED-368C6AEB8C65}"/>
    <cellStyle name="40% - Accent6 2 3 4 2 3" xfId="12195" xr:uid="{C8F01C96-D8CC-4A5F-AA42-4583E5B09B73}"/>
    <cellStyle name="40% - Accent6 2 3 4 3" xfId="5839" xr:uid="{00000000-0005-0000-0000-000017070000}"/>
    <cellStyle name="40% - Accent6 2 3 4 3 2" xfId="14268" xr:uid="{BF8F751D-909B-480B-8844-5D951F87F570}"/>
    <cellStyle name="40% - Accent6 2 3 4 4" xfId="10050" xr:uid="{A933BC38-C234-4083-A66E-A4F1B0CB8BB6}"/>
    <cellStyle name="40% - Accent6 2 3 5" xfId="1944" xr:uid="{00000000-0005-0000-0000-000018070000}"/>
    <cellStyle name="40% - Accent6 2 3 5 2" xfId="4173" xr:uid="{00000000-0005-0000-0000-000019070000}"/>
    <cellStyle name="40% - Accent6 2 3 5 2 2" xfId="8397" xr:uid="{00000000-0005-0000-0000-00001A070000}"/>
    <cellStyle name="40% - Accent6 2 3 5 2 2 2" xfId="16826" xr:uid="{180D923F-F65E-4CA0-A849-F1CE9F22D783}"/>
    <cellStyle name="40% - Accent6 2 3 5 2 3" xfId="12608" xr:uid="{5FE4DF21-630D-43DE-B465-14656194590C}"/>
    <cellStyle name="40% - Accent6 2 3 5 3" xfId="6252" xr:uid="{00000000-0005-0000-0000-00001B070000}"/>
    <cellStyle name="40% - Accent6 2 3 5 3 2" xfId="14681" xr:uid="{894F08FA-6D74-4B4B-A7C7-90DF90EF1979}"/>
    <cellStyle name="40% - Accent6 2 3 5 4" xfId="10463" xr:uid="{59DD7489-841C-488B-AD99-2B35114C3267}"/>
    <cellStyle name="40% - Accent6 2 3 6" xfId="2357" xr:uid="{00000000-0005-0000-0000-00001C070000}"/>
    <cellStyle name="40% - Accent6 2 3 6 2" xfId="6665" xr:uid="{00000000-0005-0000-0000-00001D070000}"/>
    <cellStyle name="40% - Accent6 2 3 6 2 2" xfId="15094" xr:uid="{ED37635E-6377-4FF4-A5D1-AEFE3B5F6B2B}"/>
    <cellStyle name="40% - Accent6 2 3 6 3" xfId="10876" xr:uid="{32AB6968-03F3-4AC6-8A08-D209AF70D1B7}"/>
    <cellStyle name="40% - Accent6 2 3 7" xfId="4599" xr:uid="{00000000-0005-0000-0000-00001E070000}"/>
    <cellStyle name="40% - Accent6 2 3 7 2" xfId="13028" xr:uid="{24F4FD9F-6EA5-49A8-AFA3-0B465524001B}"/>
    <cellStyle name="40% - Accent6 2 3 8" xfId="8810" xr:uid="{93F3A5E9-E034-4B2B-B102-3BAB52F3F216}"/>
    <cellStyle name="40% - Accent6 2 4" xfId="660" xr:uid="{00000000-0005-0000-0000-00001F070000}"/>
    <cellStyle name="40% - Accent6 2 4 2" xfId="2931" xr:uid="{00000000-0005-0000-0000-000020070000}"/>
    <cellStyle name="40% - Accent6 2 4 2 2" xfId="7155" xr:uid="{00000000-0005-0000-0000-000021070000}"/>
    <cellStyle name="40% - Accent6 2 4 2 2 2" xfId="15584" xr:uid="{E3D4FAD5-3C59-4522-8BAE-7466F0DEA6F7}"/>
    <cellStyle name="40% - Accent6 2 4 2 3" xfId="11366" xr:uid="{F39017D4-10FD-48C2-80B6-468654CB6BBF}"/>
    <cellStyle name="40% - Accent6 2 4 3" xfId="5010" xr:uid="{00000000-0005-0000-0000-000022070000}"/>
    <cellStyle name="40% - Accent6 2 4 3 2" xfId="13439" xr:uid="{D65CE581-EF86-4C18-B6CB-A7968C66615C}"/>
    <cellStyle name="40% - Accent6 2 4 4" xfId="9221" xr:uid="{0C87A1DD-2AD3-49A9-87CC-1D947E12803C}"/>
    <cellStyle name="40% - Accent6 2 5" xfId="1113" xr:uid="{00000000-0005-0000-0000-000023070000}"/>
    <cellStyle name="40% - Accent6 2 5 2" xfId="3344" xr:uid="{00000000-0005-0000-0000-000024070000}"/>
    <cellStyle name="40% - Accent6 2 5 2 2" xfId="7568" xr:uid="{00000000-0005-0000-0000-000025070000}"/>
    <cellStyle name="40% - Accent6 2 5 2 2 2" xfId="15997" xr:uid="{BB86DECC-B84B-4F14-87BF-F2DB3F07115A}"/>
    <cellStyle name="40% - Accent6 2 5 2 3" xfId="11779" xr:uid="{E5B42A13-5C23-42F3-9FFB-3A12F3F18EC4}"/>
    <cellStyle name="40% - Accent6 2 5 3" xfId="5423" xr:uid="{00000000-0005-0000-0000-000026070000}"/>
    <cellStyle name="40% - Accent6 2 5 3 2" xfId="13852" xr:uid="{2909C10B-2E22-482D-86DC-6B461371CBD0}"/>
    <cellStyle name="40% - Accent6 2 5 4" xfId="9634" xr:uid="{FAE7DD75-84D8-4DBD-9CAF-ABD90779292C}"/>
    <cellStyle name="40% - Accent6 2 6" xfId="1527" xr:uid="{00000000-0005-0000-0000-000027070000}"/>
    <cellStyle name="40% - Accent6 2 6 2" xfId="3757" xr:uid="{00000000-0005-0000-0000-000028070000}"/>
    <cellStyle name="40% - Accent6 2 6 2 2" xfId="7981" xr:uid="{00000000-0005-0000-0000-000029070000}"/>
    <cellStyle name="40% - Accent6 2 6 2 2 2" xfId="16410" xr:uid="{ACB3693F-F8B2-4116-95A2-B5DCA6FC5A7A}"/>
    <cellStyle name="40% - Accent6 2 6 2 3" xfId="12192" xr:uid="{2962FB3E-229A-42B2-90EA-2FADAE86A322}"/>
    <cellStyle name="40% - Accent6 2 6 3" xfId="5836" xr:uid="{00000000-0005-0000-0000-00002A070000}"/>
    <cellStyle name="40% - Accent6 2 6 3 2" xfId="14265" xr:uid="{C3200389-FAD3-4118-9514-4C9159D2ED24}"/>
    <cellStyle name="40% - Accent6 2 6 4" xfId="10047" xr:uid="{6FB247C0-23F2-4503-9BB5-916C3CC13146}"/>
    <cellStyle name="40% - Accent6 2 7" xfId="1941" xr:uid="{00000000-0005-0000-0000-00002B070000}"/>
    <cellStyle name="40% - Accent6 2 7 2" xfId="4170" xr:uid="{00000000-0005-0000-0000-00002C070000}"/>
    <cellStyle name="40% - Accent6 2 7 2 2" xfId="8394" xr:uid="{00000000-0005-0000-0000-00002D070000}"/>
    <cellStyle name="40% - Accent6 2 7 2 2 2" xfId="16823" xr:uid="{1056949C-1F1C-44BF-B316-67118561722D}"/>
    <cellStyle name="40% - Accent6 2 7 2 3" xfId="12605" xr:uid="{015964D2-7459-4CBF-874C-37BD5BB87533}"/>
    <cellStyle name="40% - Accent6 2 7 3" xfId="6249" xr:uid="{00000000-0005-0000-0000-00002E070000}"/>
    <cellStyle name="40% - Accent6 2 7 3 2" xfId="14678" xr:uid="{7B4B1FDE-EAE0-465E-A032-6F1C2107CBDE}"/>
    <cellStyle name="40% - Accent6 2 7 4" xfId="10460" xr:uid="{F64FECEC-889B-4D39-9FD2-A5A6244F1B87}"/>
    <cellStyle name="40% - Accent6 2 8" xfId="2354" xr:uid="{00000000-0005-0000-0000-00002F070000}"/>
    <cellStyle name="40% - Accent6 2 8 2" xfId="6662" xr:uid="{00000000-0005-0000-0000-000030070000}"/>
    <cellStyle name="40% - Accent6 2 8 2 2" xfId="15091" xr:uid="{46905C9D-5F2A-48E6-B646-470E8681345A}"/>
    <cellStyle name="40% - Accent6 2 8 3" xfId="10873" xr:uid="{862B15C4-0F36-4BEC-855E-AE8F78C5DBC3}"/>
    <cellStyle name="40% - Accent6 2 9" xfId="4596" xr:uid="{00000000-0005-0000-0000-000031070000}"/>
    <cellStyle name="40% - Accent6 2 9 2" xfId="13025" xr:uid="{496CF768-FF0D-4568-A873-BC1A3271C45C}"/>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2 2 2" xfId="15589" xr:uid="{6DEBED04-E5F8-4193-9281-281C7B94B1A4}"/>
    <cellStyle name="40% - Accent6 3 2 2 2 3" xfId="11371" xr:uid="{B487030B-60C9-4AC8-B1C3-4E904EC78207}"/>
    <cellStyle name="40% - Accent6 3 2 2 3" xfId="5015" xr:uid="{00000000-0005-0000-0000-000037070000}"/>
    <cellStyle name="40% - Accent6 3 2 2 3 2" xfId="13444" xr:uid="{8CD850A3-A6CB-4EDA-8127-6DD67C41E742}"/>
    <cellStyle name="40% - Accent6 3 2 2 4" xfId="9226" xr:uid="{5672DC5C-952E-4307-8351-2ED3A2CD6EDE}"/>
    <cellStyle name="40% - Accent6 3 2 3" xfId="1118" xr:uid="{00000000-0005-0000-0000-000038070000}"/>
    <cellStyle name="40% - Accent6 3 2 3 2" xfId="3349" xr:uid="{00000000-0005-0000-0000-000039070000}"/>
    <cellStyle name="40% - Accent6 3 2 3 2 2" xfId="7573" xr:uid="{00000000-0005-0000-0000-00003A070000}"/>
    <cellStyle name="40% - Accent6 3 2 3 2 2 2" xfId="16002" xr:uid="{D5402ED3-9633-4273-B9F0-DAFF02627D8A}"/>
    <cellStyle name="40% - Accent6 3 2 3 2 3" xfId="11784" xr:uid="{30B35667-C604-4BFB-90E8-00C1A5522870}"/>
    <cellStyle name="40% - Accent6 3 2 3 3" xfId="5428" xr:uid="{00000000-0005-0000-0000-00003B070000}"/>
    <cellStyle name="40% - Accent6 3 2 3 3 2" xfId="13857" xr:uid="{55E83B1D-29FB-4AB2-82EB-671015832C4D}"/>
    <cellStyle name="40% - Accent6 3 2 3 4" xfId="9639" xr:uid="{06FC7E1F-E600-4121-8ABE-2688DF0BDDB8}"/>
    <cellStyle name="40% - Accent6 3 2 4" xfId="1532" xr:uid="{00000000-0005-0000-0000-00003C070000}"/>
    <cellStyle name="40% - Accent6 3 2 4 2" xfId="3762" xr:uid="{00000000-0005-0000-0000-00003D070000}"/>
    <cellStyle name="40% - Accent6 3 2 4 2 2" xfId="7986" xr:uid="{00000000-0005-0000-0000-00003E070000}"/>
    <cellStyle name="40% - Accent6 3 2 4 2 2 2" xfId="16415" xr:uid="{92A4E1E8-7BC2-4DF6-9378-8E691CBD70B4}"/>
    <cellStyle name="40% - Accent6 3 2 4 2 3" xfId="12197" xr:uid="{6F353AB3-3C38-49B7-A451-4578667A639C}"/>
    <cellStyle name="40% - Accent6 3 2 4 3" xfId="5841" xr:uid="{00000000-0005-0000-0000-00003F070000}"/>
    <cellStyle name="40% - Accent6 3 2 4 3 2" xfId="14270" xr:uid="{9D7FF927-7005-4A8C-91C9-60347FF94852}"/>
    <cellStyle name="40% - Accent6 3 2 4 4" xfId="10052" xr:uid="{6D14A92D-834C-4A2F-B46B-E140A19047BF}"/>
    <cellStyle name="40% - Accent6 3 2 5" xfId="1946" xr:uid="{00000000-0005-0000-0000-000040070000}"/>
    <cellStyle name="40% - Accent6 3 2 5 2" xfId="4175" xr:uid="{00000000-0005-0000-0000-000041070000}"/>
    <cellStyle name="40% - Accent6 3 2 5 2 2" xfId="8399" xr:uid="{00000000-0005-0000-0000-000042070000}"/>
    <cellStyle name="40% - Accent6 3 2 5 2 2 2" xfId="16828" xr:uid="{910295AF-F56C-44B4-A0A4-0A6B6B6CBB3A}"/>
    <cellStyle name="40% - Accent6 3 2 5 2 3" xfId="12610" xr:uid="{A960F0FC-555E-499A-84AA-2902014F7B29}"/>
    <cellStyle name="40% - Accent6 3 2 5 3" xfId="6254" xr:uid="{00000000-0005-0000-0000-000043070000}"/>
    <cellStyle name="40% - Accent6 3 2 5 3 2" xfId="14683" xr:uid="{47DCCA55-B062-4C30-AAD5-5DE13D9D14BE}"/>
    <cellStyle name="40% - Accent6 3 2 5 4" xfId="10465" xr:uid="{E156AE6A-66AC-43F8-9933-568D0405E6FF}"/>
    <cellStyle name="40% - Accent6 3 2 6" xfId="2359" xr:uid="{00000000-0005-0000-0000-000044070000}"/>
    <cellStyle name="40% - Accent6 3 2 6 2" xfId="6667" xr:uid="{00000000-0005-0000-0000-000045070000}"/>
    <cellStyle name="40% - Accent6 3 2 6 2 2" xfId="15096" xr:uid="{19BC9FD7-B763-49EA-AE90-12F42CCEDCB4}"/>
    <cellStyle name="40% - Accent6 3 2 6 3" xfId="10878" xr:uid="{EDE0CFE0-D540-4690-904A-F2BFC9F43E51}"/>
    <cellStyle name="40% - Accent6 3 2 7" xfId="4601" xr:uid="{00000000-0005-0000-0000-000046070000}"/>
    <cellStyle name="40% - Accent6 3 2 7 2" xfId="13030" xr:uid="{F544A185-776E-48E8-97D9-032A2CAFF71C}"/>
    <cellStyle name="40% - Accent6 3 2 8" xfId="8812" xr:uid="{9D1C1805-6380-4E35-A754-A86F8516FCB7}"/>
    <cellStyle name="40% - Accent6 3 3" xfId="664" xr:uid="{00000000-0005-0000-0000-000047070000}"/>
    <cellStyle name="40% - Accent6 3 3 2" xfId="2935" xr:uid="{00000000-0005-0000-0000-000048070000}"/>
    <cellStyle name="40% - Accent6 3 3 2 2" xfId="7159" xr:uid="{00000000-0005-0000-0000-000049070000}"/>
    <cellStyle name="40% - Accent6 3 3 2 2 2" xfId="15588" xr:uid="{C9E88AAF-EC10-448E-82AF-61D2AEF0DD59}"/>
    <cellStyle name="40% - Accent6 3 3 2 3" xfId="11370" xr:uid="{EDCBAD0F-4E57-4015-9F57-23DDFDC8A124}"/>
    <cellStyle name="40% - Accent6 3 3 3" xfId="5014" xr:uid="{00000000-0005-0000-0000-00004A070000}"/>
    <cellStyle name="40% - Accent6 3 3 3 2" xfId="13443" xr:uid="{9AEF231E-84BC-40DF-8B4C-ED13A9927492}"/>
    <cellStyle name="40% - Accent6 3 3 4" xfId="9225" xr:uid="{1AA06CDA-5AE6-425B-9657-B107C7886B2B}"/>
    <cellStyle name="40% - Accent6 3 4" xfId="1117" xr:uid="{00000000-0005-0000-0000-00004B070000}"/>
    <cellStyle name="40% - Accent6 3 4 2" xfId="3348" xr:uid="{00000000-0005-0000-0000-00004C070000}"/>
    <cellStyle name="40% - Accent6 3 4 2 2" xfId="7572" xr:uid="{00000000-0005-0000-0000-00004D070000}"/>
    <cellStyle name="40% - Accent6 3 4 2 2 2" xfId="16001" xr:uid="{98E3945F-E591-43CF-B9A1-685C1A369486}"/>
    <cellStyle name="40% - Accent6 3 4 2 3" xfId="11783" xr:uid="{B62F8C37-6062-4A57-A129-BEEC7042E69B}"/>
    <cellStyle name="40% - Accent6 3 4 3" xfId="5427" xr:uid="{00000000-0005-0000-0000-00004E070000}"/>
    <cellStyle name="40% - Accent6 3 4 3 2" xfId="13856" xr:uid="{BDA9D7DA-7A30-471F-8AC4-41365B552421}"/>
    <cellStyle name="40% - Accent6 3 4 4" xfId="9638" xr:uid="{904C3148-3763-422F-BE7E-25332BC91973}"/>
    <cellStyle name="40% - Accent6 3 5" xfId="1531" xr:uid="{00000000-0005-0000-0000-00004F070000}"/>
    <cellStyle name="40% - Accent6 3 5 2" xfId="3761" xr:uid="{00000000-0005-0000-0000-000050070000}"/>
    <cellStyle name="40% - Accent6 3 5 2 2" xfId="7985" xr:uid="{00000000-0005-0000-0000-000051070000}"/>
    <cellStyle name="40% - Accent6 3 5 2 2 2" xfId="16414" xr:uid="{16CDC953-5DBE-47F2-BF52-09A3ED647061}"/>
    <cellStyle name="40% - Accent6 3 5 2 3" xfId="12196" xr:uid="{25C72EF4-5724-44F6-B835-01C1EE5F5174}"/>
    <cellStyle name="40% - Accent6 3 5 3" xfId="5840" xr:uid="{00000000-0005-0000-0000-000052070000}"/>
    <cellStyle name="40% - Accent6 3 5 3 2" xfId="14269" xr:uid="{CED9B4CD-108D-46B7-BF30-949CB5BD94FF}"/>
    <cellStyle name="40% - Accent6 3 5 4" xfId="10051" xr:uid="{B677AEB5-D8F9-4109-8664-AD37F76AA4F1}"/>
    <cellStyle name="40% - Accent6 3 6" xfId="1945" xr:uid="{00000000-0005-0000-0000-000053070000}"/>
    <cellStyle name="40% - Accent6 3 6 2" xfId="4174" xr:uid="{00000000-0005-0000-0000-000054070000}"/>
    <cellStyle name="40% - Accent6 3 6 2 2" xfId="8398" xr:uid="{00000000-0005-0000-0000-000055070000}"/>
    <cellStyle name="40% - Accent6 3 6 2 2 2" xfId="16827" xr:uid="{1BE1090E-0D29-4C59-BD4D-D490ECB100FD}"/>
    <cellStyle name="40% - Accent6 3 6 2 3" xfId="12609" xr:uid="{DC24048C-A9A6-4BA6-A119-A7A4BAA81C5B}"/>
    <cellStyle name="40% - Accent6 3 6 3" xfId="6253" xr:uid="{00000000-0005-0000-0000-000056070000}"/>
    <cellStyle name="40% - Accent6 3 6 3 2" xfId="14682" xr:uid="{5CEFB8DE-1BB1-4BD3-9597-1F09A2349F24}"/>
    <cellStyle name="40% - Accent6 3 6 4" xfId="10464" xr:uid="{31EA2E76-9E8F-434B-A4F3-F4A4DAB22406}"/>
    <cellStyle name="40% - Accent6 3 7" xfId="2358" xr:uid="{00000000-0005-0000-0000-000057070000}"/>
    <cellStyle name="40% - Accent6 3 7 2" xfId="6666" xr:uid="{00000000-0005-0000-0000-000058070000}"/>
    <cellStyle name="40% - Accent6 3 7 2 2" xfId="15095" xr:uid="{BB5C7D0C-67B3-4204-9AC0-27033B7B307A}"/>
    <cellStyle name="40% - Accent6 3 7 3" xfId="10877" xr:uid="{EB4ABBDD-5C28-4308-BF7E-EF95B1B6DF0E}"/>
    <cellStyle name="40% - Accent6 3 8" xfId="4600" xr:uid="{00000000-0005-0000-0000-000059070000}"/>
    <cellStyle name="40% - Accent6 3 8 2" xfId="13029" xr:uid="{78A4253C-FB94-4C4C-9D9A-046BD8053A11}"/>
    <cellStyle name="40% - Accent6 3 9" xfId="8811" xr:uid="{618453F9-2252-431B-BFF9-E4D8366B65DD}"/>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2 2 2" xfId="15590" xr:uid="{792124BE-9372-4675-B7C7-769248429A52}"/>
    <cellStyle name="40% - Accent6 4 2 2 3" xfId="11372" xr:uid="{A97FA4FF-8D12-4EED-95CD-EE7E55B12386}"/>
    <cellStyle name="40% - Accent6 4 2 3" xfId="5016" xr:uid="{00000000-0005-0000-0000-00005E070000}"/>
    <cellStyle name="40% - Accent6 4 2 3 2" xfId="13445" xr:uid="{ECD66864-14A9-4A5E-9781-BF6217D5EB2E}"/>
    <cellStyle name="40% - Accent6 4 2 4" xfId="9227" xr:uid="{2D00A8D4-9ECB-47C2-9963-FA4ED83BFA19}"/>
    <cellStyle name="40% - Accent6 4 3" xfId="1119" xr:uid="{00000000-0005-0000-0000-00005F070000}"/>
    <cellStyle name="40% - Accent6 4 3 2" xfId="3350" xr:uid="{00000000-0005-0000-0000-000060070000}"/>
    <cellStyle name="40% - Accent6 4 3 2 2" xfId="7574" xr:uid="{00000000-0005-0000-0000-000061070000}"/>
    <cellStyle name="40% - Accent6 4 3 2 2 2" xfId="16003" xr:uid="{26A112EC-0265-474B-A568-4475F87F5BE9}"/>
    <cellStyle name="40% - Accent6 4 3 2 3" xfId="11785" xr:uid="{DDE9AB6A-4156-47A1-A26F-CCF0A632A7A7}"/>
    <cellStyle name="40% - Accent6 4 3 3" xfId="5429" xr:uid="{00000000-0005-0000-0000-000062070000}"/>
    <cellStyle name="40% - Accent6 4 3 3 2" xfId="13858" xr:uid="{33AADC45-EBF0-4A75-AECB-97F4B3DCF654}"/>
    <cellStyle name="40% - Accent6 4 3 4" xfId="9640" xr:uid="{DB8021BA-143A-461F-95B6-1DFEA05451D5}"/>
    <cellStyle name="40% - Accent6 4 4" xfId="1533" xr:uid="{00000000-0005-0000-0000-000063070000}"/>
    <cellStyle name="40% - Accent6 4 4 2" xfId="3763" xr:uid="{00000000-0005-0000-0000-000064070000}"/>
    <cellStyle name="40% - Accent6 4 4 2 2" xfId="7987" xr:uid="{00000000-0005-0000-0000-000065070000}"/>
    <cellStyle name="40% - Accent6 4 4 2 2 2" xfId="16416" xr:uid="{214963D3-346D-4025-BFC4-35B4C3E00445}"/>
    <cellStyle name="40% - Accent6 4 4 2 3" xfId="12198" xr:uid="{2DFBAA21-A559-4209-8E31-B39793E78754}"/>
    <cellStyle name="40% - Accent6 4 4 3" xfId="5842" xr:uid="{00000000-0005-0000-0000-000066070000}"/>
    <cellStyle name="40% - Accent6 4 4 3 2" xfId="14271" xr:uid="{C3645A08-B72E-4F8C-BCF5-FF29097467D2}"/>
    <cellStyle name="40% - Accent6 4 4 4" xfId="10053" xr:uid="{550A8229-4659-4A27-AFC0-805D6ED85BEA}"/>
    <cellStyle name="40% - Accent6 4 5" xfId="1947" xr:uid="{00000000-0005-0000-0000-000067070000}"/>
    <cellStyle name="40% - Accent6 4 5 2" xfId="4176" xr:uid="{00000000-0005-0000-0000-000068070000}"/>
    <cellStyle name="40% - Accent6 4 5 2 2" xfId="8400" xr:uid="{00000000-0005-0000-0000-000069070000}"/>
    <cellStyle name="40% - Accent6 4 5 2 2 2" xfId="16829" xr:uid="{7D851768-3CFB-43C8-9AD6-67E8A7BDEF1F}"/>
    <cellStyle name="40% - Accent6 4 5 2 3" xfId="12611" xr:uid="{EA791A94-9311-425B-981B-73A73D65786E}"/>
    <cellStyle name="40% - Accent6 4 5 3" xfId="6255" xr:uid="{00000000-0005-0000-0000-00006A070000}"/>
    <cellStyle name="40% - Accent6 4 5 3 2" xfId="14684" xr:uid="{68FC24E5-8378-46AF-8618-F7096280F491}"/>
    <cellStyle name="40% - Accent6 4 5 4" xfId="10466" xr:uid="{A87257F0-63CC-45BE-B5EB-799D605FA0CE}"/>
    <cellStyle name="40% - Accent6 4 6" xfId="2360" xr:uid="{00000000-0005-0000-0000-00006B070000}"/>
    <cellStyle name="40% - Accent6 4 6 2" xfId="6668" xr:uid="{00000000-0005-0000-0000-00006C070000}"/>
    <cellStyle name="40% - Accent6 4 6 2 2" xfId="15097" xr:uid="{FB6E3D46-1567-4BEA-85D4-69D757565788}"/>
    <cellStyle name="40% - Accent6 4 6 3" xfId="10879" xr:uid="{8E81E8EB-C19F-438C-8766-956F1E234812}"/>
    <cellStyle name="40% - Accent6 4 7" xfId="4602" xr:uid="{00000000-0005-0000-0000-00006D070000}"/>
    <cellStyle name="40% - Accent6 4 7 2" xfId="13031" xr:uid="{8DFFBD22-7E0D-442F-9D57-E584C951BB1D}"/>
    <cellStyle name="40% - Accent6 4 8" xfId="8813" xr:uid="{4D071881-9BED-4474-80D1-81DCEF497AB6}"/>
    <cellStyle name="40% - Accent6 5" xfId="659" xr:uid="{00000000-0005-0000-0000-00006E070000}"/>
    <cellStyle name="40% - Accent6 5 2" xfId="2930" xr:uid="{00000000-0005-0000-0000-00006F070000}"/>
    <cellStyle name="40% - Accent6 5 2 2" xfId="7154" xr:uid="{00000000-0005-0000-0000-000070070000}"/>
    <cellStyle name="40% - Accent6 5 2 2 2" xfId="15583" xr:uid="{94E255D0-87B9-4A3B-862D-A9DFF07467EB}"/>
    <cellStyle name="40% - Accent6 5 2 3" xfId="11365" xr:uid="{BAFED2C5-7539-461D-8070-F4EEA5D82B5E}"/>
    <cellStyle name="40% - Accent6 5 3" xfId="5009" xr:uid="{00000000-0005-0000-0000-000071070000}"/>
    <cellStyle name="40% - Accent6 5 3 2" xfId="13438" xr:uid="{F15979B7-1CFC-4450-AC21-A643958801EF}"/>
    <cellStyle name="40% - Accent6 5 4" xfId="9220" xr:uid="{B6F75BB5-D430-49B7-B6E8-B4ABE2A1B554}"/>
    <cellStyle name="40% - Accent6 6" xfId="1112" xr:uid="{00000000-0005-0000-0000-000072070000}"/>
    <cellStyle name="40% - Accent6 6 2" xfId="3343" xr:uid="{00000000-0005-0000-0000-000073070000}"/>
    <cellStyle name="40% - Accent6 6 2 2" xfId="7567" xr:uid="{00000000-0005-0000-0000-000074070000}"/>
    <cellStyle name="40% - Accent6 6 2 2 2" xfId="15996" xr:uid="{08719074-BABB-4A56-A701-AF6CACA2AD3B}"/>
    <cellStyle name="40% - Accent6 6 2 3" xfId="11778" xr:uid="{70B2224F-3588-4CE8-BBB6-1820833A3432}"/>
    <cellStyle name="40% - Accent6 6 3" xfId="5422" xr:uid="{00000000-0005-0000-0000-000075070000}"/>
    <cellStyle name="40% - Accent6 6 3 2" xfId="13851" xr:uid="{87429C93-A800-4ACA-A0CE-769B0D9C3845}"/>
    <cellStyle name="40% - Accent6 6 4" xfId="9633" xr:uid="{836AA3EF-4692-48ED-8A35-0DA276683C24}"/>
    <cellStyle name="40% - Accent6 7" xfId="1526" xr:uid="{00000000-0005-0000-0000-000076070000}"/>
    <cellStyle name="40% - Accent6 7 2" xfId="3756" xr:uid="{00000000-0005-0000-0000-000077070000}"/>
    <cellStyle name="40% - Accent6 7 2 2" xfId="7980" xr:uid="{00000000-0005-0000-0000-000078070000}"/>
    <cellStyle name="40% - Accent6 7 2 2 2" xfId="16409" xr:uid="{FEB36C5B-8CE7-4405-847F-20A562E86523}"/>
    <cellStyle name="40% - Accent6 7 2 3" xfId="12191" xr:uid="{5C9A4999-8B54-4E01-8EC2-8F5889849211}"/>
    <cellStyle name="40% - Accent6 7 3" xfId="5835" xr:uid="{00000000-0005-0000-0000-000079070000}"/>
    <cellStyle name="40% - Accent6 7 3 2" xfId="14264" xr:uid="{9377357E-8BD1-45F5-985D-46934BA7234B}"/>
    <cellStyle name="40% - Accent6 7 4" xfId="10046" xr:uid="{41023C1C-3FAF-40F0-90E8-DE1CE82B3859}"/>
    <cellStyle name="40% - Accent6 8" xfId="1940" xr:uid="{00000000-0005-0000-0000-00007A070000}"/>
    <cellStyle name="40% - Accent6 8 2" xfId="4169" xr:uid="{00000000-0005-0000-0000-00007B070000}"/>
    <cellStyle name="40% - Accent6 8 2 2" xfId="8393" xr:uid="{00000000-0005-0000-0000-00007C070000}"/>
    <cellStyle name="40% - Accent6 8 2 2 2" xfId="16822" xr:uid="{A5180853-F6DD-4B8F-8E7E-11C87FD07876}"/>
    <cellStyle name="40% - Accent6 8 2 3" xfId="12604" xr:uid="{567E5F69-919A-41B6-BDD1-ACE9E8D9AF56}"/>
    <cellStyle name="40% - Accent6 8 3" xfId="6248" xr:uid="{00000000-0005-0000-0000-00007D070000}"/>
    <cellStyle name="40% - Accent6 8 3 2" xfId="14677" xr:uid="{34757C08-203A-4B37-A092-B28C8C28345B}"/>
    <cellStyle name="40% - Accent6 8 4" xfId="10459" xr:uid="{AE88B745-C097-46A1-B111-54662B419F79}"/>
    <cellStyle name="40% - Accent6 9" xfId="2353" xr:uid="{00000000-0005-0000-0000-00007E070000}"/>
    <cellStyle name="40% - Accent6 9 2" xfId="6661" xr:uid="{00000000-0005-0000-0000-00007F070000}"/>
    <cellStyle name="40% - Accent6 9 2 2" xfId="15090" xr:uid="{FD25D8C4-B08E-4B13-8D90-719A7AA7F411}"/>
    <cellStyle name="40% - Accent6 9 3" xfId="10872" xr:uid="{7A372D31-56C0-4EF7-9F6D-8EE0B49456A7}"/>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0 2 2" xfId="15415" xr:uid="{DA5C9B72-7837-467E-8471-70BB13ABFF27}"/>
    <cellStyle name="Comma 4 2 2 2 10 3" xfId="11197" xr:uid="{47CDA762-CE2F-4744-9361-7081DDF34388}"/>
    <cellStyle name="Comma 4 2 2 2 11" xfId="4603" xr:uid="{00000000-0005-0000-0000-0000A3070000}"/>
    <cellStyle name="Comma 4 2 2 2 11 2" xfId="13032" xr:uid="{F10C46F1-E74B-4623-830B-03285770B141}"/>
    <cellStyle name="Comma 4 2 2 2 12" xfId="8814" xr:uid="{65673D29-25E4-468C-8FC9-26CF40D5F84D}"/>
    <cellStyle name="Comma 4 2 2 2 2" xfId="129" xr:uid="{00000000-0005-0000-0000-0000A4070000}"/>
    <cellStyle name="Comma 4 2 2 2 2 10" xfId="4604" xr:uid="{00000000-0005-0000-0000-0000A5070000}"/>
    <cellStyle name="Comma 4 2 2 2 2 10 2" xfId="13033" xr:uid="{8F2BE901-58FB-49A5-A784-EED4C16FB7FA}"/>
    <cellStyle name="Comma 4 2 2 2 2 11" xfId="8815" xr:uid="{3E830B66-8668-49FB-AEAC-2F33396D39EF}"/>
    <cellStyle name="Comma 4 2 2 2 2 2" xfId="130" xr:uid="{00000000-0005-0000-0000-0000A6070000}"/>
    <cellStyle name="Comma 4 2 2 2 2 2 10" xfId="8816" xr:uid="{98086A3E-4E14-4405-B10A-54B8E9E65B5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2 2 2" xfId="15593" xr:uid="{2E35E4A0-22CA-4B9E-B97B-D79911288963}"/>
    <cellStyle name="Comma 4 2 2 2 2 2 2 2 3" xfId="11375" xr:uid="{1CDDB687-88DB-4427-B1E8-945BE61B4716}"/>
    <cellStyle name="Comma 4 2 2 2 2 2 2 3" xfId="5019" xr:uid="{00000000-0005-0000-0000-0000AA070000}"/>
    <cellStyle name="Comma 4 2 2 2 2 2 2 3 2" xfId="13448" xr:uid="{055508A6-BDD4-4803-B391-00A908DE1C2E}"/>
    <cellStyle name="Comma 4 2 2 2 2 2 2 4" xfId="9230" xr:uid="{D35CC2E1-1418-491C-ADAB-37BB43843CA3}"/>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2 2 2" xfId="16006" xr:uid="{0859C5FD-C806-46B1-A975-93167EF036BD}"/>
    <cellStyle name="Comma 4 2 2 2 2 2 3 2 3" xfId="11788" xr:uid="{F1D5B4B0-D922-48FC-B061-D57FB176B62C}"/>
    <cellStyle name="Comma 4 2 2 2 2 2 3 3" xfId="5432" xr:uid="{00000000-0005-0000-0000-0000AE070000}"/>
    <cellStyle name="Comma 4 2 2 2 2 2 3 3 2" xfId="13861" xr:uid="{3A4F5823-E0C7-48BA-833E-73B1112C52F8}"/>
    <cellStyle name="Comma 4 2 2 2 2 2 3 4" xfId="9643" xr:uid="{A06D01B7-748B-4380-8646-EB4E5B7A0E91}"/>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2 2 2" xfId="16419" xr:uid="{CB1773EF-2430-40C0-8F94-AFC191AA9D83}"/>
    <cellStyle name="Comma 4 2 2 2 2 2 4 2 3" xfId="12201" xr:uid="{1BD5E512-202D-48A5-9456-7B38EE881D4B}"/>
    <cellStyle name="Comma 4 2 2 2 2 2 4 3" xfId="5845" xr:uid="{00000000-0005-0000-0000-0000B2070000}"/>
    <cellStyle name="Comma 4 2 2 2 2 2 4 3 2" xfId="14274" xr:uid="{3B76FA3D-995A-4BC3-BD48-0EF7620B8A22}"/>
    <cellStyle name="Comma 4 2 2 2 2 2 4 4" xfId="10056" xr:uid="{800F4DA8-0E11-437D-A98E-96C9F05598C8}"/>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2 2 2" xfId="16832" xr:uid="{DFB20245-1957-47F4-98F3-7987A7CA950F}"/>
    <cellStyle name="Comma 4 2 2 2 2 2 5 2 3" xfId="12614" xr:uid="{588E22CC-9554-4403-89DF-3D2F818C3454}"/>
    <cellStyle name="Comma 4 2 2 2 2 2 5 3" xfId="6258" xr:uid="{00000000-0005-0000-0000-0000B6070000}"/>
    <cellStyle name="Comma 4 2 2 2 2 2 5 3 2" xfId="14687" xr:uid="{D92A070E-C841-4409-B914-B4BC399E8448}"/>
    <cellStyle name="Comma 4 2 2 2 2 2 5 4" xfId="10469" xr:uid="{38837F5A-9C90-44DA-8AC6-4EF042EB81AB}"/>
    <cellStyle name="Comma 4 2 2 2 2 2 6" xfId="2385" xr:uid="{00000000-0005-0000-0000-0000B7070000}"/>
    <cellStyle name="Comma 4 2 2 2 2 2 6 2" xfId="6671" xr:uid="{00000000-0005-0000-0000-0000B8070000}"/>
    <cellStyle name="Comma 4 2 2 2 2 2 6 2 2" xfId="15100" xr:uid="{EB522457-7A95-4C53-B1EF-988667A606FE}"/>
    <cellStyle name="Comma 4 2 2 2 2 2 6 3" xfId="10882" xr:uid="{5CD18EF7-32BA-4738-A04B-135070D47FC8}"/>
    <cellStyle name="Comma 4 2 2 2 2 2 7" xfId="2380" xr:uid="{00000000-0005-0000-0000-0000B9070000}"/>
    <cellStyle name="Comma 4 2 2 2 2 2 8" xfId="2763" xr:uid="{00000000-0005-0000-0000-0000BA070000}"/>
    <cellStyle name="Comma 4 2 2 2 2 2 8 2" xfId="6988" xr:uid="{00000000-0005-0000-0000-0000BB070000}"/>
    <cellStyle name="Comma 4 2 2 2 2 2 8 2 2" xfId="15417" xr:uid="{467A64D7-4439-4C3C-8BBB-5D8C80AC817B}"/>
    <cellStyle name="Comma 4 2 2 2 2 2 8 3" xfId="11199" xr:uid="{8A8FAB80-8812-4A5A-A2CA-F69238CBCE1C}"/>
    <cellStyle name="Comma 4 2 2 2 2 2 9" xfId="4605" xr:uid="{00000000-0005-0000-0000-0000BC070000}"/>
    <cellStyle name="Comma 4 2 2 2 2 2 9 2" xfId="13034" xr:uid="{E857C315-0376-471E-87CB-1053F4E36018}"/>
    <cellStyle name="Comma 4 2 2 2 2 3" xfId="668" xr:uid="{00000000-0005-0000-0000-0000BD070000}"/>
    <cellStyle name="Comma 4 2 2 2 2 3 2" xfId="2939" xr:uid="{00000000-0005-0000-0000-0000BE070000}"/>
    <cellStyle name="Comma 4 2 2 2 2 3 2 2" xfId="7163" xr:uid="{00000000-0005-0000-0000-0000BF070000}"/>
    <cellStyle name="Comma 4 2 2 2 2 3 2 2 2" xfId="15592" xr:uid="{3A22CB6B-87C0-4440-AD89-67A6910848D1}"/>
    <cellStyle name="Comma 4 2 2 2 2 3 2 3" xfId="11374" xr:uid="{D320D29C-392C-4B83-897F-E4ABD47F56B6}"/>
    <cellStyle name="Comma 4 2 2 2 2 3 3" xfId="5018" xr:uid="{00000000-0005-0000-0000-0000C0070000}"/>
    <cellStyle name="Comma 4 2 2 2 2 3 3 2" xfId="13447" xr:uid="{007F2449-12CF-481F-824A-B2838FE435FB}"/>
    <cellStyle name="Comma 4 2 2 2 2 3 4" xfId="9229" xr:uid="{687932F8-46FE-45EA-8D40-7B2B5F778506}"/>
    <cellStyle name="Comma 4 2 2 2 2 4" xfId="1121" xr:uid="{00000000-0005-0000-0000-0000C1070000}"/>
    <cellStyle name="Comma 4 2 2 2 2 4 2" xfId="3352" xr:uid="{00000000-0005-0000-0000-0000C2070000}"/>
    <cellStyle name="Comma 4 2 2 2 2 4 2 2" xfId="7576" xr:uid="{00000000-0005-0000-0000-0000C3070000}"/>
    <cellStyle name="Comma 4 2 2 2 2 4 2 2 2" xfId="16005" xr:uid="{E52ADF3E-6502-4B3C-BFFC-040C059A137C}"/>
    <cellStyle name="Comma 4 2 2 2 2 4 2 3" xfId="11787" xr:uid="{F51D1317-2090-483D-8CCF-5B394749EDED}"/>
    <cellStyle name="Comma 4 2 2 2 2 4 3" xfId="5431" xr:uid="{00000000-0005-0000-0000-0000C4070000}"/>
    <cellStyle name="Comma 4 2 2 2 2 4 3 2" xfId="13860" xr:uid="{4E7F3312-3936-4961-AB84-1452E8F74F4C}"/>
    <cellStyle name="Comma 4 2 2 2 2 4 4" xfId="9642" xr:uid="{A2C11D21-E566-4F64-91CD-D99BAEBD5B22}"/>
    <cellStyle name="Comma 4 2 2 2 2 5" xfId="1535" xr:uid="{00000000-0005-0000-0000-0000C5070000}"/>
    <cellStyle name="Comma 4 2 2 2 2 5 2" xfId="3765" xr:uid="{00000000-0005-0000-0000-0000C6070000}"/>
    <cellStyle name="Comma 4 2 2 2 2 5 2 2" xfId="7989" xr:uid="{00000000-0005-0000-0000-0000C7070000}"/>
    <cellStyle name="Comma 4 2 2 2 2 5 2 2 2" xfId="16418" xr:uid="{1B843ABA-B930-4B6C-81EA-3A8A9AC80B27}"/>
    <cellStyle name="Comma 4 2 2 2 2 5 2 3" xfId="12200" xr:uid="{E82F8834-B10B-404A-8ACC-A9BFF700D5C7}"/>
    <cellStyle name="Comma 4 2 2 2 2 5 3" xfId="5844" xr:uid="{00000000-0005-0000-0000-0000C8070000}"/>
    <cellStyle name="Comma 4 2 2 2 2 5 3 2" xfId="14273" xr:uid="{A955CEC2-DA8F-428B-94B9-F3033FDA7B53}"/>
    <cellStyle name="Comma 4 2 2 2 2 5 4" xfId="10055" xr:uid="{D5E8E813-3E99-4E06-8239-4DE2F3E42993}"/>
    <cellStyle name="Comma 4 2 2 2 2 6" xfId="1949" xr:uid="{00000000-0005-0000-0000-0000C9070000}"/>
    <cellStyle name="Comma 4 2 2 2 2 6 2" xfId="4178" xr:uid="{00000000-0005-0000-0000-0000CA070000}"/>
    <cellStyle name="Comma 4 2 2 2 2 6 2 2" xfId="8402" xr:uid="{00000000-0005-0000-0000-0000CB070000}"/>
    <cellStyle name="Comma 4 2 2 2 2 6 2 2 2" xfId="16831" xr:uid="{971A1F27-C50D-4913-A50D-77F78680516D}"/>
    <cellStyle name="Comma 4 2 2 2 2 6 2 3" xfId="12613" xr:uid="{69C39EAD-779C-45F3-8F3D-1162FE354652}"/>
    <cellStyle name="Comma 4 2 2 2 2 6 3" xfId="6257" xr:uid="{00000000-0005-0000-0000-0000CC070000}"/>
    <cellStyle name="Comma 4 2 2 2 2 6 3 2" xfId="14686" xr:uid="{9FC78D59-D892-4BA8-B5B5-8080761AD766}"/>
    <cellStyle name="Comma 4 2 2 2 2 6 4" xfId="10468" xr:uid="{1BA2800D-5CD8-4C97-BDB8-44F751F8E613}"/>
    <cellStyle name="Comma 4 2 2 2 2 7" xfId="2384" xr:uid="{00000000-0005-0000-0000-0000CD070000}"/>
    <cellStyle name="Comma 4 2 2 2 2 7 2" xfId="6670" xr:uid="{00000000-0005-0000-0000-0000CE070000}"/>
    <cellStyle name="Comma 4 2 2 2 2 7 2 2" xfId="15099" xr:uid="{4FFE146A-8E7C-4BF3-9FFC-770905014EE6}"/>
    <cellStyle name="Comma 4 2 2 2 2 7 3" xfId="10881" xr:uid="{F7180165-65AA-4DA5-B883-70AC5EB4E8AA}"/>
    <cellStyle name="Comma 4 2 2 2 2 8" xfId="2381" xr:uid="{00000000-0005-0000-0000-0000CF070000}"/>
    <cellStyle name="Comma 4 2 2 2 2 9" xfId="2762" xr:uid="{00000000-0005-0000-0000-0000D0070000}"/>
    <cellStyle name="Comma 4 2 2 2 2 9 2" xfId="6987" xr:uid="{00000000-0005-0000-0000-0000D1070000}"/>
    <cellStyle name="Comma 4 2 2 2 2 9 2 2" xfId="15416" xr:uid="{B1E52D6B-5D21-4A41-AB6C-08E2DFFEEDB6}"/>
    <cellStyle name="Comma 4 2 2 2 2 9 3" xfId="11198" xr:uid="{275F4FEB-CE49-459C-8DF4-8930C7721C91}"/>
    <cellStyle name="Comma 4 2 2 2 3" xfId="131" xr:uid="{00000000-0005-0000-0000-0000D2070000}"/>
    <cellStyle name="Comma 4 2 2 2 3 10" xfId="8817" xr:uid="{B374D141-256B-4917-8C66-E5BF23E2E95A}"/>
    <cellStyle name="Comma 4 2 2 2 3 2" xfId="670" xr:uid="{00000000-0005-0000-0000-0000D3070000}"/>
    <cellStyle name="Comma 4 2 2 2 3 2 2" xfId="2941" xr:uid="{00000000-0005-0000-0000-0000D4070000}"/>
    <cellStyle name="Comma 4 2 2 2 3 2 2 2" xfId="7165" xr:uid="{00000000-0005-0000-0000-0000D5070000}"/>
    <cellStyle name="Comma 4 2 2 2 3 2 2 2 2" xfId="15594" xr:uid="{2785E1C7-7FF2-41D9-8AC6-1C29D207FEEC}"/>
    <cellStyle name="Comma 4 2 2 2 3 2 2 3" xfId="11376" xr:uid="{321B68FD-9C8A-4B02-AFED-773A457053C7}"/>
    <cellStyle name="Comma 4 2 2 2 3 2 3" xfId="5020" xr:uid="{00000000-0005-0000-0000-0000D6070000}"/>
    <cellStyle name="Comma 4 2 2 2 3 2 3 2" xfId="13449" xr:uid="{8685D581-0F37-4D0C-AAB8-19FA7969CA83}"/>
    <cellStyle name="Comma 4 2 2 2 3 2 4" xfId="9231" xr:uid="{34249911-13E4-4771-8F2A-EFBD3FF0EDA8}"/>
    <cellStyle name="Comma 4 2 2 2 3 3" xfId="1123" xr:uid="{00000000-0005-0000-0000-0000D7070000}"/>
    <cellStyle name="Comma 4 2 2 2 3 3 2" xfId="3354" xr:uid="{00000000-0005-0000-0000-0000D8070000}"/>
    <cellStyle name="Comma 4 2 2 2 3 3 2 2" xfId="7578" xr:uid="{00000000-0005-0000-0000-0000D9070000}"/>
    <cellStyle name="Comma 4 2 2 2 3 3 2 2 2" xfId="16007" xr:uid="{597994F0-D994-44A6-A517-303B2B03EC12}"/>
    <cellStyle name="Comma 4 2 2 2 3 3 2 3" xfId="11789" xr:uid="{48BC3172-05B2-4213-9401-E4D51817643F}"/>
    <cellStyle name="Comma 4 2 2 2 3 3 3" xfId="5433" xr:uid="{00000000-0005-0000-0000-0000DA070000}"/>
    <cellStyle name="Comma 4 2 2 2 3 3 3 2" xfId="13862" xr:uid="{69D2FE39-8BEC-4FEE-9E62-3730832DF7DB}"/>
    <cellStyle name="Comma 4 2 2 2 3 3 4" xfId="9644" xr:uid="{EB9E1DB2-944A-4F03-B740-0B0A692830EB}"/>
    <cellStyle name="Comma 4 2 2 2 3 4" xfId="1537" xr:uid="{00000000-0005-0000-0000-0000DB070000}"/>
    <cellStyle name="Comma 4 2 2 2 3 4 2" xfId="3767" xr:uid="{00000000-0005-0000-0000-0000DC070000}"/>
    <cellStyle name="Comma 4 2 2 2 3 4 2 2" xfId="7991" xr:uid="{00000000-0005-0000-0000-0000DD070000}"/>
    <cellStyle name="Comma 4 2 2 2 3 4 2 2 2" xfId="16420" xr:uid="{082326FE-9F2B-47B4-8C5F-497D36169963}"/>
    <cellStyle name="Comma 4 2 2 2 3 4 2 3" xfId="12202" xr:uid="{0347576A-8E2E-4F05-9449-A953C24A5DA8}"/>
    <cellStyle name="Comma 4 2 2 2 3 4 3" xfId="5846" xr:uid="{00000000-0005-0000-0000-0000DE070000}"/>
    <cellStyle name="Comma 4 2 2 2 3 4 3 2" xfId="14275" xr:uid="{EB089F86-17A5-40A6-9A45-71D5EF8659EE}"/>
    <cellStyle name="Comma 4 2 2 2 3 4 4" xfId="10057" xr:uid="{9099BF62-3328-48C7-B884-19A8C2FC5D59}"/>
    <cellStyle name="Comma 4 2 2 2 3 5" xfId="1951" xr:uid="{00000000-0005-0000-0000-0000DF070000}"/>
    <cellStyle name="Comma 4 2 2 2 3 5 2" xfId="4180" xr:uid="{00000000-0005-0000-0000-0000E0070000}"/>
    <cellStyle name="Comma 4 2 2 2 3 5 2 2" xfId="8404" xr:uid="{00000000-0005-0000-0000-0000E1070000}"/>
    <cellStyle name="Comma 4 2 2 2 3 5 2 2 2" xfId="16833" xr:uid="{8BB910D6-8DA9-4F70-8F7F-EE18E68C47D5}"/>
    <cellStyle name="Comma 4 2 2 2 3 5 2 3" xfId="12615" xr:uid="{3A06C49B-48F8-438A-A1DE-7B25833539CD}"/>
    <cellStyle name="Comma 4 2 2 2 3 5 3" xfId="6259" xr:uid="{00000000-0005-0000-0000-0000E2070000}"/>
    <cellStyle name="Comma 4 2 2 2 3 5 3 2" xfId="14688" xr:uid="{4B12CE81-124C-487D-B851-C36559489EBF}"/>
    <cellStyle name="Comma 4 2 2 2 3 5 4" xfId="10470" xr:uid="{152E175B-7808-43D9-9794-E3218859D687}"/>
    <cellStyle name="Comma 4 2 2 2 3 6" xfId="2386" xr:uid="{00000000-0005-0000-0000-0000E3070000}"/>
    <cellStyle name="Comma 4 2 2 2 3 6 2" xfId="6672" xr:uid="{00000000-0005-0000-0000-0000E4070000}"/>
    <cellStyle name="Comma 4 2 2 2 3 6 2 2" xfId="15101" xr:uid="{F97BE561-AE5E-4A0A-9778-D84E3F93E6BB}"/>
    <cellStyle name="Comma 4 2 2 2 3 6 3" xfId="10883" xr:uid="{A49A6458-EDF7-4910-A4C9-3D660F915CB2}"/>
    <cellStyle name="Comma 4 2 2 2 3 7" xfId="2379" xr:uid="{00000000-0005-0000-0000-0000E5070000}"/>
    <cellStyle name="Comma 4 2 2 2 3 8" xfId="2764" xr:uid="{00000000-0005-0000-0000-0000E6070000}"/>
    <cellStyle name="Comma 4 2 2 2 3 8 2" xfId="6989" xr:uid="{00000000-0005-0000-0000-0000E7070000}"/>
    <cellStyle name="Comma 4 2 2 2 3 8 2 2" xfId="15418" xr:uid="{3ACDE009-E558-4B6E-AF76-9869C8734BB7}"/>
    <cellStyle name="Comma 4 2 2 2 3 8 3" xfId="11200" xr:uid="{37520542-2DFF-4242-AE17-04BCE5941986}"/>
    <cellStyle name="Comma 4 2 2 2 3 9" xfId="4606" xr:uid="{00000000-0005-0000-0000-0000E8070000}"/>
    <cellStyle name="Comma 4 2 2 2 3 9 2" xfId="13035" xr:uid="{918DD328-81AF-4EB8-815D-EBFF9CBC84A0}"/>
    <cellStyle name="Comma 4 2 2 2 4" xfId="667" xr:uid="{00000000-0005-0000-0000-0000E9070000}"/>
    <cellStyle name="Comma 4 2 2 2 4 2" xfId="2938" xr:uid="{00000000-0005-0000-0000-0000EA070000}"/>
    <cellStyle name="Comma 4 2 2 2 4 2 2" xfId="7162" xr:uid="{00000000-0005-0000-0000-0000EB070000}"/>
    <cellStyle name="Comma 4 2 2 2 4 2 2 2" xfId="15591" xr:uid="{742BFB8E-E7DD-4F86-93EC-A9AA8A2F4B37}"/>
    <cellStyle name="Comma 4 2 2 2 4 2 3" xfId="11373" xr:uid="{ED503BA7-3346-4ADE-B709-652A81672F68}"/>
    <cellStyle name="Comma 4 2 2 2 4 3" xfId="5017" xr:uid="{00000000-0005-0000-0000-0000EC070000}"/>
    <cellStyle name="Comma 4 2 2 2 4 3 2" xfId="13446" xr:uid="{4FB19C05-5C8F-45C8-ACE5-3D4088AB517B}"/>
    <cellStyle name="Comma 4 2 2 2 4 4" xfId="9228" xr:uid="{F16A1AD8-4041-4CF8-AAEC-402E652B820C}"/>
    <cellStyle name="Comma 4 2 2 2 5" xfId="1120" xr:uid="{00000000-0005-0000-0000-0000ED070000}"/>
    <cellStyle name="Comma 4 2 2 2 5 2" xfId="3351" xr:uid="{00000000-0005-0000-0000-0000EE070000}"/>
    <cellStyle name="Comma 4 2 2 2 5 2 2" xfId="7575" xr:uid="{00000000-0005-0000-0000-0000EF070000}"/>
    <cellStyle name="Comma 4 2 2 2 5 2 2 2" xfId="16004" xr:uid="{30CD8EB2-9C15-47F7-B68A-F56DE8EA249D}"/>
    <cellStyle name="Comma 4 2 2 2 5 2 3" xfId="11786" xr:uid="{212A97D4-6309-4E4A-9CDE-9A5B21B77885}"/>
    <cellStyle name="Comma 4 2 2 2 5 3" xfId="5430" xr:uid="{00000000-0005-0000-0000-0000F0070000}"/>
    <cellStyle name="Comma 4 2 2 2 5 3 2" xfId="13859" xr:uid="{97A5A0BD-FA49-44A1-9672-2E47608E1818}"/>
    <cellStyle name="Comma 4 2 2 2 5 4" xfId="9641" xr:uid="{A456A202-D3A0-42EA-BE1C-61A5C2C3084C}"/>
    <cellStyle name="Comma 4 2 2 2 6" xfId="1534" xr:uid="{00000000-0005-0000-0000-0000F1070000}"/>
    <cellStyle name="Comma 4 2 2 2 6 2" xfId="3764" xr:uid="{00000000-0005-0000-0000-0000F2070000}"/>
    <cellStyle name="Comma 4 2 2 2 6 2 2" xfId="7988" xr:uid="{00000000-0005-0000-0000-0000F3070000}"/>
    <cellStyle name="Comma 4 2 2 2 6 2 2 2" xfId="16417" xr:uid="{0BEA4CA7-9593-464E-AD7C-786B81891230}"/>
    <cellStyle name="Comma 4 2 2 2 6 2 3" xfId="12199" xr:uid="{B34B1CE9-6D8D-4779-A03A-2CF561C2099D}"/>
    <cellStyle name="Comma 4 2 2 2 6 3" xfId="5843" xr:uid="{00000000-0005-0000-0000-0000F4070000}"/>
    <cellStyle name="Comma 4 2 2 2 6 3 2" xfId="14272" xr:uid="{642A6897-96DF-451F-A4BC-C0722DE4A601}"/>
    <cellStyle name="Comma 4 2 2 2 6 4" xfId="10054" xr:uid="{FF863BBC-2D75-42B7-AA05-58E9FDA449EA}"/>
    <cellStyle name="Comma 4 2 2 2 7" xfId="1948" xr:uid="{00000000-0005-0000-0000-0000F5070000}"/>
    <cellStyle name="Comma 4 2 2 2 7 2" xfId="4177" xr:uid="{00000000-0005-0000-0000-0000F6070000}"/>
    <cellStyle name="Comma 4 2 2 2 7 2 2" xfId="8401" xr:uid="{00000000-0005-0000-0000-0000F7070000}"/>
    <cellStyle name="Comma 4 2 2 2 7 2 2 2" xfId="16830" xr:uid="{02A48035-1B35-47A9-B424-B3CD734FC0AE}"/>
    <cellStyle name="Comma 4 2 2 2 7 2 3" xfId="12612" xr:uid="{B37B06E1-8ACC-433A-8D11-A9FCF3BBC002}"/>
    <cellStyle name="Comma 4 2 2 2 7 3" xfId="6256" xr:uid="{00000000-0005-0000-0000-0000F8070000}"/>
    <cellStyle name="Comma 4 2 2 2 7 3 2" xfId="14685" xr:uid="{5C95920C-F587-47E2-89AA-9CC6079FDC1D}"/>
    <cellStyle name="Comma 4 2 2 2 7 4" xfId="10467" xr:uid="{4CC7A5D5-CBAC-43F8-AA8E-8CB607B8BA9A}"/>
    <cellStyle name="Comma 4 2 2 2 8" xfId="2383" xr:uid="{00000000-0005-0000-0000-0000F9070000}"/>
    <cellStyle name="Comma 4 2 2 2 8 2" xfId="6669" xr:uid="{00000000-0005-0000-0000-0000FA070000}"/>
    <cellStyle name="Comma 4 2 2 2 8 2 2" xfId="15098" xr:uid="{16137353-3F97-4348-898C-D6ADBDE4851F}"/>
    <cellStyle name="Comma 4 2 2 2 8 3" xfId="10880" xr:uid="{821C1495-97FC-482D-9249-5D597130CE07}"/>
    <cellStyle name="Comma 4 2 2 2 9" xfId="2382" xr:uid="{00000000-0005-0000-0000-0000FB070000}"/>
    <cellStyle name="Comma 4 2 2 3" xfId="132" xr:uid="{00000000-0005-0000-0000-0000FC070000}"/>
    <cellStyle name="Comma 4 2 2 3 10" xfId="4607" xr:uid="{00000000-0005-0000-0000-0000FD070000}"/>
    <cellStyle name="Comma 4 2 2 3 10 2" xfId="13036" xr:uid="{A49AE762-D506-457F-AA3F-61CB5293DCDF}"/>
    <cellStyle name="Comma 4 2 2 3 11" xfId="8818" xr:uid="{CBEA7809-DF34-4DCA-9C68-D478747403EA}"/>
    <cellStyle name="Comma 4 2 2 3 2" xfId="133" xr:uid="{00000000-0005-0000-0000-0000FE070000}"/>
    <cellStyle name="Comma 4 2 2 3 2 10" xfId="8819" xr:uid="{EF64CE8D-7CD7-4CE8-800D-A21C32E41809}"/>
    <cellStyle name="Comma 4 2 2 3 2 2" xfId="672" xr:uid="{00000000-0005-0000-0000-0000FF070000}"/>
    <cellStyle name="Comma 4 2 2 3 2 2 2" xfId="2943" xr:uid="{00000000-0005-0000-0000-000000080000}"/>
    <cellStyle name="Comma 4 2 2 3 2 2 2 2" xfId="7167" xr:uid="{00000000-0005-0000-0000-000001080000}"/>
    <cellStyle name="Comma 4 2 2 3 2 2 2 2 2" xfId="15596" xr:uid="{F7D8ED91-3412-40E6-A26C-7F42703B47DA}"/>
    <cellStyle name="Comma 4 2 2 3 2 2 2 3" xfId="11378" xr:uid="{E9E7D59D-D377-441A-81C4-F3DFEFDFFD80}"/>
    <cellStyle name="Comma 4 2 2 3 2 2 3" xfId="5022" xr:uid="{00000000-0005-0000-0000-000002080000}"/>
    <cellStyle name="Comma 4 2 2 3 2 2 3 2" xfId="13451" xr:uid="{7AA56D30-6938-42AB-8131-B11239A2FCC5}"/>
    <cellStyle name="Comma 4 2 2 3 2 2 4" xfId="9233" xr:uid="{0394D5C4-D975-4C3F-92ED-166087096399}"/>
    <cellStyle name="Comma 4 2 2 3 2 3" xfId="1125" xr:uid="{00000000-0005-0000-0000-000003080000}"/>
    <cellStyle name="Comma 4 2 2 3 2 3 2" xfId="3356" xr:uid="{00000000-0005-0000-0000-000004080000}"/>
    <cellStyle name="Comma 4 2 2 3 2 3 2 2" xfId="7580" xr:uid="{00000000-0005-0000-0000-000005080000}"/>
    <cellStyle name="Comma 4 2 2 3 2 3 2 2 2" xfId="16009" xr:uid="{6A789091-9D15-4DCE-BDE1-CDBBE365BBAE}"/>
    <cellStyle name="Comma 4 2 2 3 2 3 2 3" xfId="11791" xr:uid="{B1306ED9-D27A-407C-8FE7-F6C9FC72AECE}"/>
    <cellStyle name="Comma 4 2 2 3 2 3 3" xfId="5435" xr:uid="{00000000-0005-0000-0000-000006080000}"/>
    <cellStyle name="Comma 4 2 2 3 2 3 3 2" xfId="13864" xr:uid="{C411609C-9D45-4310-AD20-9D0E69E22571}"/>
    <cellStyle name="Comma 4 2 2 3 2 3 4" xfId="9646" xr:uid="{14E9CC19-7FBF-4D57-9AC4-489AAEF2B432}"/>
    <cellStyle name="Comma 4 2 2 3 2 4" xfId="1539" xr:uid="{00000000-0005-0000-0000-000007080000}"/>
    <cellStyle name="Comma 4 2 2 3 2 4 2" xfId="3769" xr:uid="{00000000-0005-0000-0000-000008080000}"/>
    <cellStyle name="Comma 4 2 2 3 2 4 2 2" xfId="7993" xr:uid="{00000000-0005-0000-0000-000009080000}"/>
    <cellStyle name="Comma 4 2 2 3 2 4 2 2 2" xfId="16422" xr:uid="{F839E335-515A-4677-95C3-100B29F4BE7F}"/>
    <cellStyle name="Comma 4 2 2 3 2 4 2 3" xfId="12204" xr:uid="{6BF67070-4B1B-4CBA-9AD9-A689DFD46BF1}"/>
    <cellStyle name="Comma 4 2 2 3 2 4 3" xfId="5848" xr:uid="{00000000-0005-0000-0000-00000A080000}"/>
    <cellStyle name="Comma 4 2 2 3 2 4 3 2" xfId="14277" xr:uid="{57A09F45-CB95-4C33-BB5D-CA9067C91D2D}"/>
    <cellStyle name="Comma 4 2 2 3 2 4 4" xfId="10059" xr:uid="{BB7C3F1C-4B31-4FA5-B31C-58BF31A9CE6C}"/>
    <cellStyle name="Comma 4 2 2 3 2 5" xfId="1953" xr:uid="{00000000-0005-0000-0000-00000B080000}"/>
    <cellStyle name="Comma 4 2 2 3 2 5 2" xfId="4182" xr:uid="{00000000-0005-0000-0000-00000C080000}"/>
    <cellStyle name="Comma 4 2 2 3 2 5 2 2" xfId="8406" xr:uid="{00000000-0005-0000-0000-00000D080000}"/>
    <cellStyle name="Comma 4 2 2 3 2 5 2 2 2" xfId="16835" xr:uid="{BA6047A1-845E-4D75-B78A-6E765ECDE1F9}"/>
    <cellStyle name="Comma 4 2 2 3 2 5 2 3" xfId="12617" xr:uid="{67EABD2D-0684-4A44-AF30-4CBC97145827}"/>
    <cellStyle name="Comma 4 2 2 3 2 5 3" xfId="6261" xr:uid="{00000000-0005-0000-0000-00000E080000}"/>
    <cellStyle name="Comma 4 2 2 3 2 5 3 2" xfId="14690" xr:uid="{CEA39637-3849-47AD-B4F7-845B8725CD22}"/>
    <cellStyle name="Comma 4 2 2 3 2 5 4" xfId="10472" xr:uid="{13D9D14F-60F8-4C25-A1BF-E4079E3DD1A7}"/>
    <cellStyle name="Comma 4 2 2 3 2 6" xfId="2388" xr:uid="{00000000-0005-0000-0000-00000F080000}"/>
    <cellStyle name="Comma 4 2 2 3 2 6 2" xfId="6674" xr:uid="{00000000-0005-0000-0000-000010080000}"/>
    <cellStyle name="Comma 4 2 2 3 2 6 2 2" xfId="15103" xr:uid="{170A1C75-2A69-42AB-9105-3A47C7BD3F4D}"/>
    <cellStyle name="Comma 4 2 2 3 2 6 3" xfId="10885" xr:uid="{45C699D9-E5BA-43E6-A6A0-322F6D8E1046}"/>
    <cellStyle name="Comma 4 2 2 3 2 7" xfId="2377" xr:uid="{00000000-0005-0000-0000-000011080000}"/>
    <cellStyle name="Comma 4 2 2 3 2 8" xfId="2766" xr:uid="{00000000-0005-0000-0000-000012080000}"/>
    <cellStyle name="Comma 4 2 2 3 2 8 2" xfId="6991" xr:uid="{00000000-0005-0000-0000-000013080000}"/>
    <cellStyle name="Comma 4 2 2 3 2 8 2 2" xfId="15420" xr:uid="{4CCAEFD8-941E-4F95-84EE-7FF599931A4A}"/>
    <cellStyle name="Comma 4 2 2 3 2 8 3" xfId="11202" xr:uid="{DD533EA1-90D5-4C52-83B1-4A68354980C5}"/>
    <cellStyle name="Comma 4 2 2 3 2 9" xfId="4608" xr:uid="{00000000-0005-0000-0000-000014080000}"/>
    <cellStyle name="Comma 4 2 2 3 2 9 2" xfId="13037" xr:uid="{9F66D0B7-E49A-4F4E-8F6A-314CD858614D}"/>
    <cellStyle name="Comma 4 2 2 3 3" xfId="671" xr:uid="{00000000-0005-0000-0000-000015080000}"/>
    <cellStyle name="Comma 4 2 2 3 3 2" xfId="2942" xr:uid="{00000000-0005-0000-0000-000016080000}"/>
    <cellStyle name="Comma 4 2 2 3 3 2 2" xfId="7166" xr:uid="{00000000-0005-0000-0000-000017080000}"/>
    <cellStyle name="Comma 4 2 2 3 3 2 2 2" xfId="15595" xr:uid="{8E1755D4-2586-4228-A3DC-D04F6E3855EB}"/>
    <cellStyle name="Comma 4 2 2 3 3 2 3" xfId="11377" xr:uid="{0F8C709A-28FB-45FF-8523-85745913DCD9}"/>
    <cellStyle name="Comma 4 2 2 3 3 3" xfId="5021" xr:uid="{00000000-0005-0000-0000-000018080000}"/>
    <cellStyle name="Comma 4 2 2 3 3 3 2" xfId="13450" xr:uid="{6E1C9CE3-FCEB-400C-B2F0-192496CBD312}"/>
    <cellStyle name="Comma 4 2 2 3 3 4" xfId="9232" xr:uid="{16C5315C-41F5-44AD-8CCC-4296D866F13F}"/>
    <cellStyle name="Comma 4 2 2 3 4" xfId="1124" xr:uid="{00000000-0005-0000-0000-000019080000}"/>
    <cellStyle name="Comma 4 2 2 3 4 2" xfId="3355" xr:uid="{00000000-0005-0000-0000-00001A080000}"/>
    <cellStyle name="Comma 4 2 2 3 4 2 2" xfId="7579" xr:uid="{00000000-0005-0000-0000-00001B080000}"/>
    <cellStyle name="Comma 4 2 2 3 4 2 2 2" xfId="16008" xr:uid="{783596E0-6ABB-4F57-8081-35C7AD716F94}"/>
    <cellStyle name="Comma 4 2 2 3 4 2 3" xfId="11790" xr:uid="{6B6EF3C0-61D4-4883-9A5F-9BAAB780DEB0}"/>
    <cellStyle name="Comma 4 2 2 3 4 3" xfId="5434" xr:uid="{00000000-0005-0000-0000-00001C080000}"/>
    <cellStyle name="Comma 4 2 2 3 4 3 2" xfId="13863" xr:uid="{64EE125B-F256-4E56-AAEE-7421A7DF6703}"/>
    <cellStyle name="Comma 4 2 2 3 4 4" xfId="9645" xr:uid="{3DE00AAD-5701-4D5F-9DD3-1DE1CA21A625}"/>
    <cellStyle name="Comma 4 2 2 3 5" xfId="1538" xr:uid="{00000000-0005-0000-0000-00001D080000}"/>
    <cellStyle name="Comma 4 2 2 3 5 2" xfId="3768" xr:uid="{00000000-0005-0000-0000-00001E080000}"/>
    <cellStyle name="Comma 4 2 2 3 5 2 2" xfId="7992" xr:uid="{00000000-0005-0000-0000-00001F080000}"/>
    <cellStyle name="Comma 4 2 2 3 5 2 2 2" xfId="16421" xr:uid="{477F0FD7-6437-428C-8E54-CE467681E474}"/>
    <cellStyle name="Comma 4 2 2 3 5 2 3" xfId="12203" xr:uid="{8EACEA2F-477D-4F8C-A413-B49007FF5F7E}"/>
    <cellStyle name="Comma 4 2 2 3 5 3" xfId="5847" xr:uid="{00000000-0005-0000-0000-000020080000}"/>
    <cellStyle name="Comma 4 2 2 3 5 3 2" xfId="14276" xr:uid="{8FFCCF65-5760-4A11-8808-F19C4021D2A4}"/>
    <cellStyle name="Comma 4 2 2 3 5 4" xfId="10058" xr:uid="{94B7510F-0C3E-4EAD-99D8-4BFA43B4AC66}"/>
    <cellStyle name="Comma 4 2 2 3 6" xfId="1952" xr:uid="{00000000-0005-0000-0000-000021080000}"/>
    <cellStyle name="Comma 4 2 2 3 6 2" xfId="4181" xr:uid="{00000000-0005-0000-0000-000022080000}"/>
    <cellStyle name="Comma 4 2 2 3 6 2 2" xfId="8405" xr:uid="{00000000-0005-0000-0000-000023080000}"/>
    <cellStyle name="Comma 4 2 2 3 6 2 2 2" xfId="16834" xr:uid="{8D0DE805-BDCA-419D-9EDA-BB271D9C5859}"/>
    <cellStyle name="Comma 4 2 2 3 6 2 3" xfId="12616" xr:uid="{13B6C394-15C6-425B-B2F4-569F68F68196}"/>
    <cellStyle name="Comma 4 2 2 3 6 3" xfId="6260" xr:uid="{00000000-0005-0000-0000-000024080000}"/>
    <cellStyle name="Comma 4 2 2 3 6 3 2" xfId="14689" xr:uid="{1190A2A7-8F57-4785-9C42-EC118ECD446A}"/>
    <cellStyle name="Comma 4 2 2 3 6 4" xfId="10471" xr:uid="{A58C740C-871E-454D-A06D-F78A50AA3CAD}"/>
    <cellStyle name="Comma 4 2 2 3 7" xfId="2387" xr:uid="{00000000-0005-0000-0000-000025080000}"/>
    <cellStyle name="Comma 4 2 2 3 7 2" xfId="6673" xr:uid="{00000000-0005-0000-0000-000026080000}"/>
    <cellStyle name="Comma 4 2 2 3 7 2 2" xfId="15102" xr:uid="{E08A7A2C-E770-4264-95EC-C8B2FD85A717}"/>
    <cellStyle name="Comma 4 2 2 3 7 3" xfId="10884" xr:uid="{B6EBB10C-033F-4013-9CB2-364683DC5C12}"/>
    <cellStyle name="Comma 4 2 2 3 8" xfId="2378" xr:uid="{00000000-0005-0000-0000-000027080000}"/>
    <cellStyle name="Comma 4 2 2 3 9" xfId="2765" xr:uid="{00000000-0005-0000-0000-000028080000}"/>
    <cellStyle name="Comma 4 2 2 3 9 2" xfId="6990" xr:uid="{00000000-0005-0000-0000-000029080000}"/>
    <cellStyle name="Comma 4 2 2 3 9 2 2" xfId="15419" xr:uid="{19257666-5474-43F1-89B2-85255580C2A8}"/>
    <cellStyle name="Comma 4 2 2 3 9 3" xfId="11201" xr:uid="{C28FBA8B-4022-4C6C-958D-EB1819CA9FC1}"/>
    <cellStyle name="Comma 4 2 2 4" xfId="134" xr:uid="{00000000-0005-0000-0000-00002A080000}"/>
    <cellStyle name="Comma 4 2 2 4 10" xfId="8820" xr:uid="{E02417AF-93E3-4D43-B0CB-ADDD605DD0BE}"/>
    <cellStyle name="Comma 4 2 2 4 2" xfId="673" xr:uid="{00000000-0005-0000-0000-00002B080000}"/>
    <cellStyle name="Comma 4 2 2 4 2 2" xfId="2944" xr:uid="{00000000-0005-0000-0000-00002C080000}"/>
    <cellStyle name="Comma 4 2 2 4 2 2 2" xfId="7168" xr:uid="{00000000-0005-0000-0000-00002D080000}"/>
    <cellStyle name="Comma 4 2 2 4 2 2 2 2" xfId="15597" xr:uid="{61910AFA-7719-459D-9017-64CF876EFB50}"/>
    <cellStyle name="Comma 4 2 2 4 2 2 3" xfId="11379" xr:uid="{37D410B7-DA84-4A44-B5AE-2B9DB772CED1}"/>
    <cellStyle name="Comma 4 2 2 4 2 3" xfId="5023" xr:uid="{00000000-0005-0000-0000-00002E080000}"/>
    <cellStyle name="Comma 4 2 2 4 2 3 2" xfId="13452" xr:uid="{714BF358-6942-4109-A08F-2A8A973F685F}"/>
    <cellStyle name="Comma 4 2 2 4 2 4" xfId="9234" xr:uid="{43D74474-783F-4610-A4B8-09658A385AB7}"/>
    <cellStyle name="Comma 4 2 2 4 3" xfId="1126" xr:uid="{00000000-0005-0000-0000-00002F080000}"/>
    <cellStyle name="Comma 4 2 2 4 3 2" xfId="3357" xr:uid="{00000000-0005-0000-0000-000030080000}"/>
    <cellStyle name="Comma 4 2 2 4 3 2 2" xfId="7581" xr:uid="{00000000-0005-0000-0000-000031080000}"/>
    <cellStyle name="Comma 4 2 2 4 3 2 2 2" xfId="16010" xr:uid="{42723838-39A4-4406-9B2A-ED42B25690F7}"/>
    <cellStyle name="Comma 4 2 2 4 3 2 3" xfId="11792" xr:uid="{F5BCAEF3-239C-4B9F-9C59-334A80603FC4}"/>
    <cellStyle name="Comma 4 2 2 4 3 3" xfId="5436" xr:uid="{00000000-0005-0000-0000-000032080000}"/>
    <cellStyle name="Comma 4 2 2 4 3 3 2" xfId="13865" xr:uid="{2A12EF6C-177D-4573-A560-E9615E17EB40}"/>
    <cellStyle name="Comma 4 2 2 4 3 4" xfId="9647" xr:uid="{804A87CE-C9EA-4FC1-8957-230C50036755}"/>
    <cellStyle name="Comma 4 2 2 4 4" xfId="1540" xr:uid="{00000000-0005-0000-0000-000033080000}"/>
    <cellStyle name="Comma 4 2 2 4 4 2" xfId="3770" xr:uid="{00000000-0005-0000-0000-000034080000}"/>
    <cellStyle name="Comma 4 2 2 4 4 2 2" xfId="7994" xr:uid="{00000000-0005-0000-0000-000035080000}"/>
    <cellStyle name="Comma 4 2 2 4 4 2 2 2" xfId="16423" xr:uid="{847C469C-ADCE-476E-ACA7-E5023DF9AF9B}"/>
    <cellStyle name="Comma 4 2 2 4 4 2 3" xfId="12205" xr:uid="{B1A4FBBE-1DE8-439B-AC1A-61CAD3826849}"/>
    <cellStyle name="Comma 4 2 2 4 4 3" xfId="5849" xr:uid="{00000000-0005-0000-0000-000036080000}"/>
    <cellStyle name="Comma 4 2 2 4 4 3 2" xfId="14278" xr:uid="{29C5BB24-4DD5-4DF4-8706-FDF0BFF59369}"/>
    <cellStyle name="Comma 4 2 2 4 4 4" xfId="10060" xr:uid="{0BC806C5-EC8D-4BE6-8261-5F9730713135}"/>
    <cellStyle name="Comma 4 2 2 4 5" xfId="1954" xr:uid="{00000000-0005-0000-0000-000037080000}"/>
    <cellStyle name="Comma 4 2 2 4 5 2" xfId="4183" xr:uid="{00000000-0005-0000-0000-000038080000}"/>
    <cellStyle name="Comma 4 2 2 4 5 2 2" xfId="8407" xr:uid="{00000000-0005-0000-0000-000039080000}"/>
    <cellStyle name="Comma 4 2 2 4 5 2 2 2" xfId="16836" xr:uid="{3974E4BF-A22B-4D46-B944-DF40537998DD}"/>
    <cellStyle name="Comma 4 2 2 4 5 2 3" xfId="12618" xr:uid="{A9AB6D82-5622-42FE-A44B-1941DB7F6B44}"/>
    <cellStyle name="Comma 4 2 2 4 5 3" xfId="6262" xr:uid="{00000000-0005-0000-0000-00003A080000}"/>
    <cellStyle name="Comma 4 2 2 4 5 3 2" xfId="14691" xr:uid="{0D031EE0-8AE9-47CD-A254-0D2F72A761A6}"/>
    <cellStyle name="Comma 4 2 2 4 5 4" xfId="10473" xr:uid="{69AB4C2E-3CAF-4BE7-B8CE-2D47B2F01BA2}"/>
    <cellStyle name="Comma 4 2 2 4 6" xfId="2389" xr:uid="{00000000-0005-0000-0000-00003B080000}"/>
    <cellStyle name="Comma 4 2 2 4 6 2" xfId="6675" xr:uid="{00000000-0005-0000-0000-00003C080000}"/>
    <cellStyle name="Comma 4 2 2 4 6 2 2" xfId="15104" xr:uid="{EF927CF2-309C-4093-99CD-AD2A0FAEB20C}"/>
    <cellStyle name="Comma 4 2 2 4 6 3" xfId="10886" xr:uid="{AD70944D-85C6-4E17-9612-38273DC70136}"/>
    <cellStyle name="Comma 4 2 2 4 7" xfId="2376" xr:uid="{00000000-0005-0000-0000-00003D080000}"/>
    <cellStyle name="Comma 4 2 2 4 8" xfId="2767" xr:uid="{00000000-0005-0000-0000-00003E080000}"/>
    <cellStyle name="Comma 4 2 2 4 8 2" xfId="6992" xr:uid="{00000000-0005-0000-0000-00003F080000}"/>
    <cellStyle name="Comma 4 2 2 4 8 2 2" xfId="15421" xr:uid="{F94D354C-8473-4A97-9DF1-9A9F83DFDAF9}"/>
    <cellStyle name="Comma 4 2 2 4 8 3" xfId="11203" xr:uid="{C827694D-63A5-444E-B080-78EB39B81D17}"/>
    <cellStyle name="Comma 4 2 2 4 9" xfId="4609" xr:uid="{00000000-0005-0000-0000-000040080000}"/>
    <cellStyle name="Comma 4 2 2 4 9 2" xfId="13038" xr:uid="{3BD987CF-3E54-4F01-AF49-D3C06BE25553}"/>
    <cellStyle name="Comma 4 2 2 5" xfId="135" xr:uid="{00000000-0005-0000-0000-000041080000}"/>
    <cellStyle name="Comma 4 2 2 5 10" xfId="8821" xr:uid="{764A0ED9-CB56-4B45-8572-67ACFF23DCB2}"/>
    <cellStyle name="Comma 4 2 2 5 2" xfId="674" xr:uid="{00000000-0005-0000-0000-000042080000}"/>
    <cellStyle name="Comma 4 2 2 5 2 2" xfId="2945" xr:uid="{00000000-0005-0000-0000-000043080000}"/>
    <cellStyle name="Comma 4 2 2 5 2 2 2" xfId="7169" xr:uid="{00000000-0005-0000-0000-000044080000}"/>
    <cellStyle name="Comma 4 2 2 5 2 2 2 2" xfId="15598" xr:uid="{EE10064C-151D-409F-8CE9-0116B70D441B}"/>
    <cellStyle name="Comma 4 2 2 5 2 2 3" xfId="11380" xr:uid="{FF966BCD-D308-4280-BCFD-0A8B64A294FC}"/>
    <cellStyle name="Comma 4 2 2 5 2 3" xfId="5024" xr:uid="{00000000-0005-0000-0000-000045080000}"/>
    <cellStyle name="Comma 4 2 2 5 2 3 2" xfId="13453" xr:uid="{8C4A6180-8A49-496A-82BA-D1235EA4DF62}"/>
    <cellStyle name="Comma 4 2 2 5 2 4" xfId="9235" xr:uid="{F05D15A4-5FBC-4BBB-91D2-7AD7DCFE658B}"/>
    <cellStyle name="Comma 4 2 2 5 3" xfId="1127" xr:uid="{00000000-0005-0000-0000-000046080000}"/>
    <cellStyle name="Comma 4 2 2 5 3 2" xfId="3358" xr:uid="{00000000-0005-0000-0000-000047080000}"/>
    <cellStyle name="Comma 4 2 2 5 3 2 2" xfId="7582" xr:uid="{00000000-0005-0000-0000-000048080000}"/>
    <cellStyle name="Comma 4 2 2 5 3 2 2 2" xfId="16011" xr:uid="{47F6CD84-26F5-41E6-B632-7073E406F18A}"/>
    <cellStyle name="Comma 4 2 2 5 3 2 3" xfId="11793" xr:uid="{E131E6AC-FCC2-45A1-B93F-FE07F86B2A5C}"/>
    <cellStyle name="Comma 4 2 2 5 3 3" xfId="5437" xr:uid="{00000000-0005-0000-0000-000049080000}"/>
    <cellStyle name="Comma 4 2 2 5 3 3 2" xfId="13866" xr:uid="{93F8A1A1-DB41-4E79-9F5F-D0595AFA281B}"/>
    <cellStyle name="Comma 4 2 2 5 3 4" xfId="9648" xr:uid="{FE6DB935-8467-430A-A572-4BC3638C1972}"/>
    <cellStyle name="Comma 4 2 2 5 4" xfId="1541" xr:uid="{00000000-0005-0000-0000-00004A080000}"/>
    <cellStyle name="Comma 4 2 2 5 4 2" xfId="3771" xr:uid="{00000000-0005-0000-0000-00004B080000}"/>
    <cellStyle name="Comma 4 2 2 5 4 2 2" xfId="7995" xr:uid="{00000000-0005-0000-0000-00004C080000}"/>
    <cellStyle name="Comma 4 2 2 5 4 2 2 2" xfId="16424" xr:uid="{6C96FCFD-B422-4697-B698-2AC22FC00591}"/>
    <cellStyle name="Comma 4 2 2 5 4 2 3" xfId="12206" xr:uid="{496BA6B7-7ADB-468B-97E4-FE6AB74B448A}"/>
    <cellStyle name="Comma 4 2 2 5 4 3" xfId="5850" xr:uid="{00000000-0005-0000-0000-00004D080000}"/>
    <cellStyle name="Comma 4 2 2 5 4 3 2" xfId="14279" xr:uid="{573FE7B6-27D8-4175-94ED-E3D42F8360E6}"/>
    <cellStyle name="Comma 4 2 2 5 4 4" xfId="10061" xr:uid="{30E557D6-D4B8-44A8-A8EF-53D09B8603AF}"/>
    <cellStyle name="Comma 4 2 2 5 5" xfId="1955" xr:uid="{00000000-0005-0000-0000-00004E080000}"/>
    <cellStyle name="Comma 4 2 2 5 5 2" xfId="4184" xr:uid="{00000000-0005-0000-0000-00004F080000}"/>
    <cellStyle name="Comma 4 2 2 5 5 2 2" xfId="8408" xr:uid="{00000000-0005-0000-0000-000050080000}"/>
    <cellStyle name="Comma 4 2 2 5 5 2 2 2" xfId="16837" xr:uid="{27CF62F9-A2C7-458A-967F-8637CB96970F}"/>
    <cellStyle name="Comma 4 2 2 5 5 2 3" xfId="12619" xr:uid="{31BBB400-C078-4FF8-8772-969125E5F7A2}"/>
    <cellStyle name="Comma 4 2 2 5 5 3" xfId="6263" xr:uid="{00000000-0005-0000-0000-000051080000}"/>
    <cellStyle name="Comma 4 2 2 5 5 3 2" xfId="14692" xr:uid="{4E5D442D-35D3-4868-9898-A057F89F7180}"/>
    <cellStyle name="Comma 4 2 2 5 5 4" xfId="10474" xr:uid="{1FA60777-20C3-463F-AA76-AD62AC174410}"/>
    <cellStyle name="Comma 4 2 2 5 6" xfId="2390" xr:uid="{00000000-0005-0000-0000-000052080000}"/>
    <cellStyle name="Comma 4 2 2 5 6 2" xfId="6676" xr:uid="{00000000-0005-0000-0000-000053080000}"/>
    <cellStyle name="Comma 4 2 2 5 6 2 2" xfId="15105" xr:uid="{A2F104D7-58A2-4BCD-9BC8-A6D2E83E2E32}"/>
    <cellStyle name="Comma 4 2 2 5 6 3" xfId="10887" xr:uid="{8C2AE353-A912-44EF-B829-2BE61F9B0582}"/>
    <cellStyle name="Comma 4 2 2 5 7" xfId="2375" xr:uid="{00000000-0005-0000-0000-000054080000}"/>
    <cellStyle name="Comma 4 2 2 5 8" xfId="2768" xr:uid="{00000000-0005-0000-0000-000055080000}"/>
    <cellStyle name="Comma 4 2 2 5 8 2" xfId="6993" xr:uid="{00000000-0005-0000-0000-000056080000}"/>
    <cellStyle name="Comma 4 2 2 5 8 2 2" xfId="15422" xr:uid="{5C4D1A1A-DD30-49D6-BB3F-EA59DBEBC697}"/>
    <cellStyle name="Comma 4 2 2 5 8 3" xfId="11204" xr:uid="{8A3BA141-68BB-4ED2-ABE2-A53864B94487}"/>
    <cellStyle name="Comma 4 2 2 5 9" xfId="4610" xr:uid="{00000000-0005-0000-0000-000057080000}"/>
    <cellStyle name="Comma 4 2 2 5 9 2" xfId="13039" xr:uid="{6D0635D1-121E-4F61-AC6E-0C75CDBCBB31}"/>
    <cellStyle name="Comma 4 2 3" xfId="136" xr:uid="{00000000-0005-0000-0000-000058080000}"/>
    <cellStyle name="Comma 4 2 3 10" xfId="2769" xr:uid="{00000000-0005-0000-0000-000059080000}"/>
    <cellStyle name="Comma 4 2 3 10 2" xfId="6994" xr:uid="{00000000-0005-0000-0000-00005A080000}"/>
    <cellStyle name="Comma 4 2 3 10 2 2" xfId="15423" xr:uid="{3601B6D1-4D33-4229-8719-15B22C168932}"/>
    <cellStyle name="Comma 4 2 3 10 3" xfId="11205" xr:uid="{F54EF5E4-D4D0-4348-A5F4-8B28D2E05CB0}"/>
    <cellStyle name="Comma 4 2 3 11" xfId="4611" xr:uid="{00000000-0005-0000-0000-00005B080000}"/>
    <cellStyle name="Comma 4 2 3 11 2" xfId="13040" xr:uid="{E157B5FD-3DA1-4BE3-9745-A2153077E460}"/>
    <cellStyle name="Comma 4 2 3 12" xfId="8822" xr:uid="{582AEE9A-43FB-47CE-86C2-34BF8BB20D47}"/>
    <cellStyle name="Comma 4 2 3 2" xfId="137" xr:uid="{00000000-0005-0000-0000-00005C080000}"/>
    <cellStyle name="Comma 4 2 3 2 10" xfId="4612" xr:uid="{00000000-0005-0000-0000-00005D080000}"/>
    <cellStyle name="Comma 4 2 3 2 10 2" xfId="13041" xr:uid="{C97ABA5F-EEC0-43FA-9761-E7F25A73BD38}"/>
    <cellStyle name="Comma 4 2 3 2 11" xfId="8823" xr:uid="{6ECB1532-09B8-4A46-9F5C-2C3561ED1A75}"/>
    <cellStyle name="Comma 4 2 3 2 2" xfId="138" xr:uid="{00000000-0005-0000-0000-00005E080000}"/>
    <cellStyle name="Comma 4 2 3 2 2 10" xfId="8824" xr:uid="{251C09B5-CCD2-4FEC-94EA-3E6F62D87C57}"/>
    <cellStyle name="Comma 4 2 3 2 2 2" xfId="677" xr:uid="{00000000-0005-0000-0000-00005F080000}"/>
    <cellStyle name="Comma 4 2 3 2 2 2 2" xfId="2948" xr:uid="{00000000-0005-0000-0000-000060080000}"/>
    <cellStyle name="Comma 4 2 3 2 2 2 2 2" xfId="7172" xr:uid="{00000000-0005-0000-0000-000061080000}"/>
    <cellStyle name="Comma 4 2 3 2 2 2 2 2 2" xfId="15601" xr:uid="{A0A827B7-E8DA-49E3-90B7-0AD3AD5F30E6}"/>
    <cellStyle name="Comma 4 2 3 2 2 2 2 3" xfId="11383" xr:uid="{1310A90D-45BA-4878-BB7C-41838012366A}"/>
    <cellStyle name="Comma 4 2 3 2 2 2 3" xfId="5027" xr:uid="{00000000-0005-0000-0000-000062080000}"/>
    <cellStyle name="Comma 4 2 3 2 2 2 3 2" xfId="13456" xr:uid="{C8B30ACD-90B0-4787-8533-3971F8193B17}"/>
    <cellStyle name="Comma 4 2 3 2 2 2 4" xfId="9238" xr:uid="{F40AEDF7-836D-48B8-9454-DF5219B21B0F}"/>
    <cellStyle name="Comma 4 2 3 2 2 3" xfId="1130" xr:uid="{00000000-0005-0000-0000-000063080000}"/>
    <cellStyle name="Comma 4 2 3 2 2 3 2" xfId="3361" xr:uid="{00000000-0005-0000-0000-000064080000}"/>
    <cellStyle name="Comma 4 2 3 2 2 3 2 2" xfId="7585" xr:uid="{00000000-0005-0000-0000-000065080000}"/>
    <cellStyle name="Comma 4 2 3 2 2 3 2 2 2" xfId="16014" xr:uid="{4169BA9D-AFDC-460A-9C3B-79B00A9A7F2D}"/>
    <cellStyle name="Comma 4 2 3 2 2 3 2 3" xfId="11796" xr:uid="{AB901413-D87A-4781-99A1-05884FEC532B}"/>
    <cellStyle name="Comma 4 2 3 2 2 3 3" xfId="5440" xr:uid="{00000000-0005-0000-0000-000066080000}"/>
    <cellStyle name="Comma 4 2 3 2 2 3 3 2" xfId="13869" xr:uid="{CC52F264-FF9E-4C3B-AFFF-FAD456053C34}"/>
    <cellStyle name="Comma 4 2 3 2 2 3 4" xfId="9651" xr:uid="{ADA9AAE0-D4FF-419E-A127-1F2215334081}"/>
    <cellStyle name="Comma 4 2 3 2 2 4" xfId="1544" xr:uid="{00000000-0005-0000-0000-000067080000}"/>
    <cellStyle name="Comma 4 2 3 2 2 4 2" xfId="3774" xr:uid="{00000000-0005-0000-0000-000068080000}"/>
    <cellStyle name="Comma 4 2 3 2 2 4 2 2" xfId="7998" xr:uid="{00000000-0005-0000-0000-000069080000}"/>
    <cellStyle name="Comma 4 2 3 2 2 4 2 2 2" xfId="16427" xr:uid="{58F1D874-5038-4106-8820-A783D3F0320D}"/>
    <cellStyle name="Comma 4 2 3 2 2 4 2 3" xfId="12209" xr:uid="{BE229C35-2EBB-45F4-BEBB-6B61B3B1DC9C}"/>
    <cellStyle name="Comma 4 2 3 2 2 4 3" xfId="5853" xr:uid="{00000000-0005-0000-0000-00006A080000}"/>
    <cellStyle name="Comma 4 2 3 2 2 4 3 2" xfId="14282" xr:uid="{DF6CC4E0-B9F5-4DE7-A84C-866C2ED53F80}"/>
    <cellStyle name="Comma 4 2 3 2 2 4 4" xfId="10064" xr:uid="{A0DACF3E-1FED-405D-B463-F8982D202517}"/>
    <cellStyle name="Comma 4 2 3 2 2 5" xfId="1958" xr:uid="{00000000-0005-0000-0000-00006B080000}"/>
    <cellStyle name="Comma 4 2 3 2 2 5 2" xfId="4187" xr:uid="{00000000-0005-0000-0000-00006C080000}"/>
    <cellStyle name="Comma 4 2 3 2 2 5 2 2" xfId="8411" xr:uid="{00000000-0005-0000-0000-00006D080000}"/>
    <cellStyle name="Comma 4 2 3 2 2 5 2 2 2" xfId="16840" xr:uid="{FE6949EF-CA19-49DB-A43E-AA53C91AF0FF}"/>
    <cellStyle name="Comma 4 2 3 2 2 5 2 3" xfId="12622" xr:uid="{FD8AAEE2-58E6-4C26-BFBD-CE66F749F2F0}"/>
    <cellStyle name="Comma 4 2 3 2 2 5 3" xfId="6266" xr:uid="{00000000-0005-0000-0000-00006E080000}"/>
    <cellStyle name="Comma 4 2 3 2 2 5 3 2" xfId="14695" xr:uid="{CA0CF1F0-33BC-4F0F-B8E3-952A8F6ECEAD}"/>
    <cellStyle name="Comma 4 2 3 2 2 5 4" xfId="10477" xr:uid="{2187D83B-EF0E-424B-984E-AAA1CD962091}"/>
    <cellStyle name="Comma 4 2 3 2 2 6" xfId="2393" xr:uid="{00000000-0005-0000-0000-00006F080000}"/>
    <cellStyle name="Comma 4 2 3 2 2 6 2" xfId="6679" xr:uid="{00000000-0005-0000-0000-000070080000}"/>
    <cellStyle name="Comma 4 2 3 2 2 6 2 2" xfId="15108" xr:uid="{A379302C-2009-4EA8-8D60-062BF022E8E0}"/>
    <cellStyle name="Comma 4 2 3 2 2 6 3" xfId="10890" xr:uid="{84A8F8A2-955A-48F3-81D0-21A3C2239A06}"/>
    <cellStyle name="Comma 4 2 3 2 2 7" xfId="2372" xr:uid="{00000000-0005-0000-0000-000071080000}"/>
    <cellStyle name="Comma 4 2 3 2 2 8" xfId="2771" xr:uid="{00000000-0005-0000-0000-000072080000}"/>
    <cellStyle name="Comma 4 2 3 2 2 8 2" xfId="6996" xr:uid="{00000000-0005-0000-0000-000073080000}"/>
    <cellStyle name="Comma 4 2 3 2 2 8 2 2" xfId="15425" xr:uid="{C670FE12-1928-4EF4-B927-B6B50ED282F8}"/>
    <cellStyle name="Comma 4 2 3 2 2 8 3" xfId="11207" xr:uid="{F505730B-A388-4A3B-AD47-D4CD6F7E388B}"/>
    <cellStyle name="Comma 4 2 3 2 2 9" xfId="4613" xr:uid="{00000000-0005-0000-0000-000074080000}"/>
    <cellStyle name="Comma 4 2 3 2 2 9 2" xfId="13042" xr:uid="{C142E194-A346-4C53-88BF-6DF6C271A824}"/>
    <cellStyle name="Comma 4 2 3 2 3" xfId="676" xr:uid="{00000000-0005-0000-0000-000075080000}"/>
    <cellStyle name="Comma 4 2 3 2 3 2" xfId="2947" xr:uid="{00000000-0005-0000-0000-000076080000}"/>
    <cellStyle name="Comma 4 2 3 2 3 2 2" xfId="7171" xr:uid="{00000000-0005-0000-0000-000077080000}"/>
    <cellStyle name="Comma 4 2 3 2 3 2 2 2" xfId="15600" xr:uid="{3AA62B09-EADF-4DBA-B249-D07905295496}"/>
    <cellStyle name="Comma 4 2 3 2 3 2 3" xfId="11382" xr:uid="{E11D5872-5E46-42A5-9BDA-F3AD5397397D}"/>
    <cellStyle name="Comma 4 2 3 2 3 3" xfId="5026" xr:uid="{00000000-0005-0000-0000-000078080000}"/>
    <cellStyle name="Comma 4 2 3 2 3 3 2" xfId="13455" xr:uid="{B0599764-6344-4ADE-9CD5-ED23590A46BE}"/>
    <cellStyle name="Comma 4 2 3 2 3 4" xfId="9237" xr:uid="{07463817-470F-4668-9A05-A38647734C9A}"/>
    <cellStyle name="Comma 4 2 3 2 4" xfId="1129" xr:uid="{00000000-0005-0000-0000-000079080000}"/>
    <cellStyle name="Comma 4 2 3 2 4 2" xfId="3360" xr:uid="{00000000-0005-0000-0000-00007A080000}"/>
    <cellStyle name="Comma 4 2 3 2 4 2 2" xfId="7584" xr:uid="{00000000-0005-0000-0000-00007B080000}"/>
    <cellStyle name="Comma 4 2 3 2 4 2 2 2" xfId="16013" xr:uid="{CA8842D0-1669-415C-8E4F-F48DDDCFABF8}"/>
    <cellStyle name="Comma 4 2 3 2 4 2 3" xfId="11795" xr:uid="{CA198C10-1BAA-4BA8-963B-871DD7299DB3}"/>
    <cellStyle name="Comma 4 2 3 2 4 3" xfId="5439" xr:uid="{00000000-0005-0000-0000-00007C080000}"/>
    <cellStyle name="Comma 4 2 3 2 4 3 2" xfId="13868" xr:uid="{0A40D808-74F2-45CD-87CE-754E16029AF4}"/>
    <cellStyle name="Comma 4 2 3 2 4 4" xfId="9650" xr:uid="{3A5EE1AA-8590-42C3-ADDB-83160AC79FB4}"/>
    <cellStyle name="Comma 4 2 3 2 5" xfId="1543" xr:uid="{00000000-0005-0000-0000-00007D080000}"/>
    <cellStyle name="Comma 4 2 3 2 5 2" xfId="3773" xr:uid="{00000000-0005-0000-0000-00007E080000}"/>
    <cellStyle name="Comma 4 2 3 2 5 2 2" xfId="7997" xr:uid="{00000000-0005-0000-0000-00007F080000}"/>
    <cellStyle name="Comma 4 2 3 2 5 2 2 2" xfId="16426" xr:uid="{71B63841-CA3A-4290-80EF-24B6EA9F43CD}"/>
    <cellStyle name="Comma 4 2 3 2 5 2 3" xfId="12208" xr:uid="{D4114686-910A-4E37-A390-059561338286}"/>
    <cellStyle name="Comma 4 2 3 2 5 3" xfId="5852" xr:uid="{00000000-0005-0000-0000-000080080000}"/>
    <cellStyle name="Comma 4 2 3 2 5 3 2" xfId="14281" xr:uid="{0A97674B-C626-4CB0-9C1E-30A96984778F}"/>
    <cellStyle name="Comma 4 2 3 2 5 4" xfId="10063" xr:uid="{8F98B292-AEC1-4225-B1A7-38309C92CE28}"/>
    <cellStyle name="Comma 4 2 3 2 6" xfId="1957" xr:uid="{00000000-0005-0000-0000-000081080000}"/>
    <cellStyle name="Comma 4 2 3 2 6 2" xfId="4186" xr:uid="{00000000-0005-0000-0000-000082080000}"/>
    <cellStyle name="Comma 4 2 3 2 6 2 2" xfId="8410" xr:uid="{00000000-0005-0000-0000-000083080000}"/>
    <cellStyle name="Comma 4 2 3 2 6 2 2 2" xfId="16839" xr:uid="{6BE6042F-409B-47DA-87CE-1819DA0F4485}"/>
    <cellStyle name="Comma 4 2 3 2 6 2 3" xfId="12621" xr:uid="{15087795-C665-44CB-88D0-C587027013AA}"/>
    <cellStyle name="Comma 4 2 3 2 6 3" xfId="6265" xr:uid="{00000000-0005-0000-0000-000084080000}"/>
    <cellStyle name="Comma 4 2 3 2 6 3 2" xfId="14694" xr:uid="{5208ECB6-028D-43AE-A80D-22826F9A545D}"/>
    <cellStyle name="Comma 4 2 3 2 6 4" xfId="10476" xr:uid="{497F376B-D15E-46F0-9731-8EB63D78772F}"/>
    <cellStyle name="Comma 4 2 3 2 7" xfId="2392" xr:uid="{00000000-0005-0000-0000-000085080000}"/>
    <cellStyle name="Comma 4 2 3 2 7 2" xfId="6678" xr:uid="{00000000-0005-0000-0000-000086080000}"/>
    <cellStyle name="Comma 4 2 3 2 7 2 2" xfId="15107" xr:uid="{39D2D1E7-3EFB-4DA3-ABDC-40A17130ED52}"/>
    <cellStyle name="Comma 4 2 3 2 7 3" xfId="10889" xr:uid="{E891AB90-28B6-441A-B5BE-68D60871859D}"/>
    <cellStyle name="Comma 4 2 3 2 8" xfId="2373" xr:uid="{00000000-0005-0000-0000-000087080000}"/>
    <cellStyle name="Comma 4 2 3 2 9" xfId="2770" xr:uid="{00000000-0005-0000-0000-000088080000}"/>
    <cellStyle name="Comma 4 2 3 2 9 2" xfId="6995" xr:uid="{00000000-0005-0000-0000-000089080000}"/>
    <cellStyle name="Comma 4 2 3 2 9 2 2" xfId="15424" xr:uid="{F33A37EC-5B7C-4F0C-BCA1-3115FFD034FE}"/>
    <cellStyle name="Comma 4 2 3 2 9 3" xfId="11206" xr:uid="{3C938B94-A9B5-4F32-B13C-A3D4B757DB3D}"/>
    <cellStyle name="Comma 4 2 3 3" xfId="139" xr:uid="{00000000-0005-0000-0000-00008A080000}"/>
    <cellStyle name="Comma 4 2 3 3 10" xfId="8825" xr:uid="{61F1F734-B46C-4936-988A-4B80B110652A}"/>
    <cellStyle name="Comma 4 2 3 3 2" xfId="678" xr:uid="{00000000-0005-0000-0000-00008B080000}"/>
    <cellStyle name="Comma 4 2 3 3 2 2" xfId="2949" xr:uid="{00000000-0005-0000-0000-00008C080000}"/>
    <cellStyle name="Comma 4 2 3 3 2 2 2" xfId="7173" xr:uid="{00000000-0005-0000-0000-00008D080000}"/>
    <cellStyle name="Comma 4 2 3 3 2 2 2 2" xfId="15602" xr:uid="{A0D2BBC9-8ADD-4B3F-AF98-502DC6FD5C68}"/>
    <cellStyle name="Comma 4 2 3 3 2 2 3" xfId="11384" xr:uid="{F8352870-C1E0-4D2D-A4CE-83D821D95C78}"/>
    <cellStyle name="Comma 4 2 3 3 2 3" xfId="5028" xr:uid="{00000000-0005-0000-0000-00008E080000}"/>
    <cellStyle name="Comma 4 2 3 3 2 3 2" xfId="13457" xr:uid="{A9DC191D-F235-4371-8F46-EEF266F8FCD9}"/>
    <cellStyle name="Comma 4 2 3 3 2 4" xfId="9239" xr:uid="{D6B5D818-9508-4AEC-BB19-7289E325E69C}"/>
    <cellStyle name="Comma 4 2 3 3 3" xfId="1131" xr:uid="{00000000-0005-0000-0000-00008F080000}"/>
    <cellStyle name="Comma 4 2 3 3 3 2" xfId="3362" xr:uid="{00000000-0005-0000-0000-000090080000}"/>
    <cellStyle name="Comma 4 2 3 3 3 2 2" xfId="7586" xr:uid="{00000000-0005-0000-0000-000091080000}"/>
    <cellStyle name="Comma 4 2 3 3 3 2 2 2" xfId="16015" xr:uid="{4CACC150-954A-44D6-9F07-94F4553B86D7}"/>
    <cellStyle name="Comma 4 2 3 3 3 2 3" xfId="11797" xr:uid="{286BA417-94F8-45C8-BA6E-B7E40D0664E7}"/>
    <cellStyle name="Comma 4 2 3 3 3 3" xfId="5441" xr:uid="{00000000-0005-0000-0000-000092080000}"/>
    <cellStyle name="Comma 4 2 3 3 3 3 2" xfId="13870" xr:uid="{87BADAF3-57BC-4208-A131-8EB60CC85787}"/>
    <cellStyle name="Comma 4 2 3 3 3 4" xfId="9652" xr:uid="{A41DBE8F-83DD-4B05-8328-20535F4D584E}"/>
    <cellStyle name="Comma 4 2 3 3 4" xfId="1545" xr:uid="{00000000-0005-0000-0000-000093080000}"/>
    <cellStyle name="Comma 4 2 3 3 4 2" xfId="3775" xr:uid="{00000000-0005-0000-0000-000094080000}"/>
    <cellStyle name="Comma 4 2 3 3 4 2 2" xfId="7999" xr:uid="{00000000-0005-0000-0000-000095080000}"/>
    <cellStyle name="Comma 4 2 3 3 4 2 2 2" xfId="16428" xr:uid="{062D5A4D-936C-474D-87FD-B5BBA3F79536}"/>
    <cellStyle name="Comma 4 2 3 3 4 2 3" xfId="12210" xr:uid="{E8B0611D-E5E4-41F5-8B0F-F65BC76DF166}"/>
    <cellStyle name="Comma 4 2 3 3 4 3" xfId="5854" xr:uid="{00000000-0005-0000-0000-000096080000}"/>
    <cellStyle name="Comma 4 2 3 3 4 3 2" xfId="14283" xr:uid="{3E092ED0-21C8-4168-8E65-AF96EDBADC75}"/>
    <cellStyle name="Comma 4 2 3 3 4 4" xfId="10065" xr:uid="{E5C40A49-A00F-4BC5-B18B-FA599F71FAAD}"/>
    <cellStyle name="Comma 4 2 3 3 5" xfId="1959" xr:uid="{00000000-0005-0000-0000-000097080000}"/>
    <cellStyle name="Comma 4 2 3 3 5 2" xfId="4188" xr:uid="{00000000-0005-0000-0000-000098080000}"/>
    <cellStyle name="Comma 4 2 3 3 5 2 2" xfId="8412" xr:uid="{00000000-0005-0000-0000-000099080000}"/>
    <cellStyle name="Comma 4 2 3 3 5 2 2 2" xfId="16841" xr:uid="{40C89984-6649-456C-8D8E-9475E150310E}"/>
    <cellStyle name="Comma 4 2 3 3 5 2 3" xfId="12623" xr:uid="{083F6EF9-949F-4EA7-82DD-BB2F7923CBE5}"/>
    <cellStyle name="Comma 4 2 3 3 5 3" xfId="6267" xr:uid="{00000000-0005-0000-0000-00009A080000}"/>
    <cellStyle name="Comma 4 2 3 3 5 3 2" xfId="14696" xr:uid="{C5B56F74-A2EE-489C-9F60-B19E12CE81D3}"/>
    <cellStyle name="Comma 4 2 3 3 5 4" xfId="10478" xr:uid="{25A6F396-16C8-4834-9DEA-C838B58CF409}"/>
    <cellStyle name="Comma 4 2 3 3 6" xfId="2394" xr:uid="{00000000-0005-0000-0000-00009B080000}"/>
    <cellStyle name="Comma 4 2 3 3 6 2" xfId="6680" xr:uid="{00000000-0005-0000-0000-00009C080000}"/>
    <cellStyle name="Comma 4 2 3 3 6 2 2" xfId="15109" xr:uid="{7B297802-3A69-466A-B1ED-CF42D33A5D3B}"/>
    <cellStyle name="Comma 4 2 3 3 6 3" xfId="10891" xr:uid="{A4A92CCF-7E19-45FD-A382-29CFA5D8CC40}"/>
    <cellStyle name="Comma 4 2 3 3 7" xfId="2371" xr:uid="{00000000-0005-0000-0000-00009D080000}"/>
    <cellStyle name="Comma 4 2 3 3 8" xfId="2772" xr:uid="{00000000-0005-0000-0000-00009E080000}"/>
    <cellStyle name="Comma 4 2 3 3 8 2" xfId="6997" xr:uid="{00000000-0005-0000-0000-00009F080000}"/>
    <cellStyle name="Comma 4 2 3 3 8 2 2" xfId="15426" xr:uid="{E07985DB-F773-4572-AA3A-852456645B8C}"/>
    <cellStyle name="Comma 4 2 3 3 8 3" xfId="11208" xr:uid="{6FE4F822-0410-4B2E-9FD1-89491E7A0217}"/>
    <cellStyle name="Comma 4 2 3 3 9" xfId="4614" xr:uid="{00000000-0005-0000-0000-0000A0080000}"/>
    <cellStyle name="Comma 4 2 3 3 9 2" xfId="13043" xr:uid="{E00B7745-80D5-4DAA-BF71-853DE03427DC}"/>
    <cellStyle name="Comma 4 2 3 4" xfId="675" xr:uid="{00000000-0005-0000-0000-0000A1080000}"/>
    <cellStyle name="Comma 4 2 3 4 2" xfId="2946" xr:uid="{00000000-0005-0000-0000-0000A2080000}"/>
    <cellStyle name="Comma 4 2 3 4 2 2" xfId="7170" xr:uid="{00000000-0005-0000-0000-0000A3080000}"/>
    <cellStyle name="Comma 4 2 3 4 2 2 2" xfId="15599" xr:uid="{85D18801-AC34-4BDB-B25A-6C4FD7F82BE8}"/>
    <cellStyle name="Comma 4 2 3 4 2 3" xfId="11381" xr:uid="{1E59D377-C795-49A9-BE6F-F42BD9AA966B}"/>
    <cellStyle name="Comma 4 2 3 4 3" xfId="5025" xr:uid="{00000000-0005-0000-0000-0000A4080000}"/>
    <cellStyle name="Comma 4 2 3 4 3 2" xfId="13454" xr:uid="{FF6F325D-BB4E-4A5A-8171-B3F909206310}"/>
    <cellStyle name="Comma 4 2 3 4 4" xfId="9236" xr:uid="{E3BBCE31-E4E7-4117-8133-D3012F82574B}"/>
    <cellStyle name="Comma 4 2 3 5" xfId="1128" xr:uid="{00000000-0005-0000-0000-0000A5080000}"/>
    <cellStyle name="Comma 4 2 3 5 2" xfId="3359" xr:uid="{00000000-0005-0000-0000-0000A6080000}"/>
    <cellStyle name="Comma 4 2 3 5 2 2" xfId="7583" xr:uid="{00000000-0005-0000-0000-0000A7080000}"/>
    <cellStyle name="Comma 4 2 3 5 2 2 2" xfId="16012" xr:uid="{704D10E7-56C9-4586-AEBB-9648CF6ED9A9}"/>
    <cellStyle name="Comma 4 2 3 5 2 3" xfId="11794" xr:uid="{08BC5312-9989-4038-AD9D-8CA9B4A99B13}"/>
    <cellStyle name="Comma 4 2 3 5 3" xfId="5438" xr:uid="{00000000-0005-0000-0000-0000A8080000}"/>
    <cellStyle name="Comma 4 2 3 5 3 2" xfId="13867" xr:uid="{274BFC92-8D79-45DC-A2D3-DAF0D095CD45}"/>
    <cellStyle name="Comma 4 2 3 5 4" xfId="9649" xr:uid="{63727BC1-C44D-4205-932D-EA80CC718D25}"/>
    <cellStyle name="Comma 4 2 3 6" xfId="1542" xr:uid="{00000000-0005-0000-0000-0000A9080000}"/>
    <cellStyle name="Comma 4 2 3 6 2" xfId="3772" xr:uid="{00000000-0005-0000-0000-0000AA080000}"/>
    <cellStyle name="Comma 4 2 3 6 2 2" xfId="7996" xr:uid="{00000000-0005-0000-0000-0000AB080000}"/>
    <cellStyle name="Comma 4 2 3 6 2 2 2" xfId="16425" xr:uid="{28EE7353-9A53-4787-BCB8-3B1EE64B7324}"/>
    <cellStyle name="Comma 4 2 3 6 2 3" xfId="12207" xr:uid="{435D322E-D5DF-4136-BE7C-435AE727F72C}"/>
    <cellStyle name="Comma 4 2 3 6 3" xfId="5851" xr:uid="{00000000-0005-0000-0000-0000AC080000}"/>
    <cellStyle name="Comma 4 2 3 6 3 2" xfId="14280" xr:uid="{2E712E8B-AABD-4348-A061-F52A564F47C4}"/>
    <cellStyle name="Comma 4 2 3 6 4" xfId="10062" xr:uid="{FA47F585-6182-450D-9A18-D989334D99C1}"/>
    <cellStyle name="Comma 4 2 3 7" xfId="1956" xr:uid="{00000000-0005-0000-0000-0000AD080000}"/>
    <cellStyle name="Comma 4 2 3 7 2" xfId="4185" xr:uid="{00000000-0005-0000-0000-0000AE080000}"/>
    <cellStyle name="Comma 4 2 3 7 2 2" xfId="8409" xr:uid="{00000000-0005-0000-0000-0000AF080000}"/>
    <cellStyle name="Comma 4 2 3 7 2 2 2" xfId="16838" xr:uid="{94FCDF78-E955-4C82-8F30-C9AD82EEF5A4}"/>
    <cellStyle name="Comma 4 2 3 7 2 3" xfId="12620" xr:uid="{B5B62378-8204-4C2B-B0C8-CF07A2BEC953}"/>
    <cellStyle name="Comma 4 2 3 7 3" xfId="6264" xr:uid="{00000000-0005-0000-0000-0000B0080000}"/>
    <cellStyle name="Comma 4 2 3 7 3 2" xfId="14693" xr:uid="{8B0DE203-E0E5-4987-901E-BD9980B39FAF}"/>
    <cellStyle name="Comma 4 2 3 7 4" xfId="10475" xr:uid="{78D17E8A-DD28-4415-BE4D-CE7CB6FDEC51}"/>
    <cellStyle name="Comma 4 2 3 8" xfId="2391" xr:uid="{00000000-0005-0000-0000-0000B1080000}"/>
    <cellStyle name="Comma 4 2 3 8 2" xfId="6677" xr:uid="{00000000-0005-0000-0000-0000B2080000}"/>
    <cellStyle name="Comma 4 2 3 8 2 2" xfId="15106" xr:uid="{4509E013-A521-42EA-B0AB-DCDF6F1C1894}"/>
    <cellStyle name="Comma 4 2 3 8 3" xfId="10888" xr:uid="{D3669FF9-EC0A-4C59-8CD5-6F9AD3F75D06}"/>
    <cellStyle name="Comma 4 2 3 9" xfId="2374" xr:uid="{00000000-0005-0000-0000-0000B3080000}"/>
    <cellStyle name="Comma 4 2 4" xfId="140" xr:uid="{00000000-0005-0000-0000-0000B4080000}"/>
    <cellStyle name="Comma 4 2 4 10" xfId="4615" xr:uid="{00000000-0005-0000-0000-0000B5080000}"/>
    <cellStyle name="Comma 4 2 4 10 2" xfId="13044" xr:uid="{489BE80B-4D76-4A1A-93EF-F55B6110FFCE}"/>
    <cellStyle name="Comma 4 2 4 11" xfId="8826" xr:uid="{E6797745-577D-4815-8E57-9EDB1F4EC488}"/>
    <cellStyle name="Comma 4 2 4 2" xfId="141" xr:uid="{00000000-0005-0000-0000-0000B6080000}"/>
    <cellStyle name="Comma 4 2 4 2 10" xfId="8827" xr:uid="{B8651DA8-1F51-4EE0-8649-576F83A99183}"/>
    <cellStyle name="Comma 4 2 4 2 2" xfId="680" xr:uid="{00000000-0005-0000-0000-0000B7080000}"/>
    <cellStyle name="Comma 4 2 4 2 2 2" xfId="2951" xr:uid="{00000000-0005-0000-0000-0000B8080000}"/>
    <cellStyle name="Comma 4 2 4 2 2 2 2" xfId="7175" xr:uid="{00000000-0005-0000-0000-0000B9080000}"/>
    <cellStyle name="Comma 4 2 4 2 2 2 2 2" xfId="15604" xr:uid="{E5913F51-97E4-4D18-A421-397349782A93}"/>
    <cellStyle name="Comma 4 2 4 2 2 2 3" xfId="11386" xr:uid="{8C063C91-52C8-4FED-ACBB-74DC57092DF4}"/>
    <cellStyle name="Comma 4 2 4 2 2 3" xfId="5030" xr:uid="{00000000-0005-0000-0000-0000BA080000}"/>
    <cellStyle name="Comma 4 2 4 2 2 3 2" xfId="13459" xr:uid="{56CC4076-8034-4E9B-AFE2-CAD8F259C6E5}"/>
    <cellStyle name="Comma 4 2 4 2 2 4" xfId="9241" xr:uid="{1E1BB189-A418-46EE-BB08-D2D006D14D75}"/>
    <cellStyle name="Comma 4 2 4 2 3" xfId="1133" xr:uid="{00000000-0005-0000-0000-0000BB080000}"/>
    <cellStyle name="Comma 4 2 4 2 3 2" xfId="3364" xr:uid="{00000000-0005-0000-0000-0000BC080000}"/>
    <cellStyle name="Comma 4 2 4 2 3 2 2" xfId="7588" xr:uid="{00000000-0005-0000-0000-0000BD080000}"/>
    <cellStyle name="Comma 4 2 4 2 3 2 2 2" xfId="16017" xr:uid="{BA16B0F8-EB04-4118-B819-33E48D417512}"/>
    <cellStyle name="Comma 4 2 4 2 3 2 3" xfId="11799" xr:uid="{277021DE-B7E7-4C1E-85A3-8BADBAF5381B}"/>
    <cellStyle name="Comma 4 2 4 2 3 3" xfId="5443" xr:uid="{00000000-0005-0000-0000-0000BE080000}"/>
    <cellStyle name="Comma 4 2 4 2 3 3 2" xfId="13872" xr:uid="{0BBE3766-E002-4617-8608-9F991723369E}"/>
    <cellStyle name="Comma 4 2 4 2 3 4" xfId="9654" xr:uid="{7A9F1C38-63F2-47ED-99F2-8C011E230DD0}"/>
    <cellStyle name="Comma 4 2 4 2 4" xfId="1547" xr:uid="{00000000-0005-0000-0000-0000BF080000}"/>
    <cellStyle name="Comma 4 2 4 2 4 2" xfId="3777" xr:uid="{00000000-0005-0000-0000-0000C0080000}"/>
    <cellStyle name="Comma 4 2 4 2 4 2 2" xfId="8001" xr:uid="{00000000-0005-0000-0000-0000C1080000}"/>
    <cellStyle name="Comma 4 2 4 2 4 2 2 2" xfId="16430" xr:uid="{23CBA197-0458-44E5-A597-192375EBC0EC}"/>
    <cellStyle name="Comma 4 2 4 2 4 2 3" xfId="12212" xr:uid="{A17C94EB-1054-4379-B9D6-5436B0CC4507}"/>
    <cellStyle name="Comma 4 2 4 2 4 3" xfId="5856" xr:uid="{00000000-0005-0000-0000-0000C2080000}"/>
    <cellStyle name="Comma 4 2 4 2 4 3 2" xfId="14285" xr:uid="{8D840634-F397-4452-A5A6-BB0E0BC3D731}"/>
    <cellStyle name="Comma 4 2 4 2 4 4" xfId="10067" xr:uid="{57841572-7B21-4F58-97E6-C078DABFBCAB}"/>
    <cellStyle name="Comma 4 2 4 2 5" xfId="1961" xr:uid="{00000000-0005-0000-0000-0000C3080000}"/>
    <cellStyle name="Comma 4 2 4 2 5 2" xfId="4190" xr:uid="{00000000-0005-0000-0000-0000C4080000}"/>
    <cellStyle name="Comma 4 2 4 2 5 2 2" xfId="8414" xr:uid="{00000000-0005-0000-0000-0000C5080000}"/>
    <cellStyle name="Comma 4 2 4 2 5 2 2 2" xfId="16843" xr:uid="{B11A3C3C-B61F-4432-A308-1EE7A944E8E0}"/>
    <cellStyle name="Comma 4 2 4 2 5 2 3" xfId="12625" xr:uid="{368945FC-CCB8-467E-A68D-32974A3E5EBC}"/>
    <cellStyle name="Comma 4 2 4 2 5 3" xfId="6269" xr:uid="{00000000-0005-0000-0000-0000C6080000}"/>
    <cellStyle name="Comma 4 2 4 2 5 3 2" xfId="14698" xr:uid="{87B218A9-5243-47EC-8CD3-DDBA3A1A4441}"/>
    <cellStyle name="Comma 4 2 4 2 5 4" xfId="10480" xr:uid="{93F9EFAA-0F76-46A5-B982-8507D7B90310}"/>
    <cellStyle name="Comma 4 2 4 2 6" xfId="2396" xr:uid="{00000000-0005-0000-0000-0000C7080000}"/>
    <cellStyle name="Comma 4 2 4 2 6 2" xfId="6682" xr:uid="{00000000-0005-0000-0000-0000C8080000}"/>
    <cellStyle name="Comma 4 2 4 2 6 2 2" xfId="15111" xr:uid="{3B1B4A24-4909-445B-B78F-61E504745926}"/>
    <cellStyle name="Comma 4 2 4 2 6 3" xfId="10893" xr:uid="{13180216-1D4A-4667-AF95-631A1E57A8CA}"/>
    <cellStyle name="Comma 4 2 4 2 7" xfId="2369" xr:uid="{00000000-0005-0000-0000-0000C9080000}"/>
    <cellStyle name="Comma 4 2 4 2 8" xfId="2774" xr:uid="{00000000-0005-0000-0000-0000CA080000}"/>
    <cellStyle name="Comma 4 2 4 2 8 2" xfId="6999" xr:uid="{00000000-0005-0000-0000-0000CB080000}"/>
    <cellStyle name="Comma 4 2 4 2 8 2 2" xfId="15428" xr:uid="{2110F387-2F20-4947-9B2F-DA5DF9811F12}"/>
    <cellStyle name="Comma 4 2 4 2 8 3" xfId="11210" xr:uid="{F0CAA5BA-F19A-4638-8FFF-83B8736FDAE5}"/>
    <cellStyle name="Comma 4 2 4 2 9" xfId="4616" xr:uid="{00000000-0005-0000-0000-0000CC080000}"/>
    <cellStyle name="Comma 4 2 4 2 9 2" xfId="13045" xr:uid="{4C734DC0-EFFF-4D09-AADA-B2B60FD6AA5F}"/>
    <cellStyle name="Comma 4 2 4 3" xfId="679" xr:uid="{00000000-0005-0000-0000-0000CD080000}"/>
    <cellStyle name="Comma 4 2 4 3 2" xfId="2950" xr:uid="{00000000-0005-0000-0000-0000CE080000}"/>
    <cellStyle name="Comma 4 2 4 3 2 2" xfId="7174" xr:uid="{00000000-0005-0000-0000-0000CF080000}"/>
    <cellStyle name="Comma 4 2 4 3 2 2 2" xfId="15603" xr:uid="{7AB27A5A-FAC4-4AB5-95A2-307194E73DC4}"/>
    <cellStyle name="Comma 4 2 4 3 2 3" xfId="11385" xr:uid="{27B60763-F77F-4F10-A532-AAA92A412014}"/>
    <cellStyle name="Comma 4 2 4 3 3" xfId="5029" xr:uid="{00000000-0005-0000-0000-0000D0080000}"/>
    <cellStyle name="Comma 4 2 4 3 3 2" xfId="13458" xr:uid="{F1E36103-DC4D-44C8-A6CD-12AE8CB8B456}"/>
    <cellStyle name="Comma 4 2 4 3 4" xfId="9240" xr:uid="{A9059586-B868-4E8F-93B7-2FC705563F19}"/>
    <cellStyle name="Comma 4 2 4 4" xfId="1132" xr:uid="{00000000-0005-0000-0000-0000D1080000}"/>
    <cellStyle name="Comma 4 2 4 4 2" xfId="3363" xr:uid="{00000000-0005-0000-0000-0000D2080000}"/>
    <cellStyle name="Comma 4 2 4 4 2 2" xfId="7587" xr:uid="{00000000-0005-0000-0000-0000D3080000}"/>
    <cellStyle name="Comma 4 2 4 4 2 2 2" xfId="16016" xr:uid="{245F1BD3-8BB7-4A22-A680-7D6CD1962646}"/>
    <cellStyle name="Comma 4 2 4 4 2 3" xfId="11798" xr:uid="{B7158C3C-B176-4102-BAE8-8A46BEAAB321}"/>
    <cellStyle name="Comma 4 2 4 4 3" xfId="5442" xr:uid="{00000000-0005-0000-0000-0000D4080000}"/>
    <cellStyle name="Comma 4 2 4 4 3 2" xfId="13871" xr:uid="{23EE7268-5D36-4809-B1DE-B6409AF674DB}"/>
    <cellStyle name="Comma 4 2 4 4 4" xfId="9653" xr:uid="{F319A200-FF82-4C9F-B840-1760ED08CC4A}"/>
    <cellStyle name="Comma 4 2 4 5" xfId="1546" xr:uid="{00000000-0005-0000-0000-0000D5080000}"/>
    <cellStyle name="Comma 4 2 4 5 2" xfId="3776" xr:uid="{00000000-0005-0000-0000-0000D6080000}"/>
    <cellStyle name="Comma 4 2 4 5 2 2" xfId="8000" xr:uid="{00000000-0005-0000-0000-0000D7080000}"/>
    <cellStyle name="Comma 4 2 4 5 2 2 2" xfId="16429" xr:uid="{62250A57-24E8-4AE7-A2B4-AD41799249A6}"/>
    <cellStyle name="Comma 4 2 4 5 2 3" xfId="12211" xr:uid="{5FD4496E-CBF7-4E58-9202-C894CD40D4AF}"/>
    <cellStyle name="Comma 4 2 4 5 3" xfId="5855" xr:uid="{00000000-0005-0000-0000-0000D8080000}"/>
    <cellStyle name="Comma 4 2 4 5 3 2" xfId="14284" xr:uid="{39E4FC8B-B877-4EB4-8550-4A5CA81ACFF0}"/>
    <cellStyle name="Comma 4 2 4 5 4" xfId="10066" xr:uid="{A321108E-38A5-423F-BD16-86A79875C07D}"/>
    <cellStyle name="Comma 4 2 4 6" xfId="1960" xr:uid="{00000000-0005-0000-0000-0000D9080000}"/>
    <cellStyle name="Comma 4 2 4 6 2" xfId="4189" xr:uid="{00000000-0005-0000-0000-0000DA080000}"/>
    <cellStyle name="Comma 4 2 4 6 2 2" xfId="8413" xr:uid="{00000000-0005-0000-0000-0000DB080000}"/>
    <cellStyle name="Comma 4 2 4 6 2 2 2" xfId="16842" xr:uid="{A8965935-76BE-4550-AB9E-0DF15D8CE2C0}"/>
    <cellStyle name="Comma 4 2 4 6 2 3" xfId="12624" xr:uid="{448E66AF-AE9D-4845-8F5F-26902DBC5363}"/>
    <cellStyle name="Comma 4 2 4 6 3" xfId="6268" xr:uid="{00000000-0005-0000-0000-0000DC080000}"/>
    <cellStyle name="Comma 4 2 4 6 3 2" xfId="14697" xr:uid="{E014551F-C7FA-476F-8A03-4B0BDC0C36A0}"/>
    <cellStyle name="Comma 4 2 4 6 4" xfId="10479" xr:uid="{5FCEB4BE-B279-4A4E-8008-4046383B3F23}"/>
    <cellStyle name="Comma 4 2 4 7" xfId="2395" xr:uid="{00000000-0005-0000-0000-0000DD080000}"/>
    <cellStyle name="Comma 4 2 4 7 2" xfId="6681" xr:uid="{00000000-0005-0000-0000-0000DE080000}"/>
    <cellStyle name="Comma 4 2 4 7 2 2" xfId="15110" xr:uid="{0D456F3F-875E-4EF1-AD98-96397762F59E}"/>
    <cellStyle name="Comma 4 2 4 7 3" xfId="10892" xr:uid="{E768189E-53F0-44A0-8B4F-FEF43A4CA99B}"/>
    <cellStyle name="Comma 4 2 4 8" xfId="2370" xr:uid="{00000000-0005-0000-0000-0000DF080000}"/>
    <cellStyle name="Comma 4 2 4 9" xfId="2773" xr:uid="{00000000-0005-0000-0000-0000E0080000}"/>
    <cellStyle name="Comma 4 2 4 9 2" xfId="6998" xr:uid="{00000000-0005-0000-0000-0000E1080000}"/>
    <cellStyle name="Comma 4 2 4 9 2 2" xfId="15427" xr:uid="{EA42E616-1014-4CAD-94EE-578080B9382B}"/>
    <cellStyle name="Comma 4 2 4 9 3" xfId="11209" xr:uid="{D71F5B18-2CB6-403A-B42A-6C13B02F602F}"/>
    <cellStyle name="Comma 4 2 5" xfId="142" xr:uid="{00000000-0005-0000-0000-0000E2080000}"/>
    <cellStyle name="Comma 4 2 5 10" xfId="8828" xr:uid="{D8613E2A-8885-4E1C-9B93-55764F15526A}"/>
    <cellStyle name="Comma 4 2 5 2" xfId="681" xr:uid="{00000000-0005-0000-0000-0000E3080000}"/>
    <cellStyle name="Comma 4 2 5 2 2" xfId="2952" xr:uid="{00000000-0005-0000-0000-0000E4080000}"/>
    <cellStyle name="Comma 4 2 5 2 2 2" xfId="7176" xr:uid="{00000000-0005-0000-0000-0000E5080000}"/>
    <cellStyle name="Comma 4 2 5 2 2 2 2" xfId="15605" xr:uid="{C5A2C628-1769-44A2-A8A3-5A71255A643A}"/>
    <cellStyle name="Comma 4 2 5 2 2 3" xfId="11387" xr:uid="{4BB69DB0-4CDE-409D-B537-E1C1EBED767B}"/>
    <cellStyle name="Comma 4 2 5 2 3" xfId="5031" xr:uid="{00000000-0005-0000-0000-0000E6080000}"/>
    <cellStyle name="Comma 4 2 5 2 3 2" xfId="13460" xr:uid="{542CD9FD-0B14-4C22-AFB8-CD3CC2F9319F}"/>
    <cellStyle name="Comma 4 2 5 2 4" xfId="9242" xr:uid="{827926BF-2A6B-4915-810E-77312D324080}"/>
    <cellStyle name="Comma 4 2 5 3" xfId="1134" xr:uid="{00000000-0005-0000-0000-0000E7080000}"/>
    <cellStyle name="Comma 4 2 5 3 2" xfId="3365" xr:uid="{00000000-0005-0000-0000-0000E8080000}"/>
    <cellStyle name="Comma 4 2 5 3 2 2" xfId="7589" xr:uid="{00000000-0005-0000-0000-0000E9080000}"/>
    <cellStyle name="Comma 4 2 5 3 2 2 2" xfId="16018" xr:uid="{F3B620BE-AC07-49CA-9D28-955B35E861CA}"/>
    <cellStyle name="Comma 4 2 5 3 2 3" xfId="11800" xr:uid="{9ECDF398-9E5E-4D48-935F-68AEF3F8A457}"/>
    <cellStyle name="Comma 4 2 5 3 3" xfId="5444" xr:uid="{00000000-0005-0000-0000-0000EA080000}"/>
    <cellStyle name="Comma 4 2 5 3 3 2" xfId="13873" xr:uid="{95C537E5-4DE2-4275-9146-0D3F6EB679A6}"/>
    <cellStyle name="Comma 4 2 5 3 4" xfId="9655" xr:uid="{1E76A013-DCFE-4B6A-B1A0-08EC35D30100}"/>
    <cellStyle name="Comma 4 2 5 4" xfId="1548" xr:uid="{00000000-0005-0000-0000-0000EB080000}"/>
    <cellStyle name="Comma 4 2 5 4 2" xfId="3778" xr:uid="{00000000-0005-0000-0000-0000EC080000}"/>
    <cellStyle name="Comma 4 2 5 4 2 2" xfId="8002" xr:uid="{00000000-0005-0000-0000-0000ED080000}"/>
    <cellStyle name="Comma 4 2 5 4 2 2 2" xfId="16431" xr:uid="{70BD7D25-1352-47D5-ADB1-8A9374F72083}"/>
    <cellStyle name="Comma 4 2 5 4 2 3" xfId="12213" xr:uid="{C89F3366-0843-4593-A946-FD3C58F351FA}"/>
    <cellStyle name="Comma 4 2 5 4 3" xfId="5857" xr:uid="{00000000-0005-0000-0000-0000EE080000}"/>
    <cellStyle name="Comma 4 2 5 4 3 2" xfId="14286" xr:uid="{3ADAC90E-CC70-44DF-9CF4-24F392B8B916}"/>
    <cellStyle name="Comma 4 2 5 4 4" xfId="10068" xr:uid="{A4DA9564-ACD6-4D68-86C4-D8E5B2F88F82}"/>
    <cellStyle name="Comma 4 2 5 5" xfId="1962" xr:uid="{00000000-0005-0000-0000-0000EF080000}"/>
    <cellStyle name="Comma 4 2 5 5 2" xfId="4191" xr:uid="{00000000-0005-0000-0000-0000F0080000}"/>
    <cellStyle name="Comma 4 2 5 5 2 2" xfId="8415" xr:uid="{00000000-0005-0000-0000-0000F1080000}"/>
    <cellStyle name="Comma 4 2 5 5 2 2 2" xfId="16844" xr:uid="{77273096-28C5-49DA-A489-B2896C7F6DA0}"/>
    <cellStyle name="Comma 4 2 5 5 2 3" xfId="12626" xr:uid="{7F977BEB-E039-4DA5-B437-667A424B6470}"/>
    <cellStyle name="Comma 4 2 5 5 3" xfId="6270" xr:uid="{00000000-0005-0000-0000-0000F2080000}"/>
    <cellStyle name="Comma 4 2 5 5 3 2" xfId="14699" xr:uid="{76F91651-6500-45A7-B804-4656BEAF2E39}"/>
    <cellStyle name="Comma 4 2 5 5 4" xfId="10481" xr:uid="{B5D6DFA8-1A0F-48C0-811C-F64A714A9AF5}"/>
    <cellStyle name="Comma 4 2 5 6" xfId="2397" xr:uid="{00000000-0005-0000-0000-0000F3080000}"/>
    <cellStyle name="Comma 4 2 5 6 2" xfId="6683" xr:uid="{00000000-0005-0000-0000-0000F4080000}"/>
    <cellStyle name="Comma 4 2 5 6 2 2" xfId="15112" xr:uid="{BFF894B8-BEF5-409A-BDCD-56B3E6ADA5DC}"/>
    <cellStyle name="Comma 4 2 5 6 3" xfId="10894" xr:uid="{AE6809E6-0862-4DFE-906E-B562CDADB590}"/>
    <cellStyle name="Comma 4 2 5 7" xfId="2368" xr:uid="{00000000-0005-0000-0000-0000F5080000}"/>
    <cellStyle name="Comma 4 2 5 8" xfId="2775" xr:uid="{00000000-0005-0000-0000-0000F6080000}"/>
    <cellStyle name="Comma 4 2 5 8 2" xfId="7000" xr:uid="{00000000-0005-0000-0000-0000F7080000}"/>
    <cellStyle name="Comma 4 2 5 8 2 2" xfId="15429" xr:uid="{4EB8AA69-8CCA-4E6F-A6B7-985239275B17}"/>
    <cellStyle name="Comma 4 2 5 8 3" xfId="11211" xr:uid="{FC1D37C9-A178-47B0-AFEC-C4F3E6827F00}"/>
    <cellStyle name="Comma 4 2 5 9" xfId="4617" xr:uid="{00000000-0005-0000-0000-0000F8080000}"/>
    <cellStyle name="Comma 4 2 5 9 2" xfId="13046" xr:uid="{91FD5DDE-2311-41E3-87FD-B74585BCC891}"/>
    <cellStyle name="Comma 4 2 6" xfId="143" xr:uid="{00000000-0005-0000-0000-0000F9080000}"/>
    <cellStyle name="Comma 4 2 6 10" xfId="8829" xr:uid="{85B0BD05-7F15-4197-9D99-D041F2D05388}"/>
    <cellStyle name="Comma 4 2 6 2" xfId="682" xr:uid="{00000000-0005-0000-0000-0000FA080000}"/>
    <cellStyle name="Comma 4 2 6 2 2" xfId="2953" xr:uid="{00000000-0005-0000-0000-0000FB080000}"/>
    <cellStyle name="Comma 4 2 6 2 2 2" xfId="7177" xr:uid="{00000000-0005-0000-0000-0000FC080000}"/>
    <cellStyle name="Comma 4 2 6 2 2 2 2" xfId="15606" xr:uid="{44BC26D6-6F66-4813-A218-B5677E884584}"/>
    <cellStyle name="Comma 4 2 6 2 2 3" xfId="11388" xr:uid="{535C958F-EF11-4A28-B339-B7284B164CE9}"/>
    <cellStyle name="Comma 4 2 6 2 3" xfId="5032" xr:uid="{00000000-0005-0000-0000-0000FD080000}"/>
    <cellStyle name="Comma 4 2 6 2 3 2" xfId="13461" xr:uid="{8A8D7A3A-EBC8-49D0-B30A-8A4CCB7CAB59}"/>
    <cellStyle name="Comma 4 2 6 2 4" xfId="9243" xr:uid="{C838A78D-3DED-400B-99C7-E6EF34862E09}"/>
    <cellStyle name="Comma 4 2 6 3" xfId="1135" xr:uid="{00000000-0005-0000-0000-0000FE080000}"/>
    <cellStyle name="Comma 4 2 6 3 2" xfId="3366" xr:uid="{00000000-0005-0000-0000-0000FF080000}"/>
    <cellStyle name="Comma 4 2 6 3 2 2" xfId="7590" xr:uid="{00000000-0005-0000-0000-000000090000}"/>
    <cellStyle name="Comma 4 2 6 3 2 2 2" xfId="16019" xr:uid="{C5A696F6-12C3-4FB4-B60B-FF255E09F697}"/>
    <cellStyle name="Comma 4 2 6 3 2 3" xfId="11801" xr:uid="{582C44FD-F363-493C-85FE-B80DD18DEE1D}"/>
    <cellStyle name="Comma 4 2 6 3 3" xfId="5445" xr:uid="{00000000-0005-0000-0000-000001090000}"/>
    <cellStyle name="Comma 4 2 6 3 3 2" xfId="13874" xr:uid="{FF25E93D-B2D6-4900-8289-36588726B1C7}"/>
    <cellStyle name="Comma 4 2 6 3 4" xfId="9656" xr:uid="{68B85B65-21E5-4FAE-8364-4EE9EED0893B}"/>
    <cellStyle name="Comma 4 2 6 4" xfId="1549" xr:uid="{00000000-0005-0000-0000-000002090000}"/>
    <cellStyle name="Comma 4 2 6 4 2" xfId="3779" xr:uid="{00000000-0005-0000-0000-000003090000}"/>
    <cellStyle name="Comma 4 2 6 4 2 2" xfId="8003" xr:uid="{00000000-0005-0000-0000-000004090000}"/>
    <cellStyle name="Comma 4 2 6 4 2 2 2" xfId="16432" xr:uid="{D7A612B7-F29B-48BF-90F4-DEFA041CF2D9}"/>
    <cellStyle name="Comma 4 2 6 4 2 3" xfId="12214" xr:uid="{A6FB8565-3F74-4E3A-8997-FB513EDFD49F}"/>
    <cellStyle name="Comma 4 2 6 4 3" xfId="5858" xr:uid="{00000000-0005-0000-0000-000005090000}"/>
    <cellStyle name="Comma 4 2 6 4 3 2" xfId="14287" xr:uid="{9DEB577B-ACE2-41CD-8506-A38F84B14FC4}"/>
    <cellStyle name="Comma 4 2 6 4 4" xfId="10069" xr:uid="{77021EDE-184B-4847-8464-40FCEA9A9E12}"/>
    <cellStyle name="Comma 4 2 6 5" xfId="1963" xr:uid="{00000000-0005-0000-0000-000006090000}"/>
    <cellStyle name="Comma 4 2 6 5 2" xfId="4192" xr:uid="{00000000-0005-0000-0000-000007090000}"/>
    <cellStyle name="Comma 4 2 6 5 2 2" xfId="8416" xr:uid="{00000000-0005-0000-0000-000008090000}"/>
    <cellStyle name="Comma 4 2 6 5 2 2 2" xfId="16845" xr:uid="{C2EA14B7-910F-4DCD-96BA-B6FFA08047E7}"/>
    <cellStyle name="Comma 4 2 6 5 2 3" xfId="12627" xr:uid="{1C97A7B1-0F6C-4DC1-B13E-EC9008EFCE45}"/>
    <cellStyle name="Comma 4 2 6 5 3" xfId="6271" xr:uid="{00000000-0005-0000-0000-000009090000}"/>
    <cellStyle name="Comma 4 2 6 5 3 2" xfId="14700" xr:uid="{A1C5407E-DB4D-4C3A-A4AB-E0831BA2E176}"/>
    <cellStyle name="Comma 4 2 6 5 4" xfId="10482" xr:uid="{A2657202-1F58-42D3-A44A-789E0611454A}"/>
    <cellStyle name="Comma 4 2 6 6" xfId="2398" xr:uid="{00000000-0005-0000-0000-00000A090000}"/>
    <cellStyle name="Comma 4 2 6 6 2" xfId="6684" xr:uid="{00000000-0005-0000-0000-00000B090000}"/>
    <cellStyle name="Comma 4 2 6 6 2 2" xfId="15113" xr:uid="{1FB302BC-ED46-451A-A752-6770A748AE34}"/>
    <cellStyle name="Comma 4 2 6 6 3" xfId="10895" xr:uid="{6BE22752-A438-47C8-BFFF-B64FD227076E}"/>
    <cellStyle name="Comma 4 2 6 7" xfId="2367" xr:uid="{00000000-0005-0000-0000-00000C090000}"/>
    <cellStyle name="Comma 4 2 6 8" xfId="2776" xr:uid="{00000000-0005-0000-0000-00000D090000}"/>
    <cellStyle name="Comma 4 2 6 8 2" xfId="7001" xr:uid="{00000000-0005-0000-0000-00000E090000}"/>
    <cellStyle name="Comma 4 2 6 8 2 2" xfId="15430" xr:uid="{4E5EABD0-ED24-45D8-B2F9-9965C6B7363C}"/>
    <cellStyle name="Comma 4 2 6 8 3" xfId="11212" xr:uid="{771BD823-AC79-43FC-8E6B-2EA280FA686E}"/>
    <cellStyle name="Comma 4 2 6 9" xfId="4618" xr:uid="{00000000-0005-0000-0000-00000F090000}"/>
    <cellStyle name="Comma 4 2 6 9 2" xfId="13047" xr:uid="{6A6E5046-38BB-48EC-8E9E-751D5BAA04CC}"/>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0 2 2" xfId="15431" xr:uid="{B3B3F1F8-104A-49AD-9485-9F892796B41F}"/>
    <cellStyle name="Comma 4 3 2 10 3" xfId="11213" xr:uid="{13F345C3-C40F-40B9-AAFD-84460BD77B0E}"/>
    <cellStyle name="Comma 4 3 2 11" xfId="4619" xr:uid="{00000000-0005-0000-0000-000014090000}"/>
    <cellStyle name="Comma 4 3 2 11 2" xfId="13048" xr:uid="{834C482F-5F7F-46AB-8F4E-FA3A82E4D732}"/>
    <cellStyle name="Comma 4 3 2 12" xfId="8830" xr:uid="{7935D45B-73CA-4742-9B44-64DD792F7B30}"/>
    <cellStyle name="Comma 4 3 2 2" xfId="146" xr:uid="{00000000-0005-0000-0000-000015090000}"/>
    <cellStyle name="Comma 4 3 2 2 10" xfId="4620" xr:uid="{00000000-0005-0000-0000-000016090000}"/>
    <cellStyle name="Comma 4 3 2 2 10 2" xfId="13049" xr:uid="{0204A214-8CA1-440B-9602-97E039CC3D32}"/>
    <cellStyle name="Comma 4 3 2 2 11" xfId="8831" xr:uid="{4E82F50A-44EF-416D-A78C-DDA1DCAC5E2D}"/>
    <cellStyle name="Comma 4 3 2 2 2" xfId="147" xr:uid="{00000000-0005-0000-0000-000017090000}"/>
    <cellStyle name="Comma 4 3 2 2 2 10" xfId="8832" xr:uid="{7DAB24F5-CFF1-433D-8ED9-106CCB680906}"/>
    <cellStyle name="Comma 4 3 2 2 2 2" xfId="685" xr:uid="{00000000-0005-0000-0000-000018090000}"/>
    <cellStyle name="Comma 4 3 2 2 2 2 2" xfId="2956" xr:uid="{00000000-0005-0000-0000-000019090000}"/>
    <cellStyle name="Comma 4 3 2 2 2 2 2 2" xfId="7180" xr:uid="{00000000-0005-0000-0000-00001A090000}"/>
    <cellStyle name="Comma 4 3 2 2 2 2 2 2 2" xfId="15609" xr:uid="{29B0361B-5CC5-473C-AC0E-CCFF8F544DF8}"/>
    <cellStyle name="Comma 4 3 2 2 2 2 2 3" xfId="11391" xr:uid="{3E2F9B18-A031-407F-8002-4223BC62416E}"/>
    <cellStyle name="Comma 4 3 2 2 2 2 3" xfId="5035" xr:uid="{00000000-0005-0000-0000-00001B090000}"/>
    <cellStyle name="Comma 4 3 2 2 2 2 3 2" xfId="13464" xr:uid="{BAEB9882-9280-4EFC-9795-858EDD6B7FD9}"/>
    <cellStyle name="Comma 4 3 2 2 2 2 4" xfId="9246" xr:uid="{32BD773E-54A3-4C41-BD78-73FA31B063D7}"/>
    <cellStyle name="Comma 4 3 2 2 2 3" xfId="1138" xr:uid="{00000000-0005-0000-0000-00001C090000}"/>
    <cellStyle name="Comma 4 3 2 2 2 3 2" xfId="3369" xr:uid="{00000000-0005-0000-0000-00001D090000}"/>
    <cellStyle name="Comma 4 3 2 2 2 3 2 2" xfId="7593" xr:uid="{00000000-0005-0000-0000-00001E090000}"/>
    <cellStyle name="Comma 4 3 2 2 2 3 2 2 2" xfId="16022" xr:uid="{B153DAF1-A632-4076-9965-B7E74C281D99}"/>
    <cellStyle name="Comma 4 3 2 2 2 3 2 3" xfId="11804" xr:uid="{3C6814CC-3245-4AF4-98D1-F91E1C2A7898}"/>
    <cellStyle name="Comma 4 3 2 2 2 3 3" xfId="5448" xr:uid="{00000000-0005-0000-0000-00001F090000}"/>
    <cellStyle name="Comma 4 3 2 2 2 3 3 2" xfId="13877" xr:uid="{69D97102-F4C4-44E9-A0F9-A61DA87375E9}"/>
    <cellStyle name="Comma 4 3 2 2 2 3 4" xfId="9659" xr:uid="{72D3CFAF-10F6-4828-82DA-9DC417CF6948}"/>
    <cellStyle name="Comma 4 3 2 2 2 4" xfId="1552" xr:uid="{00000000-0005-0000-0000-000020090000}"/>
    <cellStyle name="Comma 4 3 2 2 2 4 2" xfId="3782" xr:uid="{00000000-0005-0000-0000-000021090000}"/>
    <cellStyle name="Comma 4 3 2 2 2 4 2 2" xfId="8006" xr:uid="{00000000-0005-0000-0000-000022090000}"/>
    <cellStyle name="Comma 4 3 2 2 2 4 2 2 2" xfId="16435" xr:uid="{E8F83936-D9F9-4AC5-AC0C-B6837D0FAEC2}"/>
    <cellStyle name="Comma 4 3 2 2 2 4 2 3" xfId="12217" xr:uid="{1F93D1F8-AAF7-49D7-B2FF-EA7CE281B739}"/>
    <cellStyle name="Comma 4 3 2 2 2 4 3" xfId="5861" xr:uid="{00000000-0005-0000-0000-000023090000}"/>
    <cellStyle name="Comma 4 3 2 2 2 4 3 2" xfId="14290" xr:uid="{94E5EF3D-546E-47CB-B3DA-6B9DF64C00E4}"/>
    <cellStyle name="Comma 4 3 2 2 2 4 4" xfId="10072" xr:uid="{597E0A00-8309-41ED-8574-95CA995B8923}"/>
    <cellStyle name="Comma 4 3 2 2 2 5" xfId="1966" xr:uid="{00000000-0005-0000-0000-000024090000}"/>
    <cellStyle name="Comma 4 3 2 2 2 5 2" xfId="4195" xr:uid="{00000000-0005-0000-0000-000025090000}"/>
    <cellStyle name="Comma 4 3 2 2 2 5 2 2" xfId="8419" xr:uid="{00000000-0005-0000-0000-000026090000}"/>
    <cellStyle name="Comma 4 3 2 2 2 5 2 2 2" xfId="16848" xr:uid="{56197C85-8A04-47E0-9F34-BD85E8A89669}"/>
    <cellStyle name="Comma 4 3 2 2 2 5 2 3" xfId="12630" xr:uid="{7E8CC7C4-5BC0-4013-B47A-B8FA1FF47B22}"/>
    <cellStyle name="Comma 4 3 2 2 2 5 3" xfId="6274" xr:uid="{00000000-0005-0000-0000-000027090000}"/>
    <cellStyle name="Comma 4 3 2 2 2 5 3 2" xfId="14703" xr:uid="{38D85F27-18C2-4C52-8350-6D0313F770DF}"/>
    <cellStyle name="Comma 4 3 2 2 2 5 4" xfId="10485" xr:uid="{07DD223F-1389-4BD6-BD2A-23ECAF4137C8}"/>
    <cellStyle name="Comma 4 3 2 2 2 6" xfId="2401" xr:uid="{00000000-0005-0000-0000-000028090000}"/>
    <cellStyle name="Comma 4 3 2 2 2 6 2" xfId="6687" xr:uid="{00000000-0005-0000-0000-000029090000}"/>
    <cellStyle name="Comma 4 3 2 2 2 6 2 2" xfId="15116" xr:uid="{E406D134-66F6-4A93-A2C1-DA48A4AAD105}"/>
    <cellStyle name="Comma 4 3 2 2 2 6 3" xfId="10898" xr:uid="{25BF1D1F-D7EB-412E-8A59-50E900B07541}"/>
    <cellStyle name="Comma 4 3 2 2 2 7" xfId="2364" xr:uid="{00000000-0005-0000-0000-00002A090000}"/>
    <cellStyle name="Comma 4 3 2 2 2 8" xfId="2779" xr:uid="{00000000-0005-0000-0000-00002B090000}"/>
    <cellStyle name="Comma 4 3 2 2 2 8 2" xfId="7004" xr:uid="{00000000-0005-0000-0000-00002C090000}"/>
    <cellStyle name="Comma 4 3 2 2 2 8 2 2" xfId="15433" xr:uid="{E6C4BBAD-C009-423E-A2CD-B5AB1287A3C9}"/>
    <cellStyle name="Comma 4 3 2 2 2 8 3" xfId="11215" xr:uid="{63571899-9D5D-4491-895C-1864CEBB66BE}"/>
    <cellStyle name="Comma 4 3 2 2 2 9" xfId="4621" xr:uid="{00000000-0005-0000-0000-00002D090000}"/>
    <cellStyle name="Comma 4 3 2 2 2 9 2" xfId="13050" xr:uid="{EEA6B496-ECFE-4666-9435-02A751DDE5A1}"/>
    <cellStyle name="Comma 4 3 2 2 3" xfId="684" xr:uid="{00000000-0005-0000-0000-00002E090000}"/>
    <cellStyle name="Comma 4 3 2 2 3 2" xfId="2955" xr:uid="{00000000-0005-0000-0000-00002F090000}"/>
    <cellStyle name="Comma 4 3 2 2 3 2 2" xfId="7179" xr:uid="{00000000-0005-0000-0000-000030090000}"/>
    <cellStyle name="Comma 4 3 2 2 3 2 2 2" xfId="15608" xr:uid="{94E33359-9AB5-453C-846D-766CED0514C3}"/>
    <cellStyle name="Comma 4 3 2 2 3 2 3" xfId="11390" xr:uid="{70CC084B-C10C-4322-9131-F7E46E34C9F2}"/>
    <cellStyle name="Comma 4 3 2 2 3 3" xfId="5034" xr:uid="{00000000-0005-0000-0000-000031090000}"/>
    <cellStyle name="Comma 4 3 2 2 3 3 2" xfId="13463" xr:uid="{E9832367-4ED4-48B2-9EAE-A492A4B830DD}"/>
    <cellStyle name="Comma 4 3 2 2 3 4" xfId="9245" xr:uid="{DC3ABE96-643B-48D2-82AD-E5C655339ADC}"/>
    <cellStyle name="Comma 4 3 2 2 4" xfId="1137" xr:uid="{00000000-0005-0000-0000-000032090000}"/>
    <cellStyle name="Comma 4 3 2 2 4 2" xfId="3368" xr:uid="{00000000-0005-0000-0000-000033090000}"/>
    <cellStyle name="Comma 4 3 2 2 4 2 2" xfId="7592" xr:uid="{00000000-0005-0000-0000-000034090000}"/>
    <cellStyle name="Comma 4 3 2 2 4 2 2 2" xfId="16021" xr:uid="{26E0365C-9C8D-4016-A984-E1B1BEF2E435}"/>
    <cellStyle name="Comma 4 3 2 2 4 2 3" xfId="11803" xr:uid="{1B05C603-F1FF-471A-93ED-EADB633BBBEE}"/>
    <cellStyle name="Comma 4 3 2 2 4 3" xfId="5447" xr:uid="{00000000-0005-0000-0000-000035090000}"/>
    <cellStyle name="Comma 4 3 2 2 4 3 2" xfId="13876" xr:uid="{AB69D0F4-3173-4CA6-AF6F-2F4EB615A070}"/>
    <cellStyle name="Comma 4 3 2 2 4 4" xfId="9658" xr:uid="{63F1410F-DF28-4B27-BFAF-9013D54C3E33}"/>
    <cellStyle name="Comma 4 3 2 2 5" xfId="1551" xr:uid="{00000000-0005-0000-0000-000036090000}"/>
    <cellStyle name="Comma 4 3 2 2 5 2" xfId="3781" xr:uid="{00000000-0005-0000-0000-000037090000}"/>
    <cellStyle name="Comma 4 3 2 2 5 2 2" xfId="8005" xr:uid="{00000000-0005-0000-0000-000038090000}"/>
    <cellStyle name="Comma 4 3 2 2 5 2 2 2" xfId="16434" xr:uid="{60B1728C-02D3-4FC9-B287-1024D9023E1A}"/>
    <cellStyle name="Comma 4 3 2 2 5 2 3" xfId="12216" xr:uid="{34AA2368-F97E-4903-9708-EAFF5B023B9D}"/>
    <cellStyle name="Comma 4 3 2 2 5 3" xfId="5860" xr:uid="{00000000-0005-0000-0000-000039090000}"/>
    <cellStyle name="Comma 4 3 2 2 5 3 2" xfId="14289" xr:uid="{267F2743-5BC9-4683-BCD1-E0D980B15A1D}"/>
    <cellStyle name="Comma 4 3 2 2 5 4" xfId="10071" xr:uid="{D199B6DD-727A-4F1A-94C1-5529865393F4}"/>
    <cellStyle name="Comma 4 3 2 2 6" xfId="1965" xr:uid="{00000000-0005-0000-0000-00003A090000}"/>
    <cellStyle name="Comma 4 3 2 2 6 2" xfId="4194" xr:uid="{00000000-0005-0000-0000-00003B090000}"/>
    <cellStyle name="Comma 4 3 2 2 6 2 2" xfId="8418" xr:uid="{00000000-0005-0000-0000-00003C090000}"/>
    <cellStyle name="Comma 4 3 2 2 6 2 2 2" xfId="16847" xr:uid="{36DC49A3-6ED5-40AC-B173-AF498B338A69}"/>
    <cellStyle name="Comma 4 3 2 2 6 2 3" xfId="12629" xr:uid="{2FDC9B6A-8EB5-46FA-A2FC-F4E8C3ED7D76}"/>
    <cellStyle name="Comma 4 3 2 2 6 3" xfId="6273" xr:uid="{00000000-0005-0000-0000-00003D090000}"/>
    <cellStyle name="Comma 4 3 2 2 6 3 2" xfId="14702" xr:uid="{76060A83-9C21-4B2D-A1A4-C95A8A5CE71C}"/>
    <cellStyle name="Comma 4 3 2 2 6 4" xfId="10484" xr:uid="{41FC059D-324D-4D74-9424-CEAA0D5F525E}"/>
    <cellStyle name="Comma 4 3 2 2 7" xfId="2400" xr:uid="{00000000-0005-0000-0000-00003E090000}"/>
    <cellStyle name="Comma 4 3 2 2 7 2" xfId="6686" xr:uid="{00000000-0005-0000-0000-00003F090000}"/>
    <cellStyle name="Comma 4 3 2 2 7 2 2" xfId="15115" xr:uid="{CED3FFD7-0611-4FFF-A65C-89C530AEF65B}"/>
    <cellStyle name="Comma 4 3 2 2 7 3" xfId="10897" xr:uid="{057C8A99-D8DF-4045-910F-DE68CD277414}"/>
    <cellStyle name="Comma 4 3 2 2 8" xfId="2365" xr:uid="{00000000-0005-0000-0000-000040090000}"/>
    <cellStyle name="Comma 4 3 2 2 9" xfId="2778" xr:uid="{00000000-0005-0000-0000-000041090000}"/>
    <cellStyle name="Comma 4 3 2 2 9 2" xfId="7003" xr:uid="{00000000-0005-0000-0000-000042090000}"/>
    <cellStyle name="Comma 4 3 2 2 9 2 2" xfId="15432" xr:uid="{2D70C260-C621-49AA-8036-B880D5EFAE3B}"/>
    <cellStyle name="Comma 4 3 2 2 9 3" xfId="11214" xr:uid="{80301843-4491-4CE3-93B0-B2F6A0E34D12}"/>
    <cellStyle name="Comma 4 3 2 3" xfId="148" xr:uid="{00000000-0005-0000-0000-000043090000}"/>
    <cellStyle name="Comma 4 3 2 3 10" xfId="8833" xr:uid="{F028932A-F5C5-434E-8DA5-4DE1F8C18F92}"/>
    <cellStyle name="Comma 4 3 2 3 2" xfId="686" xr:uid="{00000000-0005-0000-0000-000044090000}"/>
    <cellStyle name="Comma 4 3 2 3 2 2" xfId="2957" xr:uid="{00000000-0005-0000-0000-000045090000}"/>
    <cellStyle name="Comma 4 3 2 3 2 2 2" xfId="7181" xr:uid="{00000000-0005-0000-0000-000046090000}"/>
    <cellStyle name="Comma 4 3 2 3 2 2 2 2" xfId="15610" xr:uid="{9B0D2D16-AE14-44B5-9DAB-168F49C0CA7C}"/>
    <cellStyle name="Comma 4 3 2 3 2 2 3" xfId="11392" xr:uid="{5D7A0ACF-312D-427A-B28D-7303C4678C83}"/>
    <cellStyle name="Comma 4 3 2 3 2 3" xfId="5036" xr:uid="{00000000-0005-0000-0000-000047090000}"/>
    <cellStyle name="Comma 4 3 2 3 2 3 2" xfId="13465" xr:uid="{64D8BCB0-7CE7-4D93-A631-8EBE6CE90AFA}"/>
    <cellStyle name="Comma 4 3 2 3 2 4" xfId="9247" xr:uid="{F9930A12-5D28-4247-A5C7-603E52EBDD6D}"/>
    <cellStyle name="Comma 4 3 2 3 3" xfId="1139" xr:uid="{00000000-0005-0000-0000-000048090000}"/>
    <cellStyle name="Comma 4 3 2 3 3 2" xfId="3370" xr:uid="{00000000-0005-0000-0000-000049090000}"/>
    <cellStyle name="Comma 4 3 2 3 3 2 2" xfId="7594" xr:uid="{00000000-0005-0000-0000-00004A090000}"/>
    <cellStyle name="Comma 4 3 2 3 3 2 2 2" xfId="16023" xr:uid="{922C391A-DA64-4D6D-A187-314B929D21B7}"/>
    <cellStyle name="Comma 4 3 2 3 3 2 3" xfId="11805" xr:uid="{839714C8-0A10-4E1A-B044-CB502E8D5B75}"/>
    <cellStyle name="Comma 4 3 2 3 3 3" xfId="5449" xr:uid="{00000000-0005-0000-0000-00004B090000}"/>
    <cellStyle name="Comma 4 3 2 3 3 3 2" xfId="13878" xr:uid="{68220D3F-74D5-4DA6-8633-89E6AFF326C2}"/>
    <cellStyle name="Comma 4 3 2 3 3 4" xfId="9660" xr:uid="{4F525BB6-6E57-4371-BA0C-50F47D9A7B08}"/>
    <cellStyle name="Comma 4 3 2 3 4" xfId="1553" xr:uid="{00000000-0005-0000-0000-00004C090000}"/>
    <cellStyle name="Comma 4 3 2 3 4 2" xfId="3783" xr:uid="{00000000-0005-0000-0000-00004D090000}"/>
    <cellStyle name="Comma 4 3 2 3 4 2 2" xfId="8007" xr:uid="{00000000-0005-0000-0000-00004E090000}"/>
    <cellStyle name="Comma 4 3 2 3 4 2 2 2" xfId="16436" xr:uid="{20474FDC-E153-4033-A894-753B8D278AF6}"/>
    <cellStyle name="Comma 4 3 2 3 4 2 3" xfId="12218" xr:uid="{F8AD8B43-C206-42BC-AD86-05374576B279}"/>
    <cellStyle name="Comma 4 3 2 3 4 3" xfId="5862" xr:uid="{00000000-0005-0000-0000-00004F090000}"/>
    <cellStyle name="Comma 4 3 2 3 4 3 2" xfId="14291" xr:uid="{4A86E553-B3D5-44B5-9438-BCE352BA23D8}"/>
    <cellStyle name="Comma 4 3 2 3 4 4" xfId="10073" xr:uid="{E372401C-8135-4B28-A6BA-2748493FF73F}"/>
    <cellStyle name="Comma 4 3 2 3 5" xfId="1967" xr:uid="{00000000-0005-0000-0000-000050090000}"/>
    <cellStyle name="Comma 4 3 2 3 5 2" xfId="4196" xr:uid="{00000000-0005-0000-0000-000051090000}"/>
    <cellStyle name="Comma 4 3 2 3 5 2 2" xfId="8420" xr:uid="{00000000-0005-0000-0000-000052090000}"/>
    <cellStyle name="Comma 4 3 2 3 5 2 2 2" xfId="16849" xr:uid="{6E4BAC93-6692-4F7B-888E-0967CDC31962}"/>
    <cellStyle name="Comma 4 3 2 3 5 2 3" xfId="12631" xr:uid="{B0AEC74C-9178-4BFE-A16F-040D0B24B1AE}"/>
    <cellStyle name="Comma 4 3 2 3 5 3" xfId="6275" xr:uid="{00000000-0005-0000-0000-000053090000}"/>
    <cellStyle name="Comma 4 3 2 3 5 3 2" xfId="14704" xr:uid="{36E1396A-9638-4681-8F4A-B9319D5ACD70}"/>
    <cellStyle name="Comma 4 3 2 3 5 4" xfId="10486" xr:uid="{A2887D44-3E9B-4873-A962-E5BF96805C48}"/>
    <cellStyle name="Comma 4 3 2 3 6" xfId="2402" xr:uid="{00000000-0005-0000-0000-000054090000}"/>
    <cellStyle name="Comma 4 3 2 3 6 2" xfId="6688" xr:uid="{00000000-0005-0000-0000-000055090000}"/>
    <cellStyle name="Comma 4 3 2 3 6 2 2" xfId="15117" xr:uid="{6F3F3A99-2BF7-4F5B-80B4-175CFB6BBE44}"/>
    <cellStyle name="Comma 4 3 2 3 6 3" xfId="10899" xr:uid="{8D3A4755-CA7F-4FF0-AFF4-A659194E308B}"/>
    <cellStyle name="Comma 4 3 2 3 7" xfId="2363" xr:uid="{00000000-0005-0000-0000-000056090000}"/>
    <cellStyle name="Comma 4 3 2 3 8" xfId="2780" xr:uid="{00000000-0005-0000-0000-000057090000}"/>
    <cellStyle name="Comma 4 3 2 3 8 2" xfId="7005" xr:uid="{00000000-0005-0000-0000-000058090000}"/>
    <cellStyle name="Comma 4 3 2 3 8 2 2" xfId="15434" xr:uid="{46CAAE43-5FB0-4CED-93E9-FF2FB864FF8B}"/>
    <cellStyle name="Comma 4 3 2 3 8 3" xfId="11216" xr:uid="{4A2F3F2A-7BF1-4A6D-AF34-2ACF4288A00F}"/>
    <cellStyle name="Comma 4 3 2 3 9" xfId="4622" xr:uid="{00000000-0005-0000-0000-000059090000}"/>
    <cellStyle name="Comma 4 3 2 3 9 2" xfId="13051" xr:uid="{CD703DA4-0C1F-470B-B4CC-C031E33C95C3}"/>
    <cellStyle name="Comma 4 3 2 4" xfId="683" xr:uid="{00000000-0005-0000-0000-00005A090000}"/>
    <cellStyle name="Comma 4 3 2 4 2" xfId="2954" xr:uid="{00000000-0005-0000-0000-00005B090000}"/>
    <cellStyle name="Comma 4 3 2 4 2 2" xfId="7178" xr:uid="{00000000-0005-0000-0000-00005C090000}"/>
    <cellStyle name="Comma 4 3 2 4 2 2 2" xfId="15607" xr:uid="{CC2A1607-61A6-430B-A42C-3A4A6F1C1EB0}"/>
    <cellStyle name="Comma 4 3 2 4 2 3" xfId="11389" xr:uid="{7CE56118-DFA4-4DCE-B792-4870BBBB958E}"/>
    <cellStyle name="Comma 4 3 2 4 3" xfId="5033" xr:uid="{00000000-0005-0000-0000-00005D090000}"/>
    <cellStyle name="Comma 4 3 2 4 3 2" xfId="13462" xr:uid="{2DFA1CDB-CC42-46D2-9036-A74F32635346}"/>
    <cellStyle name="Comma 4 3 2 4 4" xfId="9244" xr:uid="{C0EB6D60-4010-4219-B37D-5BDE69AA8A32}"/>
    <cellStyle name="Comma 4 3 2 5" xfId="1136" xr:uid="{00000000-0005-0000-0000-00005E090000}"/>
    <cellStyle name="Comma 4 3 2 5 2" xfId="3367" xr:uid="{00000000-0005-0000-0000-00005F090000}"/>
    <cellStyle name="Comma 4 3 2 5 2 2" xfId="7591" xr:uid="{00000000-0005-0000-0000-000060090000}"/>
    <cellStyle name="Comma 4 3 2 5 2 2 2" xfId="16020" xr:uid="{71295745-6079-47DC-93AF-18B72DAB7F86}"/>
    <cellStyle name="Comma 4 3 2 5 2 3" xfId="11802" xr:uid="{EDE449A9-C5F2-4F42-BED0-14B7A652387E}"/>
    <cellStyle name="Comma 4 3 2 5 3" xfId="5446" xr:uid="{00000000-0005-0000-0000-000061090000}"/>
    <cellStyle name="Comma 4 3 2 5 3 2" xfId="13875" xr:uid="{1908EC32-32F9-4B5C-B663-02A99E54619F}"/>
    <cellStyle name="Comma 4 3 2 5 4" xfId="9657" xr:uid="{E2E84537-466B-44A2-AB72-6E19F47312B1}"/>
    <cellStyle name="Comma 4 3 2 6" xfId="1550" xr:uid="{00000000-0005-0000-0000-000062090000}"/>
    <cellStyle name="Comma 4 3 2 6 2" xfId="3780" xr:uid="{00000000-0005-0000-0000-000063090000}"/>
    <cellStyle name="Comma 4 3 2 6 2 2" xfId="8004" xr:uid="{00000000-0005-0000-0000-000064090000}"/>
    <cellStyle name="Comma 4 3 2 6 2 2 2" xfId="16433" xr:uid="{E4FD986C-1C76-4CD8-B567-2EDB015430BC}"/>
    <cellStyle name="Comma 4 3 2 6 2 3" xfId="12215" xr:uid="{C4B1ADC3-47B8-49F5-8E42-E320A6EC1573}"/>
    <cellStyle name="Comma 4 3 2 6 3" xfId="5859" xr:uid="{00000000-0005-0000-0000-000065090000}"/>
    <cellStyle name="Comma 4 3 2 6 3 2" xfId="14288" xr:uid="{548F2A83-9E59-4A71-9681-81B499602536}"/>
    <cellStyle name="Comma 4 3 2 6 4" xfId="10070" xr:uid="{FE609393-9216-4F9B-81E8-3A8556B1BDEE}"/>
    <cellStyle name="Comma 4 3 2 7" xfId="1964" xr:uid="{00000000-0005-0000-0000-000066090000}"/>
    <cellStyle name="Comma 4 3 2 7 2" xfId="4193" xr:uid="{00000000-0005-0000-0000-000067090000}"/>
    <cellStyle name="Comma 4 3 2 7 2 2" xfId="8417" xr:uid="{00000000-0005-0000-0000-000068090000}"/>
    <cellStyle name="Comma 4 3 2 7 2 2 2" xfId="16846" xr:uid="{C696DC31-30B4-4A66-9771-18FA9FB02DA3}"/>
    <cellStyle name="Comma 4 3 2 7 2 3" xfId="12628" xr:uid="{FAE6E986-AC7F-4FCF-8B09-190ABEF5AA65}"/>
    <cellStyle name="Comma 4 3 2 7 3" xfId="6272" xr:uid="{00000000-0005-0000-0000-000069090000}"/>
    <cellStyle name="Comma 4 3 2 7 3 2" xfId="14701" xr:uid="{E94747EA-9E2E-46EE-9D2E-50DB7DCFB636}"/>
    <cellStyle name="Comma 4 3 2 7 4" xfId="10483" xr:uid="{96463317-789E-4A86-8DF1-E8B2A36670DC}"/>
    <cellStyle name="Comma 4 3 2 8" xfId="2399" xr:uid="{00000000-0005-0000-0000-00006A090000}"/>
    <cellStyle name="Comma 4 3 2 8 2" xfId="6685" xr:uid="{00000000-0005-0000-0000-00006B090000}"/>
    <cellStyle name="Comma 4 3 2 8 2 2" xfId="15114" xr:uid="{4A2FBB2F-5389-4E90-8218-6F9F9E1E460C}"/>
    <cellStyle name="Comma 4 3 2 8 3" xfId="10896" xr:uid="{0E8F625E-A42B-43FC-8DA4-4B7DFAAE7AE5}"/>
    <cellStyle name="Comma 4 3 2 9" xfId="2366" xr:uid="{00000000-0005-0000-0000-00006C090000}"/>
    <cellStyle name="Comma 4 3 3" xfId="149" xr:uid="{00000000-0005-0000-0000-00006D090000}"/>
    <cellStyle name="Comma 4 3 3 10" xfId="4623" xr:uid="{00000000-0005-0000-0000-00006E090000}"/>
    <cellStyle name="Comma 4 3 3 10 2" xfId="13052" xr:uid="{B4BFC02D-2DB9-4A1C-B9AA-6FDBD30F30F8}"/>
    <cellStyle name="Comma 4 3 3 11" xfId="8834" xr:uid="{951CDCB6-1EC1-4981-9EDB-30C7925E6E2C}"/>
    <cellStyle name="Comma 4 3 3 2" xfId="150" xr:uid="{00000000-0005-0000-0000-00006F090000}"/>
    <cellStyle name="Comma 4 3 3 2 10" xfId="8835" xr:uid="{718BE07C-AA13-4932-914C-991522678BDB}"/>
    <cellStyle name="Comma 4 3 3 2 2" xfId="688" xr:uid="{00000000-0005-0000-0000-000070090000}"/>
    <cellStyle name="Comma 4 3 3 2 2 2" xfId="2959" xr:uid="{00000000-0005-0000-0000-000071090000}"/>
    <cellStyle name="Comma 4 3 3 2 2 2 2" xfId="7183" xr:uid="{00000000-0005-0000-0000-000072090000}"/>
    <cellStyle name="Comma 4 3 3 2 2 2 2 2" xfId="15612" xr:uid="{92C77ACB-9B91-401B-89BA-BFE4D606D497}"/>
    <cellStyle name="Comma 4 3 3 2 2 2 3" xfId="11394" xr:uid="{9F899A5D-E71A-4D8A-B357-BC001DE984D8}"/>
    <cellStyle name="Comma 4 3 3 2 2 3" xfId="5038" xr:uid="{00000000-0005-0000-0000-000073090000}"/>
    <cellStyle name="Comma 4 3 3 2 2 3 2" xfId="13467" xr:uid="{DDC61FEC-65DD-4A4F-9E2B-79BBC3313D13}"/>
    <cellStyle name="Comma 4 3 3 2 2 4" xfId="9249" xr:uid="{C3101365-AD43-400D-943D-03D43D7B7FA3}"/>
    <cellStyle name="Comma 4 3 3 2 3" xfId="1141" xr:uid="{00000000-0005-0000-0000-000074090000}"/>
    <cellStyle name="Comma 4 3 3 2 3 2" xfId="3372" xr:uid="{00000000-0005-0000-0000-000075090000}"/>
    <cellStyle name="Comma 4 3 3 2 3 2 2" xfId="7596" xr:uid="{00000000-0005-0000-0000-000076090000}"/>
    <cellStyle name="Comma 4 3 3 2 3 2 2 2" xfId="16025" xr:uid="{1B4DF741-ACE3-45ED-BAF2-67A51FCEA6F6}"/>
    <cellStyle name="Comma 4 3 3 2 3 2 3" xfId="11807" xr:uid="{263FFF13-E634-4851-821C-4AA7424EE867}"/>
    <cellStyle name="Comma 4 3 3 2 3 3" xfId="5451" xr:uid="{00000000-0005-0000-0000-000077090000}"/>
    <cellStyle name="Comma 4 3 3 2 3 3 2" xfId="13880" xr:uid="{5611C6C6-22E0-4834-921D-15AFB5DF63A2}"/>
    <cellStyle name="Comma 4 3 3 2 3 4" xfId="9662" xr:uid="{4EFE99A8-66BD-4F35-8004-4F005DDB20C0}"/>
    <cellStyle name="Comma 4 3 3 2 4" xfId="1555" xr:uid="{00000000-0005-0000-0000-000078090000}"/>
    <cellStyle name="Comma 4 3 3 2 4 2" xfId="3785" xr:uid="{00000000-0005-0000-0000-000079090000}"/>
    <cellStyle name="Comma 4 3 3 2 4 2 2" xfId="8009" xr:uid="{00000000-0005-0000-0000-00007A090000}"/>
    <cellStyle name="Comma 4 3 3 2 4 2 2 2" xfId="16438" xr:uid="{B38A9511-0F93-4968-82B5-60A3A4910F66}"/>
    <cellStyle name="Comma 4 3 3 2 4 2 3" xfId="12220" xr:uid="{7CB672FC-AC5A-4040-817A-367D7BA688FA}"/>
    <cellStyle name="Comma 4 3 3 2 4 3" xfId="5864" xr:uid="{00000000-0005-0000-0000-00007B090000}"/>
    <cellStyle name="Comma 4 3 3 2 4 3 2" xfId="14293" xr:uid="{3D5E1FCD-CE33-4006-B2D2-ECE77860359D}"/>
    <cellStyle name="Comma 4 3 3 2 4 4" xfId="10075" xr:uid="{C7EC30FA-9478-405F-BFB5-3259F451E02A}"/>
    <cellStyle name="Comma 4 3 3 2 5" xfId="1969" xr:uid="{00000000-0005-0000-0000-00007C090000}"/>
    <cellStyle name="Comma 4 3 3 2 5 2" xfId="4198" xr:uid="{00000000-0005-0000-0000-00007D090000}"/>
    <cellStyle name="Comma 4 3 3 2 5 2 2" xfId="8422" xr:uid="{00000000-0005-0000-0000-00007E090000}"/>
    <cellStyle name="Comma 4 3 3 2 5 2 2 2" xfId="16851" xr:uid="{6DF33CE4-C8BF-4A43-9B48-4A50016ED183}"/>
    <cellStyle name="Comma 4 3 3 2 5 2 3" xfId="12633" xr:uid="{64506E33-0804-4FEE-8DAE-5F2725C83976}"/>
    <cellStyle name="Comma 4 3 3 2 5 3" xfId="6277" xr:uid="{00000000-0005-0000-0000-00007F090000}"/>
    <cellStyle name="Comma 4 3 3 2 5 3 2" xfId="14706" xr:uid="{1F02C333-E678-4C22-B85C-4B32CE0EBF2A}"/>
    <cellStyle name="Comma 4 3 3 2 5 4" xfId="10488" xr:uid="{E872DE73-0841-45F2-B6F2-24AB3F5B0AEE}"/>
    <cellStyle name="Comma 4 3 3 2 6" xfId="2404" xr:uid="{00000000-0005-0000-0000-000080090000}"/>
    <cellStyle name="Comma 4 3 3 2 6 2" xfId="6690" xr:uid="{00000000-0005-0000-0000-000081090000}"/>
    <cellStyle name="Comma 4 3 3 2 6 2 2" xfId="15119" xr:uid="{0621CD5D-100C-49FE-9F4B-59F98759C8AE}"/>
    <cellStyle name="Comma 4 3 3 2 6 3" xfId="10901" xr:uid="{576968D7-5C15-49A7-9210-320A3643EBFA}"/>
    <cellStyle name="Comma 4 3 3 2 7" xfId="2361" xr:uid="{00000000-0005-0000-0000-000082090000}"/>
    <cellStyle name="Comma 4 3 3 2 8" xfId="2782" xr:uid="{00000000-0005-0000-0000-000083090000}"/>
    <cellStyle name="Comma 4 3 3 2 8 2" xfId="7007" xr:uid="{00000000-0005-0000-0000-000084090000}"/>
    <cellStyle name="Comma 4 3 3 2 8 2 2" xfId="15436" xr:uid="{308D455F-B48C-48D0-A363-B9158B0B6A80}"/>
    <cellStyle name="Comma 4 3 3 2 8 3" xfId="11218" xr:uid="{EBF4BB87-F559-42A2-903F-21746D1E8D74}"/>
    <cellStyle name="Comma 4 3 3 2 9" xfId="4624" xr:uid="{00000000-0005-0000-0000-000085090000}"/>
    <cellStyle name="Comma 4 3 3 2 9 2" xfId="13053" xr:uid="{EF02E702-49F0-4B67-A89C-22F044966487}"/>
    <cellStyle name="Comma 4 3 3 3" xfId="687" xr:uid="{00000000-0005-0000-0000-000086090000}"/>
    <cellStyle name="Comma 4 3 3 3 2" xfId="2958" xr:uid="{00000000-0005-0000-0000-000087090000}"/>
    <cellStyle name="Comma 4 3 3 3 2 2" xfId="7182" xr:uid="{00000000-0005-0000-0000-000088090000}"/>
    <cellStyle name="Comma 4 3 3 3 2 2 2" xfId="15611" xr:uid="{954E2A02-5973-4F92-A200-8B0BD0B791CA}"/>
    <cellStyle name="Comma 4 3 3 3 2 3" xfId="11393" xr:uid="{5C8C1D86-B188-4DDF-8029-B74F6F132BE1}"/>
    <cellStyle name="Comma 4 3 3 3 3" xfId="5037" xr:uid="{00000000-0005-0000-0000-000089090000}"/>
    <cellStyle name="Comma 4 3 3 3 3 2" xfId="13466" xr:uid="{664427F7-1A53-4669-8E3A-9A4F94F5F87D}"/>
    <cellStyle name="Comma 4 3 3 3 4" xfId="9248" xr:uid="{A9413CC3-992B-4E94-B6CD-4D483144F8D8}"/>
    <cellStyle name="Comma 4 3 3 4" xfId="1140" xr:uid="{00000000-0005-0000-0000-00008A090000}"/>
    <cellStyle name="Comma 4 3 3 4 2" xfId="3371" xr:uid="{00000000-0005-0000-0000-00008B090000}"/>
    <cellStyle name="Comma 4 3 3 4 2 2" xfId="7595" xr:uid="{00000000-0005-0000-0000-00008C090000}"/>
    <cellStyle name="Comma 4 3 3 4 2 2 2" xfId="16024" xr:uid="{775BE054-ED5F-4E84-9396-F3261ED7E73B}"/>
    <cellStyle name="Comma 4 3 3 4 2 3" xfId="11806" xr:uid="{983D08BE-5F5C-4852-B8BA-6B4A1824A03A}"/>
    <cellStyle name="Comma 4 3 3 4 3" xfId="5450" xr:uid="{00000000-0005-0000-0000-00008D090000}"/>
    <cellStyle name="Comma 4 3 3 4 3 2" xfId="13879" xr:uid="{EE15A1E7-7BF2-462E-952C-87D2F475DD9D}"/>
    <cellStyle name="Comma 4 3 3 4 4" xfId="9661" xr:uid="{6F7C82CD-8880-47C8-8242-751A13FAD260}"/>
    <cellStyle name="Comma 4 3 3 5" xfId="1554" xr:uid="{00000000-0005-0000-0000-00008E090000}"/>
    <cellStyle name="Comma 4 3 3 5 2" xfId="3784" xr:uid="{00000000-0005-0000-0000-00008F090000}"/>
    <cellStyle name="Comma 4 3 3 5 2 2" xfId="8008" xr:uid="{00000000-0005-0000-0000-000090090000}"/>
    <cellStyle name="Comma 4 3 3 5 2 2 2" xfId="16437" xr:uid="{3456DC8C-B048-4797-B64F-73AB79E8AB08}"/>
    <cellStyle name="Comma 4 3 3 5 2 3" xfId="12219" xr:uid="{0179F137-9243-4E4F-B95A-0342EA40623D}"/>
    <cellStyle name="Comma 4 3 3 5 3" xfId="5863" xr:uid="{00000000-0005-0000-0000-000091090000}"/>
    <cellStyle name="Comma 4 3 3 5 3 2" xfId="14292" xr:uid="{C7E4EA4B-EEB9-45D4-AA55-EB4EEF8BCFC6}"/>
    <cellStyle name="Comma 4 3 3 5 4" xfId="10074" xr:uid="{C1BFD861-AE58-4C40-8971-DF555EDB439E}"/>
    <cellStyle name="Comma 4 3 3 6" xfId="1968" xr:uid="{00000000-0005-0000-0000-000092090000}"/>
    <cellStyle name="Comma 4 3 3 6 2" xfId="4197" xr:uid="{00000000-0005-0000-0000-000093090000}"/>
    <cellStyle name="Comma 4 3 3 6 2 2" xfId="8421" xr:uid="{00000000-0005-0000-0000-000094090000}"/>
    <cellStyle name="Comma 4 3 3 6 2 2 2" xfId="16850" xr:uid="{1B08D44C-6B5B-4326-9924-822EDC7077CA}"/>
    <cellStyle name="Comma 4 3 3 6 2 3" xfId="12632" xr:uid="{EBC11E9F-6A62-4709-8DE6-8869E43F347E}"/>
    <cellStyle name="Comma 4 3 3 6 3" xfId="6276" xr:uid="{00000000-0005-0000-0000-000095090000}"/>
    <cellStyle name="Comma 4 3 3 6 3 2" xfId="14705" xr:uid="{B07D8566-1813-462C-AF6E-A0899DE90346}"/>
    <cellStyle name="Comma 4 3 3 6 4" xfId="10487" xr:uid="{F0E53ECE-33B7-48E6-9AEF-9101D07E3D16}"/>
    <cellStyle name="Comma 4 3 3 7" xfId="2403" xr:uid="{00000000-0005-0000-0000-000096090000}"/>
    <cellStyle name="Comma 4 3 3 7 2" xfId="6689" xr:uid="{00000000-0005-0000-0000-000097090000}"/>
    <cellStyle name="Comma 4 3 3 7 2 2" xfId="15118" xr:uid="{59EF7A23-F43E-450B-A505-07AC1492279D}"/>
    <cellStyle name="Comma 4 3 3 7 3" xfId="10900" xr:uid="{CBAE6992-B314-4A10-91FA-58C7C88E2216}"/>
    <cellStyle name="Comma 4 3 3 8" xfId="2362" xr:uid="{00000000-0005-0000-0000-000098090000}"/>
    <cellStyle name="Comma 4 3 3 9" xfId="2781" xr:uid="{00000000-0005-0000-0000-000099090000}"/>
    <cellStyle name="Comma 4 3 3 9 2" xfId="7006" xr:uid="{00000000-0005-0000-0000-00009A090000}"/>
    <cellStyle name="Comma 4 3 3 9 2 2" xfId="15435" xr:uid="{FF31980D-A8B7-405C-A9E5-EA6942EF1356}"/>
    <cellStyle name="Comma 4 3 3 9 3" xfId="11217" xr:uid="{ED12B10F-D436-4B4A-BE72-D25D4A84D4F2}"/>
    <cellStyle name="Comma 4 3 4" xfId="151" xr:uid="{00000000-0005-0000-0000-00009B090000}"/>
    <cellStyle name="Comma 4 3 4 10" xfId="8836" xr:uid="{5BA5CBFE-9E6B-47C3-BCB9-501264760C2B}"/>
    <cellStyle name="Comma 4 3 4 2" xfId="689" xr:uid="{00000000-0005-0000-0000-00009C090000}"/>
    <cellStyle name="Comma 4 3 4 2 2" xfId="2960" xr:uid="{00000000-0005-0000-0000-00009D090000}"/>
    <cellStyle name="Comma 4 3 4 2 2 2" xfId="7184" xr:uid="{00000000-0005-0000-0000-00009E090000}"/>
    <cellStyle name="Comma 4 3 4 2 2 2 2" xfId="15613" xr:uid="{7EBE51EA-C2DA-4C2B-BC31-DC3832AD2FAF}"/>
    <cellStyle name="Comma 4 3 4 2 2 3" xfId="11395" xr:uid="{B0F6A004-4B86-40AF-9BFF-ECD270E6E834}"/>
    <cellStyle name="Comma 4 3 4 2 3" xfId="5039" xr:uid="{00000000-0005-0000-0000-00009F090000}"/>
    <cellStyle name="Comma 4 3 4 2 3 2" xfId="13468" xr:uid="{368537AB-0CA0-44FC-85C0-CD45EEE25F5A}"/>
    <cellStyle name="Comma 4 3 4 2 4" xfId="9250" xr:uid="{C745979F-CCEF-4B0F-A8D9-1DB90D7BAF63}"/>
    <cellStyle name="Comma 4 3 4 3" xfId="1142" xr:uid="{00000000-0005-0000-0000-0000A0090000}"/>
    <cellStyle name="Comma 4 3 4 3 2" xfId="3373" xr:uid="{00000000-0005-0000-0000-0000A1090000}"/>
    <cellStyle name="Comma 4 3 4 3 2 2" xfId="7597" xr:uid="{00000000-0005-0000-0000-0000A2090000}"/>
    <cellStyle name="Comma 4 3 4 3 2 2 2" xfId="16026" xr:uid="{857B9C87-6268-481C-9E56-B3E6A8C00C1D}"/>
    <cellStyle name="Comma 4 3 4 3 2 3" xfId="11808" xr:uid="{E862800E-9C4A-4AA4-9EF1-5FAD6323B548}"/>
    <cellStyle name="Comma 4 3 4 3 3" xfId="5452" xr:uid="{00000000-0005-0000-0000-0000A3090000}"/>
    <cellStyle name="Comma 4 3 4 3 3 2" xfId="13881" xr:uid="{B2116F86-4E03-4F34-B7FD-B1830B90E874}"/>
    <cellStyle name="Comma 4 3 4 3 4" xfId="9663" xr:uid="{6D2D5F1E-C288-47AC-BC2A-CDBA28873366}"/>
    <cellStyle name="Comma 4 3 4 4" xfId="1556" xr:uid="{00000000-0005-0000-0000-0000A4090000}"/>
    <cellStyle name="Comma 4 3 4 4 2" xfId="3786" xr:uid="{00000000-0005-0000-0000-0000A5090000}"/>
    <cellStyle name="Comma 4 3 4 4 2 2" xfId="8010" xr:uid="{00000000-0005-0000-0000-0000A6090000}"/>
    <cellStyle name="Comma 4 3 4 4 2 2 2" xfId="16439" xr:uid="{4D7A84C6-5B29-4040-B44B-FABC235E4CEF}"/>
    <cellStyle name="Comma 4 3 4 4 2 3" xfId="12221" xr:uid="{2374B65A-CB6D-44CB-B4AD-C7043843A7A3}"/>
    <cellStyle name="Comma 4 3 4 4 3" xfId="5865" xr:uid="{00000000-0005-0000-0000-0000A7090000}"/>
    <cellStyle name="Comma 4 3 4 4 3 2" xfId="14294" xr:uid="{2854B52C-B5AA-47BF-9264-C71FF5560A9D}"/>
    <cellStyle name="Comma 4 3 4 4 4" xfId="10076" xr:uid="{AA6E8DE3-D68F-4EC3-A446-B46591F0B113}"/>
    <cellStyle name="Comma 4 3 4 5" xfId="1970" xr:uid="{00000000-0005-0000-0000-0000A8090000}"/>
    <cellStyle name="Comma 4 3 4 5 2" xfId="4199" xr:uid="{00000000-0005-0000-0000-0000A9090000}"/>
    <cellStyle name="Comma 4 3 4 5 2 2" xfId="8423" xr:uid="{00000000-0005-0000-0000-0000AA090000}"/>
    <cellStyle name="Comma 4 3 4 5 2 2 2" xfId="16852" xr:uid="{D2ED6EC7-9560-4B46-BAFE-E3314D3ACB6D}"/>
    <cellStyle name="Comma 4 3 4 5 2 3" xfId="12634" xr:uid="{5EE045CE-1651-4BC3-970A-2C6973BB89E7}"/>
    <cellStyle name="Comma 4 3 4 5 3" xfId="6278" xr:uid="{00000000-0005-0000-0000-0000AB090000}"/>
    <cellStyle name="Comma 4 3 4 5 3 2" xfId="14707" xr:uid="{6199E908-F227-48E2-BC1C-5B79B3B10EB5}"/>
    <cellStyle name="Comma 4 3 4 5 4" xfId="10489" xr:uid="{D96EC99F-0581-420C-A51D-7391D523B3AB}"/>
    <cellStyle name="Comma 4 3 4 6" xfId="2405" xr:uid="{00000000-0005-0000-0000-0000AC090000}"/>
    <cellStyle name="Comma 4 3 4 6 2" xfId="6691" xr:uid="{00000000-0005-0000-0000-0000AD090000}"/>
    <cellStyle name="Comma 4 3 4 6 2 2" xfId="15120" xr:uid="{FF343879-3642-48CD-93F0-D5F1234E29D8}"/>
    <cellStyle name="Comma 4 3 4 6 3" xfId="10902" xr:uid="{E1AFDBF3-897A-4CD8-BE6B-6AB4C21D9C59}"/>
    <cellStyle name="Comma 4 3 4 7" xfId="2701" xr:uid="{00000000-0005-0000-0000-0000AE090000}"/>
    <cellStyle name="Comma 4 3 4 8" xfId="2783" xr:uid="{00000000-0005-0000-0000-0000AF090000}"/>
    <cellStyle name="Comma 4 3 4 8 2" xfId="7008" xr:uid="{00000000-0005-0000-0000-0000B0090000}"/>
    <cellStyle name="Comma 4 3 4 8 2 2" xfId="15437" xr:uid="{3FE6DF94-54A3-4068-A1CD-13898F40E836}"/>
    <cellStyle name="Comma 4 3 4 8 3" xfId="11219" xr:uid="{5079C768-90A9-4468-8F56-0DB258841BC5}"/>
    <cellStyle name="Comma 4 3 4 9" xfId="4625" xr:uid="{00000000-0005-0000-0000-0000B1090000}"/>
    <cellStyle name="Comma 4 3 4 9 2" xfId="13054" xr:uid="{5CD71570-48E8-458B-B00E-7BE2C0F144D2}"/>
    <cellStyle name="Comma 4 3 5" xfId="152" xr:uid="{00000000-0005-0000-0000-0000B2090000}"/>
    <cellStyle name="Comma 4 3 5 10" xfId="8837" xr:uid="{5C82AEF9-A35B-4790-BF42-9B7081485F16}"/>
    <cellStyle name="Comma 4 3 5 2" xfId="690" xr:uid="{00000000-0005-0000-0000-0000B3090000}"/>
    <cellStyle name="Comma 4 3 5 2 2" xfId="2961" xr:uid="{00000000-0005-0000-0000-0000B4090000}"/>
    <cellStyle name="Comma 4 3 5 2 2 2" xfId="7185" xr:uid="{00000000-0005-0000-0000-0000B5090000}"/>
    <cellStyle name="Comma 4 3 5 2 2 2 2" xfId="15614" xr:uid="{1FD37A5B-97AB-4F0F-845D-74EE7AE2E078}"/>
    <cellStyle name="Comma 4 3 5 2 2 3" xfId="11396" xr:uid="{CF231ECB-750B-406C-AE22-E63726D406F0}"/>
    <cellStyle name="Comma 4 3 5 2 3" xfId="5040" xr:uid="{00000000-0005-0000-0000-0000B6090000}"/>
    <cellStyle name="Comma 4 3 5 2 3 2" xfId="13469" xr:uid="{B2E412AE-F595-41A3-84AD-555DE11DE967}"/>
    <cellStyle name="Comma 4 3 5 2 4" xfId="9251" xr:uid="{6D2E0BA7-5F78-4CC3-88E7-94B4A4C64C02}"/>
    <cellStyle name="Comma 4 3 5 3" xfId="1143" xr:uid="{00000000-0005-0000-0000-0000B7090000}"/>
    <cellStyle name="Comma 4 3 5 3 2" xfId="3374" xr:uid="{00000000-0005-0000-0000-0000B8090000}"/>
    <cellStyle name="Comma 4 3 5 3 2 2" xfId="7598" xr:uid="{00000000-0005-0000-0000-0000B9090000}"/>
    <cellStyle name="Comma 4 3 5 3 2 2 2" xfId="16027" xr:uid="{341347C8-7F78-4CC5-AD29-35D8BD823153}"/>
    <cellStyle name="Comma 4 3 5 3 2 3" xfId="11809" xr:uid="{0D3769DA-4E30-443E-86E8-DDB73F70CA6C}"/>
    <cellStyle name="Comma 4 3 5 3 3" xfId="5453" xr:uid="{00000000-0005-0000-0000-0000BA090000}"/>
    <cellStyle name="Comma 4 3 5 3 3 2" xfId="13882" xr:uid="{779FE16A-1F45-4FB3-82B9-2D30CE5F22D6}"/>
    <cellStyle name="Comma 4 3 5 3 4" xfId="9664" xr:uid="{C4D00BD4-09C0-4106-B3C3-F06641EDDDE2}"/>
    <cellStyle name="Comma 4 3 5 4" xfId="1557" xr:uid="{00000000-0005-0000-0000-0000BB090000}"/>
    <cellStyle name="Comma 4 3 5 4 2" xfId="3787" xr:uid="{00000000-0005-0000-0000-0000BC090000}"/>
    <cellStyle name="Comma 4 3 5 4 2 2" xfId="8011" xr:uid="{00000000-0005-0000-0000-0000BD090000}"/>
    <cellStyle name="Comma 4 3 5 4 2 2 2" xfId="16440" xr:uid="{9EE27CC7-0309-476D-B4F3-3EC8DCC7E7D3}"/>
    <cellStyle name="Comma 4 3 5 4 2 3" xfId="12222" xr:uid="{9C6D4AC9-7F91-4625-8296-A12E18E1D798}"/>
    <cellStyle name="Comma 4 3 5 4 3" xfId="5866" xr:uid="{00000000-0005-0000-0000-0000BE090000}"/>
    <cellStyle name="Comma 4 3 5 4 3 2" xfId="14295" xr:uid="{999ECC64-2F4B-4325-93C4-7C6FCB84F4CB}"/>
    <cellStyle name="Comma 4 3 5 4 4" xfId="10077" xr:uid="{9831CBE7-0866-47C8-B838-80A91AECBED6}"/>
    <cellStyle name="Comma 4 3 5 5" xfId="1971" xr:uid="{00000000-0005-0000-0000-0000BF090000}"/>
    <cellStyle name="Comma 4 3 5 5 2" xfId="4200" xr:uid="{00000000-0005-0000-0000-0000C0090000}"/>
    <cellStyle name="Comma 4 3 5 5 2 2" xfId="8424" xr:uid="{00000000-0005-0000-0000-0000C1090000}"/>
    <cellStyle name="Comma 4 3 5 5 2 2 2" xfId="16853" xr:uid="{62E175FC-E24D-4449-AC21-3B82BCDD3A7E}"/>
    <cellStyle name="Comma 4 3 5 5 2 3" xfId="12635" xr:uid="{59E755B0-34EE-4FCE-85D8-D8369340826A}"/>
    <cellStyle name="Comma 4 3 5 5 3" xfId="6279" xr:uid="{00000000-0005-0000-0000-0000C2090000}"/>
    <cellStyle name="Comma 4 3 5 5 3 2" xfId="14708" xr:uid="{EF99C9A8-CE95-4AB5-8C2F-EC6E48372AEC}"/>
    <cellStyle name="Comma 4 3 5 5 4" xfId="10490" xr:uid="{DA669379-982F-41C5-96E1-8650EDBAD395}"/>
    <cellStyle name="Comma 4 3 5 6" xfId="2406" xr:uid="{00000000-0005-0000-0000-0000C3090000}"/>
    <cellStyle name="Comma 4 3 5 6 2" xfId="6692" xr:uid="{00000000-0005-0000-0000-0000C4090000}"/>
    <cellStyle name="Comma 4 3 5 6 2 2" xfId="15121" xr:uid="{E3F037D2-CD48-4045-AAFE-6EFF51F71F21}"/>
    <cellStyle name="Comma 4 3 5 6 3" xfId="10903" xr:uid="{C24715F4-13D0-46C7-9582-73890F21AEA3}"/>
    <cellStyle name="Comma 4 3 5 7" xfId="2702" xr:uid="{00000000-0005-0000-0000-0000C5090000}"/>
    <cellStyle name="Comma 4 3 5 8" xfId="2784" xr:uid="{00000000-0005-0000-0000-0000C6090000}"/>
    <cellStyle name="Comma 4 3 5 8 2" xfId="7009" xr:uid="{00000000-0005-0000-0000-0000C7090000}"/>
    <cellStyle name="Comma 4 3 5 8 2 2" xfId="15438" xr:uid="{3018F588-3B62-4616-B05F-D56BBD1732F7}"/>
    <cellStyle name="Comma 4 3 5 8 3" xfId="11220" xr:uid="{51823D9F-E2CC-44FE-A76A-867A644AED6F}"/>
    <cellStyle name="Comma 4 3 5 9" xfId="4626" xr:uid="{00000000-0005-0000-0000-0000C8090000}"/>
    <cellStyle name="Comma 4 3 5 9 2" xfId="13055" xr:uid="{88B1ECFB-A9CC-4242-AE01-3149762DBE63}"/>
    <cellStyle name="Comma 4 4" xfId="153" xr:uid="{00000000-0005-0000-0000-0000C9090000}"/>
    <cellStyle name="Comma 4 4 10" xfId="2785" xr:uid="{00000000-0005-0000-0000-0000CA090000}"/>
    <cellStyle name="Comma 4 4 10 2" xfId="7010" xr:uid="{00000000-0005-0000-0000-0000CB090000}"/>
    <cellStyle name="Comma 4 4 10 2 2" xfId="15439" xr:uid="{CFF2667A-27DB-46B8-8953-81EB93D2F4D5}"/>
    <cellStyle name="Comma 4 4 10 3" xfId="11221" xr:uid="{66BBACB4-A38D-44ED-966D-5A5999D52633}"/>
    <cellStyle name="Comma 4 4 11" xfId="4627" xr:uid="{00000000-0005-0000-0000-0000CC090000}"/>
    <cellStyle name="Comma 4 4 11 2" xfId="13056" xr:uid="{9054CE61-9658-4284-BAC5-C2536FBF0AE9}"/>
    <cellStyle name="Comma 4 4 12" xfId="8838" xr:uid="{25500D50-282E-4C5F-BC82-7A5B196B2313}"/>
    <cellStyle name="Comma 4 4 2" xfId="154" xr:uid="{00000000-0005-0000-0000-0000CD090000}"/>
    <cellStyle name="Comma 4 4 2 10" xfId="4628" xr:uid="{00000000-0005-0000-0000-0000CE090000}"/>
    <cellStyle name="Comma 4 4 2 10 2" xfId="13057" xr:uid="{8F704EDA-26C1-47DE-B0E5-4CD9A255BD8B}"/>
    <cellStyle name="Comma 4 4 2 11" xfId="8839" xr:uid="{03F00E74-7458-4729-A882-183E29EF2643}"/>
    <cellStyle name="Comma 4 4 2 2" xfId="155" xr:uid="{00000000-0005-0000-0000-0000CF090000}"/>
    <cellStyle name="Comma 4 4 2 2 10" xfId="8840" xr:uid="{F8FE9713-01E7-4AF3-ABC4-34637A96B21E}"/>
    <cellStyle name="Comma 4 4 2 2 2" xfId="693" xr:uid="{00000000-0005-0000-0000-0000D0090000}"/>
    <cellStyle name="Comma 4 4 2 2 2 2" xfId="2964" xr:uid="{00000000-0005-0000-0000-0000D1090000}"/>
    <cellStyle name="Comma 4 4 2 2 2 2 2" xfId="7188" xr:uid="{00000000-0005-0000-0000-0000D2090000}"/>
    <cellStyle name="Comma 4 4 2 2 2 2 2 2" xfId="15617" xr:uid="{1359B134-F12E-448F-A3FA-8B04ECF96C0F}"/>
    <cellStyle name="Comma 4 4 2 2 2 2 3" xfId="11399" xr:uid="{3E3F6115-A716-4A5E-828F-8BF295787BCC}"/>
    <cellStyle name="Comma 4 4 2 2 2 3" xfId="5043" xr:uid="{00000000-0005-0000-0000-0000D3090000}"/>
    <cellStyle name="Comma 4 4 2 2 2 3 2" xfId="13472" xr:uid="{B287A95E-5584-47B2-BDA7-9850187FCD94}"/>
    <cellStyle name="Comma 4 4 2 2 2 4" xfId="9254" xr:uid="{A96F13E3-8D9C-4BC9-AC2D-97D91A10535A}"/>
    <cellStyle name="Comma 4 4 2 2 3" xfId="1146" xr:uid="{00000000-0005-0000-0000-0000D4090000}"/>
    <cellStyle name="Comma 4 4 2 2 3 2" xfId="3377" xr:uid="{00000000-0005-0000-0000-0000D5090000}"/>
    <cellStyle name="Comma 4 4 2 2 3 2 2" xfId="7601" xr:uid="{00000000-0005-0000-0000-0000D6090000}"/>
    <cellStyle name="Comma 4 4 2 2 3 2 2 2" xfId="16030" xr:uid="{E7330A6B-F2AE-485C-9D34-2FB0CC3AD7F8}"/>
    <cellStyle name="Comma 4 4 2 2 3 2 3" xfId="11812" xr:uid="{057EB8F6-B99E-4E2C-85BA-CEF347E5E014}"/>
    <cellStyle name="Comma 4 4 2 2 3 3" xfId="5456" xr:uid="{00000000-0005-0000-0000-0000D7090000}"/>
    <cellStyle name="Comma 4 4 2 2 3 3 2" xfId="13885" xr:uid="{E8078385-CA15-43FC-A883-32E76F82030C}"/>
    <cellStyle name="Comma 4 4 2 2 3 4" xfId="9667" xr:uid="{1B5E94E4-1E9B-48AA-8CB3-2B1573DA5FD0}"/>
    <cellStyle name="Comma 4 4 2 2 4" xfId="1560" xr:uid="{00000000-0005-0000-0000-0000D8090000}"/>
    <cellStyle name="Comma 4 4 2 2 4 2" xfId="3790" xr:uid="{00000000-0005-0000-0000-0000D9090000}"/>
    <cellStyle name="Comma 4 4 2 2 4 2 2" xfId="8014" xr:uid="{00000000-0005-0000-0000-0000DA090000}"/>
    <cellStyle name="Comma 4 4 2 2 4 2 2 2" xfId="16443" xr:uid="{3B1705D3-F362-4999-BDE0-3EC184403437}"/>
    <cellStyle name="Comma 4 4 2 2 4 2 3" xfId="12225" xr:uid="{361047D8-9DED-4725-A406-AE1E241DFC64}"/>
    <cellStyle name="Comma 4 4 2 2 4 3" xfId="5869" xr:uid="{00000000-0005-0000-0000-0000DB090000}"/>
    <cellStyle name="Comma 4 4 2 2 4 3 2" xfId="14298" xr:uid="{C66A7193-3708-482A-8E2A-3A27A489FD99}"/>
    <cellStyle name="Comma 4 4 2 2 4 4" xfId="10080" xr:uid="{AFD7E35A-E387-46CB-9860-45DF2440AEEA}"/>
    <cellStyle name="Comma 4 4 2 2 5" xfId="1974" xr:uid="{00000000-0005-0000-0000-0000DC090000}"/>
    <cellStyle name="Comma 4 4 2 2 5 2" xfId="4203" xr:uid="{00000000-0005-0000-0000-0000DD090000}"/>
    <cellStyle name="Comma 4 4 2 2 5 2 2" xfId="8427" xr:uid="{00000000-0005-0000-0000-0000DE090000}"/>
    <cellStyle name="Comma 4 4 2 2 5 2 2 2" xfId="16856" xr:uid="{44EE8CCF-1DC3-4329-883E-97529B1CD5C3}"/>
    <cellStyle name="Comma 4 4 2 2 5 2 3" xfId="12638" xr:uid="{1E2BD691-5914-4F95-9047-902F6B26314A}"/>
    <cellStyle name="Comma 4 4 2 2 5 3" xfId="6282" xr:uid="{00000000-0005-0000-0000-0000DF090000}"/>
    <cellStyle name="Comma 4 4 2 2 5 3 2" xfId="14711" xr:uid="{BD4CC1B5-6743-43BC-9EA9-82BAAE2F0AE5}"/>
    <cellStyle name="Comma 4 4 2 2 5 4" xfId="10493" xr:uid="{C32431EB-64F6-48A5-8477-84E1415B6A00}"/>
    <cellStyle name="Comma 4 4 2 2 6" xfId="2409" xr:uid="{00000000-0005-0000-0000-0000E0090000}"/>
    <cellStyle name="Comma 4 4 2 2 6 2" xfId="6695" xr:uid="{00000000-0005-0000-0000-0000E1090000}"/>
    <cellStyle name="Comma 4 4 2 2 6 2 2" xfId="15124" xr:uid="{F12951C5-D60A-42F3-8001-D643A8BBF63B}"/>
    <cellStyle name="Comma 4 4 2 2 6 3" xfId="10906" xr:uid="{8E60EFA0-8082-4D4A-9A43-DAE0F4C64A2B}"/>
    <cellStyle name="Comma 4 4 2 2 7" xfId="2705" xr:uid="{00000000-0005-0000-0000-0000E2090000}"/>
    <cellStyle name="Comma 4 4 2 2 8" xfId="2787" xr:uid="{00000000-0005-0000-0000-0000E3090000}"/>
    <cellStyle name="Comma 4 4 2 2 8 2" xfId="7012" xr:uid="{00000000-0005-0000-0000-0000E4090000}"/>
    <cellStyle name="Comma 4 4 2 2 8 2 2" xfId="15441" xr:uid="{026C2749-27EE-4EF7-9CDF-A8E64DBDA9AE}"/>
    <cellStyle name="Comma 4 4 2 2 8 3" xfId="11223" xr:uid="{8CF9DFC7-201A-4F4F-8C2C-097A1EC659F2}"/>
    <cellStyle name="Comma 4 4 2 2 9" xfId="4629" xr:uid="{00000000-0005-0000-0000-0000E5090000}"/>
    <cellStyle name="Comma 4 4 2 2 9 2" xfId="13058" xr:uid="{0F9E85AA-183A-4001-8FC6-0D9111CD447A}"/>
    <cellStyle name="Comma 4 4 2 3" xfId="692" xr:uid="{00000000-0005-0000-0000-0000E6090000}"/>
    <cellStyle name="Comma 4 4 2 3 2" xfId="2963" xr:uid="{00000000-0005-0000-0000-0000E7090000}"/>
    <cellStyle name="Comma 4 4 2 3 2 2" xfId="7187" xr:uid="{00000000-0005-0000-0000-0000E8090000}"/>
    <cellStyle name="Comma 4 4 2 3 2 2 2" xfId="15616" xr:uid="{A3B8940D-C0A0-4CA3-AA90-E5FCF7AF9856}"/>
    <cellStyle name="Comma 4 4 2 3 2 3" xfId="11398" xr:uid="{3E055FF9-501C-41E5-B53E-ED9928EEBC5B}"/>
    <cellStyle name="Comma 4 4 2 3 3" xfId="5042" xr:uid="{00000000-0005-0000-0000-0000E9090000}"/>
    <cellStyle name="Comma 4 4 2 3 3 2" xfId="13471" xr:uid="{360ED5ED-E591-4A18-A919-480C5F37ABEF}"/>
    <cellStyle name="Comma 4 4 2 3 4" xfId="9253" xr:uid="{B23BDB11-B218-4077-B820-70CB808524E1}"/>
    <cellStyle name="Comma 4 4 2 4" xfId="1145" xr:uid="{00000000-0005-0000-0000-0000EA090000}"/>
    <cellStyle name="Comma 4 4 2 4 2" xfId="3376" xr:uid="{00000000-0005-0000-0000-0000EB090000}"/>
    <cellStyle name="Comma 4 4 2 4 2 2" xfId="7600" xr:uid="{00000000-0005-0000-0000-0000EC090000}"/>
    <cellStyle name="Comma 4 4 2 4 2 2 2" xfId="16029" xr:uid="{15252CDE-C486-4B45-8961-64E21B189FFE}"/>
    <cellStyle name="Comma 4 4 2 4 2 3" xfId="11811" xr:uid="{6396B1B6-AA0E-49DA-A688-69F0D93C90D5}"/>
    <cellStyle name="Comma 4 4 2 4 3" xfId="5455" xr:uid="{00000000-0005-0000-0000-0000ED090000}"/>
    <cellStyle name="Comma 4 4 2 4 3 2" xfId="13884" xr:uid="{1BB0E595-A81D-4936-B0DA-AD3CB1543448}"/>
    <cellStyle name="Comma 4 4 2 4 4" xfId="9666" xr:uid="{EB5C6950-1FD9-477A-A076-97D11C3BCD65}"/>
    <cellStyle name="Comma 4 4 2 5" xfId="1559" xr:uid="{00000000-0005-0000-0000-0000EE090000}"/>
    <cellStyle name="Comma 4 4 2 5 2" xfId="3789" xr:uid="{00000000-0005-0000-0000-0000EF090000}"/>
    <cellStyle name="Comma 4 4 2 5 2 2" xfId="8013" xr:uid="{00000000-0005-0000-0000-0000F0090000}"/>
    <cellStyle name="Comma 4 4 2 5 2 2 2" xfId="16442" xr:uid="{6DA9D83D-5AA4-4D63-B8A3-0A802345859C}"/>
    <cellStyle name="Comma 4 4 2 5 2 3" xfId="12224" xr:uid="{FB40CE92-2BF4-4203-B1FC-182E185E4BA2}"/>
    <cellStyle name="Comma 4 4 2 5 3" xfId="5868" xr:uid="{00000000-0005-0000-0000-0000F1090000}"/>
    <cellStyle name="Comma 4 4 2 5 3 2" xfId="14297" xr:uid="{DFFF269C-5AF2-4A37-83F4-38CE475348D1}"/>
    <cellStyle name="Comma 4 4 2 5 4" xfId="10079" xr:uid="{0C9AF270-22E1-4B47-93E3-8A931B43821B}"/>
    <cellStyle name="Comma 4 4 2 6" xfId="1973" xr:uid="{00000000-0005-0000-0000-0000F2090000}"/>
    <cellStyle name="Comma 4 4 2 6 2" xfId="4202" xr:uid="{00000000-0005-0000-0000-0000F3090000}"/>
    <cellStyle name="Comma 4 4 2 6 2 2" xfId="8426" xr:uid="{00000000-0005-0000-0000-0000F4090000}"/>
    <cellStyle name="Comma 4 4 2 6 2 2 2" xfId="16855" xr:uid="{F0159AD7-48A0-446C-9CD7-1B8204E0B90F}"/>
    <cellStyle name="Comma 4 4 2 6 2 3" xfId="12637" xr:uid="{206EFDF7-7502-4D69-84F5-C75580191DE4}"/>
    <cellStyle name="Comma 4 4 2 6 3" xfId="6281" xr:uid="{00000000-0005-0000-0000-0000F5090000}"/>
    <cellStyle name="Comma 4 4 2 6 3 2" xfId="14710" xr:uid="{90DA30CD-96EA-4A4F-AF05-4EB2AF7A5271}"/>
    <cellStyle name="Comma 4 4 2 6 4" xfId="10492" xr:uid="{FC47C533-E510-4F89-A0F5-76428CEF80CE}"/>
    <cellStyle name="Comma 4 4 2 7" xfId="2408" xr:uid="{00000000-0005-0000-0000-0000F6090000}"/>
    <cellStyle name="Comma 4 4 2 7 2" xfId="6694" xr:uid="{00000000-0005-0000-0000-0000F7090000}"/>
    <cellStyle name="Comma 4 4 2 7 2 2" xfId="15123" xr:uid="{2B8B59F8-B1D1-447D-A0BB-785728BF7223}"/>
    <cellStyle name="Comma 4 4 2 7 3" xfId="10905" xr:uid="{96BBA711-40A4-4948-955A-6B4ADB7C2896}"/>
    <cellStyle name="Comma 4 4 2 8" xfId="2704" xr:uid="{00000000-0005-0000-0000-0000F8090000}"/>
    <cellStyle name="Comma 4 4 2 9" xfId="2786" xr:uid="{00000000-0005-0000-0000-0000F9090000}"/>
    <cellStyle name="Comma 4 4 2 9 2" xfId="7011" xr:uid="{00000000-0005-0000-0000-0000FA090000}"/>
    <cellStyle name="Comma 4 4 2 9 2 2" xfId="15440" xr:uid="{33C8CFBA-23E0-4D79-A40E-9C0F23A27845}"/>
    <cellStyle name="Comma 4 4 2 9 3" xfId="11222" xr:uid="{F06F5B77-CE3B-4E5B-8941-9F260725E621}"/>
    <cellStyle name="Comma 4 4 3" xfId="156" xr:uid="{00000000-0005-0000-0000-0000FB090000}"/>
    <cellStyle name="Comma 4 4 3 10" xfId="8841" xr:uid="{3733F8A7-A312-41EF-94E8-6A1D156996E6}"/>
    <cellStyle name="Comma 4 4 3 2" xfId="694" xr:uid="{00000000-0005-0000-0000-0000FC090000}"/>
    <cellStyle name="Comma 4 4 3 2 2" xfId="2965" xr:uid="{00000000-0005-0000-0000-0000FD090000}"/>
    <cellStyle name="Comma 4 4 3 2 2 2" xfId="7189" xr:uid="{00000000-0005-0000-0000-0000FE090000}"/>
    <cellStyle name="Comma 4 4 3 2 2 2 2" xfId="15618" xr:uid="{8BA683C8-2D8F-417E-ACCA-A9EACF6E76AB}"/>
    <cellStyle name="Comma 4 4 3 2 2 3" xfId="11400" xr:uid="{306AFCAE-1193-44DE-BF46-F702F82188E3}"/>
    <cellStyle name="Comma 4 4 3 2 3" xfId="5044" xr:uid="{00000000-0005-0000-0000-0000FF090000}"/>
    <cellStyle name="Comma 4 4 3 2 3 2" xfId="13473" xr:uid="{B8C03BBF-6D09-4C50-A4C2-00EF81228ADA}"/>
    <cellStyle name="Comma 4 4 3 2 4" xfId="9255" xr:uid="{D29840A6-3A3F-4A12-8799-5D3DC87A01C7}"/>
    <cellStyle name="Comma 4 4 3 3" xfId="1147" xr:uid="{00000000-0005-0000-0000-0000000A0000}"/>
    <cellStyle name="Comma 4 4 3 3 2" xfId="3378" xr:uid="{00000000-0005-0000-0000-0000010A0000}"/>
    <cellStyle name="Comma 4 4 3 3 2 2" xfId="7602" xr:uid="{00000000-0005-0000-0000-0000020A0000}"/>
    <cellStyle name="Comma 4 4 3 3 2 2 2" xfId="16031" xr:uid="{5A6D2EF1-DF3E-4938-9F30-FF3C0075BC59}"/>
    <cellStyle name="Comma 4 4 3 3 2 3" xfId="11813" xr:uid="{2FD98ED0-B8D5-49C6-9468-9E4CAAAD208F}"/>
    <cellStyle name="Comma 4 4 3 3 3" xfId="5457" xr:uid="{00000000-0005-0000-0000-0000030A0000}"/>
    <cellStyle name="Comma 4 4 3 3 3 2" xfId="13886" xr:uid="{C402372B-4506-4DB6-9D5A-74603ED16325}"/>
    <cellStyle name="Comma 4 4 3 3 4" xfId="9668" xr:uid="{69902C29-2E00-426D-A6A5-977C25D37539}"/>
    <cellStyle name="Comma 4 4 3 4" xfId="1561" xr:uid="{00000000-0005-0000-0000-0000040A0000}"/>
    <cellStyle name="Comma 4 4 3 4 2" xfId="3791" xr:uid="{00000000-0005-0000-0000-0000050A0000}"/>
    <cellStyle name="Comma 4 4 3 4 2 2" xfId="8015" xr:uid="{00000000-0005-0000-0000-0000060A0000}"/>
    <cellStyle name="Comma 4 4 3 4 2 2 2" xfId="16444" xr:uid="{B53162A0-763B-459C-90C6-1D9DCFA973D2}"/>
    <cellStyle name="Comma 4 4 3 4 2 3" xfId="12226" xr:uid="{9A14ABE2-435E-4A0D-A1D2-F84F88497B22}"/>
    <cellStyle name="Comma 4 4 3 4 3" xfId="5870" xr:uid="{00000000-0005-0000-0000-0000070A0000}"/>
    <cellStyle name="Comma 4 4 3 4 3 2" xfId="14299" xr:uid="{8A81CAA2-A956-48A2-B362-20C0CDE2D7C4}"/>
    <cellStyle name="Comma 4 4 3 4 4" xfId="10081" xr:uid="{65ED58F7-7F45-43F0-9522-714ADFB910D9}"/>
    <cellStyle name="Comma 4 4 3 5" xfId="1975" xr:uid="{00000000-0005-0000-0000-0000080A0000}"/>
    <cellStyle name="Comma 4 4 3 5 2" xfId="4204" xr:uid="{00000000-0005-0000-0000-0000090A0000}"/>
    <cellStyle name="Comma 4 4 3 5 2 2" xfId="8428" xr:uid="{00000000-0005-0000-0000-00000A0A0000}"/>
    <cellStyle name="Comma 4 4 3 5 2 2 2" xfId="16857" xr:uid="{4EA22148-AEF9-4B98-83E8-F06A10A61266}"/>
    <cellStyle name="Comma 4 4 3 5 2 3" xfId="12639" xr:uid="{F516128D-9E41-4D03-9B6F-08AC748078C1}"/>
    <cellStyle name="Comma 4 4 3 5 3" xfId="6283" xr:uid="{00000000-0005-0000-0000-00000B0A0000}"/>
    <cellStyle name="Comma 4 4 3 5 3 2" xfId="14712" xr:uid="{F0509A4A-48B0-44FE-B6A2-99DADF4C2A60}"/>
    <cellStyle name="Comma 4 4 3 5 4" xfId="10494" xr:uid="{163204FD-D9E4-4882-9408-EDB775F57894}"/>
    <cellStyle name="Comma 4 4 3 6" xfId="2410" xr:uid="{00000000-0005-0000-0000-00000C0A0000}"/>
    <cellStyle name="Comma 4 4 3 6 2" xfId="6696" xr:uid="{00000000-0005-0000-0000-00000D0A0000}"/>
    <cellStyle name="Comma 4 4 3 6 2 2" xfId="15125" xr:uid="{97398DBF-70FC-4D46-B46F-D15A33B06043}"/>
    <cellStyle name="Comma 4 4 3 6 3" xfId="10907" xr:uid="{34A1B589-BFD7-4D4B-BDDF-E9922ACDDCF9}"/>
    <cellStyle name="Comma 4 4 3 7" xfId="2706" xr:uid="{00000000-0005-0000-0000-00000E0A0000}"/>
    <cellStyle name="Comma 4 4 3 8" xfId="2788" xr:uid="{00000000-0005-0000-0000-00000F0A0000}"/>
    <cellStyle name="Comma 4 4 3 8 2" xfId="7013" xr:uid="{00000000-0005-0000-0000-0000100A0000}"/>
    <cellStyle name="Comma 4 4 3 8 2 2" xfId="15442" xr:uid="{D342920A-8CBD-454E-A666-900DD74492B2}"/>
    <cellStyle name="Comma 4 4 3 8 3" xfId="11224" xr:uid="{BFDC112B-0718-4747-924E-E2CB1E2B7B82}"/>
    <cellStyle name="Comma 4 4 3 9" xfId="4630" xr:uid="{00000000-0005-0000-0000-0000110A0000}"/>
    <cellStyle name="Comma 4 4 3 9 2" xfId="13059" xr:uid="{A83C405E-8C0C-4D49-BA2B-126901127971}"/>
    <cellStyle name="Comma 4 4 4" xfId="691" xr:uid="{00000000-0005-0000-0000-0000120A0000}"/>
    <cellStyle name="Comma 4 4 4 2" xfId="2962" xr:uid="{00000000-0005-0000-0000-0000130A0000}"/>
    <cellStyle name="Comma 4 4 4 2 2" xfId="7186" xr:uid="{00000000-0005-0000-0000-0000140A0000}"/>
    <cellStyle name="Comma 4 4 4 2 2 2" xfId="15615" xr:uid="{285F53CA-499E-4A90-AE5C-E67F6B4674C6}"/>
    <cellStyle name="Comma 4 4 4 2 3" xfId="11397" xr:uid="{59BD181D-3E69-4A9B-906D-18DAE1A571FC}"/>
    <cellStyle name="Comma 4 4 4 3" xfId="5041" xr:uid="{00000000-0005-0000-0000-0000150A0000}"/>
    <cellStyle name="Comma 4 4 4 3 2" xfId="13470" xr:uid="{5DE95D80-E08F-42FD-8BB5-E06D24CCCA4C}"/>
    <cellStyle name="Comma 4 4 4 4" xfId="9252" xr:uid="{03FB9A6C-E1AD-48B9-8522-12DA5E242CC2}"/>
    <cellStyle name="Comma 4 4 5" xfId="1144" xr:uid="{00000000-0005-0000-0000-0000160A0000}"/>
    <cellStyle name="Comma 4 4 5 2" xfId="3375" xr:uid="{00000000-0005-0000-0000-0000170A0000}"/>
    <cellStyle name="Comma 4 4 5 2 2" xfId="7599" xr:uid="{00000000-0005-0000-0000-0000180A0000}"/>
    <cellStyle name="Comma 4 4 5 2 2 2" xfId="16028" xr:uid="{EF4FF8FC-C91A-4C3D-A09D-559FFFCF2EB2}"/>
    <cellStyle name="Comma 4 4 5 2 3" xfId="11810" xr:uid="{A86FD0B3-ADD8-484E-910C-7D26513F0472}"/>
    <cellStyle name="Comma 4 4 5 3" xfId="5454" xr:uid="{00000000-0005-0000-0000-0000190A0000}"/>
    <cellStyle name="Comma 4 4 5 3 2" xfId="13883" xr:uid="{0979046F-AF09-4CC2-924B-65F1AF3F3A4E}"/>
    <cellStyle name="Comma 4 4 5 4" xfId="9665" xr:uid="{B777FF18-7B07-444D-A62F-A6447E219B2D}"/>
    <cellStyle name="Comma 4 4 6" xfId="1558" xr:uid="{00000000-0005-0000-0000-00001A0A0000}"/>
    <cellStyle name="Comma 4 4 6 2" xfId="3788" xr:uid="{00000000-0005-0000-0000-00001B0A0000}"/>
    <cellStyle name="Comma 4 4 6 2 2" xfId="8012" xr:uid="{00000000-0005-0000-0000-00001C0A0000}"/>
    <cellStyle name="Comma 4 4 6 2 2 2" xfId="16441" xr:uid="{5A86048A-EDCF-495C-B5A2-F2F6A290D118}"/>
    <cellStyle name="Comma 4 4 6 2 3" xfId="12223" xr:uid="{F4B0FBC3-2FAF-4092-81DE-E4E05A9898D8}"/>
    <cellStyle name="Comma 4 4 6 3" xfId="5867" xr:uid="{00000000-0005-0000-0000-00001D0A0000}"/>
    <cellStyle name="Comma 4 4 6 3 2" xfId="14296" xr:uid="{46DE7D37-B1F0-4793-A84D-120517569C66}"/>
    <cellStyle name="Comma 4 4 6 4" xfId="10078" xr:uid="{C3459F27-2505-4C79-B91A-5608C443D47F}"/>
    <cellStyle name="Comma 4 4 7" xfId="1972" xr:uid="{00000000-0005-0000-0000-00001E0A0000}"/>
    <cellStyle name="Comma 4 4 7 2" xfId="4201" xr:uid="{00000000-0005-0000-0000-00001F0A0000}"/>
    <cellStyle name="Comma 4 4 7 2 2" xfId="8425" xr:uid="{00000000-0005-0000-0000-0000200A0000}"/>
    <cellStyle name="Comma 4 4 7 2 2 2" xfId="16854" xr:uid="{FA55A680-70CD-4BC0-B60B-1B252208B8B8}"/>
    <cellStyle name="Comma 4 4 7 2 3" xfId="12636" xr:uid="{549EE1F7-C800-47E6-9204-37EC17432FF0}"/>
    <cellStyle name="Comma 4 4 7 3" xfId="6280" xr:uid="{00000000-0005-0000-0000-0000210A0000}"/>
    <cellStyle name="Comma 4 4 7 3 2" xfId="14709" xr:uid="{1BB450FB-0EF7-4185-8CE3-DBB1B9F7FAE6}"/>
    <cellStyle name="Comma 4 4 7 4" xfId="10491" xr:uid="{DC6654B4-F51D-48A1-830C-76970C5EED81}"/>
    <cellStyle name="Comma 4 4 8" xfId="2407" xr:uid="{00000000-0005-0000-0000-0000220A0000}"/>
    <cellStyle name="Comma 4 4 8 2" xfId="6693" xr:uid="{00000000-0005-0000-0000-0000230A0000}"/>
    <cellStyle name="Comma 4 4 8 2 2" xfId="15122" xr:uid="{E65571A0-60AC-4F98-8A8C-88EACECBCD11}"/>
    <cellStyle name="Comma 4 4 8 3" xfId="10904" xr:uid="{6C79EEFD-F087-471A-8D28-D177F95B8AF0}"/>
    <cellStyle name="Comma 4 4 9" xfId="2703" xr:uid="{00000000-0005-0000-0000-0000240A0000}"/>
    <cellStyle name="Comma 4 5" xfId="157" xr:uid="{00000000-0005-0000-0000-0000250A0000}"/>
    <cellStyle name="Comma 4 5 10" xfId="4631" xr:uid="{00000000-0005-0000-0000-0000260A0000}"/>
    <cellStyle name="Comma 4 5 10 2" xfId="13060" xr:uid="{AE91B8BA-33E2-4471-92E7-EFE86434A0A7}"/>
    <cellStyle name="Comma 4 5 11" xfId="8842" xr:uid="{EDF9C26A-00B8-426E-8DF5-F2F5E0BF2ACC}"/>
    <cellStyle name="Comma 4 5 2" xfId="158" xr:uid="{00000000-0005-0000-0000-0000270A0000}"/>
    <cellStyle name="Comma 4 5 2 10" xfId="8843" xr:uid="{977C0F04-EB2A-46A7-A306-E15689DE7C27}"/>
    <cellStyle name="Comma 4 5 2 2" xfId="696" xr:uid="{00000000-0005-0000-0000-0000280A0000}"/>
    <cellStyle name="Comma 4 5 2 2 2" xfId="2967" xr:uid="{00000000-0005-0000-0000-0000290A0000}"/>
    <cellStyle name="Comma 4 5 2 2 2 2" xfId="7191" xr:uid="{00000000-0005-0000-0000-00002A0A0000}"/>
    <cellStyle name="Comma 4 5 2 2 2 2 2" xfId="15620" xr:uid="{D0FA1756-75ED-4682-BF11-F6AB279508B5}"/>
    <cellStyle name="Comma 4 5 2 2 2 3" xfId="11402" xr:uid="{840EEA41-A48E-4635-B014-32938EA6CA3C}"/>
    <cellStyle name="Comma 4 5 2 2 3" xfId="5046" xr:uid="{00000000-0005-0000-0000-00002B0A0000}"/>
    <cellStyle name="Comma 4 5 2 2 3 2" xfId="13475" xr:uid="{85F1E274-33A1-4CE0-92BB-B7C232CDB6A1}"/>
    <cellStyle name="Comma 4 5 2 2 4" xfId="9257" xr:uid="{17652275-A4AC-4B27-B10B-80937563AE8A}"/>
    <cellStyle name="Comma 4 5 2 3" xfId="1149" xr:uid="{00000000-0005-0000-0000-00002C0A0000}"/>
    <cellStyle name="Comma 4 5 2 3 2" xfId="3380" xr:uid="{00000000-0005-0000-0000-00002D0A0000}"/>
    <cellStyle name="Comma 4 5 2 3 2 2" xfId="7604" xr:uid="{00000000-0005-0000-0000-00002E0A0000}"/>
    <cellStyle name="Comma 4 5 2 3 2 2 2" xfId="16033" xr:uid="{100674E7-9A96-4794-87CF-FD02C8237C0F}"/>
    <cellStyle name="Comma 4 5 2 3 2 3" xfId="11815" xr:uid="{456D9C7F-72CB-4617-84DF-94863A1312F1}"/>
    <cellStyle name="Comma 4 5 2 3 3" xfId="5459" xr:uid="{00000000-0005-0000-0000-00002F0A0000}"/>
    <cellStyle name="Comma 4 5 2 3 3 2" xfId="13888" xr:uid="{A0FB7FC2-C19C-45C8-BB58-682E0D472F9B}"/>
    <cellStyle name="Comma 4 5 2 3 4" xfId="9670" xr:uid="{EEB6FB3E-DA77-47CE-A024-90896FC6EF26}"/>
    <cellStyle name="Comma 4 5 2 4" xfId="1563" xr:uid="{00000000-0005-0000-0000-0000300A0000}"/>
    <cellStyle name="Comma 4 5 2 4 2" xfId="3793" xr:uid="{00000000-0005-0000-0000-0000310A0000}"/>
    <cellStyle name="Comma 4 5 2 4 2 2" xfId="8017" xr:uid="{00000000-0005-0000-0000-0000320A0000}"/>
    <cellStyle name="Comma 4 5 2 4 2 2 2" xfId="16446" xr:uid="{AEFD0667-1A18-490D-9121-CAED3D79D3E1}"/>
    <cellStyle name="Comma 4 5 2 4 2 3" xfId="12228" xr:uid="{D9053F9E-F719-4C3E-910A-DE5EA554E5C8}"/>
    <cellStyle name="Comma 4 5 2 4 3" xfId="5872" xr:uid="{00000000-0005-0000-0000-0000330A0000}"/>
    <cellStyle name="Comma 4 5 2 4 3 2" xfId="14301" xr:uid="{1EDDE0CB-5DD5-4BB2-B053-6B58791DF306}"/>
    <cellStyle name="Comma 4 5 2 4 4" xfId="10083" xr:uid="{EF3DAA12-E932-49B9-9C00-F4101B064F1F}"/>
    <cellStyle name="Comma 4 5 2 5" xfId="1977" xr:uid="{00000000-0005-0000-0000-0000340A0000}"/>
    <cellStyle name="Comma 4 5 2 5 2" xfId="4206" xr:uid="{00000000-0005-0000-0000-0000350A0000}"/>
    <cellStyle name="Comma 4 5 2 5 2 2" xfId="8430" xr:uid="{00000000-0005-0000-0000-0000360A0000}"/>
    <cellStyle name="Comma 4 5 2 5 2 2 2" xfId="16859" xr:uid="{A5CAE4E7-5F8E-4304-B800-1A8BAA7690CA}"/>
    <cellStyle name="Comma 4 5 2 5 2 3" xfId="12641" xr:uid="{8A02A9D7-E58A-4E9F-A31F-F2D2A6986C65}"/>
    <cellStyle name="Comma 4 5 2 5 3" xfId="6285" xr:uid="{00000000-0005-0000-0000-0000370A0000}"/>
    <cellStyle name="Comma 4 5 2 5 3 2" xfId="14714" xr:uid="{1EC96839-F2DE-4F04-AC0C-482BA986EB41}"/>
    <cellStyle name="Comma 4 5 2 5 4" xfId="10496" xr:uid="{CAF1CAEF-3308-4D71-A581-E5693FC12ED4}"/>
    <cellStyle name="Comma 4 5 2 6" xfId="2412" xr:uid="{00000000-0005-0000-0000-0000380A0000}"/>
    <cellStyle name="Comma 4 5 2 6 2" xfId="6698" xr:uid="{00000000-0005-0000-0000-0000390A0000}"/>
    <cellStyle name="Comma 4 5 2 6 2 2" xfId="15127" xr:uid="{6309FA9F-18C4-4FF9-B60A-3CD8501473F8}"/>
    <cellStyle name="Comma 4 5 2 6 3" xfId="10909" xr:uid="{01B45222-7E82-4300-9409-94E8F79BA35E}"/>
    <cellStyle name="Comma 4 5 2 7" xfId="2708" xr:uid="{00000000-0005-0000-0000-00003A0A0000}"/>
    <cellStyle name="Comma 4 5 2 8" xfId="2790" xr:uid="{00000000-0005-0000-0000-00003B0A0000}"/>
    <cellStyle name="Comma 4 5 2 8 2" xfId="7015" xr:uid="{00000000-0005-0000-0000-00003C0A0000}"/>
    <cellStyle name="Comma 4 5 2 8 2 2" xfId="15444" xr:uid="{ACE68317-E0DC-48BC-996D-F974313FA897}"/>
    <cellStyle name="Comma 4 5 2 8 3" xfId="11226" xr:uid="{76729F8C-5D0D-40D6-9E5A-C5E96827AE94}"/>
    <cellStyle name="Comma 4 5 2 9" xfId="4632" xr:uid="{00000000-0005-0000-0000-00003D0A0000}"/>
    <cellStyle name="Comma 4 5 2 9 2" xfId="13061" xr:uid="{2A314216-6004-4B8F-9E92-DCCE4B5753E3}"/>
    <cellStyle name="Comma 4 5 3" xfId="695" xr:uid="{00000000-0005-0000-0000-00003E0A0000}"/>
    <cellStyle name="Comma 4 5 3 2" xfId="2966" xr:uid="{00000000-0005-0000-0000-00003F0A0000}"/>
    <cellStyle name="Comma 4 5 3 2 2" xfId="7190" xr:uid="{00000000-0005-0000-0000-0000400A0000}"/>
    <cellStyle name="Comma 4 5 3 2 2 2" xfId="15619" xr:uid="{3635D18C-FE14-46BE-B4C8-03FF1BDE8BE1}"/>
    <cellStyle name="Comma 4 5 3 2 3" xfId="11401" xr:uid="{89C88997-EB4D-4138-80A4-7113B6B6CEB5}"/>
    <cellStyle name="Comma 4 5 3 3" xfId="5045" xr:uid="{00000000-0005-0000-0000-0000410A0000}"/>
    <cellStyle name="Comma 4 5 3 3 2" xfId="13474" xr:uid="{8B766348-FB72-4D4B-933F-476F55238E05}"/>
    <cellStyle name="Comma 4 5 3 4" xfId="9256" xr:uid="{513EB28E-7B56-4A5F-834C-BE3B44588CBD}"/>
    <cellStyle name="Comma 4 5 4" xfId="1148" xr:uid="{00000000-0005-0000-0000-0000420A0000}"/>
    <cellStyle name="Comma 4 5 4 2" xfId="3379" xr:uid="{00000000-0005-0000-0000-0000430A0000}"/>
    <cellStyle name="Comma 4 5 4 2 2" xfId="7603" xr:uid="{00000000-0005-0000-0000-0000440A0000}"/>
    <cellStyle name="Comma 4 5 4 2 2 2" xfId="16032" xr:uid="{8997353C-7B4E-4F0E-991C-64DF76614B28}"/>
    <cellStyle name="Comma 4 5 4 2 3" xfId="11814" xr:uid="{C4FF1DDA-1C0E-4ED6-8C86-34DD82F06B44}"/>
    <cellStyle name="Comma 4 5 4 3" xfId="5458" xr:uid="{00000000-0005-0000-0000-0000450A0000}"/>
    <cellStyle name="Comma 4 5 4 3 2" xfId="13887" xr:uid="{9C28CB3E-9E83-4E04-AE31-61633B82A00B}"/>
    <cellStyle name="Comma 4 5 4 4" xfId="9669" xr:uid="{9C00FEA1-AB7B-4D0D-B454-E75530E6C07C}"/>
    <cellStyle name="Comma 4 5 5" xfId="1562" xr:uid="{00000000-0005-0000-0000-0000460A0000}"/>
    <cellStyle name="Comma 4 5 5 2" xfId="3792" xr:uid="{00000000-0005-0000-0000-0000470A0000}"/>
    <cellStyle name="Comma 4 5 5 2 2" xfId="8016" xr:uid="{00000000-0005-0000-0000-0000480A0000}"/>
    <cellStyle name="Comma 4 5 5 2 2 2" xfId="16445" xr:uid="{D01FAA4A-B4CC-41A6-9D1B-B103DB992E00}"/>
    <cellStyle name="Comma 4 5 5 2 3" xfId="12227" xr:uid="{8685E419-F351-42DF-92C0-BC2E49A7B440}"/>
    <cellStyle name="Comma 4 5 5 3" xfId="5871" xr:uid="{00000000-0005-0000-0000-0000490A0000}"/>
    <cellStyle name="Comma 4 5 5 3 2" xfId="14300" xr:uid="{D19F3D29-A4D4-4058-8D76-BC74C1D4D883}"/>
    <cellStyle name="Comma 4 5 5 4" xfId="10082" xr:uid="{22A3C0E9-A68F-4C66-BB48-3D07C72C9649}"/>
    <cellStyle name="Comma 4 5 6" xfId="1976" xr:uid="{00000000-0005-0000-0000-00004A0A0000}"/>
    <cellStyle name="Comma 4 5 6 2" xfId="4205" xr:uid="{00000000-0005-0000-0000-00004B0A0000}"/>
    <cellStyle name="Comma 4 5 6 2 2" xfId="8429" xr:uid="{00000000-0005-0000-0000-00004C0A0000}"/>
    <cellStyle name="Comma 4 5 6 2 2 2" xfId="16858" xr:uid="{BE64EDBD-04A0-4CD8-942A-0C803FC349A1}"/>
    <cellStyle name="Comma 4 5 6 2 3" xfId="12640" xr:uid="{F7C8A186-86BA-41C7-8F6F-3D6C3776C28A}"/>
    <cellStyle name="Comma 4 5 6 3" xfId="6284" xr:uid="{00000000-0005-0000-0000-00004D0A0000}"/>
    <cellStyle name="Comma 4 5 6 3 2" xfId="14713" xr:uid="{4D527D48-6D82-4C75-94A9-2ECDD790376E}"/>
    <cellStyle name="Comma 4 5 6 4" xfId="10495" xr:uid="{D1B41946-D2A2-43A1-A794-1E35A83C5466}"/>
    <cellStyle name="Comma 4 5 7" xfId="2411" xr:uid="{00000000-0005-0000-0000-00004E0A0000}"/>
    <cellStyle name="Comma 4 5 7 2" xfId="6697" xr:uid="{00000000-0005-0000-0000-00004F0A0000}"/>
    <cellStyle name="Comma 4 5 7 2 2" xfId="15126" xr:uid="{54E133C5-F40B-4A4C-943E-1F471B2D312F}"/>
    <cellStyle name="Comma 4 5 7 3" xfId="10908" xr:uid="{EAF4BFA9-945C-4CAF-96FE-28E0FCCE7270}"/>
    <cellStyle name="Comma 4 5 8" xfId="2707" xr:uid="{00000000-0005-0000-0000-0000500A0000}"/>
    <cellStyle name="Comma 4 5 9" xfId="2789" xr:uid="{00000000-0005-0000-0000-0000510A0000}"/>
    <cellStyle name="Comma 4 5 9 2" xfId="7014" xr:uid="{00000000-0005-0000-0000-0000520A0000}"/>
    <cellStyle name="Comma 4 5 9 2 2" xfId="15443" xr:uid="{97DF6A2F-9890-4D2B-BCBB-61CAAC614B50}"/>
    <cellStyle name="Comma 4 5 9 3" xfId="11225" xr:uid="{344793FC-DC89-442E-BBAF-3A76FF7F6DC7}"/>
    <cellStyle name="Comma 4 6" xfId="159" xr:uid="{00000000-0005-0000-0000-0000530A0000}"/>
    <cellStyle name="Comma 4 6 10" xfId="8844" xr:uid="{5AF5646E-5732-4E2E-82E4-18D8DDB0429A}"/>
    <cellStyle name="Comma 4 6 2" xfId="697" xr:uid="{00000000-0005-0000-0000-0000540A0000}"/>
    <cellStyle name="Comma 4 6 2 2" xfId="2968" xr:uid="{00000000-0005-0000-0000-0000550A0000}"/>
    <cellStyle name="Comma 4 6 2 2 2" xfId="7192" xr:uid="{00000000-0005-0000-0000-0000560A0000}"/>
    <cellStyle name="Comma 4 6 2 2 2 2" xfId="15621" xr:uid="{B38DB1C1-C597-431E-A572-94A6A109C3DA}"/>
    <cellStyle name="Comma 4 6 2 2 3" xfId="11403" xr:uid="{CDE35D32-591F-4D13-B600-D3EFD555ACB7}"/>
    <cellStyle name="Comma 4 6 2 3" xfId="5047" xr:uid="{00000000-0005-0000-0000-0000570A0000}"/>
    <cellStyle name="Comma 4 6 2 3 2" xfId="13476" xr:uid="{102982E7-9453-4E58-814C-84236FA8EA39}"/>
    <cellStyle name="Comma 4 6 2 4" xfId="9258" xr:uid="{43DE021B-A159-4907-9A32-FDE60EB22FB8}"/>
    <cellStyle name="Comma 4 6 3" xfId="1150" xr:uid="{00000000-0005-0000-0000-0000580A0000}"/>
    <cellStyle name="Comma 4 6 3 2" xfId="3381" xr:uid="{00000000-0005-0000-0000-0000590A0000}"/>
    <cellStyle name="Comma 4 6 3 2 2" xfId="7605" xr:uid="{00000000-0005-0000-0000-00005A0A0000}"/>
    <cellStyle name="Comma 4 6 3 2 2 2" xfId="16034" xr:uid="{041C0340-CD87-4D51-AD74-6819F5FA32C3}"/>
    <cellStyle name="Comma 4 6 3 2 3" xfId="11816" xr:uid="{37F362DF-7C10-4FDE-B301-C1E744323F4D}"/>
    <cellStyle name="Comma 4 6 3 3" xfId="5460" xr:uid="{00000000-0005-0000-0000-00005B0A0000}"/>
    <cellStyle name="Comma 4 6 3 3 2" xfId="13889" xr:uid="{C30BE0B3-C3AB-4E0E-B964-2C3E3091539C}"/>
    <cellStyle name="Comma 4 6 3 4" xfId="9671" xr:uid="{8A3A6C73-384A-4F6B-80F5-32B70705CC86}"/>
    <cellStyle name="Comma 4 6 4" xfId="1564" xr:uid="{00000000-0005-0000-0000-00005C0A0000}"/>
    <cellStyle name="Comma 4 6 4 2" xfId="3794" xr:uid="{00000000-0005-0000-0000-00005D0A0000}"/>
    <cellStyle name="Comma 4 6 4 2 2" xfId="8018" xr:uid="{00000000-0005-0000-0000-00005E0A0000}"/>
    <cellStyle name="Comma 4 6 4 2 2 2" xfId="16447" xr:uid="{897CA1C0-B551-45A8-BD87-9E6D4CD56F1E}"/>
    <cellStyle name="Comma 4 6 4 2 3" xfId="12229" xr:uid="{4B1FA72B-37A5-49CE-96F5-5DE067800279}"/>
    <cellStyle name="Comma 4 6 4 3" xfId="5873" xr:uid="{00000000-0005-0000-0000-00005F0A0000}"/>
    <cellStyle name="Comma 4 6 4 3 2" xfId="14302" xr:uid="{F8386059-5666-4BDE-9B88-79CB68514DE2}"/>
    <cellStyle name="Comma 4 6 4 4" xfId="10084" xr:uid="{DEFF9C4A-B4ED-45C6-9B51-BB5D9DB16A92}"/>
    <cellStyle name="Comma 4 6 5" xfId="1978" xr:uid="{00000000-0005-0000-0000-0000600A0000}"/>
    <cellStyle name="Comma 4 6 5 2" xfId="4207" xr:uid="{00000000-0005-0000-0000-0000610A0000}"/>
    <cellStyle name="Comma 4 6 5 2 2" xfId="8431" xr:uid="{00000000-0005-0000-0000-0000620A0000}"/>
    <cellStyle name="Comma 4 6 5 2 2 2" xfId="16860" xr:uid="{1A28EA6D-D3DC-4FAE-A5AB-6947E9B5613A}"/>
    <cellStyle name="Comma 4 6 5 2 3" xfId="12642" xr:uid="{6935248C-6442-45D4-A46B-6DEAFAC83D57}"/>
    <cellStyle name="Comma 4 6 5 3" xfId="6286" xr:uid="{00000000-0005-0000-0000-0000630A0000}"/>
    <cellStyle name="Comma 4 6 5 3 2" xfId="14715" xr:uid="{FCD4CEA4-C419-4E3D-892C-DC577F9E9F36}"/>
    <cellStyle name="Comma 4 6 5 4" xfId="10497" xr:uid="{0BA487E9-A3F1-461B-AB0D-9C373C5B6827}"/>
    <cellStyle name="Comma 4 6 6" xfId="2413" xr:uid="{00000000-0005-0000-0000-0000640A0000}"/>
    <cellStyle name="Comma 4 6 6 2" xfId="6699" xr:uid="{00000000-0005-0000-0000-0000650A0000}"/>
    <cellStyle name="Comma 4 6 6 2 2" xfId="15128" xr:uid="{FDC807F9-6117-498D-8F91-9C36C878994A}"/>
    <cellStyle name="Comma 4 6 6 3" xfId="10910" xr:uid="{9B0BEBAA-1F27-4788-A0AD-F7D59AA5C837}"/>
    <cellStyle name="Comma 4 6 7" xfId="2709" xr:uid="{00000000-0005-0000-0000-0000660A0000}"/>
    <cellStyle name="Comma 4 6 8" xfId="2791" xr:uid="{00000000-0005-0000-0000-0000670A0000}"/>
    <cellStyle name="Comma 4 6 8 2" xfId="7016" xr:uid="{00000000-0005-0000-0000-0000680A0000}"/>
    <cellStyle name="Comma 4 6 8 2 2" xfId="15445" xr:uid="{146A6D5F-FCCC-4A84-9973-6FCB5B0908FA}"/>
    <cellStyle name="Comma 4 6 8 3" xfId="11227" xr:uid="{97A99990-B4B4-47E5-80BB-B287DF16C6D6}"/>
    <cellStyle name="Comma 4 6 9" xfId="4633" xr:uid="{00000000-0005-0000-0000-0000690A0000}"/>
    <cellStyle name="Comma 4 6 9 2" xfId="13062" xr:uid="{8B328EC5-F7D4-46BD-8DA8-7EF4C767CA79}"/>
    <cellStyle name="Comma 4 7" xfId="160" xr:uid="{00000000-0005-0000-0000-00006A0A0000}"/>
    <cellStyle name="Comma 4 7 10" xfId="8845" xr:uid="{9CFA294B-ACD2-4203-9802-D515083865CD}"/>
    <cellStyle name="Comma 4 7 2" xfId="698" xr:uid="{00000000-0005-0000-0000-00006B0A0000}"/>
    <cellStyle name="Comma 4 7 2 2" xfId="2969" xr:uid="{00000000-0005-0000-0000-00006C0A0000}"/>
    <cellStyle name="Comma 4 7 2 2 2" xfId="7193" xr:uid="{00000000-0005-0000-0000-00006D0A0000}"/>
    <cellStyle name="Comma 4 7 2 2 2 2" xfId="15622" xr:uid="{7D4B8363-0C8C-4692-A09E-885A158CD645}"/>
    <cellStyle name="Comma 4 7 2 2 3" xfId="11404" xr:uid="{1FC2A4BE-3572-44F4-BA4E-0852957D445D}"/>
    <cellStyle name="Comma 4 7 2 3" xfId="5048" xr:uid="{00000000-0005-0000-0000-00006E0A0000}"/>
    <cellStyle name="Comma 4 7 2 3 2" xfId="13477" xr:uid="{BFB92D28-44DC-44F6-8ACE-44D9E6BD510D}"/>
    <cellStyle name="Comma 4 7 2 4" xfId="9259" xr:uid="{F1C472D7-39F2-4458-A5E7-748B1E849D16}"/>
    <cellStyle name="Comma 4 7 3" xfId="1151" xr:uid="{00000000-0005-0000-0000-00006F0A0000}"/>
    <cellStyle name="Comma 4 7 3 2" xfId="3382" xr:uid="{00000000-0005-0000-0000-0000700A0000}"/>
    <cellStyle name="Comma 4 7 3 2 2" xfId="7606" xr:uid="{00000000-0005-0000-0000-0000710A0000}"/>
    <cellStyle name="Comma 4 7 3 2 2 2" xfId="16035" xr:uid="{2CD9098D-FA32-4ED2-917D-4786CBB10846}"/>
    <cellStyle name="Comma 4 7 3 2 3" xfId="11817" xr:uid="{873A50B2-BF0E-42AD-9B8A-D68F3D154202}"/>
    <cellStyle name="Comma 4 7 3 3" xfId="5461" xr:uid="{00000000-0005-0000-0000-0000720A0000}"/>
    <cellStyle name="Comma 4 7 3 3 2" xfId="13890" xr:uid="{D77C34D2-F7E9-4D84-8FA1-C51626F1816F}"/>
    <cellStyle name="Comma 4 7 3 4" xfId="9672" xr:uid="{1F927CC0-7B9E-456F-9415-53444493F72E}"/>
    <cellStyle name="Comma 4 7 4" xfId="1565" xr:uid="{00000000-0005-0000-0000-0000730A0000}"/>
    <cellStyle name="Comma 4 7 4 2" xfId="3795" xr:uid="{00000000-0005-0000-0000-0000740A0000}"/>
    <cellStyle name="Comma 4 7 4 2 2" xfId="8019" xr:uid="{00000000-0005-0000-0000-0000750A0000}"/>
    <cellStyle name="Comma 4 7 4 2 2 2" xfId="16448" xr:uid="{A29684AD-3E8E-4A91-89D6-5108BA930A53}"/>
    <cellStyle name="Comma 4 7 4 2 3" xfId="12230" xr:uid="{EC03F1FF-DC47-4BD4-B23B-53FCE740AFAF}"/>
    <cellStyle name="Comma 4 7 4 3" xfId="5874" xr:uid="{00000000-0005-0000-0000-0000760A0000}"/>
    <cellStyle name="Comma 4 7 4 3 2" xfId="14303" xr:uid="{C080F30A-2296-462E-A8D6-4CAA3A789B9A}"/>
    <cellStyle name="Comma 4 7 4 4" xfId="10085" xr:uid="{5CD01E10-BD5B-4C31-9CED-E93FF2282717}"/>
    <cellStyle name="Comma 4 7 5" xfId="1979" xr:uid="{00000000-0005-0000-0000-0000770A0000}"/>
    <cellStyle name="Comma 4 7 5 2" xfId="4208" xr:uid="{00000000-0005-0000-0000-0000780A0000}"/>
    <cellStyle name="Comma 4 7 5 2 2" xfId="8432" xr:uid="{00000000-0005-0000-0000-0000790A0000}"/>
    <cellStyle name="Comma 4 7 5 2 2 2" xfId="16861" xr:uid="{4A225427-1FDA-43EA-94C8-2B9A46CF4C84}"/>
    <cellStyle name="Comma 4 7 5 2 3" xfId="12643" xr:uid="{C92E6D7E-55F4-4C49-939D-03A4DA0E3A86}"/>
    <cellStyle name="Comma 4 7 5 3" xfId="6287" xr:uid="{00000000-0005-0000-0000-00007A0A0000}"/>
    <cellStyle name="Comma 4 7 5 3 2" xfId="14716" xr:uid="{E8CE26D5-A4D2-4F3A-A86E-6B36A293FC9E}"/>
    <cellStyle name="Comma 4 7 5 4" xfId="10498" xr:uid="{2A172EC3-C21A-4FAB-9FA7-A9BF06101D3B}"/>
    <cellStyle name="Comma 4 7 6" xfId="2414" xr:uid="{00000000-0005-0000-0000-00007B0A0000}"/>
    <cellStyle name="Comma 4 7 6 2" xfId="6700" xr:uid="{00000000-0005-0000-0000-00007C0A0000}"/>
    <cellStyle name="Comma 4 7 6 2 2" xfId="15129" xr:uid="{701B0AB2-7A50-459D-908E-80D6B648CADE}"/>
    <cellStyle name="Comma 4 7 6 3" xfId="10911" xr:uid="{A846108A-FC72-464F-B2EC-46C696831E0D}"/>
    <cellStyle name="Comma 4 7 7" xfId="2710" xr:uid="{00000000-0005-0000-0000-00007D0A0000}"/>
    <cellStyle name="Comma 4 7 8" xfId="2792" xr:uid="{00000000-0005-0000-0000-00007E0A0000}"/>
    <cellStyle name="Comma 4 7 8 2" xfId="7017" xr:uid="{00000000-0005-0000-0000-00007F0A0000}"/>
    <cellStyle name="Comma 4 7 8 2 2" xfId="15446" xr:uid="{16343314-8513-4B9D-863C-BC392008C647}"/>
    <cellStyle name="Comma 4 7 8 3" xfId="11228" xr:uid="{114D5E95-CB1D-4F4F-B50C-433557223DBB}"/>
    <cellStyle name="Comma 4 7 9" xfId="4634" xr:uid="{00000000-0005-0000-0000-0000800A0000}"/>
    <cellStyle name="Comma 4 7 9 2" xfId="13063" xr:uid="{3F495358-F57E-446C-A42C-17308004B8FF}"/>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7 2" xfId="12931" xr:uid="{EFE20EF0-92B8-4CED-84B9-2B58F0B61D0C}"/>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14 2" xfId="12934" xr:uid="{6E72FA49-9282-4252-9CD2-0C4D315FB64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0 2 2" xfId="15447" xr:uid="{A9835C6D-9580-4D4D-94F8-B9715F5AE871}"/>
    <cellStyle name="Currency 3 2 2 10 3" xfId="11229" xr:uid="{D15F82D3-BA3B-4235-BF15-A235DB71A6B3}"/>
    <cellStyle name="Currency 3 2 2 11" xfId="4635" xr:uid="{00000000-0005-0000-0000-0000A50A0000}"/>
    <cellStyle name="Currency 3 2 2 11 2" xfId="13064" xr:uid="{0D551F93-E27E-45C8-A7AE-AA2FEDA0B767}"/>
    <cellStyle name="Currency 3 2 2 12" xfId="8846" xr:uid="{29B3DA71-EE58-4058-A430-8B9F59628BD3}"/>
    <cellStyle name="Currency 3 2 2 2" xfId="179" xr:uid="{00000000-0005-0000-0000-0000A60A0000}"/>
    <cellStyle name="Currency 3 2 2 2 10" xfId="4636" xr:uid="{00000000-0005-0000-0000-0000A70A0000}"/>
    <cellStyle name="Currency 3 2 2 2 10 2" xfId="13065" xr:uid="{CF18B212-E4DD-4E3F-8E67-286EFC3BE5F6}"/>
    <cellStyle name="Currency 3 2 2 2 11" xfId="8847" xr:uid="{E3E1434B-A365-431D-92CC-518034D9A925}"/>
    <cellStyle name="Currency 3 2 2 2 2" xfId="180" xr:uid="{00000000-0005-0000-0000-0000A80A0000}"/>
    <cellStyle name="Currency 3 2 2 2 2 10" xfId="8848" xr:uid="{8A3264E4-BB3B-4549-808A-229F800914D3}"/>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2 2 2" xfId="15625" xr:uid="{0906EBCB-7009-4701-8E76-F958049EEAB6}"/>
    <cellStyle name="Currency 3 2 2 2 2 2 2 3" xfId="11407" xr:uid="{0B3324E4-2E1C-4C57-9DE5-5BD6F31B9855}"/>
    <cellStyle name="Currency 3 2 2 2 2 2 3" xfId="5051" xr:uid="{00000000-0005-0000-0000-0000AC0A0000}"/>
    <cellStyle name="Currency 3 2 2 2 2 2 3 2" xfId="13480" xr:uid="{1FBBADB0-5DB2-47F1-A262-B3EBB559D828}"/>
    <cellStyle name="Currency 3 2 2 2 2 2 4" xfId="9262" xr:uid="{C1B6B370-1F71-4875-A5CE-5D048C8F7266}"/>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2 2 2" xfId="16038" xr:uid="{D2B0B018-7CCF-43E7-9362-8BF9180DE794}"/>
    <cellStyle name="Currency 3 2 2 2 2 3 2 3" xfId="11820" xr:uid="{ADDC97B9-5064-434E-BA19-20AB07F35CF7}"/>
    <cellStyle name="Currency 3 2 2 2 2 3 3" xfId="5464" xr:uid="{00000000-0005-0000-0000-0000B00A0000}"/>
    <cellStyle name="Currency 3 2 2 2 2 3 3 2" xfId="13893" xr:uid="{0402AC24-4AFC-42B4-BF9C-8D6C9745AF92}"/>
    <cellStyle name="Currency 3 2 2 2 2 3 4" xfId="9675" xr:uid="{3DDB48C6-8A62-424E-AC5B-6D840B6C029F}"/>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2 2 2" xfId="16451" xr:uid="{C9D6AA6B-9A3A-4A06-92F9-86BF77239622}"/>
    <cellStyle name="Currency 3 2 2 2 2 4 2 3" xfId="12233" xr:uid="{AA4D8215-70DE-4415-8157-DD3685B7766F}"/>
    <cellStyle name="Currency 3 2 2 2 2 4 3" xfId="5877" xr:uid="{00000000-0005-0000-0000-0000B40A0000}"/>
    <cellStyle name="Currency 3 2 2 2 2 4 3 2" xfId="14306" xr:uid="{442FC317-F538-4C5B-8649-83EA412429B5}"/>
    <cellStyle name="Currency 3 2 2 2 2 4 4" xfId="10088" xr:uid="{C9908E90-8600-43FE-9831-8C811C9E6584}"/>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2 2 2" xfId="16864" xr:uid="{31B980B2-34C2-4E05-8AEF-BA596DE95AC8}"/>
    <cellStyle name="Currency 3 2 2 2 2 5 2 3" xfId="12646" xr:uid="{C65C070F-1FBD-43CA-8B74-709B4E448CF5}"/>
    <cellStyle name="Currency 3 2 2 2 2 5 3" xfId="6290" xr:uid="{00000000-0005-0000-0000-0000B80A0000}"/>
    <cellStyle name="Currency 3 2 2 2 2 5 3 2" xfId="14719" xr:uid="{EA89822D-2D6B-4A12-B9B9-9B920F311C14}"/>
    <cellStyle name="Currency 3 2 2 2 2 5 4" xfId="10501" xr:uid="{C4087C3D-4970-450C-A2E8-70E8180510C5}"/>
    <cellStyle name="Currency 3 2 2 2 2 6" xfId="2417" xr:uid="{00000000-0005-0000-0000-0000B90A0000}"/>
    <cellStyle name="Currency 3 2 2 2 2 6 2" xfId="6703" xr:uid="{00000000-0005-0000-0000-0000BA0A0000}"/>
    <cellStyle name="Currency 3 2 2 2 2 6 2 2" xfId="15132" xr:uid="{5AAF3B2B-2317-4945-8B2F-3CFD9EC6A7D9}"/>
    <cellStyle name="Currency 3 2 2 2 2 6 3" xfId="10914" xr:uid="{706C0592-6898-4761-9E38-9C2DFDB61024}"/>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8 2 2" xfId="15449" xr:uid="{41F40019-6998-4D18-996E-E2193E9C1FBC}"/>
    <cellStyle name="Currency 3 2 2 2 2 8 3" xfId="11231" xr:uid="{C7287565-334D-4490-8873-57CC4817C0BD}"/>
    <cellStyle name="Currency 3 2 2 2 2 9" xfId="4637" xr:uid="{00000000-0005-0000-0000-0000BE0A0000}"/>
    <cellStyle name="Currency 3 2 2 2 2 9 2" xfId="13066" xr:uid="{DBC3A21D-3968-4851-A105-482771B90A51}"/>
    <cellStyle name="Currency 3 2 2 2 3" xfId="710" xr:uid="{00000000-0005-0000-0000-0000BF0A0000}"/>
    <cellStyle name="Currency 3 2 2 2 3 2" xfId="2971" xr:uid="{00000000-0005-0000-0000-0000C00A0000}"/>
    <cellStyle name="Currency 3 2 2 2 3 2 2" xfId="7195" xr:uid="{00000000-0005-0000-0000-0000C10A0000}"/>
    <cellStyle name="Currency 3 2 2 2 3 2 2 2" xfId="15624" xr:uid="{37F9A859-2C3B-440A-A894-248F060EF814}"/>
    <cellStyle name="Currency 3 2 2 2 3 2 3" xfId="11406" xr:uid="{37C0252B-AA5E-457E-9010-09104D50EE24}"/>
    <cellStyle name="Currency 3 2 2 2 3 3" xfId="5050" xr:uid="{00000000-0005-0000-0000-0000C20A0000}"/>
    <cellStyle name="Currency 3 2 2 2 3 3 2" xfId="13479" xr:uid="{CFE08ADC-8661-444B-8B48-629E09258048}"/>
    <cellStyle name="Currency 3 2 2 2 3 4" xfId="9261" xr:uid="{6DACBF8D-74A2-4211-B3E7-08556A3C2B1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2 2 2" xfId="16037" xr:uid="{C5927A76-9940-4528-8C52-CB799B1BF87A}"/>
    <cellStyle name="Currency 3 2 2 2 4 2 3" xfId="11819" xr:uid="{103A8B47-71DC-4349-A0D0-8BD27990D411}"/>
    <cellStyle name="Currency 3 2 2 2 4 3" xfId="5463" xr:uid="{00000000-0005-0000-0000-0000C60A0000}"/>
    <cellStyle name="Currency 3 2 2 2 4 3 2" xfId="13892" xr:uid="{9DC8B895-EFC7-44A1-B656-1459490421F2}"/>
    <cellStyle name="Currency 3 2 2 2 4 4" xfId="9674" xr:uid="{4A52E98C-695D-40C3-B325-FEFD45EBF9DD}"/>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2 2 2" xfId="16450" xr:uid="{8FC5865C-8501-4FFB-8C99-11D864960725}"/>
    <cellStyle name="Currency 3 2 2 2 5 2 3" xfId="12232" xr:uid="{5FB902CB-2364-4174-8FD9-261C0E6DAA26}"/>
    <cellStyle name="Currency 3 2 2 2 5 3" xfId="5876" xr:uid="{00000000-0005-0000-0000-0000CA0A0000}"/>
    <cellStyle name="Currency 3 2 2 2 5 3 2" xfId="14305" xr:uid="{CC2C519F-8BE9-4CF1-AEAC-685ED0BDDDA7}"/>
    <cellStyle name="Currency 3 2 2 2 5 4" xfId="10087" xr:uid="{05F495DB-7A3A-4C79-BE8E-ED50EEF0D19B}"/>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2 2 2" xfId="16863" xr:uid="{731C209A-2465-45A3-9DA4-7F84A5E40976}"/>
    <cellStyle name="Currency 3 2 2 2 6 2 3" xfId="12645" xr:uid="{EE2FCDA3-BBA7-4464-A7AB-B49F479919E3}"/>
    <cellStyle name="Currency 3 2 2 2 6 3" xfId="6289" xr:uid="{00000000-0005-0000-0000-0000CE0A0000}"/>
    <cellStyle name="Currency 3 2 2 2 6 3 2" xfId="14718" xr:uid="{D7C28F4D-2440-44FE-B8A1-54BE8C8FEF99}"/>
    <cellStyle name="Currency 3 2 2 2 6 4" xfId="10500" xr:uid="{5F0C8B64-3C8E-411B-ACC0-94872B497F10}"/>
    <cellStyle name="Currency 3 2 2 2 7" xfId="2416" xr:uid="{00000000-0005-0000-0000-0000CF0A0000}"/>
    <cellStyle name="Currency 3 2 2 2 7 2" xfId="6702" xr:uid="{00000000-0005-0000-0000-0000D00A0000}"/>
    <cellStyle name="Currency 3 2 2 2 7 2 2" xfId="15131" xr:uid="{8503601E-98EB-404C-B670-AA732524A4C5}"/>
    <cellStyle name="Currency 3 2 2 2 7 3" xfId="10913" xr:uid="{335C9B29-400E-4323-968A-975C804D22A4}"/>
    <cellStyle name="Currency 3 2 2 2 8" xfId="2713" xr:uid="{00000000-0005-0000-0000-0000D10A0000}"/>
    <cellStyle name="Currency 3 2 2 2 9" xfId="2794" xr:uid="{00000000-0005-0000-0000-0000D20A0000}"/>
    <cellStyle name="Currency 3 2 2 2 9 2" xfId="7019" xr:uid="{00000000-0005-0000-0000-0000D30A0000}"/>
    <cellStyle name="Currency 3 2 2 2 9 2 2" xfId="15448" xr:uid="{D8A9445D-BE20-424C-8882-5CF0E09A3F79}"/>
    <cellStyle name="Currency 3 2 2 2 9 3" xfId="11230" xr:uid="{945A2E63-26FC-491C-83CF-EBDC3D807030}"/>
    <cellStyle name="Currency 3 2 2 3" xfId="181" xr:uid="{00000000-0005-0000-0000-0000D40A0000}"/>
    <cellStyle name="Currency 3 2 2 3 10" xfId="8849" xr:uid="{CE4627C0-3617-43E9-B9A0-619677CC128D}"/>
    <cellStyle name="Currency 3 2 2 3 2" xfId="712" xr:uid="{00000000-0005-0000-0000-0000D50A0000}"/>
    <cellStyle name="Currency 3 2 2 3 2 2" xfId="2973" xr:uid="{00000000-0005-0000-0000-0000D60A0000}"/>
    <cellStyle name="Currency 3 2 2 3 2 2 2" xfId="7197" xr:uid="{00000000-0005-0000-0000-0000D70A0000}"/>
    <cellStyle name="Currency 3 2 2 3 2 2 2 2" xfId="15626" xr:uid="{55F6FC40-8BA0-4352-A0D1-99BA1613E166}"/>
    <cellStyle name="Currency 3 2 2 3 2 2 3" xfId="11408" xr:uid="{91430246-B3B0-4E1B-BCE2-20EFDD5D97FA}"/>
    <cellStyle name="Currency 3 2 2 3 2 3" xfId="5052" xr:uid="{00000000-0005-0000-0000-0000D80A0000}"/>
    <cellStyle name="Currency 3 2 2 3 2 3 2" xfId="13481" xr:uid="{324D8923-31A0-4921-B34E-40C201CE036F}"/>
    <cellStyle name="Currency 3 2 2 3 2 4" xfId="9263" xr:uid="{87DAA857-A43E-4EF5-9C44-E051B2CDD54C}"/>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2 2 2" xfId="16039" xr:uid="{A50F5472-84AD-4172-97F2-63EE14513281}"/>
    <cellStyle name="Currency 3 2 2 3 3 2 3" xfId="11821" xr:uid="{113864D0-D86E-4DC1-AB4A-5DFA2C52CCE9}"/>
    <cellStyle name="Currency 3 2 2 3 3 3" xfId="5465" xr:uid="{00000000-0005-0000-0000-0000DC0A0000}"/>
    <cellStyle name="Currency 3 2 2 3 3 3 2" xfId="13894" xr:uid="{14AF1710-1E7B-40B1-9867-989BA5DDED3A}"/>
    <cellStyle name="Currency 3 2 2 3 3 4" xfId="9676" xr:uid="{D9D99E8E-1098-42BC-B418-DB7077DD8343}"/>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2 2 2" xfId="16452" xr:uid="{EC57FEE4-0864-4B83-88DC-657C14A88C1D}"/>
    <cellStyle name="Currency 3 2 2 3 4 2 3" xfId="12234" xr:uid="{26EA9DD5-76EE-43D8-8575-221026142AA2}"/>
    <cellStyle name="Currency 3 2 2 3 4 3" xfId="5878" xr:uid="{00000000-0005-0000-0000-0000E00A0000}"/>
    <cellStyle name="Currency 3 2 2 3 4 3 2" xfId="14307" xr:uid="{C57CF7DB-9CD8-4D21-95D0-5110A335B1B9}"/>
    <cellStyle name="Currency 3 2 2 3 4 4" xfId="10089" xr:uid="{05FAC4B4-5820-463C-8C53-A41F005C94F8}"/>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2 2 2" xfId="16865" xr:uid="{C972EBAA-2D76-48FD-BC26-45E27BC3DD20}"/>
    <cellStyle name="Currency 3 2 2 3 5 2 3" xfId="12647" xr:uid="{FF85F561-C745-4FA9-A49A-E274E1401DDA}"/>
    <cellStyle name="Currency 3 2 2 3 5 3" xfId="6291" xr:uid="{00000000-0005-0000-0000-0000E40A0000}"/>
    <cellStyle name="Currency 3 2 2 3 5 3 2" xfId="14720" xr:uid="{795C49DB-23CC-47D3-9C9A-53C32BC7F03A}"/>
    <cellStyle name="Currency 3 2 2 3 5 4" xfId="10502" xr:uid="{04761B92-A988-48D0-81B0-C77F42291831}"/>
    <cellStyle name="Currency 3 2 2 3 6" xfId="2418" xr:uid="{00000000-0005-0000-0000-0000E50A0000}"/>
    <cellStyle name="Currency 3 2 2 3 6 2" xfId="6704" xr:uid="{00000000-0005-0000-0000-0000E60A0000}"/>
    <cellStyle name="Currency 3 2 2 3 6 2 2" xfId="15133" xr:uid="{EE6F5A36-0790-485B-8310-173FD84B2C0D}"/>
    <cellStyle name="Currency 3 2 2 3 6 3" xfId="10915" xr:uid="{DB019D54-4A66-4C9E-9295-60B4D84F1AE8}"/>
    <cellStyle name="Currency 3 2 2 3 7" xfId="2715" xr:uid="{00000000-0005-0000-0000-0000E70A0000}"/>
    <cellStyle name="Currency 3 2 2 3 8" xfId="2796" xr:uid="{00000000-0005-0000-0000-0000E80A0000}"/>
    <cellStyle name="Currency 3 2 2 3 8 2" xfId="7021" xr:uid="{00000000-0005-0000-0000-0000E90A0000}"/>
    <cellStyle name="Currency 3 2 2 3 8 2 2" xfId="15450" xr:uid="{B1378175-FB94-4262-8547-5D651C58B9FE}"/>
    <cellStyle name="Currency 3 2 2 3 8 3" xfId="11232" xr:uid="{8AFEEE76-4221-4AF7-A175-06D25F8784C9}"/>
    <cellStyle name="Currency 3 2 2 3 9" xfId="4638" xr:uid="{00000000-0005-0000-0000-0000EA0A0000}"/>
    <cellStyle name="Currency 3 2 2 3 9 2" xfId="13067" xr:uid="{C8A5E44B-9632-4D20-B6FA-366FC2C4B29C}"/>
    <cellStyle name="Currency 3 2 2 4" xfId="709" xr:uid="{00000000-0005-0000-0000-0000EB0A0000}"/>
    <cellStyle name="Currency 3 2 2 4 2" xfId="2970" xr:uid="{00000000-0005-0000-0000-0000EC0A0000}"/>
    <cellStyle name="Currency 3 2 2 4 2 2" xfId="7194" xr:uid="{00000000-0005-0000-0000-0000ED0A0000}"/>
    <cellStyle name="Currency 3 2 2 4 2 2 2" xfId="15623" xr:uid="{3F88AD4A-550A-492E-8A96-1932A801064D}"/>
    <cellStyle name="Currency 3 2 2 4 2 3" xfId="11405" xr:uid="{D5C44CF6-6B24-4516-A4B8-56C0B60829A3}"/>
    <cellStyle name="Currency 3 2 2 4 3" xfId="5049" xr:uid="{00000000-0005-0000-0000-0000EE0A0000}"/>
    <cellStyle name="Currency 3 2 2 4 3 2" xfId="13478" xr:uid="{0D5B0A27-95FB-450A-8043-780F4784BB35}"/>
    <cellStyle name="Currency 3 2 2 4 4" xfId="9260" xr:uid="{CD48E07C-1BD4-4D1D-814E-07E39B12098F}"/>
    <cellStyle name="Currency 3 2 2 5" xfId="1152" xr:uid="{00000000-0005-0000-0000-0000EF0A0000}"/>
    <cellStyle name="Currency 3 2 2 5 2" xfId="3383" xr:uid="{00000000-0005-0000-0000-0000F00A0000}"/>
    <cellStyle name="Currency 3 2 2 5 2 2" xfId="7607" xr:uid="{00000000-0005-0000-0000-0000F10A0000}"/>
    <cellStyle name="Currency 3 2 2 5 2 2 2" xfId="16036" xr:uid="{143FE347-4B55-410A-8D06-FEE2569F02B1}"/>
    <cellStyle name="Currency 3 2 2 5 2 3" xfId="11818" xr:uid="{36898666-3ED0-47FD-8ED5-8C839F621791}"/>
    <cellStyle name="Currency 3 2 2 5 3" xfId="5462" xr:uid="{00000000-0005-0000-0000-0000F20A0000}"/>
    <cellStyle name="Currency 3 2 2 5 3 2" xfId="13891" xr:uid="{C1081CEE-AD73-4F7B-96D9-B9D42F9EDC99}"/>
    <cellStyle name="Currency 3 2 2 5 4" xfId="9673" xr:uid="{48548B9F-8502-4095-98C5-1D2111A15702}"/>
    <cellStyle name="Currency 3 2 2 6" xfId="1566" xr:uid="{00000000-0005-0000-0000-0000F30A0000}"/>
    <cellStyle name="Currency 3 2 2 6 2" xfId="3796" xr:uid="{00000000-0005-0000-0000-0000F40A0000}"/>
    <cellStyle name="Currency 3 2 2 6 2 2" xfId="8020" xr:uid="{00000000-0005-0000-0000-0000F50A0000}"/>
    <cellStyle name="Currency 3 2 2 6 2 2 2" xfId="16449" xr:uid="{EC490374-21C8-4D03-8B38-1536383BF6C8}"/>
    <cellStyle name="Currency 3 2 2 6 2 3" xfId="12231" xr:uid="{98A12F67-03F2-4E83-94E2-090DF73524B8}"/>
    <cellStyle name="Currency 3 2 2 6 3" xfId="5875" xr:uid="{00000000-0005-0000-0000-0000F60A0000}"/>
    <cellStyle name="Currency 3 2 2 6 3 2" xfId="14304" xr:uid="{C0CB0DE7-7077-4F65-ACE6-21E9802E0468}"/>
    <cellStyle name="Currency 3 2 2 6 4" xfId="10086" xr:uid="{D9F69DDD-0B2B-4B1B-94D6-9E5D9109825C}"/>
    <cellStyle name="Currency 3 2 2 7" xfId="1980" xr:uid="{00000000-0005-0000-0000-0000F70A0000}"/>
    <cellStyle name="Currency 3 2 2 7 2" xfId="4209" xr:uid="{00000000-0005-0000-0000-0000F80A0000}"/>
    <cellStyle name="Currency 3 2 2 7 2 2" xfId="8433" xr:uid="{00000000-0005-0000-0000-0000F90A0000}"/>
    <cellStyle name="Currency 3 2 2 7 2 2 2" xfId="16862" xr:uid="{17A72EC7-4B08-4303-B6E1-A921E28A84D0}"/>
    <cellStyle name="Currency 3 2 2 7 2 3" xfId="12644" xr:uid="{6E01CEC9-8005-43C8-9BE6-25961A859A9D}"/>
    <cellStyle name="Currency 3 2 2 7 3" xfId="6288" xr:uid="{00000000-0005-0000-0000-0000FA0A0000}"/>
    <cellStyle name="Currency 3 2 2 7 3 2" xfId="14717" xr:uid="{BFDD2019-330A-4248-AA2C-34E69CCBBD1B}"/>
    <cellStyle name="Currency 3 2 2 7 4" xfId="10499" xr:uid="{1F826C4E-1A56-49F2-B3C1-B4F35321720C}"/>
    <cellStyle name="Currency 3 2 2 8" xfId="2415" xr:uid="{00000000-0005-0000-0000-0000FB0A0000}"/>
    <cellStyle name="Currency 3 2 2 8 2" xfId="6701" xr:uid="{00000000-0005-0000-0000-0000FC0A0000}"/>
    <cellStyle name="Currency 3 2 2 8 2 2" xfId="15130" xr:uid="{1283A4B4-60B6-4BB3-92B9-C5011EC81943}"/>
    <cellStyle name="Currency 3 2 2 8 3" xfId="10912" xr:uid="{334B6560-7F8D-49B9-8FDD-38DA9C2551EA}"/>
    <cellStyle name="Currency 3 2 2 9" xfId="2712" xr:uid="{00000000-0005-0000-0000-0000FD0A0000}"/>
    <cellStyle name="Currency 3 2 3" xfId="182" xr:uid="{00000000-0005-0000-0000-0000FE0A0000}"/>
    <cellStyle name="Currency 3 2 3 10" xfId="4639" xr:uid="{00000000-0005-0000-0000-0000FF0A0000}"/>
    <cellStyle name="Currency 3 2 3 10 2" xfId="13068" xr:uid="{7FFD17BB-D212-4660-A7CE-479365882364}"/>
    <cellStyle name="Currency 3 2 3 11" xfId="8850" xr:uid="{AF142056-105E-4884-BECC-2D11B0760D2B}"/>
    <cellStyle name="Currency 3 2 3 2" xfId="183" xr:uid="{00000000-0005-0000-0000-0000000B0000}"/>
    <cellStyle name="Currency 3 2 3 2 10" xfId="8851" xr:uid="{85805F02-EA93-4753-A32A-E4121B36F816}"/>
    <cellStyle name="Currency 3 2 3 2 2" xfId="714" xr:uid="{00000000-0005-0000-0000-0000010B0000}"/>
    <cellStyle name="Currency 3 2 3 2 2 2" xfId="2975" xr:uid="{00000000-0005-0000-0000-0000020B0000}"/>
    <cellStyle name="Currency 3 2 3 2 2 2 2" xfId="7199" xr:uid="{00000000-0005-0000-0000-0000030B0000}"/>
    <cellStyle name="Currency 3 2 3 2 2 2 2 2" xfId="15628" xr:uid="{B989BB09-E648-48B2-9782-C3F9B3277682}"/>
    <cellStyle name="Currency 3 2 3 2 2 2 3" xfId="11410" xr:uid="{C3672CDA-966E-4890-A58B-39265945A93D}"/>
    <cellStyle name="Currency 3 2 3 2 2 3" xfId="5054" xr:uid="{00000000-0005-0000-0000-0000040B0000}"/>
    <cellStyle name="Currency 3 2 3 2 2 3 2" xfId="13483" xr:uid="{DEE27D93-9EAF-42DA-9838-88B32540DDCE}"/>
    <cellStyle name="Currency 3 2 3 2 2 4" xfId="9265" xr:uid="{8F68FE79-FF21-4F88-B8D0-325BAF2EBFD3}"/>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2 2 2" xfId="16041" xr:uid="{D1773399-4A01-4E10-9FF0-BB811DE82CFD}"/>
    <cellStyle name="Currency 3 2 3 2 3 2 3" xfId="11823" xr:uid="{D8EC618C-C5D6-4713-B7E3-CD4402C43919}"/>
    <cellStyle name="Currency 3 2 3 2 3 3" xfId="5467" xr:uid="{00000000-0005-0000-0000-0000080B0000}"/>
    <cellStyle name="Currency 3 2 3 2 3 3 2" xfId="13896" xr:uid="{454ABBD7-C194-491F-8052-59A6A4792AF4}"/>
    <cellStyle name="Currency 3 2 3 2 3 4" xfId="9678" xr:uid="{515D5F9D-63BD-4A86-BEFE-C2794D6DCCA4}"/>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2 2 2" xfId="16454" xr:uid="{584D8C05-BFDA-4A61-A849-DCE43F5B77DF}"/>
    <cellStyle name="Currency 3 2 3 2 4 2 3" xfId="12236" xr:uid="{FE42638A-BCCD-4AD6-B68D-B03617D86411}"/>
    <cellStyle name="Currency 3 2 3 2 4 3" xfId="5880" xr:uid="{00000000-0005-0000-0000-00000C0B0000}"/>
    <cellStyle name="Currency 3 2 3 2 4 3 2" xfId="14309" xr:uid="{DD46BE6A-B93C-4308-B378-EF279805A5EA}"/>
    <cellStyle name="Currency 3 2 3 2 4 4" xfId="10091" xr:uid="{F51F85DD-5C3B-46B5-8575-9812013B1ABB}"/>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2 2 2" xfId="16867" xr:uid="{D775D77A-2A27-4A1D-9BE8-E672E09D637C}"/>
    <cellStyle name="Currency 3 2 3 2 5 2 3" xfId="12649" xr:uid="{94959C67-E689-44C4-B112-F7DF55706F0B}"/>
    <cellStyle name="Currency 3 2 3 2 5 3" xfId="6293" xr:uid="{00000000-0005-0000-0000-0000100B0000}"/>
    <cellStyle name="Currency 3 2 3 2 5 3 2" xfId="14722" xr:uid="{ED346492-C697-4FA1-B686-6B55015CB1F0}"/>
    <cellStyle name="Currency 3 2 3 2 5 4" xfId="10504" xr:uid="{6F571D65-FC65-47C6-9190-5198AD5E0118}"/>
    <cellStyle name="Currency 3 2 3 2 6" xfId="2420" xr:uid="{00000000-0005-0000-0000-0000110B0000}"/>
    <cellStyle name="Currency 3 2 3 2 6 2" xfId="6706" xr:uid="{00000000-0005-0000-0000-0000120B0000}"/>
    <cellStyle name="Currency 3 2 3 2 6 2 2" xfId="15135" xr:uid="{DCFB0121-CCD0-4ABF-9EEB-32F1EAB37D74}"/>
    <cellStyle name="Currency 3 2 3 2 6 3" xfId="10917" xr:uid="{146D88DF-61D4-4060-A469-AD0A51FCFE7B}"/>
    <cellStyle name="Currency 3 2 3 2 7" xfId="2717" xr:uid="{00000000-0005-0000-0000-0000130B0000}"/>
    <cellStyle name="Currency 3 2 3 2 8" xfId="2798" xr:uid="{00000000-0005-0000-0000-0000140B0000}"/>
    <cellStyle name="Currency 3 2 3 2 8 2" xfId="7023" xr:uid="{00000000-0005-0000-0000-0000150B0000}"/>
    <cellStyle name="Currency 3 2 3 2 8 2 2" xfId="15452" xr:uid="{88E2E624-AD51-45FC-A40B-D1241398A4D6}"/>
    <cellStyle name="Currency 3 2 3 2 8 3" xfId="11234" xr:uid="{FF097556-3F4A-4CBC-BB0A-8AE619EBFFD5}"/>
    <cellStyle name="Currency 3 2 3 2 9" xfId="4640" xr:uid="{00000000-0005-0000-0000-0000160B0000}"/>
    <cellStyle name="Currency 3 2 3 2 9 2" xfId="13069" xr:uid="{FC1690E0-8A24-4FE1-82D1-BD001A6B92C4}"/>
    <cellStyle name="Currency 3 2 3 3" xfId="713" xr:uid="{00000000-0005-0000-0000-0000170B0000}"/>
    <cellStyle name="Currency 3 2 3 3 2" xfId="2974" xr:uid="{00000000-0005-0000-0000-0000180B0000}"/>
    <cellStyle name="Currency 3 2 3 3 2 2" xfId="7198" xr:uid="{00000000-0005-0000-0000-0000190B0000}"/>
    <cellStyle name="Currency 3 2 3 3 2 2 2" xfId="15627" xr:uid="{93B591BD-57F3-4C88-81DD-7E63AD954361}"/>
    <cellStyle name="Currency 3 2 3 3 2 3" xfId="11409" xr:uid="{5106181C-E3FE-4596-986A-36E663FBC8E4}"/>
    <cellStyle name="Currency 3 2 3 3 3" xfId="5053" xr:uid="{00000000-0005-0000-0000-00001A0B0000}"/>
    <cellStyle name="Currency 3 2 3 3 3 2" xfId="13482" xr:uid="{CFC9288F-A0EE-413E-B35B-95D1EC9476E3}"/>
    <cellStyle name="Currency 3 2 3 3 4" xfId="9264" xr:uid="{C9EA779E-6A27-49DF-9BC8-E5280B1535A5}"/>
    <cellStyle name="Currency 3 2 3 4" xfId="1156" xr:uid="{00000000-0005-0000-0000-00001B0B0000}"/>
    <cellStyle name="Currency 3 2 3 4 2" xfId="3387" xr:uid="{00000000-0005-0000-0000-00001C0B0000}"/>
    <cellStyle name="Currency 3 2 3 4 2 2" xfId="7611" xr:uid="{00000000-0005-0000-0000-00001D0B0000}"/>
    <cellStyle name="Currency 3 2 3 4 2 2 2" xfId="16040" xr:uid="{5AF1DEBA-9FBC-422D-A0DC-437B4C444D5B}"/>
    <cellStyle name="Currency 3 2 3 4 2 3" xfId="11822" xr:uid="{6B353E26-39D1-4B63-BF35-5CE564BF881F}"/>
    <cellStyle name="Currency 3 2 3 4 3" xfId="5466" xr:uid="{00000000-0005-0000-0000-00001E0B0000}"/>
    <cellStyle name="Currency 3 2 3 4 3 2" xfId="13895" xr:uid="{8DDB2F4F-552D-429C-9D36-83A1758559C5}"/>
    <cellStyle name="Currency 3 2 3 4 4" xfId="9677" xr:uid="{245702EE-8454-4991-85AF-100A68197A96}"/>
    <cellStyle name="Currency 3 2 3 5" xfId="1570" xr:uid="{00000000-0005-0000-0000-00001F0B0000}"/>
    <cellStyle name="Currency 3 2 3 5 2" xfId="3800" xr:uid="{00000000-0005-0000-0000-0000200B0000}"/>
    <cellStyle name="Currency 3 2 3 5 2 2" xfId="8024" xr:uid="{00000000-0005-0000-0000-0000210B0000}"/>
    <cellStyle name="Currency 3 2 3 5 2 2 2" xfId="16453" xr:uid="{1E0CC7DA-E404-41C1-977F-60A37DB0D88C}"/>
    <cellStyle name="Currency 3 2 3 5 2 3" xfId="12235" xr:uid="{7CE093F0-8CBE-4B8F-8D44-AD7A4A6EF12A}"/>
    <cellStyle name="Currency 3 2 3 5 3" xfId="5879" xr:uid="{00000000-0005-0000-0000-0000220B0000}"/>
    <cellStyle name="Currency 3 2 3 5 3 2" xfId="14308" xr:uid="{33DC0049-6B60-4EC6-83DC-9ED47ADCC441}"/>
    <cellStyle name="Currency 3 2 3 5 4" xfId="10090" xr:uid="{F418A20A-B9B6-4503-8A2E-7775DD33B311}"/>
    <cellStyle name="Currency 3 2 3 6" xfId="1984" xr:uid="{00000000-0005-0000-0000-0000230B0000}"/>
    <cellStyle name="Currency 3 2 3 6 2" xfId="4213" xr:uid="{00000000-0005-0000-0000-0000240B0000}"/>
    <cellStyle name="Currency 3 2 3 6 2 2" xfId="8437" xr:uid="{00000000-0005-0000-0000-0000250B0000}"/>
    <cellStyle name="Currency 3 2 3 6 2 2 2" xfId="16866" xr:uid="{24193DAB-A493-4A98-BD7C-F2D0C1649862}"/>
    <cellStyle name="Currency 3 2 3 6 2 3" xfId="12648" xr:uid="{278DAE82-663A-4D32-BEB0-6073F5A88D2B}"/>
    <cellStyle name="Currency 3 2 3 6 3" xfId="6292" xr:uid="{00000000-0005-0000-0000-0000260B0000}"/>
    <cellStyle name="Currency 3 2 3 6 3 2" xfId="14721" xr:uid="{5B85C757-8666-48CD-953A-65770EEB8A2C}"/>
    <cellStyle name="Currency 3 2 3 6 4" xfId="10503" xr:uid="{1971546C-52F9-409C-A4A2-4D2603F13634}"/>
    <cellStyle name="Currency 3 2 3 7" xfId="2419" xr:uid="{00000000-0005-0000-0000-0000270B0000}"/>
    <cellStyle name="Currency 3 2 3 7 2" xfId="6705" xr:uid="{00000000-0005-0000-0000-0000280B0000}"/>
    <cellStyle name="Currency 3 2 3 7 2 2" xfId="15134" xr:uid="{C1D2E6F4-55DC-47A6-A9CE-2A7113B11F08}"/>
    <cellStyle name="Currency 3 2 3 7 3" xfId="10916" xr:uid="{2181F52E-E9B8-428D-AED7-210C9ECB1BD2}"/>
    <cellStyle name="Currency 3 2 3 8" xfId="2716" xr:uid="{00000000-0005-0000-0000-0000290B0000}"/>
    <cellStyle name="Currency 3 2 3 9" xfId="2797" xr:uid="{00000000-0005-0000-0000-00002A0B0000}"/>
    <cellStyle name="Currency 3 2 3 9 2" xfId="7022" xr:uid="{00000000-0005-0000-0000-00002B0B0000}"/>
    <cellStyle name="Currency 3 2 3 9 2 2" xfId="15451" xr:uid="{76E0E4F6-5ACE-49E6-8DB5-A34DF61073B9}"/>
    <cellStyle name="Currency 3 2 3 9 3" xfId="11233" xr:uid="{47D8C646-4905-40EC-97EA-9BD68C3452ED}"/>
    <cellStyle name="Currency 3 2 4" xfId="184" xr:uid="{00000000-0005-0000-0000-00002C0B0000}"/>
    <cellStyle name="Currency 3 2 4 10" xfId="8852" xr:uid="{3047CB3F-9087-4298-8FF1-B4951EF2DB4F}"/>
    <cellStyle name="Currency 3 2 4 2" xfId="715" xr:uid="{00000000-0005-0000-0000-00002D0B0000}"/>
    <cellStyle name="Currency 3 2 4 2 2" xfId="2976" xr:uid="{00000000-0005-0000-0000-00002E0B0000}"/>
    <cellStyle name="Currency 3 2 4 2 2 2" xfId="7200" xr:uid="{00000000-0005-0000-0000-00002F0B0000}"/>
    <cellStyle name="Currency 3 2 4 2 2 2 2" xfId="15629" xr:uid="{4002D225-AD77-4AB5-A54D-72D87E9E3042}"/>
    <cellStyle name="Currency 3 2 4 2 2 3" xfId="11411" xr:uid="{7EAC47D6-4240-4F17-8F4A-DAF878AA3101}"/>
    <cellStyle name="Currency 3 2 4 2 3" xfId="5055" xr:uid="{00000000-0005-0000-0000-0000300B0000}"/>
    <cellStyle name="Currency 3 2 4 2 3 2" xfId="13484" xr:uid="{9112D5A6-B312-4B84-AAD9-5974F4E2E3CF}"/>
    <cellStyle name="Currency 3 2 4 2 4" xfId="9266" xr:uid="{DAE37290-C46A-4857-833C-D8B128431961}"/>
    <cellStyle name="Currency 3 2 4 3" xfId="1158" xr:uid="{00000000-0005-0000-0000-0000310B0000}"/>
    <cellStyle name="Currency 3 2 4 3 2" xfId="3389" xr:uid="{00000000-0005-0000-0000-0000320B0000}"/>
    <cellStyle name="Currency 3 2 4 3 2 2" xfId="7613" xr:uid="{00000000-0005-0000-0000-0000330B0000}"/>
    <cellStyle name="Currency 3 2 4 3 2 2 2" xfId="16042" xr:uid="{428426A4-DA6B-4098-85A3-BF080F069121}"/>
    <cellStyle name="Currency 3 2 4 3 2 3" xfId="11824" xr:uid="{3189AA9A-09A3-4533-954A-68A2E6DF5E55}"/>
    <cellStyle name="Currency 3 2 4 3 3" xfId="5468" xr:uid="{00000000-0005-0000-0000-0000340B0000}"/>
    <cellStyle name="Currency 3 2 4 3 3 2" xfId="13897" xr:uid="{0DD7FF5B-36C3-4FF9-95DD-AB475C44E200}"/>
    <cellStyle name="Currency 3 2 4 3 4" xfId="9679" xr:uid="{FB43BD14-D3D7-49D4-8EFD-1B69223C4D9A}"/>
    <cellStyle name="Currency 3 2 4 4" xfId="1572" xr:uid="{00000000-0005-0000-0000-0000350B0000}"/>
    <cellStyle name="Currency 3 2 4 4 2" xfId="3802" xr:uid="{00000000-0005-0000-0000-0000360B0000}"/>
    <cellStyle name="Currency 3 2 4 4 2 2" xfId="8026" xr:uid="{00000000-0005-0000-0000-0000370B0000}"/>
    <cellStyle name="Currency 3 2 4 4 2 2 2" xfId="16455" xr:uid="{2F807943-188E-4116-8B24-12F0705A072F}"/>
    <cellStyle name="Currency 3 2 4 4 2 3" xfId="12237" xr:uid="{E3FE6396-3764-4D49-BD8E-635D16271721}"/>
    <cellStyle name="Currency 3 2 4 4 3" xfId="5881" xr:uid="{00000000-0005-0000-0000-0000380B0000}"/>
    <cellStyle name="Currency 3 2 4 4 3 2" xfId="14310" xr:uid="{8E7ACF4E-59A3-438F-8B4C-62BA537A98D2}"/>
    <cellStyle name="Currency 3 2 4 4 4" xfId="10092" xr:uid="{8BDAFFF7-60F1-4356-A7E2-AE602CFB6580}"/>
    <cellStyle name="Currency 3 2 4 5" xfId="1986" xr:uid="{00000000-0005-0000-0000-0000390B0000}"/>
    <cellStyle name="Currency 3 2 4 5 2" xfId="4215" xr:uid="{00000000-0005-0000-0000-00003A0B0000}"/>
    <cellStyle name="Currency 3 2 4 5 2 2" xfId="8439" xr:uid="{00000000-0005-0000-0000-00003B0B0000}"/>
    <cellStyle name="Currency 3 2 4 5 2 2 2" xfId="16868" xr:uid="{9F6945AD-8486-4756-81B1-72FAC28B38B7}"/>
    <cellStyle name="Currency 3 2 4 5 2 3" xfId="12650" xr:uid="{8A669DDB-E16B-445E-857A-112938F00BB7}"/>
    <cellStyle name="Currency 3 2 4 5 3" xfId="6294" xr:uid="{00000000-0005-0000-0000-00003C0B0000}"/>
    <cellStyle name="Currency 3 2 4 5 3 2" xfId="14723" xr:uid="{8C98D145-1F17-4898-A217-32A38BC77930}"/>
    <cellStyle name="Currency 3 2 4 5 4" xfId="10505" xr:uid="{D1E82FCC-2F2C-4E25-8987-80FFD0137F6B}"/>
    <cellStyle name="Currency 3 2 4 6" xfId="2421" xr:uid="{00000000-0005-0000-0000-00003D0B0000}"/>
    <cellStyle name="Currency 3 2 4 6 2" xfId="6707" xr:uid="{00000000-0005-0000-0000-00003E0B0000}"/>
    <cellStyle name="Currency 3 2 4 6 2 2" xfId="15136" xr:uid="{862228B6-46F3-41F8-A0CA-B40E8BBDA3CD}"/>
    <cellStyle name="Currency 3 2 4 6 3" xfId="10918" xr:uid="{35F09547-8B3F-4255-B6D4-FD728AC304A2}"/>
    <cellStyle name="Currency 3 2 4 7" xfId="2718" xr:uid="{00000000-0005-0000-0000-00003F0B0000}"/>
    <cellStyle name="Currency 3 2 4 8" xfId="2799" xr:uid="{00000000-0005-0000-0000-0000400B0000}"/>
    <cellStyle name="Currency 3 2 4 8 2" xfId="7024" xr:uid="{00000000-0005-0000-0000-0000410B0000}"/>
    <cellStyle name="Currency 3 2 4 8 2 2" xfId="15453" xr:uid="{15FAF8C3-75CC-4E5C-8411-790ABB9EDF60}"/>
    <cellStyle name="Currency 3 2 4 8 3" xfId="11235" xr:uid="{37CFB47C-7993-4B52-8A52-C3D7AB9A2101}"/>
    <cellStyle name="Currency 3 2 4 9" xfId="4641" xr:uid="{00000000-0005-0000-0000-0000420B0000}"/>
    <cellStyle name="Currency 3 2 4 9 2" xfId="13070" xr:uid="{448F6EB2-A87D-47D6-B37D-D7DC452FBFDB}"/>
    <cellStyle name="Currency 3 2 5" xfId="185" xr:uid="{00000000-0005-0000-0000-0000430B0000}"/>
    <cellStyle name="Currency 3 2 5 10" xfId="8853" xr:uid="{5F136A8C-6B58-4FDA-8693-8BFD7FDFBF69}"/>
    <cellStyle name="Currency 3 2 5 2" xfId="716" xr:uid="{00000000-0005-0000-0000-0000440B0000}"/>
    <cellStyle name="Currency 3 2 5 2 2" xfId="2977" xr:uid="{00000000-0005-0000-0000-0000450B0000}"/>
    <cellStyle name="Currency 3 2 5 2 2 2" xfId="7201" xr:uid="{00000000-0005-0000-0000-0000460B0000}"/>
    <cellStyle name="Currency 3 2 5 2 2 2 2" xfId="15630" xr:uid="{6E1B046E-7599-44B1-A181-ED851D301515}"/>
    <cellStyle name="Currency 3 2 5 2 2 3" xfId="11412" xr:uid="{6DF743FA-F721-4B08-A38B-13CA65EDB104}"/>
    <cellStyle name="Currency 3 2 5 2 3" xfId="5056" xr:uid="{00000000-0005-0000-0000-0000470B0000}"/>
    <cellStyle name="Currency 3 2 5 2 3 2" xfId="13485" xr:uid="{D9306FB6-0007-49A3-9C20-AB1D440F7B38}"/>
    <cellStyle name="Currency 3 2 5 2 4" xfId="9267" xr:uid="{CDDB50C1-5CE5-4971-B44C-AD863EBF324D}"/>
    <cellStyle name="Currency 3 2 5 3" xfId="1159" xr:uid="{00000000-0005-0000-0000-0000480B0000}"/>
    <cellStyle name="Currency 3 2 5 3 2" xfId="3390" xr:uid="{00000000-0005-0000-0000-0000490B0000}"/>
    <cellStyle name="Currency 3 2 5 3 2 2" xfId="7614" xr:uid="{00000000-0005-0000-0000-00004A0B0000}"/>
    <cellStyle name="Currency 3 2 5 3 2 2 2" xfId="16043" xr:uid="{AE28310E-95C4-4C5E-98BD-741F4DB2E32E}"/>
    <cellStyle name="Currency 3 2 5 3 2 3" xfId="11825" xr:uid="{2448AA24-EBE4-47ED-96C8-FBDE40E8B188}"/>
    <cellStyle name="Currency 3 2 5 3 3" xfId="5469" xr:uid="{00000000-0005-0000-0000-00004B0B0000}"/>
    <cellStyle name="Currency 3 2 5 3 3 2" xfId="13898" xr:uid="{622AD834-7D32-4B15-BE6A-553A45E1D599}"/>
    <cellStyle name="Currency 3 2 5 3 4" xfId="9680" xr:uid="{3F75327B-353E-4CDA-9891-D8F949EA025F}"/>
    <cellStyle name="Currency 3 2 5 4" xfId="1573" xr:uid="{00000000-0005-0000-0000-00004C0B0000}"/>
    <cellStyle name="Currency 3 2 5 4 2" xfId="3803" xr:uid="{00000000-0005-0000-0000-00004D0B0000}"/>
    <cellStyle name="Currency 3 2 5 4 2 2" xfId="8027" xr:uid="{00000000-0005-0000-0000-00004E0B0000}"/>
    <cellStyle name="Currency 3 2 5 4 2 2 2" xfId="16456" xr:uid="{6FDA8A02-AC91-4D9A-A518-2C44B1A488B8}"/>
    <cellStyle name="Currency 3 2 5 4 2 3" xfId="12238" xr:uid="{25D5478A-C5AF-4674-8258-8F87D5DA62D6}"/>
    <cellStyle name="Currency 3 2 5 4 3" xfId="5882" xr:uid="{00000000-0005-0000-0000-00004F0B0000}"/>
    <cellStyle name="Currency 3 2 5 4 3 2" xfId="14311" xr:uid="{9745A66F-A721-4869-A305-D706F65040D9}"/>
    <cellStyle name="Currency 3 2 5 4 4" xfId="10093" xr:uid="{E2586136-5D10-4BF0-88E9-1772A9B0E23A}"/>
    <cellStyle name="Currency 3 2 5 5" xfId="1987" xr:uid="{00000000-0005-0000-0000-0000500B0000}"/>
    <cellStyle name="Currency 3 2 5 5 2" xfId="4216" xr:uid="{00000000-0005-0000-0000-0000510B0000}"/>
    <cellStyle name="Currency 3 2 5 5 2 2" xfId="8440" xr:uid="{00000000-0005-0000-0000-0000520B0000}"/>
    <cellStyle name="Currency 3 2 5 5 2 2 2" xfId="16869" xr:uid="{93A5B82F-8389-44E8-AD6F-26848B68333B}"/>
    <cellStyle name="Currency 3 2 5 5 2 3" xfId="12651" xr:uid="{8102EF35-881D-4E97-A394-EA74CDC59D22}"/>
    <cellStyle name="Currency 3 2 5 5 3" xfId="6295" xr:uid="{00000000-0005-0000-0000-0000530B0000}"/>
    <cellStyle name="Currency 3 2 5 5 3 2" xfId="14724" xr:uid="{A0E27BFE-E539-44ED-A324-28DEDB05A162}"/>
    <cellStyle name="Currency 3 2 5 5 4" xfId="10506" xr:uid="{833612BA-36EB-4768-B904-1F341F3CD534}"/>
    <cellStyle name="Currency 3 2 5 6" xfId="2422" xr:uid="{00000000-0005-0000-0000-0000540B0000}"/>
    <cellStyle name="Currency 3 2 5 6 2" xfId="6708" xr:uid="{00000000-0005-0000-0000-0000550B0000}"/>
    <cellStyle name="Currency 3 2 5 6 2 2" xfId="15137" xr:uid="{9F021DEE-E365-42D2-97DE-0BAC39E65B9A}"/>
    <cellStyle name="Currency 3 2 5 6 3" xfId="10919" xr:uid="{9FB6F2C9-B4DB-4442-B8B9-4FE78FD988B3}"/>
    <cellStyle name="Currency 3 2 5 7" xfId="2719" xr:uid="{00000000-0005-0000-0000-0000560B0000}"/>
    <cellStyle name="Currency 3 2 5 8" xfId="2800" xr:uid="{00000000-0005-0000-0000-0000570B0000}"/>
    <cellStyle name="Currency 3 2 5 8 2" xfId="7025" xr:uid="{00000000-0005-0000-0000-0000580B0000}"/>
    <cellStyle name="Currency 3 2 5 8 2 2" xfId="15454" xr:uid="{D9AEFBFE-5B53-47B4-8B57-10FA2D31B1D6}"/>
    <cellStyle name="Currency 3 2 5 8 3" xfId="11236" xr:uid="{6C2E042D-8102-473E-8C75-6BC28303F275}"/>
    <cellStyle name="Currency 3 2 5 9" xfId="4642" xr:uid="{00000000-0005-0000-0000-0000590B0000}"/>
    <cellStyle name="Currency 3 2 5 9 2" xfId="13071" xr:uid="{62E77D05-ABE9-4849-8A1E-60E30BADF9AA}"/>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0 2 2" xfId="15455" xr:uid="{8CAC990B-ADFC-45D3-951C-9F12D17627E6}"/>
    <cellStyle name="Currency 5 2 2 2 10 3" xfId="11237" xr:uid="{68E9D2AB-851C-4052-A5F6-CF8C2F8FE9D7}"/>
    <cellStyle name="Currency 5 2 2 2 11" xfId="4643" xr:uid="{00000000-0005-0000-0000-00006C0B0000}"/>
    <cellStyle name="Currency 5 2 2 2 11 2" xfId="13072" xr:uid="{0C42D916-2D93-4AD4-879D-E5AA3F89CF41}"/>
    <cellStyle name="Currency 5 2 2 2 12" xfId="8854" xr:uid="{AE488599-5514-42C5-9A3E-06C530AF5E65}"/>
    <cellStyle name="Currency 5 2 2 2 2" xfId="197" xr:uid="{00000000-0005-0000-0000-00006D0B0000}"/>
    <cellStyle name="Currency 5 2 2 2 2 10" xfId="4644" xr:uid="{00000000-0005-0000-0000-00006E0B0000}"/>
    <cellStyle name="Currency 5 2 2 2 2 10 2" xfId="13073" xr:uid="{DDC6BEBF-BD4B-46FE-8180-89BA11FF1C06}"/>
    <cellStyle name="Currency 5 2 2 2 2 11" xfId="8855" xr:uid="{D55836AD-BCAF-4D13-A1B4-15505315F364}"/>
    <cellStyle name="Currency 5 2 2 2 2 2" xfId="198" xr:uid="{00000000-0005-0000-0000-00006F0B0000}"/>
    <cellStyle name="Currency 5 2 2 2 2 2 10" xfId="8856" xr:uid="{AD72BE57-B082-40FD-8A23-AB1127214401}"/>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2 2 2" xfId="15633" xr:uid="{76F82C6C-2F2F-441B-9146-47A878DB1205}"/>
    <cellStyle name="Currency 5 2 2 2 2 2 2 2 3" xfId="11415" xr:uid="{337432F5-1973-43CE-9E8A-55F4E2D161F5}"/>
    <cellStyle name="Currency 5 2 2 2 2 2 2 3" xfId="5059" xr:uid="{00000000-0005-0000-0000-0000730B0000}"/>
    <cellStyle name="Currency 5 2 2 2 2 2 2 3 2" xfId="13488" xr:uid="{0C1C93E7-985E-4AF0-91D1-C22DF64BC13D}"/>
    <cellStyle name="Currency 5 2 2 2 2 2 2 4" xfId="9270" xr:uid="{51887C4C-3EA3-48D2-9E88-C25975E434A4}"/>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2 2 2" xfId="16046" xr:uid="{C488BD86-8DA7-4B76-8EA2-1E5B7D714FED}"/>
    <cellStyle name="Currency 5 2 2 2 2 2 3 2 3" xfId="11828" xr:uid="{CC480BFA-FF79-4B3F-82E4-038019BC8EBF}"/>
    <cellStyle name="Currency 5 2 2 2 2 2 3 3" xfId="5472" xr:uid="{00000000-0005-0000-0000-0000770B0000}"/>
    <cellStyle name="Currency 5 2 2 2 2 2 3 3 2" xfId="13901" xr:uid="{E4D00621-A4B5-419A-8E89-1F5FC401608C}"/>
    <cellStyle name="Currency 5 2 2 2 2 2 3 4" xfId="9683" xr:uid="{55E8ED74-D5BC-498A-95DA-74CB31494535}"/>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2 2 2" xfId="16459" xr:uid="{3D61F111-AA2F-42B8-AECC-CF82479C9B9E}"/>
    <cellStyle name="Currency 5 2 2 2 2 2 4 2 3" xfId="12241" xr:uid="{32873F7D-63E9-4D8C-8083-0D1A810484AE}"/>
    <cellStyle name="Currency 5 2 2 2 2 2 4 3" xfId="5885" xr:uid="{00000000-0005-0000-0000-00007B0B0000}"/>
    <cellStyle name="Currency 5 2 2 2 2 2 4 3 2" xfId="14314" xr:uid="{2032C3A4-296C-44FA-9B4D-4B8B3BD42461}"/>
    <cellStyle name="Currency 5 2 2 2 2 2 4 4" xfId="10096" xr:uid="{93D9BD3B-54C6-4D2D-B1CC-5AFB0D6C402F}"/>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2 2 2" xfId="16872" xr:uid="{E70FF657-1BFE-470B-ACBD-9C416FB2C56D}"/>
    <cellStyle name="Currency 5 2 2 2 2 2 5 2 3" xfId="12654" xr:uid="{DE407DB8-42A7-4FD0-832A-BFDBBEFCB03C}"/>
    <cellStyle name="Currency 5 2 2 2 2 2 5 3" xfId="6298" xr:uid="{00000000-0005-0000-0000-00007F0B0000}"/>
    <cellStyle name="Currency 5 2 2 2 2 2 5 3 2" xfId="14727" xr:uid="{E3BE2645-6CE6-4EC7-B4FC-F353BE2BB1B7}"/>
    <cellStyle name="Currency 5 2 2 2 2 2 5 4" xfId="10509" xr:uid="{406B70EC-397A-4AC6-ACAD-13555D5E01DD}"/>
    <cellStyle name="Currency 5 2 2 2 2 2 6" xfId="2425" xr:uid="{00000000-0005-0000-0000-0000800B0000}"/>
    <cellStyle name="Currency 5 2 2 2 2 2 6 2" xfId="6711" xr:uid="{00000000-0005-0000-0000-0000810B0000}"/>
    <cellStyle name="Currency 5 2 2 2 2 2 6 2 2" xfId="15140" xr:uid="{0CD278BC-0DD7-49E5-9743-56388503DA66}"/>
    <cellStyle name="Currency 5 2 2 2 2 2 6 3" xfId="10922" xr:uid="{15D6EFA2-11B4-49FF-B0FF-E6490558616D}"/>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8 2 2" xfId="15457" xr:uid="{CF06EBA6-128B-43DE-8C28-8E874C384C99}"/>
    <cellStyle name="Currency 5 2 2 2 2 2 8 3" xfId="11239" xr:uid="{D069977E-ABE2-4221-A791-30A9D226A143}"/>
    <cellStyle name="Currency 5 2 2 2 2 2 9" xfId="4645" xr:uid="{00000000-0005-0000-0000-0000850B0000}"/>
    <cellStyle name="Currency 5 2 2 2 2 2 9 2" xfId="13074" xr:uid="{52ACB50B-9001-466F-AF97-8203689A794D}"/>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2 2 2" xfId="15632" xr:uid="{E9A41472-591F-4A88-88E8-B8A1023ED047}"/>
    <cellStyle name="Currency 5 2 2 2 2 3 2 3" xfId="11414" xr:uid="{8B6FB218-CACC-445F-B2E5-E332610F2612}"/>
    <cellStyle name="Currency 5 2 2 2 2 3 3" xfId="5058" xr:uid="{00000000-0005-0000-0000-0000890B0000}"/>
    <cellStyle name="Currency 5 2 2 2 2 3 3 2" xfId="13487" xr:uid="{69B7C9AE-F6DE-4CC6-AF32-9F33DFE34BA7}"/>
    <cellStyle name="Currency 5 2 2 2 2 3 4" xfId="9269" xr:uid="{FD6B8C21-E5C8-455D-89F3-5867E989AAE7}"/>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2 2 2" xfId="16045" xr:uid="{953AD990-8F77-47D1-AA46-420F99809003}"/>
    <cellStyle name="Currency 5 2 2 2 2 4 2 3" xfId="11827" xr:uid="{5337988B-3FCD-42F4-8518-897382CC34A3}"/>
    <cellStyle name="Currency 5 2 2 2 2 4 3" xfId="5471" xr:uid="{00000000-0005-0000-0000-00008D0B0000}"/>
    <cellStyle name="Currency 5 2 2 2 2 4 3 2" xfId="13900" xr:uid="{EF9C4359-05FF-48B5-9928-56217B5945D8}"/>
    <cellStyle name="Currency 5 2 2 2 2 4 4" xfId="9682" xr:uid="{AC1E3C91-76CC-43B5-A972-55F57B6271CA}"/>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2 2 2" xfId="16458" xr:uid="{8D24E239-892E-4115-890E-70D449884AEC}"/>
    <cellStyle name="Currency 5 2 2 2 2 5 2 3" xfId="12240" xr:uid="{5EA202A1-5DE7-4471-A149-FC060FDDBD3F}"/>
    <cellStyle name="Currency 5 2 2 2 2 5 3" xfId="5884" xr:uid="{00000000-0005-0000-0000-0000910B0000}"/>
    <cellStyle name="Currency 5 2 2 2 2 5 3 2" xfId="14313" xr:uid="{7C7D1D92-A705-4F5C-8296-8E2882841D77}"/>
    <cellStyle name="Currency 5 2 2 2 2 5 4" xfId="10095" xr:uid="{1675A861-6892-4983-9818-5C4C3564283E}"/>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2 2 2" xfId="16871" xr:uid="{FA9F6B5D-3439-4F24-861F-BCC6356AE2DE}"/>
    <cellStyle name="Currency 5 2 2 2 2 6 2 3" xfId="12653" xr:uid="{368D8FC2-305D-414B-AF13-A9F3F9BD04B4}"/>
    <cellStyle name="Currency 5 2 2 2 2 6 3" xfId="6297" xr:uid="{00000000-0005-0000-0000-0000950B0000}"/>
    <cellStyle name="Currency 5 2 2 2 2 6 3 2" xfId="14726" xr:uid="{6FDC6FAD-ACB2-4980-9110-127F96AAB2AF}"/>
    <cellStyle name="Currency 5 2 2 2 2 6 4" xfId="10508" xr:uid="{7E638885-94FE-413C-9D5B-A185FDC4AE85}"/>
    <cellStyle name="Currency 5 2 2 2 2 7" xfId="2424" xr:uid="{00000000-0005-0000-0000-0000960B0000}"/>
    <cellStyle name="Currency 5 2 2 2 2 7 2" xfId="6710" xr:uid="{00000000-0005-0000-0000-0000970B0000}"/>
    <cellStyle name="Currency 5 2 2 2 2 7 2 2" xfId="15139" xr:uid="{984F5876-E855-4915-A7A0-3A91DB759CD6}"/>
    <cellStyle name="Currency 5 2 2 2 2 7 3" xfId="10921" xr:uid="{5D1E043F-BE6D-4F6A-8734-9EE5A81EB5DC}"/>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2 9 2 2" xfId="15456" xr:uid="{FF4BC7A7-DC64-43F2-A193-4D524B10090A}"/>
    <cellStyle name="Currency 5 2 2 2 2 9 3" xfId="11238" xr:uid="{CB6D73AC-3F68-4486-BA24-6CC5FE2892BF}"/>
    <cellStyle name="Currency 5 2 2 2 3" xfId="199" xr:uid="{00000000-0005-0000-0000-00009B0B0000}"/>
    <cellStyle name="Currency 5 2 2 2 3 10" xfId="8857" xr:uid="{E3323A43-FC2B-480E-93F2-0EC64D2F9F33}"/>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2 2 2" xfId="15634" xr:uid="{A666AB3B-A419-4E65-8D74-83FD734EDA5B}"/>
    <cellStyle name="Currency 5 2 2 2 3 2 2 3" xfId="11416" xr:uid="{2A02CF4C-D9F9-4B7E-B46F-F271F6D4706F}"/>
    <cellStyle name="Currency 5 2 2 2 3 2 3" xfId="5060" xr:uid="{00000000-0005-0000-0000-00009F0B0000}"/>
    <cellStyle name="Currency 5 2 2 2 3 2 3 2" xfId="13489" xr:uid="{2E8688F1-78BF-42C4-ACC7-4E347EE3617F}"/>
    <cellStyle name="Currency 5 2 2 2 3 2 4" xfId="9271" xr:uid="{CF9F5211-AE7B-434A-8012-AD9D3F7C19FB}"/>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2 2 2" xfId="16047" xr:uid="{9A48B912-4A85-4824-85B0-3F86D7328475}"/>
    <cellStyle name="Currency 5 2 2 2 3 3 2 3" xfId="11829" xr:uid="{2692689A-797B-4FED-AC50-515C6AE179B8}"/>
    <cellStyle name="Currency 5 2 2 2 3 3 3" xfId="5473" xr:uid="{00000000-0005-0000-0000-0000A30B0000}"/>
    <cellStyle name="Currency 5 2 2 2 3 3 3 2" xfId="13902" xr:uid="{04E68AF5-BFBA-47FD-900B-92D7992F012F}"/>
    <cellStyle name="Currency 5 2 2 2 3 3 4" xfId="9684" xr:uid="{6500E49A-52B1-4B1C-9CFA-185EE7A2378F}"/>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2 2 2" xfId="16460" xr:uid="{0680BF69-D492-435E-952B-43B2FD897B1D}"/>
    <cellStyle name="Currency 5 2 2 2 3 4 2 3" xfId="12242" xr:uid="{3A87A023-7876-46C5-838F-086AB7515D49}"/>
    <cellStyle name="Currency 5 2 2 2 3 4 3" xfId="5886" xr:uid="{00000000-0005-0000-0000-0000A70B0000}"/>
    <cellStyle name="Currency 5 2 2 2 3 4 3 2" xfId="14315" xr:uid="{AFCBDA98-37A3-4AC7-9509-6C8E1FE9C695}"/>
    <cellStyle name="Currency 5 2 2 2 3 4 4" xfId="10097" xr:uid="{4A14F87A-83C5-47F5-AC01-3D1B191ED6EB}"/>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2 2 2" xfId="16873" xr:uid="{9B6A7B54-61FF-427F-9BC4-F927933DA194}"/>
    <cellStyle name="Currency 5 2 2 2 3 5 2 3" xfId="12655" xr:uid="{2B5472BE-CA46-49AE-8515-44E95A463F5C}"/>
    <cellStyle name="Currency 5 2 2 2 3 5 3" xfId="6299" xr:uid="{00000000-0005-0000-0000-0000AB0B0000}"/>
    <cellStyle name="Currency 5 2 2 2 3 5 3 2" xfId="14728" xr:uid="{26410DCF-4413-41E3-88A7-9A103EC4F46B}"/>
    <cellStyle name="Currency 5 2 2 2 3 5 4" xfId="10510" xr:uid="{82E2B26C-C8FF-402E-AFC1-A24C2DEEB84D}"/>
    <cellStyle name="Currency 5 2 2 2 3 6" xfId="2426" xr:uid="{00000000-0005-0000-0000-0000AC0B0000}"/>
    <cellStyle name="Currency 5 2 2 2 3 6 2" xfId="6712" xr:uid="{00000000-0005-0000-0000-0000AD0B0000}"/>
    <cellStyle name="Currency 5 2 2 2 3 6 2 2" xfId="15141" xr:uid="{FE16CFFA-D495-4532-A94C-6410C05D1727}"/>
    <cellStyle name="Currency 5 2 2 2 3 6 3" xfId="10923" xr:uid="{559EB904-509F-4273-BB4E-6696A301B38D}"/>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8 2 2" xfId="15458" xr:uid="{A3D70D25-3EDF-4B12-ACDA-74D7DCFD71B2}"/>
    <cellStyle name="Currency 5 2 2 2 3 8 3" xfId="11240" xr:uid="{63771567-4BAC-4E3A-9812-0B7453DAE153}"/>
    <cellStyle name="Currency 5 2 2 2 3 9" xfId="4646" xr:uid="{00000000-0005-0000-0000-0000B10B0000}"/>
    <cellStyle name="Currency 5 2 2 2 3 9 2" xfId="13075" xr:uid="{E9CC3D7C-27D4-4089-91EE-9EBB4B4A5954}"/>
    <cellStyle name="Currency 5 2 2 2 4" xfId="724" xr:uid="{00000000-0005-0000-0000-0000B20B0000}"/>
    <cellStyle name="Currency 5 2 2 2 4 2" xfId="2978" xr:uid="{00000000-0005-0000-0000-0000B30B0000}"/>
    <cellStyle name="Currency 5 2 2 2 4 2 2" xfId="7202" xr:uid="{00000000-0005-0000-0000-0000B40B0000}"/>
    <cellStyle name="Currency 5 2 2 2 4 2 2 2" xfId="15631" xr:uid="{D5AA7221-CDBC-4AEF-90C9-630157B1B4FF}"/>
    <cellStyle name="Currency 5 2 2 2 4 2 3" xfId="11413" xr:uid="{BC14A5C5-FB75-4E07-B2C8-174492AC6022}"/>
    <cellStyle name="Currency 5 2 2 2 4 3" xfId="5057" xr:uid="{00000000-0005-0000-0000-0000B50B0000}"/>
    <cellStyle name="Currency 5 2 2 2 4 3 2" xfId="13486" xr:uid="{A7E6DA0A-3BB8-4392-8412-A3D9514EA301}"/>
    <cellStyle name="Currency 5 2 2 2 4 4" xfId="9268" xr:uid="{3F92853F-8EBD-4BAB-81BD-6E20DD494446}"/>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2 2 2" xfId="16044" xr:uid="{F33C311A-0257-4CAF-832F-3B13662041D6}"/>
    <cellStyle name="Currency 5 2 2 2 5 2 3" xfId="11826" xr:uid="{E434CC87-8986-43B7-9A0B-9DF7ED237AB4}"/>
    <cellStyle name="Currency 5 2 2 2 5 3" xfId="5470" xr:uid="{00000000-0005-0000-0000-0000B90B0000}"/>
    <cellStyle name="Currency 5 2 2 2 5 3 2" xfId="13899" xr:uid="{AA2327A9-9395-450F-8E5D-CEF0D18EE57B}"/>
    <cellStyle name="Currency 5 2 2 2 5 4" xfId="9681" xr:uid="{7A76176A-5D6F-42F6-AB68-A739B5FE87A8}"/>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2 2 2" xfId="16457" xr:uid="{8854866F-DF02-41FA-AB5B-ABA63999245E}"/>
    <cellStyle name="Currency 5 2 2 2 6 2 3" xfId="12239" xr:uid="{6ABCD402-69D1-47F0-A35B-A6A3B86EF186}"/>
    <cellStyle name="Currency 5 2 2 2 6 3" xfId="5883" xr:uid="{00000000-0005-0000-0000-0000BD0B0000}"/>
    <cellStyle name="Currency 5 2 2 2 6 3 2" xfId="14312" xr:uid="{4D1B9B4E-4E27-4448-89C2-E0C92EFAD562}"/>
    <cellStyle name="Currency 5 2 2 2 6 4" xfId="10094" xr:uid="{F654A954-BF22-4BE6-B057-08DC450A353D}"/>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2 2 2" xfId="16870" xr:uid="{7B05127F-58B1-40F6-9158-5AE0B918A31F}"/>
    <cellStyle name="Currency 5 2 2 2 7 2 3" xfId="12652" xr:uid="{665AFC1B-2FC2-4705-A349-A04B33FBC340}"/>
    <cellStyle name="Currency 5 2 2 2 7 3" xfId="6296" xr:uid="{00000000-0005-0000-0000-0000C10B0000}"/>
    <cellStyle name="Currency 5 2 2 2 7 3 2" xfId="14725" xr:uid="{51AE116A-1CA8-4443-9474-595D7498F304}"/>
    <cellStyle name="Currency 5 2 2 2 7 4" xfId="10507" xr:uid="{79739AA6-AE9E-457E-95F9-947260A76170}"/>
    <cellStyle name="Currency 5 2 2 2 8" xfId="2423" xr:uid="{00000000-0005-0000-0000-0000C20B0000}"/>
    <cellStyle name="Currency 5 2 2 2 8 2" xfId="6709" xr:uid="{00000000-0005-0000-0000-0000C30B0000}"/>
    <cellStyle name="Currency 5 2 2 2 8 2 2" xfId="15138" xr:uid="{57C9EC92-BA3D-4563-8517-3791F402D50C}"/>
    <cellStyle name="Currency 5 2 2 2 8 3" xfId="10920" xr:uid="{6AC797E0-5DA0-49B3-837F-8089B427FB76}"/>
    <cellStyle name="Currency 5 2 2 2 9" xfId="2720" xr:uid="{00000000-0005-0000-0000-0000C40B0000}"/>
    <cellStyle name="Currency 5 2 2 3" xfId="200" xr:uid="{00000000-0005-0000-0000-0000C50B0000}"/>
    <cellStyle name="Currency 5 2 2 3 10" xfId="4647" xr:uid="{00000000-0005-0000-0000-0000C60B0000}"/>
    <cellStyle name="Currency 5 2 2 3 10 2" xfId="13076" xr:uid="{F756AC09-D4A2-430B-A41F-C567E9C42CF9}"/>
    <cellStyle name="Currency 5 2 2 3 11" xfId="8858" xr:uid="{B5DA2883-6BEF-4EEC-A566-FA5DC4EFFCC2}"/>
    <cellStyle name="Currency 5 2 2 3 2" xfId="201" xr:uid="{00000000-0005-0000-0000-0000C70B0000}"/>
    <cellStyle name="Currency 5 2 2 3 2 10" xfId="8859" xr:uid="{DCCDCD7A-C755-435B-897F-1FFB29D03E9C}"/>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2 2 2" xfId="15636" xr:uid="{5705B9F4-6FD8-42BE-8873-FA29EFC98E4D}"/>
    <cellStyle name="Currency 5 2 2 3 2 2 2 3" xfId="11418" xr:uid="{FDC59709-34A8-4C21-B4DF-D8FB926B511E}"/>
    <cellStyle name="Currency 5 2 2 3 2 2 3" xfId="5062" xr:uid="{00000000-0005-0000-0000-0000CB0B0000}"/>
    <cellStyle name="Currency 5 2 2 3 2 2 3 2" xfId="13491" xr:uid="{7018C1DE-8C6F-4C8B-938A-1F1DD5DEAC9C}"/>
    <cellStyle name="Currency 5 2 2 3 2 2 4" xfId="9273" xr:uid="{3D7E20AB-3F08-478A-9DA3-73B6BC162B44}"/>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2 2 2" xfId="16049" xr:uid="{789B97D4-B2EB-4CF1-B911-1A98F37C1C24}"/>
    <cellStyle name="Currency 5 2 2 3 2 3 2 3" xfId="11831" xr:uid="{58E3A116-47B2-40C1-B384-02A329A51DD6}"/>
    <cellStyle name="Currency 5 2 2 3 2 3 3" xfId="5475" xr:uid="{00000000-0005-0000-0000-0000CF0B0000}"/>
    <cellStyle name="Currency 5 2 2 3 2 3 3 2" xfId="13904" xr:uid="{E6A42D65-BC45-44F6-B994-A4D0D8D3B60D}"/>
    <cellStyle name="Currency 5 2 2 3 2 3 4" xfId="9686" xr:uid="{990615C2-3CF9-456C-B77C-2D60982FCE32}"/>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2 2 2" xfId="16462" xr:uid="{03963DB2-08B2-468E-B638-7C439698675C}"/>
    <cellStyle name="Currency 5 2 2 3 2 4 2 3" xfId="12244" xr:uid="{F00DBE5B-3182-4EB8-937C-8207365BBBDB}"/>
    <cellStyle name="Currency 5 2 2 3 2 4 3" xfId="5888" xr:uid="{00000000-0005-0000-0000-0000D30B0000}"/>
    <cellStyle name="Currency 5 2 2 3 2 4 3 2" xfId="14317" xr:uid="{C701C8BE-FE9B-47C8-AF2A-35A4C272460C}"/>
    <cellStyle name="Currency 5 2 2 3 2 4 4" xfId="10099" xr:uid="{D137A5E9-EB31-49E3-8858-225109A9A151}"/>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2 2 2" xfId="16875" xr:uid="{E2246CE1-552B-4D90-90B7-32E543430F6B}"/>
    <cellStyle name="Currency 5 2 2 3 2 5 2 3" xfId="12657" xr:uid="{E84AE320-6DD5-426E-84CC-40AFEA40C677}"/>
    <cellStyle name="Currency 5 2 2 3 2 5 3" xfId="6301" xr:uid="{00000000-0005-0000-0000-0000D70B0000}"/>
    <cellStyle name="Currency 5 2 2 3 2 5 3 2" xfId="14730" xr:uid="{CA1AB471-268D-463F-8C47-F9BC2C736629}"/>
    <cellStyle name="Currency 5 2 2 3 2 5 4" xfId="10512" xr:uid="{CE4B0DEC-7447-4160-B467-50D2E5419B49}"/>
    <cellStyle name="Currency 5 2 2 3 2 6" xfId="2428" xr:uid="{00000000-0005-0000-0000-0000D80B0000}"/>
    <cellStyle name="Currency 5 2 2 3 2 6 2" xfId="6714" xr:uid="{00000000-0005-0000-0000-0000D90B0000}"/>
    <cellStyle name="Currency 5 2 2 3 2 6 2 2" xfId="15143" xr:uid="{44E6DC79-701A-4532-B561-8BE4A433192D}"/>
    <cellStyle name="Currency 5 2 2 3 2 6 3" xfId="10925" xr:uid="{D9F01D9E-1CFF-4392-B012-5FABE09C1148}"/>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8 2 2" xfId="15460" xr:uid="{6C0F0E6F-AB75-49B1-A5D5-3D6B40D855A9}"/>
    <cellStyle name="Currency 5 2 2 3 2 8 3" xfId="11242" xr:uid="{8DBE4E47-6F66-4AE3-B8ED-786F58A43CA4}"/>
    <cellStyle name="Currency 5 2 2 3 2 9" xfId="4648" xr:uid="{00000000-0005-0000-0000-0000DD0B0000}"/>
    <cellStyle name="Currency 5 2 2 3 2 9 2" xfId="13077" xr:uid="{2A1385E3-3E35-4172-B60E-4F73AEBD15BA}"/>
    <cellStyle name="Currency 5 2 2 3 3" xfId="728" xr:uid="{00000000-0005-0000-0000-0000DE0B0000}"/>
    <cellStyle name="Currency 5 2 2 3 3 2" xfId="2982" xr:uid="{00000000-0005-0000-0000-0000DF0B0000}"/>
    <cellStyle name="Currency 5 2 2 3 3 2 2" xfId="7206" xr:uid="{00000000-0005-0000-0000-0000E00B0000}"/>
    <cellStyle name="Currency 5 2 2 3 3 2 2 2" xfId="15635" xr:uid="{CD5706A7-4106-4BCE-AFDC-C9E0C2EA62F6}"/>
    <cellStyle name="Currency 5 2 2 3 3 2 3" xfId="11417" xr:uid="{16BB6E3D-5115-47B6-9C8D-DD8CF117F629}"/>
    <cellStyle name="Currency 5 2 2 3 3 3" xfId="5061" xr:uid="{00000000-0005-0000-0000-0000E10B0000}"/>
    <cellStyle name="Currency 5 2 2 3 3 3 2" xfId="13490" xr:uid="{98D8E7F2-9E36-4FC9-B510-D91F0B51C5DE}"/>
    <cellStyle name="Currency 5 2 2 3 3 4" xfId="9272" xr:uid="{204C0527-4DCB-4CDD-B807-DF9A9E5E6181}"/>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2 2 2" xfId="16048" xr:uid="{3EA23495-4B07-4137-92BE-8E9325A563EB}"/>
    <cellStyle name="Currency 5 2 2 3 4 2 3" xfId="11830" xr:uid="{38A0A4AA-BCB6-4C45-9597-A6E3B6B35704}"/>
    <cellStyle name="Currency 5 2 2 3 4 3" xfId="5474" xr:uid="{00000000-0005-0000-0000-0000E50B0000}"/>
    <cellStyle name="Currency 5 2 2 3 4 3 2" xfId="13903" xr:uid="{61B75F1C-BBB3-42EB-A212-380F901D9EA7}"/>
    <cellStyle name="Currency 5 2 2 3 4 4" xfId="9685" xr:uid="{47FC7C55-1066-467C-8B54-DA1A9189D4E4}"/>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2 2 2" xfId="16461" xr:uid="{1A110F6B-42E5-48A3-B393-E7D9F28674BD}"/>
    <cellStyle name="Currency 5 2 2 3 5 2 3" xfId="12243" xr:uid="{24764F73-8F9B-44CE-B201-0945484C702F}"/>
    <cellStyle name="Currency 5 2 2 3 5 3" xfId="5887" xr:uid="{00000000-0005-0000-0000-0000E90B0000}"/>
    <cellStyle name="Currency 5 2 2 3 5 3 2" xfId="14316" xr:uid="{C53CF347-4EC8-46EB-826C-73C84215C8FA}"/>
    <cellStyle name="Currency 5 2 2 3 5 4" xfId="10098" xr:uid="{6DBA59F7-C461-4A14-B235-B12E1700948B}"/>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2 2 2" xfId="16874" xr:uid="{5306FBFC-89E5-470D-ADB2-719C30EE50FF}"/>
    <cellStyle name="Currency 5 2 2 3 6 2 3" xfId="12656" xr:uid="{654DE641-D47D-4768-8399-2214CEBEAE17}"/>
    <cellStyle name="Currency 5 2 2 3 6 3" xfId="6300" xr:uid="{00000000-0005-0000-0000-0000ED0B0000}"/>
    <cellStyle name="Currency 5 2 2 3 6 3 2" xfId="14729" xr:uid="{EC1EC38E-D7D1-449A-82C5-3BC1EA156E09}"/>
    <cellStyle name="Currency 5 2 2 3 6 4" xfId="10511" xr:uid="{2105D98F-40F7-4BB8-AF1C-C9710AA1AF11}"/>
    <cellStyle name="Currency 5 2 2 3 7" xfId="2427" xr:uid="{00000000-0005-0000-0000-0000EE0B0000}"/>
    <cellStyle name="Currency 5 2 2 3 7 2" xfId="6713" xr:uid="{00000000-0005-0000-0000-0000EF0B0000}"/>
    <cellStyle name="Currency 5 2 2 3 7 2 2" xfId="15142" xr:uid="{24ED051B-4B3D-412A-AC80-0256CFAD620E}"/>
    <cellStyle name="Currency 5 2 2 3 7 3" xfId="10924" xr:uid="{300D5D68-A9CA-4DDD-B05D-867FD2F705F6}"/>
    <cellStyle name="Currency 5 2 2 3 8" xfId="2724" xr:uid="{00000000-0005-0000-0000-0000F00B0000}"/>
    <cellStyle name="Currency 5 2 2 3 9" xfId="2805" xr:uid="{00000000-0005-0000-0000-0000F10B0000}"/>
    <cellStyle name="Currency 5 2 2 3 9 2" xfId="7030" xr:uid="{00000000-0005-0000-0000-0000F20B0000}"/>
    <cellStyle name="Currency 5 2 2 3 9 2 2" xfId="15459" xr:uid="{CF8520BF-92D6-41D3-A6F7-B996E4F6FF8E}"/>
    <cellStyle name="Currency 5 2 2 3 9 3" xfId="11241" xr:uid="{753F9E00-5309-41E0-BBFD-CABBCBE4BDAA}"/>
    <cellStyle name="Currency 5 2 2 4" xfId="202" xr:uid="{00000000-0005-0000-0000-0000F30B0000}"/>
    <cellStyle name="Currency 5 2 2 4 10" xfId="8860" xr:uid="{653F60E3-2F54-404E-8C92-C88692EB3C6B}"/>
    <cellStyle name="Currency 5 2 2 4 2" xfId="730" xr:uid="{00000000-0005-0000-0000-0000F40B0000}"/>
    <cellStyle name="Currency 5 2 2 4 2 2" xfId="2984" xr:uid="{00000000-0005-0000-0000-0000F50B0000}"/>
    <cellStyle name="Currency 5 2 2 4 2 2 2" xfId="7208" xr:uid="{00000000-0005-0000-0000-0000F60B0000}"/>
    <cellStyle name="Currency 5 2 2 4 2 2 2 2" xfId="15637" xr:uid="{2F683681-B205-491C-8AB2-67A9FB26BED8}"/>
    <cellStyle name="Currency 5 2 2 4 2 2 3" xfId="11419" xr:uid="{3C39FC18-38B4-4C12-A97A-210E02D1229D}"/>
    <cellStyle name="Currency 5 2 2 4 2 3" xfId="5063" xr:uid="{00000000-0005-0000-0000-0000F70B0000}"/>
    <cellStyle name="Currency 5 2 2 4 2 3 2" xfId="13492" xr:uid="{28D5D7AA-6A81-4F15-B55C-574ADD5CD211}"/>
    <cellStyle name="Currency 5 2 2 4 2 4" xfId="9274" xr:uid="{68E0FB26-E473-4BED-8455-D11BC25D1C02}"/>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2 2 2" xfId="16050" xr:uid="{E740BC42-DE03-4093-8148-19284DFD3EC3}"/>
    <cellStyle name="Currency 5 2 2 4 3 2 3" xfId="11832" xr:uid="{ADCB147F-A9AF-445B-8131-280E07AF6644}"/>
    <cellStyle name="Currency 5 2 2 4 3 3" xfId="5476" xr:uid="{00000000-0005-0000-0000-0000FB0B0000}"/>
    <cellStyle name="Currency 5 2 2 4 3 3 2" xfId="13905" xr:uid="{B77ECF83-D8AB-4988-ADD1-03F503E28591}"/>
    <cellStyle name="Currency 5 2 2 4 3 4" xfId="9687" xr:uid="{FC7D9395-5C2F-4969-ADCB-1D3F8A4B0D47}"/>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2 2 2" xfId="16463" xr:uid="{F7AD6E1C-6B8B-4DC6-BBD8-548F89DF97B8}"/>
    <cellStyle name="Currency 5 2 2 4 4 2 3" xfId="12245" xr:uid="{E18D67B5-439A-4F37-87A2-07D393CBF962}"/>
    <cellStyle name="Currency 5 2 2 4 4 3" xfId="5889" xr:uid="{00000000-0005-0000-0000-0000FF0B0000}"/>
    <cellStyle name="Currency 5 2 2 4 4 3 2" xfId="14318" xr:uid="{DBCB283A-97C2-46CA-95C1-732174F275D4}"/>
    <cellStyle name="Currency 5 2 2 4 4 4" xfId="10100" xr:uid="{3D62232C-0469-4175-B62C-EAE28F2F0693}"/>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2 2 2" xfId="16876" xr:uid="{E3335857-9FF8-4B62-85B1-C5A629C582AE}"/>
    <cellStyle name="Currency 5 2 2 4 5 2 3" xfId="12658" xr:uid="{6ED76577-B643-4E93-89D5-E385503A1E83}"/>
    <cellStyle name="Currency 5 2 2 4 5 3" xfId="6302" xr:uid="{00000000-0005-0000-0000-0000030C0000}"/>
    <cellStyle name="Currency 5 2 2 4 5 3 2" xfId="14731" xr:uid="{EBB7C363-A8F5-4D41-BEB8-D20B43E806DF}"/>
    <cellStyle name="Currency 5 2 2 4 5 4" xfId="10513" xr:uid="{F05CCC91-B8DB-44DE-80BA-C9D09CA0E2B5}"/>
    <cellStyle name="Currency 5 2 2 4 6" xfId="2429" xr:uid="{00000000-0005-0000-0000-0000040C0000}"/>
    <cellStyle name="Currency 5 2 2 4 6 2" xfId="6715" xr:uid="{00000000-0005-0000-0000-0000050C0000}"/>
    <cellStyle name="Currency 5 2 2 4 6 2 2" xfId="15144" xr:uid="{E0E408B5-6D3D-4FFF-A90A-62C4D75BF9BF}"/>
    <cellStyle name="Currency 5 2 2 4 6 3" xfId="10926" xr:uid="{749C1835-242E-4E44-A9D0-BFED05FC0C75}"/>
    <cellStyle name="Currency 5 2 2 4 7" xfId="2726" xr:uid="{00000000-0005-0000-0000-0000060C0000}"/>
    <cellStyle name="Currency 5 2 2 4 8" xfId="2807" xr:uid="{00000000-0005-0000-0000-0000070C0000}"/>
    <cellStyle name="Currency 5 2 2 4 8 2" xfId="7032" xr:uid="{00000000-0005-0000-0000-0000080C0000}"/>
    <cellStyle name="Currency 5 2 2 4 8 2 2" xfId="15461" xr:uid="{357E3BFC-D765-429A-8533-C75BD8972E6D}"/>
    <cellStyle name="Currency 5 2 2 4 8 3" xfId="11243" xr:uid="{EF268801-EF61-44E3-B4A2-AE3C8B56AA79}"/>
    <cellStyle name="Currency 5 2 2 4 9" xfId="4649" xr:uid="{00000000-0005-0000-0000-0000090C0000}"/>
    <cellStyle name="Currency 5 2 2 4 9 2" xfId="13078" xr:uid="{A52B94AB-A919-4C88-8072-0EBDA72626C0}"/>
    <cellStyle name="Currency 5 2 2 5" xfId="203" xr:uid="{00000000-0005-0000-0000-00000A0C0000}"/>
    <cellStyle name="Currency 5 2 2 5 10" xfId="8861" xr:uid="{39BB4A8C-C1DD-4929-A85D-ED4490C24BB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2 2 2" xfId="15638" xr:uid="{E205E9CB-3038-4984-84F0-38A7ACC83C47}"/>
    <cellStyle name="Currency 5 2 2 5 2 2 3" xfId="11420" xr:uid="{9A8855AD-5B54-40B9-95C4-02B022D7499F}"/>
    <cellStyle name="Currency 5 2 2 5 2 3" xfId="5064" xr:uid="{00000000-0005-0000-0000-00000E0C0000}"/>
    <cellStyle name="Currency 5 2 2 5 2 3 2" xfId="13493" xr:uid="{DE766053-B768-4194-974C-A190AC5A8A17}"/>
    <cellStyle name="Currency 5 2 2 5 2 4" xfId="9275" xr:uid="{8120E37D-8E3D-40A7-A07F-F8052868D15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2 2 2" xfId="16051" xr:uid="{FB935E91-B2B9-4BA5-99DE-A5833CB35F78}"/>
    <cellStyle name="Currency 5 2 2 5 3 2 3" xfId="11833" xr:uid="{5AEB4379-9903-4737-B1FB-13FDDC157979}"/>
    <cellStyle name="Currency 5 2 2 5 3 3" xfId="5477" xr:uid="{00000000-0005-0000-0000-0000120C0000}"/>
    <cellStyle name="Currency 5 2 2 5 3 3 2" xfId="13906" xr:uid="{C626B8EC-74FF-457D-A427-8B41846037B6}"/>
    <cellStyle name="Currency 5 2 2 5 3 4" xfId="9688" xr:uid="{27FD5ADE-FD75-4A15-AE26-BE87E1B4C842}"/>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2 2 2" xfId="16464" xr:uid="{B07E1A52-EDCD-444E-AE0C-4F7C7E4635A5}"/>
    <cellStyle name="Currency 5 2 2 5 4 2 3" xfId="12246" xr:uid="{B80142AC-DE25-41FB-995A-3BFEFD3BAE0A}"/>
    <cellStyle name="Currency 5 2 2 5 4 3" xfId="5890" xr:uid="{00000000-0005-0000-0000-0000160C0000}"/>
    <cellStyle name="Currency 5 2 2 5 4 3 2" xfId="14319" xr:uid="{559F55C1-4C02-4663-B9FD-8B9F3E5E3338}"/>
    <cellStyle name="Currency 5 2 2 5 4 4" xfId="10101" xr:uid="{7E1E88B8-6339-4813-BE77-AEF554BFDB0A}"/>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2 2 2" xfId="16877" xr:uid="{5232EF8E-2B15-4105-B9AD-A8829A762BB5}"/>
    <cellStyle name="Currency 5 2 2 5 5 2 3" xfId="12659" xr:uid="{7C2C6A4D-2EE3-4150-9455-2F64D154B61D}"/>
    <cellStyle name="Currency 5 2 2 5 5 3" xfId="6303" xr:uid="{00000000-0005-0000-0000-00001A0C0000}"/>
    <cellStyle name="Currency 5 2 2 5 5 3 2" xfId="14732" xr:uid="{B3917EAB-3D31-4212-A682-5752C782EAF5}"/>
    <cellStyle name="Currency 5 2 2 5 5 4" xfId="10514" xr:uid="{344D1286-D315-44B9-908F-233A8838D87B}"/>
    <cellStyle name="Currency 5 2 2 5 6" xfId="2430" xr:uid="{00000000-0005-0000-0000-00001B0C0000}"/>
    <cellStyle name="Currency 5 2 2 5 6 2" xfId="6716" xr:uid="{00000000-0005-0000-0000-00001C0C0000}"/>
    <cellStyle name="Currency 5 2 2 5 6 2 2" xfId="15145" xr:uid="{EE2143E4-9907-4DA9-825C-547B865DE784}"/>
    <cellStyle name="Currency 5 2 2 5 6 3" xfId="10927" xr:uid="{32086BEE-377E-4151-9369-32C85BC7FE39}"/>
    <cellStyle name="Currency 5 2 2 5 7" xfId="2727" xr:uid="{00000000-0005-0000-0000-00001D0C0000}"/>
    <cellStyle name="Currency 5 2 2 5 8" xfId="2808" xr:uid="{00000000-0005-0000-0000-00001E0C0000}"/>
    <cellStyle name="Currency 5 2 2 5 8 2" xfId="7033" xr:uid="{00000000-0005-0000-0000-00001F0C0000}"/>
    <cellStyle name="Currency 5 2 2 5 8 2 2" xfId="15462" xr:uid="{AD6D24D7-865F-4F6E-AE9D-D33A18AE5528}"/>
    <cellStyle name="Currency 5 2 2 5 8 3" xfId="11244" xr:uid="{95BCDEA7-3D83-487D-A3A7-BEA6BF352D4E}"/>
    <cellStyle name="Currency 5 2 2 5 9" xfId="4650" xr:uid="{00000000-0005-0000-0000-0000200C0000}"/>
    <cellStyle name="Currency 5 2 2 5 9 2" xfId="13079" xr:uid="{8D249F09-9BD3-4535-9CC1-4041C32FBE77}"/>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10 2" xfId="13080" xr:uid="{7551A671-7DC0-43F4-A3EC-55C9285CBC4D}"/>
    <cellStyle name="Currency 5 2 4 11" xfId="8862" xr:uid="{6D388BDD-F4ED-423E-AD79-7957E60337AF}"/>
    <cellStyle name="Currency 5 2 4 2" xfId="206" xr:uid="{00000000-0005-0000-0000-0000250C0000}"/>
    <cellStyle name="Currency 5 2 4 2 10" xfId="8863" xr:uid="{7329A240-457E-4720-AFD8-327761263831}"/>
    <cellStyle name="Currency 5 2 4 2 2" xfId="734" xr:uid="{00000000-0005-0000-0000-0000260C0000}"/>
    <cellStyle name="Currency 5 2 4 2 2 2" xfId="2987" xr:uid="{00000000-0005-0000-0000-0000270C0000}"/>
    <cellStyle name="Currency 5 2 4 2 2 2 2" xfId="7211" xr:uid="{00000000-0005-0000-0000-0000280C0000}"/>
    <cellStyle name="Currency 5 2 4 2 2 2 2 2" xfId="15640" xr:uid="{E07888B1-1CBE-40D9-9E75-82FFD161FEB7}"/>
    <cellStyle name="Currency 5 2 4 2 2 2 3" xfId="11422" xr:uid="{C64669E5-14A9-470F-B42B-892947556AB7}"/>
    <cellStyle name="Currency 5 2 4 2 2 3" xfId="5066" xr:uid="{00000000-0005-0000-0000-0000290C0000}"/>
    <cellStyle name="Currency 5 2 4 2 2 3 2" xfId="13495" xr:uid="{5C7115B4-F629-49EB-98CA-DEDAA498C036}"/>
    <cellStyle name="Currency 5 2 4 2 2 4" xfId="9277" xr:uid="{8B6DD518-B70A-4D46-A7DE-B0B778AEC591}"/>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2 2 2" xfId="16053" xr:uid="{46BA34AF-EADB-4863-83D7-2A9942AC83D7}"/>
    <cellStyle name="Currency 5 2 4 2 3 2 3" xfId="11835" xr:uid="{69331A51-365A-4047-9C42-5110CC98D70D}"/>
    <cellStyle name="Currency 5 2 4 2 3 3" xfId="5479" xr:uid="{00000000-0005-0000-0000-00002D0C0000}"/>
    <cellStyle name="Currency 5 2 4 2 3 3 2" xfId="13908" xr:uid="{89E7D2CF-6833-4146-BEC4-D015BC8B0E0B}"/>
    <cellStyle name="Currency 5 2 4 2 3 4" xfId="9690" xr:uid="{0EAEA964-0A7B-4925-A3FF-FFAF58AC79F2}"/>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2 2 2" xfId="16466" xr:uid="{87C330D5-AF54-413F-8DFF-959214B0259A}"/>
    <cellStyle name="Currency 5 2 4 2 4 2 3" xfId="12248" xr:uid="{BDDCA87F-DC39-4C18-873B-4C80B1FDDB99}"/>
    <cellStyle name="Currency 5 2 4 2 4 3" xfId="5892" xr:uid="{00000000-0005-0000-0000-0000310C0000}"/>
    <cellStyle name="Currency 5 2 4 2 4 3 2" xfId="14321" xr:uid="{2C4CB437-9199-4171-A5DC-7D8802AD2261}"/>
    <cellStyle name="Currency 5 2 4 2 4 4" xfId="10103" xr:uid="{567EF19A-358A-435F-9DB4-A3A9C61956BD}"/>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2 2 2" xfId="16879" xr:uid="{FA7DEE92-CF30-4CA7-B25B-2EF308033E3B}"/>
    <cellStyle name="Currency 5 2 4 2 5 2 3" xfId="12661" xr:uid="{B58FB962-C189-4F6E-B403-6484EAF9A051}"/>
    <cellStyle name="Currency 5 2 4 2 5 3" xfId="6305" xr:uid="{00000000-0005-0000-0000-0000350C0000}"/>
    <cellStyle name="Currency 5 2 4 2 5 3 2" xfId="14734" xr:uid="{2CDB1490-807B-42EC-ACBC-DF39EE9D1D56}"/>
    <cellStyle name="Currency 5 2 4 2 5 4" xfId="10516" xr:uid="{9086F3BF-3B09-4149-A653-E2B217D640C3}"/>
    <cellStyle name="Currency 5 2 4 2 6" xfId="2432" xr:uid="{00000000-0005-0000-0000-0000360C0000}"/>
    <cellStyle name="Currency 5 2 4 2 6 2" xfId="6718" xr:uid="{00000000-0005-0000-0000-0000370C0000}"/>
    <cellStyle name="Currency 5 2 4 2 6 2 2" xfId="15147" xr:uid="{ED9202FA-27C8-4CC0-871B-DED77037D3D6}"/>
    <cellStyle name="Currency 5 2 4 2 6 3" xfId="10929" xr:uid="{C5F9BA18-7C35-4147-A996-380C7A748AD2}"/>
    <cellStyle name="Currency 5 2 4 2 7" xfId="2729" xr:uid="{00000000-0005-0000-0000-0000380C0000}"/>
    <cellStyle name="Currency 5 2 4 2 8" xfId="2810" xr:uid="{00000000-0005-0000-0000-0000390C0000}"/>
    <cellStyle name="Currency 5 2 4 2 8 2" xfId="7035" xr:uid="{00000000-0005-0000-0000-00003A0C0000}"/>
    <cellStyle name="Currency 5 2 4 2 8 2 2" xfId="15464" xr:uid="{DE81E321-C569-462E-949A-C67F421451F2}"/>
    <cellStyle name="Currency 5 2 4 2 8 3" xfId="11246" xr:uid="{69C050C9-DF6F-474F-A826-65C54A9EEE52}"/>
    <cellStyle name="Currency 5 2 4 2 9" xfId="4652" xr:uid="{00000000-0005-0000-0000-00003B0C0000}"/>
    <cellStyle name="Currency 5 2 4 2 9 2" xfId="13081" xr:uid="{47A22A87-BF3E-44B1-9D99-7B74490DB5EC}"/>
    <cellStyle name="Currency 5 2 4 3" xfId="733" xr:uid="{00000000-0005-0000-0000-00003C0C0000}"/>
    <cellStyle name="Currency 5 2 4 3 2" xfId="2986" xr:uid="{00000000-0005-0000-0000-00003D0C0000}"/>
    <cellStyle name="Currency 5 2 4 3 2 2" xfId="7210" xr:uid="{00000000-0005-0000-0000-00003E0C0000}"/>
    <cellStyle name="Currency 5 2 4 3 2 2 2" xfId="15639" xr:uid="{F8FED31B-ECCD-41A5-B36E-2AB1181DCD23}"/>
    <cellStyle name="Currency 5 2 4 3 2 3" xfId="11421" xr:uid="{27EB9D57-AE32-4281-A0DD-224DF84B2506}"/>
    <cellStyle name="Currency 5 2 4 3 3" xfId="5065" xr:uid="{00000000-0005-0000-0000-00003F0C0000}"/>
    <cellStyle name="Currency 5 2 4 3 3 2" xfId="13494" xr:uid="{F3575F2A-2EA0-4A62-A007-3E726A4683FA}"/>
    <cellStyle name="Currency 5 2 4 3 4" xfId="9276" xr:uid="{401D4AB1-0632-46B9-9B2B-9436EB24D965}"/>
    <cellStyle name="Currency 5 2 4 4" xfId="1168" xr:uid="{00000000-0005-0000-0000-0000400C0000}"/>
    <cellStyle name="Currency 5 2 4 4 2" xfId="3399" xr:uid="{00000000-0005-0000-0000-0000410C0000}"/>
    <cellStyle name="Currency 5 2 4 4 2 2" xfId="7623" xr:uid="{00000000-0005-0000-0000-0000420C0000}"/>
    <cellStyle name="Currency 5 2 4 4 2 2 2" xfId="16052" xr:uid="{EEA6A1C6-5681-46D7-A8C9-856FEF368C59}"/>
    <cellStyle name="Currency 5 2 4 4 2 3" xfId="11834" xr:uid="{5DC5B85D-30C2-4402-B334-0A28E9C0D37D}"/>
    <cellStyle name="Currency 5 2 4 4 3" xfId="5478" xr:uid="{00000000-0005-0000-0000-0000430C0000}"/>
    <cellStyle name="Currency 5 2 4 4 3 2" xfId="13907" xr:uid="{CC986256-E385-4E3B-BAAC-CF649E9352B3}"/>
    <cellStyle name="Currency 5 2 4 4 4" xfId="9689" xr:uid="{3A7BA0D8-E6A2-4154-BF50-AB9595DE76CC}"/>
    <cellStyle name="Currency 5 2 4 5" xfId="1582" xr:uid="{00000000-0005-0000-0000-0000440C0000}"/>
    <cellStyle name="Currency 5 2 4 5 2" xfId="3812" xr:uid="{00000000-0005-0000-0000-0000450C0000}"/>
    <cellStyle name="Currency 5 2 4 5 2 2" xfId="8036" xr:uid="{00000000-0005-0000-0000-0000460C0000}"/>
    <cellStyle name="Currency 5 2 4 5 2 2 2" xfId="16465" xr:uid="{14B5DF53-5034-4528-85E7-C1A020C362D3}"/>
    <cellStyle name="Currency 5 2 4 5 2 3" xfId="12247" xr:uid="{AF897A41-851B-425E-A63D-A4A330E3186C}"/>
    <cellStyle name="Currency 5 2 4 5 3" xfId="5891" xr:uid="{00000000-0005-0000-0000-0000470C0000}"/>
    <cellStyle name="Currency 5 2 4 5 3 2" xfId="14320" xr:uid="{9E14731E-EC86-4B30-B3A2-96DC0EF6B7C8}"/>
    <cellStyle name="Currency 5 2 4 5 4" xfId="10102" xr:uid="{2484C1E2-CF47-4645-90D5-E08ACA9AFC8D}"/>
    <cellStyle name="Currency 5 2 4 6" xfId="1996" xr:uid="{00000000-0005-0000-0000-0000480C0000}"/>
    <cellStyle name="Currency 5 2 4 6 2" xfId="4225" xr:uid="{00000000-0005-0000-0000-0000490C0000}"/>
    <cellStyle name="Currency 5 2 4 6 2 2" xfId="8449" xr:uid="{00000000-0005-0000-0000-00004A0C0000}"/>
    <cellStyle name="Currency 5 2 4 6 2 2 2" xfId="16878" xr:uid="{0ABFE527-F67D-4BBB-844E-22D35D80A0BC}"/>
    <cellStyle name="Currency 5 2 4 6 2 3" xfId="12660" xr:uid="{7520D87E-453E-4FF4-B443-425F798EC40E}"/>
    <cellStyle name="Currency 5 2 4 6 3" xfId="6304" xr:uid="{00000000-0005-0000-0000-00004B0C0000}"/>
    <cellStyle name="Currency 5 2 4 6 3 2" xfId="14733" xr:uid="{20D11AF6-7B6A-4410-B83B-D596EE8D5147}"/>
    <cellStyle name="Currency 5 2 4 6 4" xfId="10515" xr:uid="{F56F02D1-D2DC-461C-83D7-CBBA554B0B58}"/>
    <cellStyle name="Currency 5 2 4 7" xfId="2431" xr:uid="{00000000-0005-0000-0000-00004C0C0000}"/>
    <cellStyle name="Currency 5 2 4 7 2" xfId="6717" xr:uid="{00000000-0005-0000-0000-00004D0C0000}"/>
    <cellStyle name="Currency 5 2 4 7 2 2" xfId="15146" xr:uid="{9EBB7176-2D01-426A-9F26-2155DD32080C}"/>
    <cellStyle name="Currency 5 2 4 7 3" xfId="10928" xr:uid="{A0987D32-E74A-4E3D-A677-81D92F54D652}"/>
    <cellStyle name="Currency 5 2 4 8" xfId="2728" xr:uid="{00000000-0005-0000-0000-00004E0C0000}"/>
    <cellStyle name="Currency 5 2 4 9" xfId="2809" xr:uid="{00000000-0005-0000-0000-00004F0C0000}"/>
    <cellStyle name="Currency 5 2 4 9 2" xfId="7034" xr:uid="{00000000-0005-0000-0000-0000500C0000}"/>
    <cellStyle name="Currency 5 2 4 9 2 2" xfId="15463" xr:uid="{0037B33B-B864-4862-BFA9-CFBEA491155C}"/>
    <cellStyle name="Currency 5 2 4 9 3" xfId="11245" xr:uid="{05932108-0DA1-437B-B693-1F889CCC940D}"/>
    <cellStyle name="Currency 5 2 5" xfId="207" xr:uid="{00000000-0005-0000-0000-0000510C0000}"/>
    <cellStyle name="Currency 5 2 5 10" xfId="8864" xr:uid="{DECA04DE-B985-4697-B1AF-18CCB9304DED}"/>
    <cellStyle name="Currency 5 2 5 2" xfId="735" xr:uid="{00000000-0005-0000-0000-0000520C0000}"/>
    <cellStyle name="Currency 5 2 5 2 2" xfId="2988" xr:uid="{00000000-0005-0000-0000-0000530C0000}"/>
    <cellStyle name="Currency 5 2 5 2 2 2" xfId="7212" xr:uid="{00000000-0005-0000-0000-0000540C0000}"/>
    <cellStyle name="Currency 5 2 5 2 2 2 2" xfId="15641" xr:uid="{08E6FF53-BF65-4222-96B4-CDFCD54CBCAE}"/>
    <cellStyle name="Currency 5 2 5 2 2 3" xfId="11423" xr:uid="{041224DF-F44D-458E-B1A3-1244B50ADFFC}"/>
    <cellStyle name="Currency 5 2 5 2 3" xfId="5067" xr:uid="{00000000-0005-0000-0000-0000550C0000}"/>
    <cellStyle name="Currency 5 2 5 2 3 2" xfId="13496" xr:uid="{A2BD2930-9CA3-45CD-9789-56BE652AC799}"/>
    <cellStyle name="Currency 5 2 5 2 4" xfId="9278" xr:uid="{A2648C5E-FFF0-416F-9671-8B93923C3581}"/>
    <cellStyle name="Currency 5 2 5 3" xfId="1170" xr:uid="{00000000-0005-0000-0000-0000560C0000}"/>
    <cellStyle name="Currency 5 2 5 3 2" xfId="3401" xr:uid="{00000000-0005-0000-0000-0000570C0000}"/>
    <cellStyle name="Currency 5 2 5 3 2 2" xfId="7625" xr:uid="{00000000-0005-0000-0000-0000580C0000}"/>
    <cellStyle name="Currency 5 2 5 3 2 2 2" xfId="16054" xr:uid="{C3247B94-C81C-4B65-A99E-7922FC563F3A}"/>
    <cellStyle name="Currency 5 2 5 3 2 3" xfId="11836" xr:uid="{298BB2CB-5C73-4A1C-8FAE-EED439A79BB8}"/>
    <cellStyle name="Currency 5 2 5 3 3" xfId="5480" xr:uid="{00000000-0005-0000-0000-0000590C0000}"/>
    <cellStyle name="Currency 5 2 5 3 3 2" xfId="13909" xr:uid="{840D783A-2F63-4468-A9A6-274A92830B68}"/>
    <cellStyle name="Currency 5 2 5 3 4" xfId="9691" xr:uid="{B0E799C2-1A5D-473A-AF20-957BDA464E3B}"/>
    <cellStyle name="Currency 5 2 5 4" xfId="1584" xr:uid="{00000000-0005-0000-0000-00005A0C0000}"/>
    <cellStyle name="Currency 5 2 5 4 2" xfId="3814" xr:uid="{00000000-0005-0000-0000-00005B0C0000}"/>
    <cellStyle name="Currency 5 2 5 4 2 2" xfId="8038" xr:uid="{00000000-0005-0000-0000-00005C0C0000}"/>
    <cellStyle name="Currency 5 2 5 4 2 2 2" xfId="16467" xr:uid="{B9BD50FA-471B-45A0-8342-9F4130372816}"/>
    <cellStyle name="Currency 5 2 5 4 2 3" xfId="12249" xr:uid="{0066BD64-BEBE-4202-8414-6899B18D558C}"/>
    <cellStyle name="Currency 5 2 5 4 3" xfId="5893" xr:uid="{00000000-0005-0000-0000-00005D0C0000}"/>
    <cellStyle name="Currency 5 2 5 4 3 2" xfId="14322" xr:uid="{3A5E2120-46A9-41E7-A7E9-92FAC32D6DB7}"/>
    <cellStyle name="Currency 5 2 5 4 4" xfId="10104" xr:uid="{D9996160-D026-4474-B956-8224F24F9923}"/>
    <cellStyle name="Currency 5 2 5 5" xfId="1998" xr:uid="{00000000-0005-0000-0000-00005E0C0000}"/>
    <cellStyle name="Currency 5 2 5 5 2" xfId="4227" xr:uid="{00000000-0005-0000-0000-00005F0C0000}"/>
    <cellStyle name="Currency 5 2 5 5 2 2" xfId="8451" xr:uid="{00000000-0005-0000-0000-0000600C0000}"/>
    <cellStyle name="Currency 5 2 5 5 2 2 2" xfId="16880" xr:uid="{A7FB9F65-8479-4AFC-A628-0AFD4524AF93}"/>
    <cellStyle name="Currency 5 2 5 5 2 3" xfId="12662" xr:uid="{5409CFFA-B605-4421-8B09-94D18087CD1D}"/>
    <cellStyle name="Currency 5 2 5 5 3" xfId="6306" xr:uid="{00000000-0005-0000-0000-0000610C0000}"/>
    <cellStyle name="Currency 5 2 5 5 3 2" xfId="14735" xr:uid="{988B81F9-1FB2-4E37-84AD-0A820651C8C9}"/>
    <cellStyle name="Currency 5 2 5 5 4" xfId="10517" xr:uid="{99023201-2912-401F-BCD2-9BEC8DBA1EA7}"/>
    <cellStyle name="Currency 5 2 5 6" xfId="2433" xr:uid="{00000000-0005-0000-0000-0000620C0000}"/>
    <cellStyle name="Currency 5 2 5 6 2" xfId="6719" xr:uid="{00000000-0005-0000-0000-0000630C0000}"/>
    <cellStyle name="Currency 5 2 5 6 2 2" xfId="15148" xr:uid="{BB3A11B8-BA51-410F-9C02-DBF4A05B43F1}"/>
    <cellStyle name="Currency 5 2 5 6 3" xfId="10930" xr:uid="{8209D779-C7A7-4CB1-972B-99081C6B4EA4}"/>
    <cellStyle name="Currency 5 2 5 7" xfId="2730" xr:uid="{00000000-0005-0000-0000-0000640C0000}"/>
    <cellStyle name="Currency 5 2 5 8" xfId="2811" xr:uid="{00000000-0005-0000-0000-0000650C0000}"/>
    <cellStyle name="Currency 5 2 5 8 2" xfId="7036" xr:uid="{00000000-0005-0000-0000-0000660C0000}"/>
    <cellStyle name="Currency 5 2 5 8 2 2" xfId="15465" xr:uid="{B5BA68A2-B55C-4B56-BD0B-01CD6FD2BB9E}"/>
    <cellStyle name="Currency 5 2 5 8 3" xfId="11247" xr:uid="{C51C708E-CD12-469D-A45F-B07581697A51}"/>
    <cellStyle name="Currency 5 2 5 9" xfId="4653" xr:uid="{00000000-0005-0000-0000-0000670C0000}"/>
    <cellStyle name="Currency 5 2 5 9 2" xfId="13082" xr:uid="{C2D5C7CC-AF33-4055-A821-7B304E229EBB}"/>
    <cellStyle name="Currency 5 2 6" xfId="208" xr:uid="{00000000-0005-0000-0000-0000680C0000}"/>
    <cellStyle name="Currency 5 2 6 10" xfId="8865" xr:uid="{C71A04BD-7DFF-4529-982A-00C796008956}"/>
    <cellStyle name="Currency 5 2 6 2" xfId="736" xr:uid="{00000000-0005-0000-0000-0000690C0000}"/>
    <cellStyle name="Currency 5 2 6 2 2" xfId="2989" xr:uid="{00000000-0005-0000-0000-00006A0C0000}"/>
    <cellStyle name="Currency 5 2 6 2 2 2" xfId="7213" xr:uid="{00000000-0005-0000-0000-00006B0C0000}"/>
    <cellStyle name="Currency 5 2 6 2 2 2 2" xfId="15642" xr:uid="{29D125EB-3E8A-4569-9A2B-3E42E84E93E1}"/>
    <cellStyle name="Currency 5 2 6 2 2 3" xfId="11424" xr:uid="{C050F878-E18B-4F36-AA8C-7C786082E316}"/>
    <cellStyle name="Currency 5 2 6 2 3" xfId="5068" xr:uid="{00000000-0005-0000-0000-00006C0C0000}"/>
    <cellStyle name="Currency 5 2 6 2 3 2" xfId="13497" xr:uid="{2E72F3FD-E184-4819-90A0-DEEC2D6830AC}"/>
    <cellStyle name="Currency 5 2 6 2 4" xfId="9279" xr:uid="{89EEE8D1-0FC7-44E1-BAFF-51C5A571E504}"/>
    <cellStyle name="Currency 5 2 6 3" xfId="1171" xr:uid="{00000000-0005-0000-0000-00006D0C0000}"/>
    <cellStyle name="Currency 5 2 6 3 2" xfId="3402" xr:uid="{00000000-0005-0000-0000-00006E0C0000}"/>
    <cellStyle name="Currency 5 2 6 3 2 2" xfId="7626" xr:uid="{00000000-0005-0000-0000-00006F0C0000}"/>
    <cellStyle name="Currency 5 2 6 3 2 2 2" xfId="16055" xr:uid="{4470B727-B313-4C8F-A9D0-E31F25C852C1}"/>
    <cellStyle name="Currency 5 2 6 3 2 3" xfId="11837" xr:uid="{C5E7B55A-9020-435D-B83E-1DB9BA3CA3F4}"/>
    <cellStyle name="Currency 5 2 6 3 3" xfId="5481" xr:uid="{00000000-0005-0000-0000-0000700C0000}"/>
    <cellStyle name="Currency 5 2 6 3 3 2" xfId="13910" xr:uid="{52FFB9BD-C178-43E1-88D8-D0B4D0586A3E}"/>
    <cellStyle name="Currency 5 2 6 3 4" xfId="9692" xr:uid="{248842B8-07CB-4639-9126-AD7ABD882AC9}"/>
    <cellStyle name="Currency 5 2 6 4" xfId="1585" xr:uid="{00000000-0005-0000-0000-0000710C0000}"/>
    <cellStyle name="Currency 5 2 6 4 2" xfId="3815" xr:uid="{00000000-0005-0000-0000-0000720C0000}"/>
    <cellStyle name="Currency 5 2 6 4 2 2" xfId="8039" xr:uid="{00000000-0005-0000-0000-0000730C0000}"/>
    <cellStyle name="Currency 5 2 6 4 2 2 2" xfId="16468" xr:uid="{0D51BC07-79EB-4FAA-8942-B2C41408F219}"/>
    <cellStyle name="Currency 5 2 6 4 2 3" xfId="12250" xr:uid="{DE1243A1-3725-4FA2-8E03-3DEDE937CFBF}"/>
    <cellStyle name="Currency 5 2 6 4 3" xfId="5894" xr:uid="{00000000-0005-0000-0000-0000740C0000}"/>
    <cellStyle name="Currency 5 2 6 4 3 2" xfId="14323" xr:uid="{9DA832AC-2467-4AA1-83C9-19F593837580}"/>
    <cellStyle name="Currency 5 2 6 4 4" xfId="10105" xr:uid="{D859B6AB-BAAD-4FFD-80E0-7C88C9356006}"/>
    <cellStyle name="Currency 5 2 6 5" xfId="1999" xr:uid="{00000000-0005-0000-0000-0000750C0000}"/>
    <cellStyle name="Currency 5 2 6 5 2" xfId="4228" xr:uid="{00000000-0005-0000-0000-0000760C0000}"/>
    <cellStyle name="Currency 5 2 6 5 2 2" xfId="8452" xr:uid="{00000000-0005-0000-0000-0000770C0000}"/>
    <cellStyle name="Currency 5 2 6 5 2 2 2" xfId="16881" xr:uid="{0B57641E-74EE-4096-BC2C-51A40C7DB70B}"/>
    <cellStyle name="Currency 5 2 6 5 2 3" xfId="12663" xr:uid="{9F08E130-1DB5-4435-8F41-28398190FDA9}"/>
    <cellStyle name="Currency 5 2 6 5 3" xfId="6307" xr:uid="{00000000-0005-0000-0000-0000780C0000}"/>
    <cellStyle name="Currency 5 2 6 5 3 2" xfId="14736" xr:uid="{6C13C280-426D-46EB-B063-815326689488}"/>
    <cellStyle name="Currency 5 2 6 5 4" xfId="10518" xr:uid="{65AA8B9D-CF47-41C4-8EA4-24FEAB0D9C0F}"/>
    <cellStyle name="Currency 5 2 6 6" xfId="2434" xr:uid="{00000000-0005-0000-0000-0000790C0000}"/>
    <cellStyle name="Currency 5 2 6 6 2" xfId="6720" xr:uid="{00000000-0005-0000-0000-00007A0C0000}"/>
    <cellStyle name="Currency 5 2 6 6 2 2" xfId="15149" xr:uid="{5415E51E-7CAB-41E1-A89E-D3B20A2421FB}"/>
    <cellStyle name="Currency 5 2 6 6 3" xfId="10931" xr:uid="{4A28398C-EACD-40F4-AD85-492D06FE0A9A}"/>
    <cellStyle name="Currency 5 2 6 7" xfId="2731" xr:uid="{00000000-0005-0000-0000-00007B0C0000}"/>
    <cellStyle name="Currency 5 2 6 8" xfId="2812" xr:uid="{00000000-0005-0000-0000-00007C0C0000}"/>
    <cellStyle name="Currency 5 2 6 8 2" xfId="7037" xr:uid="{00000000-0005-0000-0000-00007D0C0000}"/>
    <cellStyle name="Currency 5 2 6 8 2 2" xfId="15466" xr:uid="{CB78ECD1-71C7-4A9C-878E-9507982F0967}"/>
    <cellStyle name="Currency 5 2 6 8 3" xfId="11248" xr:uid="{8E1F9431-F0AC-4789-AE96-79EBB1EB701A}"/>
    <cellStyle name="Currency 5 2 6 9" xfId="4654" xr:uid="{00000000-0005-0000-0000-00007E0C0000}"/>
    <cellStyle name="Currency 5 2 6 9 2" xfId="13083" xr:uid="{F5135415-6ADB-454A-90F3-B2B8869B32D8}"/>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0 2 2" xfId="15467" xr:uid="{28E7C66A-1D59-4E37-94B6-54CEE281564E}"/>
    <cellStyle name="Currency 5 3 2 10 3" xfId="11249" xr:uid="{B71DC75B-ACEA-4142-866A-78179719ECE3}"/>
    <cellStyle name="Currency 5 3 2 11" xfId="4655" xr:uid="{00000000-0005-0000-0000-0000840C0000}"/>
    <cellStyle name="Currency 5 3 2 11 2" xfId="13084" xr:uid="{549212C3-C3DA-4EAC-86F4-9B64E1F8C0C4}"/>
    <cellStyle name="Currency 5 3 2 12" xfId="8866" xr:uid="{64C9D0FF-CA8B-4688-B428-086E7FB26FEB}"/>
    <cellStyle name="Currency 5 3 2 2" xfId="211" xr:uid="{00000000-0005-0000-0000-0000850C0000}"/>
    <cellStyle name="Currency 5 3 2 2 10" xfId="4656" xr:uid="{00000000-0005-0000-0000-0000860C0000}"/>
    <cellStyle name="Currency 5 3 2 2 10 2" xfId="13085" xr:uid="{D4DAC235-EF89-4999-B98B-4990DFB7FA25}"/>
    <cellStyle name="Currency 5 3 2 2 11" xfId="8867" xr:uid="{CBF429AB-2A5A-4E3D-9A3A-1EA7E229EC46}"/>
    <cellStyle name="Currency 5 3 2 2 2" xfId="212" xr:uid="{00000000-0005-0000-0000-0000870C0000}"/>
    <cellStyle name="Currency 5 3 2 2 2 10" xfId="8868" xr:uid="{5053B6B2-A629-4256-95C3-DD5ED0D7511C}"/>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2 2 2" xfId="15645" xr:uid="{B7126A6E-733D-4F1D-9CF7-67B21DAC4291}"/>
    <cellStyle name="Currency 5 3 2 2 2 2 2 3" xfId="11427" xr:uid="{337C7B72-DB9D-49B7-9B8C-2DFFF5E6FCBD}"/>
    <cellStyle name="Currency 5 3 2 2 2 2 3" xfId="5071" xr:uid="{00000000-0005-0000-0000-00008B0C0000}"/>
    <cellStyle name="Currency 5 3 2 2 2 2 3 2" xfId="13500" xr:uid="{AE1FFCB0-647C-461F-AF2D-B29A778402A0}"/>
    <cellStyle name="Currency 5 3 2 2 2 2 4" xfId="9282" xr:uid="{830D8AF5-65D8-43C9-8C7D-7CF7ACB200DE}"/>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2 2 2" xfId="16058" xr:uid="{F07E27D9-C9CF-499B-B468-E767C87BD1BD}"/>
    <cellStyle name="Currency 5 3 2 2 2 3 2 3" xfId="11840" xr:uid="{F0670298-E162-4FD7-8A50-B5D6508B6796}"/>
    <cellStyle name="Currency 5 3 2 2 2 3 3" xfId="5484" xr:uid="{00000000-0005-0000-0000-00008F0C0000}"/>
    <cellStyle name="Currency 5 3 2 2 2 3 3 2" xfId="13913" xr:uid="{903C0103-734E-423A-9CE6-B7FDE35BC1C6}"/>
    <cellStyle name="Currency 5 3 2 2 2 3 4" xfId="9695" xr:uid="{816EA1D3-2FCE-48CD-B609-545C6B8233A6}"/>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2 2 2" xfId="16471" xr:uid="{0293D33A-1075-43E0-B96B-8BA45CB02F3A}"/>
    <cellStyle name="Currency 5 3 2 2 2 4 2 3" xfId="12253" xr:uid="{C11AAE14-98BB-4468-9421-9E8E9B3206EA}"/>
    <cellStyle name="Currency 5 3 2 2 2 4 3" xfId="5897" xr:uid="{00000000-0005-0000-0000-0000930C0000}"/>
    <cellStyle name="Currency 5 3 2 2 2 4 3 2" xfId="14326" xr:uid="{B9C7F074-0886-426A-A3EE-247FDC6FC428}"/>
    <cellStyle name="Currency 5 3 2 2 2 4 4" xfId="10108" xr:uid="{A41139AF-CE56-4668-AF93-E25D66DACE8C}"/>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2 2 2" xfId="16884" xr:uid="{DB92E879-2E38-4C1D-8CA3-A4BCC39D0CED}"/>
    <cellStyle name="Currency 5 3 2 2 2 5 2 3" xfId="12666" xr:uid="{BDA0E4B9-29A6-412C-9502-E00368262656}"/>
    <cellStyle name="Currency 5 3 2 2 2 5 3" xfId="6310" xr:uid="{00000000-0005-0000-0000-0000970C0000}"/>
    <cellStyle name="Currency 5 3 2 2 2 5 3 2" xfId="14739" xr:uid="{42241055-F5EB-4AB8-8C04-74731CE5EFEF}"/>
    <cellStyle name="Currency 5 3 2 2 2 5 4" xfId="10521" xr:uid="{53EE8097-54FB-4069-89C7-35EF8758BF6B}"/>
    <cellStyle name="Currency 5 3 2 2 2 6" xfId="2437" xr:uid="{00000000-0005-0000-0000-0000980C0000}"/>
    <cellStyle name="Currency 5 3 2 2 2 6 2" xfId="6723" xr:uid="{00000000-0005-0000-0000-0000990C0000}"/>
    <cellStyle name="Currency 5 3 2 2 2 6 2 2" xfId="15152" xr:uid="{9C4F3910-3AE2-4D3A-89BC-E7F140289F65}"/>
    <cellStyle name="Currency 5 3 2 2 2 6 3" xfId="10934" xr:uid="{2F28A7A1-92EC-4C3B-9A11-3AF2B8FE50F8}"/>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8 2 2" xfId="15469" xr:uid="{2F2E26FF-29D5-4C37-85B5-9722B0D0516F}"/>
    <cellStyle name="Currency 5 3 2 2 2 8 3" xfId="11251" xr:uid="{F9ACB59E-793E-437A-8920-AF2307828684}"/>
    <cellStyle name="Currency 5 3 2 2 2 9" xfId="4657" xr:uid="{00000000-0005-0000-0000-00009D0C0000}"/>
    <cellStyle name="Currency 5 3 2 2 2 9 2" xfId="13086" xr:uid="{38760304-F2AC-4780-BB20-60BC63460E05}"/>
    <cellStyle name="Currency 5 3 2 2 3" xfId="738" xr:uid="{00000000-0005-0000-0000-00009E0C0000}"/>
    <cellStyle name="Currency 5 3 2 2 3 2" xfId="2991" xr:uid="{00000000-0005-0000-0000-00009F0C0000}"/>
    <cellStyle name="Currency 5 3 2 2 3 2 2" xfId="7215" xr:uid="{00000000-0005-0000-0000-0000A00C0000}"/>
    <cellStyle name="Currency 5 3 2 2 3 2 2 2" xfId="15644" xr:uid="{22E757BC-4AC1-4189-B046-9B9B9D7E1F7F}"/>
    <cellStyle name="Currency 5 3 2 2 3 2 3" xfId="11426" xr:uid="{8964F98C-7E19-4817-8A33-4F057BBD6172}"/>
    <cellStyle name="Currency 5 3 2 2 3 3" xfId="5070" xr:uid="{00000000-0005-0000-0000-0000A10C0000}"/>
    <cellStyle name="Currency 5 3 2 2 3 3 2" xfId="13499" xr:uid="{ED2E5933-5D63-42DA-ABDA-F31A42ABF949}"/>
    <cellStyle name="Currency 5 3 2 2 3 4" xfId="9281" xr:uid="{F3745874-3CEB-43FF-82D8-A675FD1841FA}"/>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2 2 2" xfId="16057" xr:uid="{8161770C-45E5-4CC0-85A2-76BB9F9430C9}"/>
    <cellStyle name="Currency 5 3 2 2 4 2 3" xfId="11839" xr:uid="{715A2146-9640-4B46-B3E0-B8E0C59EA7E5}"/>
    <cellStyle name="Currency 5 3 2 2 4 3" xfId="5483" xr:uid="{00000000-0005-0000-0000-0000A50C0000}"/>
    <cellStyle name="Currency 5 3 2 2 4 3 2" xfId="13912" xr:uid="{B6C67D1D-EFB4-426F-AB5E-EF83DCD1BFE6}"/>
    <cellStyle name="Currency 5 3 2 2 4 4" xfId="9694" xr:uid="{6A362F65-90EB-4825-80F5-AC259865E26E}"/>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2 2 2" xfId="16470" xr:uid="{DB2E0F2F-EB0B-4293-84B8-0C182B14FD09}"/>
    <cellStyle name="Currency 5 3 2 2 5 2 3" xfId="12252" xr:uid="{F718104A-A1C6-4586-B798-0628E5C456A9}"/>
    <cellStyle name="Currency 5 3 2 2 5 3" xfId="5896" xr:uid="{00000000-0005-0000-0000-0000A90C0000}"/>
    <cellStyle name="Currency 5 3 2 2 5 3 2" xfId="14325" xr:uid="{DE0E30C9-BE62-4E80-BDB5-62E9CB5C411B}"/>
    <cellStyle name="Currency 5 3 2 2 5 4" xfId="10107" xr:uid="{EE11C46E-BA85-46A0-BC1A-BF31CEA0A9C4}"/>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2 2 2" xfId="16883" xr:uid="{0808E893-42AE-4D5F-8B0B-2523003F6CFC}"/>
    <cellStyle name="Currency 5 3 2 2 6 2 3" xfId="12665" xr:uid="{9E2E8C14-FB9B-43A7-922B-4C573A45404B}"/>
    <cellStyle name="Currency 5 3 2 2 6 3" xfId="6309" xr:uid="{00000000-0005-0000-0000-0000AD0C0000}"/>
    <cellStyle name="Currency 5 3 2 2 6 3 2" xfId="14738" xr:uid="{2DC98683-AD23-4735-9E03-A328B511F564}"/>
    <cellStyle name="Currency 5 3 2 2 6 4" xfId="10520" xr:uid="{A29A9E02-E8A5-416E-A12F-82C49FF9FA98}"/>
    <cellStyle name="Currency 5 3 2 2 7" xfId="2436" xr:uid="{00000000-0005-0000-0000-0000AE0C0000}"/>
    <cellStyle name="Currency 5 3 2 2 7 2" xfId="6722" xr:uid="{00000000-0005-0000-0000-0000AF0C0000}"/>
    <cellStyle name="Currency 5 3 2 2 7 2 2" xfId="15151" xr:uid="{30089D11-4421-4B4A-9F28-8CBB3E3121C6}"/>
    <cellStyle name="Currency 5 3 2 2 7 3" xfId="10933" xr:uid="{10DBFE68-2B10-44AA-9E13-1EB7D5FFCD3E}"/>
    <cellStyle name="Currency 5 3 2 2 8" xfId="2733" xr:uid="{00000000-0005-0000-0000-0000B00C0000}"/>
    <cellStyle name="Currency 5 3 2 2 9" xfId="2814" xr:uid="{00000000-0005-0000-0000-0000B10C0000}"/>
    <cellStyle name="Currency 5 3 2 2 9 2" xfId="7039" xr:uid="{00000000-0005-0000-0000-0000B20C0000}"/>
    <cellStyle name="Currency 5 3 2 2 9 2 2" xfId="15468" xr:uid="{BC176FEA-F0D2-4426-8561-9B79394AFE31}"/>
    <cellStyle name="Currency 5 3 2 2 9 3" xfId="11250" xr:uid="{DA3480AB-04BB-47F8-ACEF-D835A35B85FD}"/>
    <cellStyle name="Currency 5 3 2 3" xfId="213" xr:uid="{00000000-0005-0000-0000-0000B30C0000}"/>
    <cellStyle name="Currency 5 3 2 3 10" xfId="8869" xr:uid="{08476989-F826-4409-852B-B08C6C2C678C}"/>
    <cellStyle name="Currency 5 3 2 3 2" xfId="740" xr:uid="{00000000-0005-0000-0000-0000B40C0000}"/>
    <cellStyle name="Currency 5 3 2 3 2 2" xfId="2993" xr:uid="{00000000-0005-0000-0000-0000B50C0000}"/>
    <cellStyle name="Currency 5 3 2 3 2 2 2" xfId="7217" xr:uid="{00000000-0005-0000-0000-0000B60C0000}"/>
    <cellStyle name="Currency 5 3 2 3 2 2 2 2" xfId="15646" xr:uid="{7AA23CAC-7297-45F4-B7D0-E792C4C35CD6}"/>
    <cellStyle name="Currency 5 3 2 3 2 2 3" xfId="11428" xr:uid="{538D058B-BE12-4C65-850E-92566C72BFAD}"/>
    <cellStyle name="Currency 5 3 2 3 2 3" xfId="5072" xr:uid="{00000000-0005-0000-0000-0000B70C0000}"/>
    <cellStyle name="Currency 5 3 2 3 2 3 2" xfId="13501" xr:uid="{9D3DBAED-588C-47FA-9313-E874521463E3}"/>
    <cellStyle name="Currency 5 3 2 3 2 4" xfId="9283" xr:uid="{5102E349-87E9-4418-A043-61F5323836F2}"/>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2 2 2" xfId="16059" xr:uid="{6B101211-79D5-4D85-A49F-2874FC556C74}"/>
    <cellStyle name="Currency 5 3 2 3 3 2 3" xfId="11841" xr:uid="{95FDC1C0-D6F0-4EAA-A32D-B37B83861474}"/>
    <cellStyle name="Currency 5 3 2 3 3 3" xfId="5485" xr:uid="{00000000-0005-0000-0000-0000BB0C0000}"/>
    <cellStyle name="Currency 5 3 2 3 3 3 2" xfId="13914" xr:uid="{AC0EFA10-F2E4-4BEC-89BE-168E789A0279}"/>
    <cellStyle name="Currency 5 3 2 3 3 4" xfId="9696" xr:uid="{ADD211F8-C6EA-4C8E-8884-63BB8F445341}"/>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2 2 2" xfId="16472" xr:uid="{224415D6-9AD6-4B36-ACA6-915E3847C8E1}"/>
    <cellStyle name="Currency 5 3 2 3 4 2 3" xfId="12254" xr:uid="{0C087CFE-68DE-4615-97A1-A00D2827387D}"/>
    <cellStyle name="Currency 5 3 2 3 4 3" xfId="5898" xr:uid="{00000000-0005-0000-0000-0000BF0C0000}"/>
    <cellStyle name="Currency 5 3 2 3 4 3 2" xfId="14327" xr:uid="{B0432087-C3DC-407E-8032-A0BD14B1DCED}"/>
    <cellStyle name="Currency 5 3 2 3 4 4" xfId="10109" xr:uid="{566656B1-3B35-40A2-9C5F-F31332382E3C}"/>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2 2 2" xfId="16885" xr:uid="{EC55F744-6DEF-47CD-AE15-7C693A64D0BE}"/>
    <cellStyle name="Currency 5 3 2 3 5 2 3" xfId="12667" xr:uid="{E198C06D-71E0-4D0A-86DE-3BFDC62009E7}"/>
    <cellStyle name="Currency 5 3 2 3 5 3" xfId="6311" xr:uid="{00000000-0005-0000-0000-0000C30C0000}"/>
    <cellStyle name="Currency 5 3 2 3 5 3 2" xfId="14740" xr:uid="{92370FDE-6765-42C1-86B3-92BCF38E23A4}"/>
    <cellStyle name="Currency 5 3 2 3 5 4" xfId="10522" xr:uid="{419F14E5-3604-40BC-A7F7-8A5EEF69E8A5}"/>
    <cellStyle name="Currency 5 3 2 3 6" xfId="2438" xr:uid="{00000000-0005-0000-0000-0000C40C0000}"/>
    <cellStyle name="Currency 5 3 2 3 6 2" xfId="6724" xr:uid="{00000000-0005-0000-0000-0000C50C0000}"/>
    <cellStyle name="Currency 5 3 2 3 6 2 2" xfId="15153" xr:uid="{29CBD28B-67DB-49CE-B3C7-EF49B5FAA081}"/>
    <cellStyle name="Currency 5 3 2 3 6 3" xfId="10935" xr:uid="{12832243-43AF-4950-8B18-DC8F8B278E2F}"/>
    <cellStyle name="Currency 5 3 2 3 7" xfId="2735" xr:uid="{00000000-0005-0000-0000-0000C60C0000}"/>
    <cellStyle name="Currency 5 3 2 3 8" xfId="2816" xr:uid="{00000000-0005-0000-0000-0000C70C0000}"/>
    <cellStyle name="Currency 5 3 2 3 8 2" xfId="7041" xr:uid="{00000000-0005-0000-0000-0000C80C0000}"/>
    <cellStyle name="Currency 5 3 2 3 8 2 2" xfId="15470" xr:uid="{220FAEDA-521B-422B-AB79-8397A5C4A8AF}"/>
    <cellStyle name="Currency 5 3 2 3 8 3" xfId="11252" xr:uid="{C050A00E-699C-43DF-9DB9-09C85A01B8E4}"/>
    <cellStyle name="Currency 5 3 2 3 9" xfId="4658" xr:uid="{00000000-0005-0000-0000-0000C90C0000}"/>
    <cellStyle name="Currency 5 3 2 3 9 2" xfId="13087" xr:uid="{88A34B2D-188E-4FE4-BD1F-E5C5D55E1754}"/>
    <cellStyle name="Currency 5 3 2 4" xfId="737" xr:uid="{00000000-0005-0000-0000-0000CA0C0000}"/>
    <cellStyle name="Currency 5 3 2 4 2" xfId="2990" xr:uid="{00000000-0005-0000-0000-0000CB0C0000}"/>
    <cellStyle name="Currency 5 3 2 4 2 2" xfId="7214" xr:uid="{00000000-0005-0000-0000-0000CC0C0000}"/>
    <cellStyle name="Currency 5 3 2 4 2 2 2" xfId="15643" xr:uid="{ADE8E709-F857-42EF-9592-C62DE5C28356}"/>
    <cellStyle name="Currency 5 3 2 4 2 3" xfId="11425" xr:uid="{D04EECEB-5B58-4146-AE8D-9D6772FF6C4C}"/>
    <cellStyle name="Currency 5 3 2 4 3" xfId="5069" xr:uid="{00000000-0005-0000-0000-0000CD0C0000}"/>
    <cellStyle name="Currency 5 3 2 4 3 2" xfId="13498" xr:uid="{87E0D8A4-2728-447F-A430-768D652A6F1C}"/>
    <cellStyle name="Currency 5 3 2 4 4" xfId="9280" xr:uid="{685720CB-A763-475D-8515-FBEE382E2F7C}"/>
    <cellStyle name="Currency 5 3 2 5" xfId="1172" xr:uid="{00000000-0005-0000-0000-0000CE0C0000}"/>
    <cellStyle name="Currency 5 3 2 5 2" xfId="3403" xr:uid="{00000000-0005-0000-0000-0000CF0C0000}"/>
    <cellStyle name="Currency 5 3 2 5 2 2" xfId="7627" xr:uid="{00000000-0005-0000-0000-0000D00C0000}"/>
    <cellStyle name="Currency 5 3 2 5 2 2 2" xfId="16056" xr:uid="{40B4F514-943C-413F-AA9D-4DFC1F766F71}"/>
    <cellStyle name="Currency 5 3 2 5 2 3" xfId="11838" xr:uid="{E876FF18-BE67-4311-9BA2-CBE6ECE906BC}"/>
    <cellStyle name="Currency 5 3 2 5 3" xfId="5482" xr:uid="{00000000-0005-0000-0000-0000D10C0000}"/>
    <cellStyle name="Currency 5 3 2 5 3 2" xfId="13911" xr:uid="{47D31A46-FC25-4146-9141-571A7A10DFD1}"/>
    <cellStyle name="Currency 5 3 2 5 4" xfId="9693" xr:uid="{199A03B6-73F6-4518-8E1E-57A941D15767}"/>
    <cellStyle name="Currency 5 3 2 6" xfId="1586" xr:uid="{00000000-0005-0000-0000-0000D20C0000}"/>
    <cellStyle name="Currency 5 3 2 6 2" xfId="3816" xr:uid="{00000000-0005-0000-0000-0000D30C0000}"/>
    <cellStyle name="Currency 5 3 2 6 2 2" xfId="8040" xr:uid="{00000000-0005-0000-0000-0000D40C0000}"/>
    <cellStyle name="Currency 5 3 2 6 2 2 2" xfId="16469" xr:uid="{0FCC5DA7-6309-46F6-9B3B-92A00231E6E3}"/>
    <cellStyle name="Currency 5 3 2 6 2 3" xfId="12251" xr:uid="{7D9F3617-300A-4BF7-80FD-092888B9C8BE}"/>
    <cellStyle name="Currency 5 3 2 6 3" xfId="5895" xr:uid="{00000000-0005-0000-0000-0000D50C0000}"/>
    <cellStyle name="Currency 5 3 2 6 3 2" xfId="14324" xr:uid="{59ADE040-2265-48DE-98DA-A894547F5862}"/>
    <cellStyle name="Currency 5 3 2 6 4" xfId="10106" xr:uid="{F92B8F18-32D0-4CFF-9344-2182F4BFB738}"/>
    <cellStyle name="Currency 5 3 2 7" xfId="2000" xr:uid="{00000000-0005-0000-0000-0000D60C0000}"/>
    <cellStyle name="Currency 5 3 2 7 2" xfId="4229" xr:uid="{00000000-0005-0000-0000-0000D70C0000}"/>
    <cellStyle name="Currency 5 3 2 7 2 2" xfId="8453" xr:uid="{00000000-0005-0000-0000-0000D80C0000}"/>
    <cellStyle name="Currency 5 3 2 7 2 2 2" xfId="16882" xr:uid="{ED7AF825-0414-4175-AE6D-888EE7EFD23F}"/>
    <cellStyle name="Currency 5 3 2 7 2 3" xfId="12664" xr:uid="{77CDFFDB-607B-4B96-97AB-05741804742E}"/>
    <cellStyle name="Currency 5 3 2 7 3" xfId="6308" xr:uid="{00000000-0005-0000-0000-0000D90C0000}"/>
    <cellStyle name="Currency 5 3 2 7 3 2" xfId="14737" xr:uid="{A8F29407-931E-4E1F-B8CC-B698DF4A5E08}"/>
    <cellStyle name="Currency 5 3 2 7 4" xfId="10519" xr:uid="{EBE54D49-C7B0-459A-9922-05894BDEEAD9}"/>
    <cellStyle name="Currency 5 3 2 8" xfId="2435" xr:uid="{00000000-0005-0000-0000-0000DA0C0000}"/>
    <cellStyle name="Currency 5 3 2 8 2" xfId="6721" xr:uid="{00000000-0005-0000-0000-0000DB0C0000}"/>
    <cellStyle name="Currency 5 3 2 8 2 2" xfId="15150" xr:uid="{CAD10B61-95C2-4BA0-8796-3D93DE607C06}"/>
    <cellStyle name="Currency 5 3 2 8 3" xfId="10932" xr:uid="{5C76CC1D-6ECA-46AB-8EAC-FE3A93685F5A}"/>
    <cellStyle name="Currency 5 3 2 9" xfId="2732" xr:uid="{00000000-0005-0000-0000-0000DC0C0000}"/>
    <cellStyle name="Currency 5 3 3" xfId="214" xr:uid="{00000000-0005-0000-0000-0000DD0C0000}"/>
    <cellStyle name="Currency 5 3 3 10" xfId="4659" xr:uid="{00000000-0005-0000-0000-0000DE0C0000}"/>
    <cellStyle name="Currency 5 3 3 10 2" xfId="13088" xr:uid="{35774D9F-63E0-48FC-A75B-0C43C41B0515}"/>
    <cellStyle name="Currency 5 3 3 11" xfId="8870" xr:uid="{8592F3BE-4D4E-42D7-B908-56F8068729B2}"/>
    <cellStyle name="Currency 5 3 3 2" xfId="215" xr:uid="{00000000-0005-0000-0000-0000DF0C0000}"/>
    <cellStyle name="Currency 5 3 3 2 10" xfId="8871" xr:uid="{19CE0033-87D8-45A3-B787-5CE2B0B2C5F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2 2 2" xfId="15648" xr:uid="{38549FDA-A2C8-4BDE-909B-2D577581E3FB}"/>
    <cellStyle name="Currency 5 3 3 2 2 2 3" xfId="11430" xr:uid="{AB30C0E1-0A3B-4243-94C1-CA46389C5753}"/>
    <cellStyle name="Currency 5 3 3 2 2 3" xfId="5074" xr:uid="{00000000-0005-0000-0000-0000E30C0000}"/>
    <cellStyle name="Currency 5 3 3 2 2 3 2" xfId="13503" xr:uid="{0FFDAAF3-C932-481F-BABF-B0358D522795}"/>
    <cellStyle name="Currency 5 3 3 2 2 4" xfId="9285" xr:uid="{72DE3408-62D1-4ED9-B7E8-5C559CF44484}"/>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2 2 2" xfId="16061" xr:uid="{BFAAF852-45B9-49C0-BFA4-6C3BB8864C6A}"/>
    <cellStyle name="Currency 5 3 3 2 3 2 3" xfId="11843" xr:uid="{693127DE-1EA7-4181-B31C-285BD2AAFD6C}"/>
    <cellStyle name="Currency 5 3 3 2 3 3" xfId="5487" xr:uid="{00000000-0005-0000-0000-0000E70C0000}"/>
    <cellStyle name="Currency 5 3 3 2 3 3 2" xfId="13916" xr:uid="{224CF05E-2334-4C52-B5FE-F8521D0D2F34}"/>
    <cellStyle name="Currency 5 3 3 2 3 4" xfId="9698" xr:uid="{6A842C67-707B-41FC-AA08-AAAA3738EFB2}"/>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2 2 2" xfId="16474" xr:uid="{E01401D8-FB97-4294-80ED-350E9FB327F7}"/>
    <cellStyle name="Currency 5 3 3 2 4 2 3" xfId="12256" xr:uid="{74B12E63-AAE7-4AFA-8628-66C822E3AB24}"/>
    <cellStyle name="Currency 5 3 3 2 4 3" xfId="5900" xr:uid="{00000000-0005-0000-0000-0000EB0C0000}"/>
    <cellStyle name="Currency 5 3 3 2 4 3 2" xfId="14329" xr:uid="{4B69D78A-5864-45C9-9138-B92F2216A6CC}"/>
    <cellStyle name="Currency 5 3 3 2 4 4" xfId="10111" xr:uid="{E018C462-579C-465C-843B-07ADB28EAF9A}"/>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2 2 2" xfId="16887" xr:uid="{56135A97-FDDA-4940-A817-CC0A3571F902}"/>
    <cellStyle name="Currency 5 3 3 2 5 2 3" xfId="12669" xr:uid="{CC27D2D8-A470-4851-BFE0-F118CCC5CD82}"/>
    <cellStyle name="Currency 5 3 3 2 5 3" xfId="6313" xr:uid="{00000000-0005-0000-0000-0000EF0C0000}"/>
    <cellStyle name="Currency 5 3 3 2 5 3 2" xfId="14742" xr:uid="{07DDFA66-BADF-43B7-A609-F65B457109D0}"/>
    <cellStyle name="Currency 5 3 3 2 5 4" xfId="10524" xr:uid="{B025BD9D-9FAF-45F4-9AFD-7C15654A205F}"/>
    <cellStyle name="Currency 5 3 3 2 6" xfId="2440" xr:uid="{00000000-0005-0000-0000-0000F00C0000}"/>
    <cellStyle name="Currency 5 3 3 2 6 2" xfId="6726" xr:uid="{00000000-0005-0000-0000-0000F10C0000}"/>
    <cellStyle name="Currency 5 3 3 2 6 2 2" xfId="15155" xr:uid="{4D87A204-1E30-44E2-9A3B-895F475F1D3B}"/>
    <cellStyle name="Currency 5 3 3 2 6 3" xfId="10937" xr:uid="{1054E3D5-C1DD-4765-935C-C6D04695B0E2}"/>
    <cellStyle name="Currency 5 3 3 2 7" xfId="2737" xr:uid="{00000000-0005-0000-0000-0000F20C0000}"/>
    <cellStyle name="Currency 5 3 3 2 8" xfId="2818" xr:uid="{00000000-0005-0000-0000-0000F30C0000}"/>
    <cellStyle name="Currency 5 3 3 2 8 2" xfId="7043" xr:uid="{00000000-0005-0000-0000-0000F40C0000}"/>
    <cellStyle name="Currency 5 3 3 2 8 2 2" xfId="15472" xr:uid="{27B0F007-8344-4CD7-83B5-4364E307306A}"/>
    <cellStyle name="Currency 5 3 3 2 8 3" xfId="11254" xr:uid="{954EA718-D90F-43A9-BA48-6CDCF99BC4A3}"/>
    <cellStyle name="Currency 5 3 3 2 9" xfId="4660" xr:uid="{00000000-0005-0000-0000-0000F50C0000}"/>
    <cellStyle name="Currency 5 3 3 2 9 2" xfId="13089" xr:uid="{9C138262-B779-4B85-9D61-AD4BB0165124}"/>
    <cellStyle name="Currency 5 3 3 3" xfId="741" xr:uid="{00000000-0005-0000-0000-0000F60C0000}"/>
    <cellStyle name="Currency 5 3 3 3 2" xfId="2994" xr:uid="{00000000-0005-0000-0000-0000F70C0000}"/>
    <cellStyle name="Currency 5 3 3 3 2 2" xfId="7218" xr:uid="{00000000-0005-0000-0000-0000F80C0000}"/>
    <cellStyle name="Currency 5 3 3 3 2 2 2" xfId="15647" xr:uid="{768D4E70-9171-46D5-B4FF-996EACBAEF15}"/>
    <cellStyle name="Currency 5 3 3 3 2 3" xfId="11429" xr:uid="{26B21890-C3B6-4E78-86E5-76ABC386F051}"/>
    <cellStyle name="Currency 5 3 3 3 3" xfId="5073" xr:uid="{00000000-0005-0000-0000-0000F90C0000}"/>
    <cellStyle name="Currency 5 3 3 3 3 2" xfId="13502" xr:uid="{958CEECB-A841-435F-BC67-1E9AD007B860}"/>
    <cellStyle name="Currency 5 3 3 3 4" xfId="9284" xr:uid="{AF6290C8-C9D9-4B6B-875F-D347FDC7E865}"/>
    <cellStyle name="Currency 5 3 3 4" xfId="1176" xr:uid="{00000000-0005-0000-0000-0000FA0C0000}"/>
    <cellStyle name="Currency 5 3 3 4 2" xfId="3407" xr:uid="{00000000-0005-0000-0000-0000FB0C0000}"/>
    <cellStyle name="Currency 5 3 3 4 2 2" xfId="7631" xr:uid="{00000000-0005-0000-0000-0000FC0C0000}"/>
    <cellStyle name="Currency 5 3 3 4 2 2 2" xfId="16060" xr:uid="{A03CE984-C5AB-4804-AC6D-ABD2CB57916D}"/>
    <cellStyle name="Currency 5 3 3 4 2 3" xfId="11842" xr:uid="{D7131858-4433-4A53-A8A5-3FE5A06FC626}"/>
    <cellStyle name="Currency 5 3 3 4 3" xfId="5486" xr:uid="{00000000-0005-0000-0000-0000FD0C0000}"/>
    <cellStyle name="Currency 5 3 3 4 3 2" xfId="13915" xr:uid="{9EE343CE-0344-4D49-AEC7-5CA50009BA45}"/>
    <cellStyle name="Currency 5 3 3 4 4" xfId="9697" xr:uid="{D3665F0D-D830-4321-8EF2-13B05985D80D}"/>
    <cellStyle name="Currency 5 3 3 5" xfId="1590" xr:uid="{00000000-0005-0000-0000-0000FE0C0000}"/>
    <cellStyle name="Currency 5 3 3 5 2" xfId="3820" xr:uid="{00000000-0005-0000-0000-0000FF0C0000}"/>
    <cellStyle name="Currency 5 3 3 5 2 2" xfId="8044" xr:uid="{00000000-0005-0000-0000-0000000D0000}"/>
    <cellStyle name="Currency 5 3 3 5 2 2 2" xfId="16473" xr:uid="{5FEC9AFA-9C49-4430-A5F1-D55CD28E5430}"/>
    <cellStyle name="Currency 5 3 3 5 2 3" xfId="12255" xr:uid="{D70943DF-5871-4625-91B5-85F95056927C}"/>
    <cellStyle name="Currency 5 3 3 5 3" xfId="5899" xr:uid="{00000000-0005-0000-0000-0000010D0000}"/>
    <cellStyle name="Currency 5 3 3 5 3 2" xfId="14328" xr:uid="{A65A651A-F2D2-45C7-BC48-A7603970AF08}"/>
    <cellStyle name="Currency 5 3 3 5 4" xfId="10110" xr:uid="{D0B49C56-E47E-46E4-A4E6-121B6BD2BB78}"/>
    <cellStyle name="Currency 5 3 3 6" xfId="2004" xr:uid="{00000000-0005-0000-0000-0000020D0000}"/>
    <cellStyle name="Currency 5 3 3 6 2" xfId="4233" xr:uid="{00000000-0005-0000-0000-0000030D0000}"/>
    <cellStyle name="Currency 5 3 3 6 2 2" xfId="8457" xr:uid="{00000000-0005-0000-0000-0000040D0000}"/>
    <cellStyle name="Currency 5 3 3 6 2 2 2" xfId="16886" xr:uid="{1D605B18-5F23-4EB5-ABFD-E8EC834EFF4A}"/>
    <cellStyle name="Currency 5 3 3 6 2 3" xfId="12668" xr:uid="{794E7B9A-AEA0-4EA4-AA3B-3492C37DA652}"/>
    <cellStyle name="Currency 5 3 3 6 3" xfId="6312" xr:uid="{00000000-0005-0000-0000-0000050D0000}"/>
    <cellStyle name="Currency 5 3 3 6 3 2" xfId="14741" xr:uid="{72E9C185-85F3-490F-813B-4CA5A14A1E7B}"/>
    <cellStyle name="Currency 5 3 3 6 4" xfId="10523" xr:uid="{812698E4-EAE6-446B-8C2E-3A01B38C35B0}"/>
    <cellStyle name="Currency 5 3 3 7" xfId="2439" xr:uid="{00000000-0005-0000-0000-0000060D0000}"/>
    <cellStyle name="Currency 5 3 3 7 2" xfId="6725" xr:uid="{00000000-0005-0000-0000-0000070D0000}"/>
    <cellStyle name="Currency 5 3 3 7 2 2" xfId="15154" xr:uid="{970A154B-C734-4B58-9E47-AE6F5EF8A443}"/>
    <cellStyle name="Currency 5 3 3 7 3" xfId="10936" xr:uid="{34B1DFBD-833C-46DC-9965-005F1372BB80}"/>
    <cellStyle name="Currency 5 3 3 8" xfId="2736" xr:uid="{00000000-0005-0000-0000-0000080D0000}"/>
    <cellStyle name="Currency 5 3 3 9" xfId="2817" xr:uid="{00000000-0005-0000-0000-0000090D0000}"/>
    <cellStyle name="Currency 5 3 3 9 2" xfId="7042" xr:uid="{00000000-0005-0000-0000-00000A0D0000}"/>
    <cellStyle name="Currency 5 3 3 9 2 2" xfId="15471" xr:uid="{EC7B8C6B-836D-4198-BC46-98B3C923FF36}"/>
    <cellStyle name="Currency 5 3 3 9 3" xfId="11253" xr:uid="{C9411CA0-4279-456E-AAF8-A752FA92078F}"/>
    <cellStyle name="Currency 5 3 4" xfId="216" xr:uid="{00000000-0005-0000-0000-00000B0D0000}"/>
    <cellStyle name="Currency 5 3 4 10" xfId="8872" xr:uid="{EDA9734A-7D7C-4DB7-BB43-C4C421003DA9}"/>
    <cellStyle name="Currency 5 3 4 2" xfId="743" xr:uid="{00000000-0005-0000-0000-00000C0D0000}"/>
    <cellStyle name="Currency 5 3 4 2 2" xfId="2996" xr:uid="{00000000-0005-0000-0000-00000D0D0000}"/>
    <cellStyle name="Currency 5 3 4 2 2 2" xfId="7220" xr:uid="{00000000-0005-0000-0000-00000E0D0000}"/>
    <cellStyle name="Currency 5 3 4 2 2 2 2" xfId="15649" xr:uid="{BE6ACF40-6DCD-434F-B520-B23E759A5711}"/>
    <cellStyle name="Currency 5 3 4 2 2 3" xfId="11431" xr:uid="{53E6D4B0-86B7-4490-9477-5259BA8DE90F}"/>
    <cellStyle name="Currency 5 3 4 2 3" xfId="5075" xr:uid="{00000000-0005-0000-0000-00000F0D0000}"/>
    <cellStyle name="Currency 5 3 4 2 3 2" xfId="13504" xr:uid="{DF3DEE11-4783-4382-A09A-B794B8052E50}"/>
    <cellStyle name="Currency 5 3 4 2 4" xfId="9286" xr:uid="{1CD8F7B8-F729-4C95-B99C-FD8242D2857C}"/>
    <cellStyle name="Currency 5 3 4 3" xfId="1178" xr:uid="{00000000-0005-0000-0000-0000100D0000}"/>
    <cellStyle name="Currency 5 3 4 3 2" xfId="3409" xr:uid="{00000000-0005-0000-0000-0000110D0000}"/>
    <cellStyle name="Currency 5 3 4 3 2 2" xfId="7633" xr:uid="{00000000-0005-0000-0000-0000120D0000}"/>
    <cellStyle name="Currency 5 3 4 3 2 2 2" xfId="16062" xr:uid="{FBF0C1D0-A153-4EBA-B0DB-D1142001596D}"/>
    <cellStyle name="Currency 5 3 4 3 2 3" xfId="11844" xr:uid="{2334A49B-7114-4FB2-B5BB-E0ED04170414}"/>
    <cellStyle name="Currency 5 3 4 3 3" xfId="5488" xr:uid="{00000000-0005-0000-0000-0000130D0000}"/>
    <cellStyle name="Currency 5 3 4 3 3 2" xfId="13917" xr:uid="{A4E57B0C-F049-4843-8349-359C5E6EBD3E}"/>
    <cellStyle name="Currency 5 3 4 3 4" xfId="9699" xr:uid="{1C5B8EC9-17D0-464E-9918-373EA61DB239}"/>
    <cellStyle name="Currency 5 3 4 4" xfId="1592" xr:uid="{00000000-0005-0000-0000-0000140D0000}"/>
    <cellStyle name="Currency 5 3 4 4 2" xfId="3822" xr:uid="{00000000-0005-0000-0000-0000150D0000}"/>
    <cellStyle name="Currency 5 3 4 4 2 2" xfId="8046" xr:uid="{00000000-0005-0000-0000-0000160D0000}"/>
    <cellStyle name="Currency 5 3 4 4 2 2 2" xfId="16475" xr:uid="{C23ACF55-D62C-41A4-A0D0-1B48622BEFF4}"/>
    <cellStyle name="Currency 5 3 4 4 2 3" xfId="12257" xr:uid="{AA76E318-7C25-4181-9BFC-1ADB1C077ED1}"/>
    <cellStyle name="Currency 5 3 4 4 3" xfId="5901" xr:uid="{00000000-0005-0000-0000-0000170D0000}"/>
    <cellStyle name="Currency 5 3 4 4 3 2" xfId="14330" xr:uid="{5770A52A-2822-4CC3-AC4F-C4119528A839}"/>
    <cellStyle name="Currency 5 3 4 4 4" xfId="10112" xr:uid="{A2412FF9-FE0D-4E16-B6DB-138812B056F4}"/>
    <cellStyle name="Currency 5 3 4 5" xfId="2006" xr:uid="{00000000-0005-0000-0000-0000180D0000}"/>
    <cellStyle name="Currency 5 3 4 5 2" xfId="4235" xr:uid="{00000000-0005-0000-0000-0000190D0000}"/>
    <cellStyle name="Currency 5 3 4 5 2 2" xfId="8459" xr:uid="{00000000-0005-0000-0000-00001A0D0000}"/>
    <cellStyle name="Currency 5 3 4 5 2 2 2" xfId="16888" xr:uid="{3F2F3D1F-350D-4F56-ABAC-911C2BF6C4A8}"/>
    <cellStyle name="Currency 5 3 4 5 2 3" xfId="12670" xr:uid="{0A437266-A14E-4CAD-90B2-B610DBE4B529}"/>
    <cellStyle name="Currency 5 3 4 5 3" xfId="6314" xr:uid="{00000000-0005-0000-0000-00001B0D0000}"/>
    <cellStyle name="Currency 5 3 4 5 3 2" xfId="14743" xr:uid="{EC73EA14-B0FB-4655-88A3-898AFBB3EED2}"/>
    <cellStyle name="Currency 5 3 4 5 4" xfId="10525" xr:uid="{D628B42A-67C0-45DF-9AF5-F09A8ED5739B}"/>
    <cellStyle name="Currency 5 3 4 6" xfId="2441" xr:uid="{00000000-0005-0000-0000-00001C0D0000}"/>
    <cellStyle name="Currency 5 3 4 6 2" xfId="6727" xr:uid="{00000000-0005-0000-0000-00001D0D0000}"/>
    <cellStyle name="Currency 5 3 4 6 2 2" xfId="15156" xr:uid="{51CA424B-A78C-4DE2-9651-1DB1AAFB4667}"/>
    <cellStyle name="Currency 5 3 4 6 3" xfId="10938" xr:uid="{7716E0A3-0BF2-4A89-9A8C-052B6CDA3E50}"/>
    <cellStyle name="Currency 5 3 4 7" xfId="2738" xr:uid="{00000000-0005-0000-0000-00001E0D0000}"/>
    <cellStyle name="Currency 5 3 4 8" xfId="2819" xr:uid="{00000000-0005-0000-0000-00001F0D0000}"/>
    <cellStyle name="Currency 5 3 4 8 2" xfId="7044" xr:uid="{00000000-0005-0000-0000-0000200D0000}"/>
    <cellStyle name="Currency 5 3 4 8 2 2" xfId="15473" xr:uid="{C41AB8E5-0A3B-4439-BC42-12E418FCCBA2}"/>
    <cellStyle name="Currency 5 3 4 8 3" xfId="11255" xr:uid="{032FCFC1-EFB5-458F-9DBF-CAD4100E33C3}"/>
    <cellStyle name="Currency 5 3 4 9" xfId="4661" xr:uid="{00000000-0005-0000-0000-0000210D0000}"/>
    <cellStyle name="Currency 5 3 4 9 2" xfId="13090" xr:uid="{67080770-D421-4967-A2F0-791FEA2A4DEC}"/>
    <cellStyle name="Currency 5 3 5" xfId="217" xr:uid="{00000000-0005-0000-0000-0000220D0000}"/>
    <cellStyle name="Currency 5 3 5 10" xfId="8873" xr:uid="{16769C0F-A310-4666-A4A8-EC3AB1EFC7A8}"/>
    <cellStyle name="Currency 5 3 5 2" xfId="744" xr:uid="{00000000-0005-0000-0000-0000230D0000}"/>
    <cellStyle name="Currency 5 3 5 2 2" xfId="2997" xr:uid="{00000000-0005-0000-0000-0000240D0000}"/>
    <cellStyle name="Currency 5 3 5 2 2 2" xfId="7221" xr:uid="{00000000-0005-0000-0000-0000250D0000}"/>
    <cellStyle name="Currency 5 3 5 2 2 2 2" xfId="15650" xr:uid="{142D0F14-CA8C-43AC-AC3A-B9EBFDBFAEDD}"/>
    <cellStyle name="Currency 5 3 5 2 2 3" xfId="11432" xr:uid="{9562569D-10F7-4A19-A61E-6D73982F4940}"/>
    <cellStyle name="Currency 5 3 5 2 3" xfId="5076" xr:uid="{00000000-0005-0000-0000-0000260D0000}"/>
    <cellStyle name="Currency 5 3 5 2 3 2" xfId="13505" xr:uid="{0F3037C2-F3DF-46D7-A19E-BF3141A07392}"/>
    <cellStyle name="Currency 5 3 5 2 4" xfId="9287" xr:uid="{81E7977C-C65E-4FD3-9EA0-8DAF8820BA83}"/>
    <cellStyle name="Currency 5 3 5 3" xfId="1179" xr:uid="{00000000-0005-0000-0000-0000270D0000}"/>
    <cellStyle name="Currency 5 3 5 3 2" xfId="3410" xr:uid="{00000000-0005-0000-0000-0000280D0000}"/>
    <cellStyle name="Currency 5 3 5 3 2 2" xfId="7634" xr:uid="{00000000-0005-0000-0000-0000290D0000}"/>
    <cellStyle name="Currency 5 3 5 3 2 2 2" xfId="16063" xr:uid="{E7DB37D6-539C-49F7-9B6B-18E2A6A34D27}"/>
    <cellStyle name="Currency 5 3 5 3 2 3" xfId="11845" xr:uid="{660EE45E-526A-46E8-89DF-456A6482B112}"/>
    <cellStyle name="Currency 5 3 5 3 3" xfId="5489" xr:uid="{00000000-0005-0000-0000-00002A0D0000}"/>
    <cellStyle name="Currency 5 3 5 3 3 2" xfId="13918" xr:uid="{0242276C-D93C-4D32-9967-5FAA024B2094}"/>
    <cellStyle name="Currency 5 3 5 3 4" xfId="9700" xr:uid="{23DCABD5-F9AC-4502-995F-3B216F9673CA}"/>
    <cellStyle name="Currency 5 3 5 4" xfId="1593" xr:uid="{00000000-0005-0000-0000-00002B0D0000}"/>
    <cellStyle name="Currency 5 3 5 4 2" xfId="3823" xr:uid="{00000000-0005-0000-0000-00002C0D0000}"/>
    <cellStyle name="Currency 5 3 5 4 2 2" xfId="8047" xr:uid="{00000000-0005-0000-0000-00002D0D0000}"/>
    <cellStyle name="Currency 5 3 5 4 2 2 2" xfId="16476" xr:uid="{C52EBB6F-0602-44F5-AC6E-EB7D92B89D5C}"/>
    <cellStyle name="Currency 5 3 5 4 2 3" xfId="12258" xr:uid="{BD1AD452-6EA7-46B9-B81D-55FBE7D84DE2}"/>
    <cellStyle name="Currency 5 3 5 4 3" xfId="5902" xr:uid="{00000000-0005-0000-0000-00002E0D0000}"/>
    <cellStyle name="Currency 5 3 5 4 3 2" xfId="14331" xr:uid="{F69DE29B-268F-47CA-9FE6-4AA902F9186F}"/>
    <cellStyle name="Currency 5 3 5 4 4" xfId="10113" xr:uid="{DB6C193D-2D76-4164-86AB-33A08DF4EC44}"/>
    <cellStyle name="Currency 5 3 5 5" xfId="2007" xr:uid="{00000000-0005-0000-0000-00002F0D0000}"/>
    <cellStyle name="Currency 5 3 5 5 2" xfId="4236" xr:uid="{00000000-0005-0000-0000-0000300D0000}"/>
    <cellStyle name="Currency 5 3 5 5 2 2" xfId="8460" xr:uid="{00000000-0005-0000-0000-0000310D0000}"/>
    <cellStyle name="Currency 5 3 5 5 2 2 2" xfId="16889" xr:uid="{7AD55D52-E2BE-489D-A25C-2D775883FDA6}"/>
    <cellStyle name="Currency 5 3 5 5 2 3" xfId="12671" xr:uid="{0034FA94-9893-4BE7-A0F0-0991F6D10C75}"/>
    <cellStyle name="Currency 5 3 5 5 3" xfId="6315" xr:uid="{00000000-0005-0000-0000-0000320D0000}"/>
    <cellStyle name="Currency 5 3 5 5 3 2" xfId="14744" xr:uid="{FA9A1C38-A96C-42D2-874C-45B0A06E34B6}"/>
    <cellStyle name="Currency 5 3 5 5 4" xfId="10526" xr:uid="{86999690-7B42-4387-8DC9-41C04B21871A}"/>
    <cellStyle name="Currency 5 3 5 6" xfId="2442" xr:uid="{00000000-0005-0000-0000-0000330D0000}"/>
    <cellStyle name="Currency 5 3 5 6 2" xfId="6728" xr:uid="{00000000-0005-0000-0000-0000340D0000}"/>
    <cellStyle name="Currency 5 3 5 6 2 2" xfId="15157" xr:uid="{33B2FE54-082C-4430-91A3-09844A873445}"/>
    <cellStyle name="Currency 5 3 5 6 3" xfId="10939" xr:uid="{EDBB62BD-682A-4CA3-A68E-6DB76FC067E5}"/>
    <cellStyle name="Currency 5 3 5 7" xfId="2739" xr:uid="{00000000-0005-0000-0000-0000350D0000}"/>
    <cellStyle name="Currency 5 3 5 8" xfId="2820" xr:uid="{00000000-0005-0000-0000-0000360D0000}"/>
    <cellStyle name="Currency 5 3 5 8 2" xfId="7045" xr:uid="{00000000-0005-0000-0000-0000370D0000}"/>
    <cellStyle name="Currency 5 3 5 8 2 2" xfId="15474" xr:uid="{3A856B46-50DF-4CA9-80E6-34B9BFFFBF1E}"/>
    <cellStyle name="Currency 5 3 5 8 3" xfId="11256" xr:uid="{6C4516ED-1213-487B-AA88-F994C430A298}"/>
    <cellStyle name="Currency 5 3 5 9" xfId="4662" xr:uid="{00000000-0005-0000-0000-0000380D0000}"/>
    <cellStyle name="Currency 5 3 5 9 2" xfId="13091" xr:uid="{674F0863-E69C-42D3-87CD-4CBC5A0462ED}"/>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10 2" xfId="13092" xr:uid="{F6ABAADC-DE5A-4E4C-B3ED-D2F36A0F1ED0}"/>
    <cellStyle name="Currency 5 5 11" xfId="8874" xr:uid="{B51CA324-701C-451C-90BE-6859D385BE0B}"/>
    <cellStyle name="Currency 5 5 2" xfId="220" xr:uid="{00000000-0005-0000-0000-00003D0D0000}"/>
    <cellStyle name="Currency 5 5 2 10" xfId="8875" xr:uid="{28A0B1AC-0A95-4560-86CF-9F10A98957F0}"/>
    <cellStyle name="Currency 5 5 2 2" xfId="747" xr:uid="{00000000-0005-0000-0000-00003E0D0000}"/>
    <cellStyle name="Currency 5 5 2 2 2" xfId="2999" xr:uid="{00000000-0005-0000-0000-00003F0D0000}"/>
    <cellStyle name="Currency 5 5 2 2 2 2" xfId="7223" xr:uid="{00000000-0005-0000-0000-0000400D0000}"/>
    <cellStyle name="Currency 5 5 2 2 2 2 2" xfId="15652" xr:uid="{CBEBD74E-F3E2-4FD2-A8BA-C5C7293D3D9A}"/>
    <cellStyle name="Currency 5 5 2 2 2 3" xfId="11434" xr:uid="{7FE636CC-3DEE-4105-8FF9-B62C2182FAC9}"/>
    <cellStyle name="Currency 5 5 2 2 3" xfId="5078" xr:uid="{00000000-0005-0000-0000-0000410D0000}"/>
    <cellStyle name="Currency 5 5 2 2 3 2" xfId="13507" xr:uid="{FDBA3A8A-4FE4-491E-AE5F-D1E846E9B178}"/>
    <cellStyle name="Currency 5 5 2 2 4" xfId="9289" xr:uid="{F34301C7-73B5-4DD3-8A96-70850B7C772D}"/>
    <cellStyle name="Currency 5 5 2 3" xfId="1181" xr:uid="{00000000-0005-0000-0000-0000420D0000}"/>
    <cellStyle name="Currency 5 5 2 3 2" xfId="3412" xr:uid="{00000000-0005-0000-0000-0000430D0000}"/>
    <cellStyle name="Currency 5 5 2 3 2 2" xfId="7636" xr:uid="{00000000-0005-0000-0000-0000440D0000}"/>
    <cellStyle name="Currency 5 5 2 3 2 2 2" xfId="16065" xr:uid="{8A5FE02D-36D0-4338-8F79-39F102F03D5C}"/>
    <cellStyle name="Currency 5 5 2 3 2 3" xfId="11847" xr:uid="{63B80733-FB63-4CB2-933D-998D6E0CD5F6}"/>
    <cellStyle name="Currency 5 5 2 3 3" xfId="5491" xr:uid="{00000000-0005-0000-0000-0000450D0000}"/>
    <cellStyle name="Currency 5 5 2 3 3 2" xfId="13920" xr:uid="{4C7477B1-EE83-488A-8B5B-A22BD8DC2818}"/>
    <cellStyle name="Currency 5 5 2 3 4" xfId="9702" xr:uid="{BE6429FF-0A7E-441F-B2DA-91FA0B16FAAB}"/>
    <cellStyle name="Currency 5 5 2 4" xfId="1595" xr:uid="{00000000-0005-0000-0000-0000460D0000}"/>
    <cellStyle name="Currency 5 5 2 4 2" xfId="3825" xr:uid="{00000000-0005-0000-0000-0000470D0000}"/>
    <cellStyle name="Currency 5 5 2 4 2 2" xfId="8049" xr:uid="{00000000-0005-0000-0000-0000480D0000}"/>
    <cellStyle name="Currency 5 5 2 4 2 2 2" xfId="16478" xr:uid="{A4D74698-E8A0-4AB3-9F50-7349CF22C550}"/>
    <cellStyle name="Currency 5 5 2 4 2 3" xfId="12260" xr:uid="{6A0EB14A-0F1F-4588-885F-6DCF79693056}"/>
    <cellStyle name="Currency 5 5 2 4 3" xfId="5904" xr:uid="{00000000-0005-0000-0000-0000490D0000}"/>
    <cellStyle name="Currency 5 5 2 4 3 2" xfId="14333" xr:uid="{12F8044E-B831-4BCC-962B-AB743A92ABF5}"/>
    <cellStyle name="Currency 5 5 2 4 4" xfId="10115" xr:uid="{E4B4D2EA-86B0-4D82-A70D-56595ABC13F6}"/>
    <cellStyle name="Currency 5 5 2 5" xfId="2009" xr:uid="{00000000-0005-0000-0000-00004A0D0000}"/>
    <cellStyle name="Currency 5 5 2 5 2" xfId="4238" xr:uid="{00000000-0005-0000-0000-00004B0D0000}"/>
    <cellStyle name="Currency 5 5 2 5 2 2" xfId="8462" xr:uid="{00000000-0005-0000-0000-00004C0D0000}"/>
    <cellStyle name="Currency 5 5 2 5 2 2 2" xfId="16891" xr:uid="{DE56A0F6-10EC-4A70-A1B9-E40ECF264472}"/>
    <cellStyle name="Currency 5 5 2 5 2 3" xfId="12673" xr:uid="{E5C2C837-D4BB-40A1-86BB-D8106CBDBE41}"/>
    <cellStyle name="Currency 5 5 2 5 3" xfId="6317" xr:uid="{00000000-0005-0000-0000-00004D0D0000}"/>
    <cellStyle name="Currency 5 5 2 5 3 2" xfId="14746" xr:uid="{01C95428-18E4-4863-BB44-0BE67F1F6319}"/>
    <cellStyle name="Currency 5 5 2 5 4" xfId="10528" xr:uid="{300D623C-EAE9-459D-93EA-62FCE139F5F7}"/>
    <cellStyle name="Currency 5 5 2 6" xfId="2444" xr:uid="{00000000-0005-0000-0000-00004E0D0000}"/>
    <cellStyle name="Currency 5 5 2 6 2" xfId="6730" xr:uid="{00000000-0005-0000-0000-00004F0D0000}"/>
    <cellStyle name="Currency 5 5 2 6 2 2" xfId="15159" xr:uid="{B877D3F6-EFB8-488A-9126-F77A5A210FB4}"/>
    <cellStyle name="Currency 5 5 2 6 3" xfId="10941" xr:uid="{CD47E2AB-BAAA-4A06-9C61-084856BDBF56}"/>
    <cellStyle name="Currency 5 5 2 7" xfId="2741" xr:uid="{00000000-0005-0000-0000-0000500D0000}"/>
    <cellStyle name="Currency 5 5 2 8" xfId="2822" xr:uid="{00000000-0005-0000-0000-0000510D0000}"/>
    <cellStyle name="Currency 5 5 2 8 2" xfId="7047" xr:uid="{00000000-0005-0000-0000-0000520D0000}"/>
    <cellStyle name="Currency 5 5 2 8 2 2" xfId="15476" xr:uid="{68118F78-D3B2-4688-8BAA-CA76103D4876}"/>
    <cellStyle name="Currency 5 5 2 8 3" xfId="11258" xr:uid="{E95B115C-3F74-4AFF-AA3A-197267ECDFAD}"/>
    <cellStyle name="Currency 5 5 2 9" xfId="4664" xr:uid="{00000000-0005-0000-0000-0000530D0000}"/>
    <cellStyle name="Currency 5 5 2 9 2" xfId="13093" xr:uid="{66D88A32-85F7-4938-BAB0-01C6846A1BCC}"/>
    <cellStyle name="Currency 5 5 3" xfId="746" xr:uid="{00000000-0005-0000-0000-0000540D0000}"/>
    <cellStyle name="Currency 5 5 3 2" xfId="2998" xr:uid="{00000000-0005-0000-0000-0000550D0000}"/>
    <cellStyle name="Currency 5 5 3 2 2" xfId="7222" xr:uid="{00000000-0005-0000-0000-0000560D0000}"/>
    <cellStyle name="Currency 5 5 3 2 2 2" xfId="15651" xr:uid="{C021C07E-DBA4-439A-BC21-B8CA6E51BB62}"/>
    <cellStyle name="Currency 5 5 3 2 3" xfId="11433" xr:uid="{CE0D1A48-AF25-43E2-9808-A671A89E407B}"/>
    <cellStyle name="Currency 5 5 3 3" xfId="5077" xr:uid="{00000000-0005-0000-0000-0000570D0000}"/>
    <cellStyle name="Currency 5 5 3 3 2" xfId="13506" xr:uid="{7341F8CD-A084-44FC-9F75-00B722352E36}"/>
    <cellStyle name="Currency 5 5 3 4" xfId="9288" xr:uid="{27443431-DAC2-45D8-AE7A-2A28D37DE2CB}"/>
    <cellStyle name="Currency 5 5 4" xfId="1180" xr:uid="{00000000-0005-0000-0000-0000580D0000}"/>
    <cellStyle name="Currency 5 5 4 2" xfId="3411" xr:uid="{00000000-0005-0000-0000-0000590D0000}"/>
    <cellStyle name="Currency 5 5 4 2 2" xfId="7635" xr:uid="{00000000-0005-0000-0000-00005A0D0000}"/>
    <cellStyle name="Currency 5 5 4 2 2 2" xfId="16064" xr:uid="{8B980549-513F-4FD8-BEAC-10FEBCA86897}"/>
    <cellStyle name="Currency 5 5 4 2 3" xfId="11846" xr:uid="{C76E0E1F-729A-45C3-9086-FABE4144D49D}"/>
    <cellStyle name="Currency 5 5 4 3" xfId="5490" xr:uid="{00000000-0005-0000-0000-00005B0D0000}"/>
    <cellStyle name="Currency 5 5 4 3 2" xfId="13919" xr:uid="{8860E3CD-6F03-49E6-B3A6-B0874D2BF50F}"/>
    <cellStyle name="Currency 5 5 4 4" xfId="9701" xr:uid="{8606997D-E0C2-4662-9F23-870A1418C817}"/>
    <cellStyle name="Currency 5 5 5" xfId="1594" xr:uid="{00000000-0005-0000-0000-00005C0D0000}"/>
    <cellStyle name="Currency 5 5 5 2" xfId="3824" xr:uid="{00000000-0005-0000-0000-00005D0D0000}"/>
    <cellStyle name="Currency 5 5 5 2 2" xfId="8048" xr:uid="{00000000-0005-0000-0000-00005E0D0000}"/>
    <cellStyle name="Currency 5 5 5 2 2 2" xfId="16477" xr:uid="{2B3E9C43-984D-40CD-B1F5-51FA08DA996B}"/>
    <cellStyle name="Currency 5 5 5 2 3" xfId="12259" xr:uid="{AD9CC785-E61F-405E-9B15-75C002A0BF14}"/>
    <cellStyle name="Currency 5 5 5 3" xfId="5903" xr:uid="{00000000-0005-0000-0000-00005F0D0000}"/>
    <cellStyle name="Currency 5 5 5 3 2" xfId="14332" xr:uid="{CF01BD24-B770-4D0A-A207-4A2631EB3B0E}"/>
    <cellStyle name="Currency 5 5 5 4" xfId="10114" xr:uid="{0C97AD71-694D-4B47-A42C-9CC52BC21832}"/>
    <cellStyle name="Currency 5 5 6" xfId="2008" xr:uid="{00000000-0005-0000-0000-0000600D0000}"/>
    <cellStyle name="Currency 5 5 6 2" xfId="4237" xr:uid="{00000000-0005-0000-0000-0000610D0000}"/>
    <cellStyle name="Currency 5 5 6 2 2" xfId="8461" xr:uid="{00000000-0005-0000-0000-0000620D0000}"/>
    <cellStyle name="Currency 5 5 6 2 2 2" xfId="16890" xr:uid="{C5A74E1F-B7DD-4C12-B8A3-AF6F7D25C8E2}"/>
    <cellStyle name="Currency 5 5 6 2 3" xfId="12672" xr:uid="{CA134BC9-E086-407E-9475-3D63B418F28E}"/>
    <cellStyle name="Currency 5 5 6 3" xfId="6316" xr:uid="{00000000-0005-0000-0000-0000630D0000}"/>
    <cellStyle name="Currency 5 5 6 3 2" xfId="14745" xr:uid="{ACF41676-E97C-44F2-93C5-C5A49369ACD3}"/>
    <cellStyle name="Currency 5 5 6 4" xfId="10527" xr:uid="{FDF47721-FC16-4293-A453-5CC8AB640191}"/>
    <cellStyle name="Currency 5 5 7" xfId="2443" xr:uid="{00000000-0005-0000-0000-0000640D0000}"/>
    <cellStyle name="Currency 5 5 7 2" xfId="6729" xr:uid="{00000000-0005-0000-0000-0000650D0000}"/>
    <cellStyle name="Currency 5 5 7 2 2" xfId="15158" xr:uid="{43B09F75-02D1-4FFF-83F3-C61AD08C45B3}"/>
    <cellStyle name="Currency 5 5 7 3" xfId="10940" xr:uid="{85967100-6F2B-494F-91BF-D5BEDC6DCF01}"/>
    <cellStyle name="Currency 5 5 8" xfId="2740" xr:uid="{00000000-0005-0000-0000-0000660D0000}"/>
    <cellStyle name="Currency 5 5 9" xfId="2821" xr:uid="{00000000-0005-0000-0000-0000670D0000}"/>
    <cellStyle name="Currency 5 5 9 2" xfId="7046" xr:uid="{00000000-0005-0000-0000-0000680D0000}"/>
    <cellStyle name="Currency 5 5 9 2 2" xfId="15475" xr:uid="{0D7D2272-B358-49C6-930C-32F926A59ECF}"/>
    <cellStyle name="Currency 5 5 9 3" xfId="11257" xr:uid="{2611AB8C-AB16-427F-91EC-00C42A2BDB0A}"/>
    <cellStyle name="Currency 5 6" xfId="221" xr:uid="{00000000-0005-0000-0000-0000690D0000}"/>
    <cellStyle name="Currency 5 6 10" xfId="8876" xr:uid="{03C42DB2-FD61-48C3-9A96-99482821E1FC}"/>
    <cellStyle name="Currency 5 6 2" xfId="748" xr:uid="{00000000-0005-0000-0000-00006A0D0000}"/>
    <cellStyle name="Currency 5 6 2 2" xfId="3000" xr:uid="{00000000-0005-0000-0000-00006B0D0000}"/>
    <cellStyle name="Currency 5 6 2 2 2" xfId="7224" xr:uid="{00000000-0005-0000-0000-00006C0D0000}"/>
    <cellStyle name="Currency 5 6 2 2 2 2" xfId="15653" xr:uid="{5541D52B-4DC3-45C8-9388-532A8915BB86}"/>
    <cellStyle name="Currency 5 6 2 2 3" xfId="11435" xr:uid="{1F1E6084-8E9C-4736-9879-B3DD46DBEFD4}"/>
    <cellStyle name="Currency 5 6 2 3" xfId="5079" xr:uid="{00000000-0005-0000-0000-00006D0D0000}"/>
    <cellStyle name="Currency 5 6 2 3 2" xfId="13508" xr:uid="{0BD822DE-432D-4B30-B727-4D50589C6E3B}"/>
    <cellStyle name="Currency 5 6 2 4" xfId="9290" xr:uid="{D174E0DB-1CAB-47EA-877D-E709868A3D7A}"/>
    <cellStyle name="Currency 5 6 3" xfId="1182" xr:uid="{00000000-0005-0000-0000-00006E0D0000}"/>
    <cellStyle name="Currency 5 6 3 2" xfId="3413" xr:uid="{00000000-0005-0000-0000-00006F0D0000}"/>
    <cellStyle name="Currency 5 6 3 2 2" xfId="7637" xr:uid="{00000000-0005-0000-0000-0000700D0000}"/>
    <cellStyle name="Currency 5 6 3 2 2 2" xfId="16066" xr:uid="{8D9DF508-DD3F-476F-8268-6FD8AC292666}"/>
    <cellStyle name="Currency 5 6 3 2 3" xfId="11848" xr:uid="{572D26D1-FE65-4010-9A07-B5A77159C3C5}"/>
    <cellStyle name="Currency 5 6 3 3" xfId="5492" xr:uid="{00000000-0005-0000-0000-0000710D0000}"/>
    <cellStyle name="Currency 5 6 3 3 2" xfId="13921" xr:uid="{30782F9D-FA52-4ED9-8A42-E873221B8646}"/>
    <cellStyle name="Currency 5 6 3 4" xfId="9703" xr:uid="{67A8920E-4A52-40BE-B438-34832CEECD0D}"/>
    <cellStyle name="Currency 5 6 4" xfId="1596" xr:uid="{00000000-0005-0000-0000-0000720D0000}"/>
    <cellStyle name="Currency 5 6 4 2" xfId="3826" xr:uid="{00000000-0005-0000-0000-0000730D0000}"/>
    <cellStyle name="Currency 5 6 4 2 2" xfId="8050" xr:uid="{00000000-0005-0000-0000-0000740D0000}"/>
    <cellStyle name="Currency 5 6 4 2 2 2" xfId="16479" xr:uid="{A119D15A-A826-4342-ABC9-E3081C3AB240}"/>
    <cellStyle name="Currency 5 6 4 2 3" xfId="12261" xr:uid="{A8DEECD5-A179-4CB3-8A02-4491A033A0EB}"/>
    <cellStyle name="Currency 5 6 4 3" xfId="5905" xr:uid="{00000000-0005-0000-0000-0000750D0000}"/>
    <cellStyle name="Currency 5 6 4 3 2" xfId="14334" xr:uid="{96A438BC-EB32-4CC5-B0BA-8B7F7C6E482F}"/>
    <cellStyle name="Currency 5 6 4 4" xfId="10116" xr:uid="{B8A32171-40BC-47F4-A6DE-DEEAFA5FF94A}"/>
    <cellStyle name="Currency 5 6 5" xfId="2010" xr:uid="{00000000-0005-0000-0000-0000760D0000}"/>
    <cellStyle name="Currency 5 6 5 2" xfId="4239" xr:uid="{00000000-0005-0000-0000-0000770D0000}"/>
    <cellStyle name="Currency 5 6 5 2 2" xfId="8463" xr:uid="{00000000-0005-0000-0000-0000780D0000}"/>
    <cellStyle name="Currency 5 6 5 2 2 2" xfId="16892" xr:uid="{9E24F2A1-97AE-444D-B6CF-9534673FBBF5}"/>
    <cellStyle name="Currency 5 6 5 2 3" xfId="12674" xr:uid="{1EBACE15-DD0C-489C-A0A5-8FDF1DBA17B3}"/>
    <cellStyle name="Currency 5 6 5 3" xfId="6318" xr:uid="{00000000-0005-0000-0000-0000790D0000}"/>
    <cellStyle name="Currency 5 6 5 3 2" xfId="14747" xr:uid="{6165C974-C908-4EA2-A964-CE1920BF3A19}"/>
    <cellStyle name="Currency 5 6 5 4" xfId="10529" xr:uid="{AD4AF714-EEE8-4F46-B202-0683698980D8}"/>
    <cellStyle name="Currency 5 6 6" xfId="2445" xr:uid="{00000000-0005-0000-0000-00007A0D0000}"/>
    <cellStyle name="Currency 5 6 6 2" xfId="6731" xr:uid="{00000000-0005-0000-0000-00007B0D0000}"/>
    <cellStyle name="Currency 5 6 6 2 2" xfId="15160" xr:uid="{51C1DAC2-DCEE-47F5-BA4B-8C3BDDC3BD2E}"/>
    <cellStyle name="Currency 5 6 6 3" xfId="10942" xr:uid="{49A2020A-6B22-44A2-BCEE-116E6FD1858C}"/>
    <cellStyle name="Currency 5 6 7" xfId="2742" xr:uid="{00000000-0005-0000-0000-00007C0D0000}"/>
    <cellStyle name="Currency 5 6 8" xfId="2823" xr:uid="{00000000-0005-0000-0000-00007D0D0000}"/>
    <cellStyle name="Currency 5 6 8 2" xfId="7048" xr:uid="{00000000-0005-0000-0000-00007E0D0000}"/>
    <cellStyle name="Currency 5 6 8 2 2" xfId="15477" xr:uid="{49BE6DC8-F074-4232-8E8A-2301B38D1F02}"/>
    <cellStyle name="Currency 5 6 8 3" xfId="11259" xr:uid="{C851352C-F720-4ADD-88A5-BC5ACA022D3F}"/>
    <cellStyle name="Currency 5 6 9" xfId="4665" xr:uid="{00000000-0005-0000-0000-00007F0D0000}"/>
    <cellStyle name="Currency 5 6 9 2" xfId="13094" xr:uid="{852767F6-2D44-459F-A5DB-A33025D9F751}"/>
    <cellStyle name="Currency 5 7" xfId="222" xr:uid="{00000000-0005-0000-0000-0000800D0000}"/>
    <cellStyle name="Currency 5 7 10" xfId="8877" xr:uid="{63526F6C-2B11-4D13-A05C-DEFB9C742931}"/>
    <cellStyle name="Currency 5 7 2" xfId="749" xr:uid="{00000000-0005-0000-0000-0000810D0000}"/>
    <cellStyle name="Currency 5 7 2 2" xfId="3001" xr:uid="{00000000-0005-0000-0000-0000820D0000}"/>
    <cellStyle name="Currency 5 7 2 2 2" xfId="7225" xr:uid="{00000000-0005-0000-0000-0000830D0000}"/>
    <cellStyle name="Currency 5 7 2 2 2 2" xfId="15654" xr:uid="{0F435977-0550-418E-8C7F-31B3CAADD7D0}"/>
    <cellStyle name="Currency 5 7 2 2 3" xfId="11436" xr:uid="{675D70DB-55F1-40D9-ABF2-B4B9684723DF}"/>
    <cellStyle name="Currency 5 7 2 3" xfId="5080" xr:uid="{00000000-0005-0000-0000-0000840D0000}"/>
    <cellStyle name="Currency 5 7 2 3 2" xfId="13509" xr:uid="{FFFB7EBD-2B4A-4F5F-8999-CC0CF8910A12}"/>
    <cellStyle name="Currency 5 7 2 4" xfId="9291" xr:uid="{5EA0580E-ACB9-4BF4-9EBF-6BD5E3294E49}"/>
    <cellStyle name="Currency 5 7 3" xfId="1183" xr:uid="{00000000-0005-0000-0000-0000850D0000}"/>
    <cellStyle name="Currency 5 7 3 2" xfId="3414" xr:uid="{00000000-0005-0000-0000-0000860D0000}"/>
    <cellStyle name="Currency 5 7 3 2 2" xfId="7638" xr:uid="{00000000-0005-0000-0000-0000870D0000}"/>
    <cellStyle name="Currency 5 7 3 2 2 2" xfId="16067" xr:uid="{EADBEF17-C24A-457D-BDF2-43668CF20A94}"/>
    <cellStyle name="Currency 5 7 3 2 3" xfId="11849" xr:uid="{CF01A17B-5C2F-4664-96BD-E34DE5814C9F}"/>
    <cellStyle name="Currency 5 7 3 3" xfId="5493" xr:uid="{00000000-0005-0000-0000-0000880D0000}"/>
    <cellStyle name="Currency 5 7 3 3 2" xfId="13922" xr:uid="{071879A7-B32F-47CC-BBCC-1E66B52AC698}"/>
    <cellStyle name="Currency 5 7 3 4" xfId="9704" xr:uid="{008F9805-4230-4A95-B072-494388EAEC1C}"/>
    <cellStyle name="Currency 5 7 4" xfId="1597" xr:uid="{00000000-0005-0000-0000-0000890D0000}"/>
    <cellStyle name="Currency 5 7 4 2" xfId="3827" xr:uid="{00000000-0005-0000-0000-00008A0D0000}"/>
    <cellStyle name="Currency 5 7 4 2 2" xfId="8051" xr:uid="{00000000-0005-0000-0000-00008B0D0000}"/>
    <cellStyle name="Currency 5 7 4 2 2 2" xfId="16480" xr:uid="{FA02D59D-F49C-4075-9B3D-26056ABBD55B}"/>
    <cellStyle name="Currency 5 7 4 2 3" xfId="12262" xr:uid="{B99F85E5-6AC9-4D6D-954F-707E00AADC68}"/>
    <cellStyle name="Currency 5 7 4 3" xfId="5906" xr:uid="{00000000-0005-0000-0000-00008C0D0000}"/>
    <cellStyle name="Currency 5 7 4 3 2" xfId="14335" xr:uid="{07EF55BC-2B49-49D7-9781-00CC8457A19C}"/>
    <cellStyle name="Currency 5 7 4 4" xfId="10117" xr:uid="{9088CF44-A62A-4702-9974-0C02F2C6FF6A}"/>
    <cellStyle name="Currency 5 7 5" xfId="2011" xr:uid="{00000000-0005-0000-0000-00008D0D0000}"/>
    <cellStyle name="Currency 5 7 5 2" xfId="4240" xr:uid="{00000000-0005-0000-0000-00008E0D0000}"/>
    <cellStyle name="Currency 5 7 5 2 2" xfId="8464" xr:uid="{00000000-0005-0000-0000-00008F0D0000}"/>
    <cellStyle name="Currency 5 7 5 2 2 2" xfId="16893" xr:uid="{54404516-2070-4636-98D9-DCB52E763021}"/>
    <cellStyle name="Currency 5 7 5 2 3" xfId="12675" xr:uid="{935BB888-B3F1-4E5D-B3EC-466DF8E4E0E5}"/>
    <cellStyle name="Currency 5 7 5 3" xfId="6319" xr:uid="{00000000-0005-0000-0000-0000900D0000}"/>
    <cellStyle name="Currency 5 7 5 3 2" xfId="14748" xr:uid="{A017AACF-6E73-4C70-A278-7C4EDB4135C7}"/>
    <cellStyle name="Currency 5 7 5 4" xfId="10530" xr:uid="{DBEBF475-C769-4607-84EC-65A46BECD9AF}"/>
    <cellStyle name="Currency 5 7 6" xfId="2446" xr:uid="{00000000-0005-0000-0000-0000910D0000}"/>
    <cellStyle name="Currency 5 7 6 2" xfId="6732" xr:uid="{00000000-0005-0000-0000-0000920D0000}"/>
    <cellStyle name="Currency 5 7 6 2 2" xfId="15161" xr:uid="{48E793B7-4E6C-4A31-924B-A776EC9E5D6D}"/>
    <cellStyle name="Currency 5 7 6 3" xfId="10943" xr:uid="{AD9946EB-C98C-4E63-BA6C-8BBD971B28A0}"/>
    <cellStyle name="Currency 5 7 7" xfId="2743" xr:uid="{00000000-0005-0000-0000-0000930D0000}"/>
    <cellStyle name="Currency 5 7 8" xfId="2824" xr:uid="{00000000-0005-0000-0000-0000940D0000}"/>
    <cellStyle name="Currency 5 7 8 2" xfId="7049" xr:uid="{00000000-0005-0000-0000-0000950D0000}"/>
    <cellStyle name="Currency 5 7 8 2 2" xfId="15478" xr:uid="{35AD1EE5-5C9B-43E0-9621-88BB291E39B1}"/>
    <cellStyle name="Currency 5 7 8 3" xfId="11260" xr:uid="{A5D73E6C-B8A2-4D39-84C8-1AF3EDAFF438}"/>
    <cellStyle name="Currency 5 7 9" xfId="4666" xr:uid="{00000000-0005-0000-0000-0000960D0000}"/>
    <cellStyle name="Currency 5 7 9 2" xfId="13095" xr:uid="{1A2AD410-B4FF-4321-A913-BD96998F582C}"/>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0 2 2" xfId="15162" xr:uid="{6C9DCFE5-5459-412E-9A7C-3851A807629B}"/>
    <cellStyle name="Normal 12 10 3" xfId="10944" xr:uid="{F91314F7-0FBC-4C26-BB98-0CD9BA7A771A}"/>
    <cellStyle name="Normal 12 11" xfId="4667" xr:uid="{00000000-0005-0000-0000-0000CC0D0000}"/>
    <cellStyle name="Normal 12 11 2" xfId="13096" xr:uid="{A1E7781E-E627-4969-8F03-45687F8754E0}"/>
    <cellStyle name="Normal 12 12" xfId="8878" xr:uid="{9D5D92BE-07CD-4763-B485-3FAE3810C5E8}"/>
    <cellStyle name="Normal 12 2" xfId="260" xr:uid="{00000000-0005-0000-0000-0000CD0D0000}"/>
    <cellStyle name="Normal 12 2 10" xfId="8879" xr:uid="{A4D4DDA9-2899-4B54-8740-E57CC09731F1}"/>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2 2 2" xfId="15658" xr:uid="{0E906424-9335-4C60-B409-205CAB9240B7}"/>
    <cellStyle name="Normal 12 2 2 2 2 2 3" xfId="11440" xr:uid="{05A396AB-91A7-4628-8A2D-34220A621613}"/>
    <cellStyle name="Normal 12 2 2 2 2 3" xfId="5084" xr:uid="{00000000-0005-0000-0000-0000D30D0000}"/>
    <cellStyle name="Normal 12 2 2 2 2 3 2" xfId="13513" xr:uid="{CC26F0D0-9A4B-47B3-B142-2FA7A6C7160D}"/>
    <cellStyle name="Normal 12 2 2 2 2 4" xfId="9295" xr:uid="{17D45918-6427-42B4-B2A9-44DC3738EFC1}"/>
    <cellStyle name="Normal 12 2 2 2 3" xfId="1187" xr:uid="{00000000-0005-0000-0000-0000D40D0000}"/>
    <cellStyle name="Normal 12 2 2 2 3 2" xfId="3418" xr:uid="{00000000-0005-0000-0000-0000D50D0000}"/>
    <cellStyle name="Normal 12 2 2 2 3 2 2" xfId="7642" xr:uid="{00000000-0005-0000-0000-0000D60D0000}"/>
    <cellStyle name="Normal 12 2 2 2 3 2 2 2" xfId="16071" xr:uid="{14A1241D-01B5-4FA4-A359-4E245ADD38E0}"/>
    <cellStyle name="Normal 12 2 2 2 3 2 3" xfId="11853" xr:uid="{02F68116-4242-4989-B926-727D03C4DD86}"/>
    <cellStyle name="Normal 12 2 2 2 3 3" xfId="5497" xr:uid="{00000000-0005-0000-0000-0000D70D0000}"/>
    <cellStyle name="Normal 12 2 2 2 3 3 2" xfId="13926" xr:uid="{402828CC-3FF9-40A4-8794-B6D8C493C138}"/>
    <cellStyle name="Normal 12 2 2 2 3 4" xfId="9708" xr:uid="{EEA6A7B1-247F-4C0F-9CEF-2F189E0297A6}"/>
    <cellStyle name="Normal 12 2 2 2 4" xfId="1601" xr:uid="{00000000-0005-0000-0000-0000D80D0000}"/>
    <cellStyle name="Normal 12 2 2 2 4 2" xfId="3831" xr:uid="{00000000-0005-0000-0000-0000D90D0000}"/>
    <cellStyle name="Normal 12 2 2 2 4 2 2" xfId="8055" xr:uid="{00000000-0005-0000-0000-0000DA0D0000}"/>
    <cellStyle name="Normal 12 2 2 2 4 2 2 2" xfId="16484" xr:uid="{E3C7A04A-1E6C-447C-B6FD-C940FD0E44AA}"/>
    <cellStyle name="Normal 12 2 2 2 4 2 3" xfId="12266" xr:uid="{D22234FC-76E2-4EA8-95ED-6F2A1C6D1D2C}"/>
    <cellStyle name="Normal 12 2 2 2 4 3" xfId="5910" xr:uid="{00000000-0005-0000-0000-0000DB0D0000}"/>
    <cellStyle name="Normal 12 2 2 2 4 3 2" xfId="14339" xr:uid="{BFCD75CB-6014-4874-8B4F-8E3BDD9D5894}"/>
    <cellStyle name="Normal 12 2 2 2 4 4" xfId="10121" xr:uid="{982B5690-6A29-4E8C-B538-2F85E14CBBBA}"/>
    <cellStyle name="Normal 12 2 2 2 5" xfId="2015" xr:uid="{00000000-0005-0000-0000-0000DC0D0000}"/>
    <cellStyle name="Normal 12 2 2 2 5 2" xfId="4244" xr:uid="{00000000-0005-0000-0000-0000DD0D0000}"/>
    <cellStyle name="Normal 12 2 2 2 5 2 2" xfId="8468" xr:uid="{00000000-0005-0000-0000-0000DE0D0000}"/>
    <cellStyle name="Normal 12 2 2 2 5 2 2 2" xfId="16897" xr:uid="{05B1F004-996F-4140-9E9F-46415C980851}"/>
    <cellStyle name="Normal 12 2 2 2 5 2 3" xfId="12679" xr:uid="{2A93F5AA-0947-4E39-96B0-1F8841E3A769}"/>
    <cellStyle name="Normal 12 2 2 2 5 3" xfId="6323" xr:uid="{00000000-0005-0000-0000-0000DF0D0000}"/>
    <cellStyle name="Normal 12 2 2 2 5 3 2" xfId="14752" xr:uid="{914CD2BD-FF34-4E40-8925-6A2070D0E9C8}"/>
    <cellStyle name="Normal 12 2 2 2 5 4" xfId="10534" xr:uid="{B582E2F2-4460-4A19-A589-1655D25ECCD0}"/>
    <cellStyle name="Normal 12 2 2 2 6" xfId="2451" xr:uid="{00000000-0005-0000-0000-0000E00D0000}"/>
    <cellStyle name="Normal 12 2 2 2 6 2" xfId="6736" xr:uid="{00000000-0005-0000-0000-0000E10D0000}"/>
    <cellStyle name="Normal 12 2 2 2 6 2 2" xfId="15165" xr:uid="{F2010826-0B6B-44B8-8C32-E15120D58CC3}"/>
    <cellStyle name="Normal 12 2 2 2 6 3" xfId="10947" xr:uid="{81C6FDA0-415B-48CF-BD5D-52DDE5BD743A}"/>
    <cellStyle name="Normal 12 2 2 2 7" xfId="4670" xr:uid="{00000000-0005-0000-0000-0000E20D0000}"/>
    <cellStyle name="Normal 12 2 2 2 7 2" xfId="13099" xr:uid="{45182B9D-58CC-4356-894F-6BE17AC2A814}"/>
    <cellStyle name="Normal 12 2 2 2 8" xfId="8881" xr:uid="{2C1E57E8-B7C6-493D-90BD-CE324A0556AE}"/>
    <cellStyle name="Normal 12 2 2 3" xfId="763" xr:uid="{00000000-0005-0000-0000-0000E30D0000}"/>
    <cellStyle name="Normal 12 2 2 3 2" xfId="3004" xr:uid="{00000000-0005-0000-0000-0000E40D0000}"/>
    <cellStyle name="Normal 12 2 2 3 2 2" xfId="7228" xr:uid="{00000000-0005-0000-0000-0000E50D0000}"/>
    <cellStyle name="Normal 12 2 2 3 2 2 2" xfId="15657" xr:uid="{557052DC-DAF8-46E0-8AA6-8087733A261A}"/>
    <cellStyle name="Normal 12 2 2 3 2 3" xfId="11439" xr:uid="{D6A82473-1344-49E1-A86B-B7A458B6FB75}"/>
    <cellStyle name="Normal 12 2 2 3 3" xfId="5083" xr:uid="{00000000-0005-0000-0000-0000E60D0000}"/>
    <cellStyle name="Normal 12 2 2 3 3 2" xfId="13512" xr:uid="{5B197086-4E60-47C3-9BF1-84538FEC8AD0}"/>
    <cellStyle name="Normal 12 2 2 3 4" xfId="9294" xr:uid="{BA965EE5-6BBD-4859-B51A-64D6318BD544}"/>
    <cellStyle name="Normal 12 2 2 4" xfId="1186" xr:uid="{00000000-0005-0000-0000-0000E70D0000}"/>
    <cellStyle name="Normal 12 2 2 4 2" xfId="3417" xr:uid="{00000000-0005-0000-0000-0000E80D0000}"/>
    <cellStyle name="Normal 12 2 2 4 2 2" xfId="7641" xr:uid="{00000000-0005-0000-0000-0000E90D0000}"/>
    <cellStyle name="Normal 12 2 2 4 2 2 2" xfId="16070" xr:uid="{DD0B55C3-BAB3-410B-8229-9E7BF3E82724}"/>
    <cellStyle name="Normal 12 2 2 4 2 3" xfId="11852" xr:uid="{E98598D1-7591-4768-95E6-0DEFDA5E7E7A}"/>
    <cellStyle name="Normal 12 2 2 4 3" xfId="5496" xr:uid="{00000000-0005-0000-0000-0000EA0D0000}"/>
    <cellStyle name="Normal 12 2 2 4 3 2" xfId="13925" xr:uid="{6EF21263-8421-48EB-A231-73836CA6CBE5}"/>
    <cellStyle name="Normal 12 2 2 4 4" xfId="9707" xr:uid="{12C40D8F-E746-4558-BEAA-D23CBA0A53BF}"/>
    <cellStyle name="Normal 12 2 2 5" xfId="1600" xr:uid="{00000000-0005-0000-0000-0000EB0D0000}"/>
    <cellStyle name="Normal 12 2 2 5 2" xfId="3830" xr:uid="{00000000-0005-0000-0000-0000EC0D0000}"/>
    <cellStyle name="Normal 12 2 2 5 2 2" xfId="8054" xr:uid="{00000000-0005-0000-0000-0000ED0D0000}"/>
    <cellStyle name="Normal 12 2 2 5 2 2 2" xfId="16483" xr:uid="{E42A6EB1-93A3-4086-B482-30CCB8F55B51}"/>
    <cellStyle name="Normal 12 2 2 5 2 3" xfId="12265" xr:uid="{FD8A690D-A46E-42EA-8C7A-35C0C99B1F50}"/>
    <cellStyle name="Normal 12 2 2 5 3" xfId="5909" xr:uid="{00000000-0005-0000-0000-0000EE0D0000}"/>
    <cellStyle name="Normal 12 2 2 5 3 2" xfId="14338" xr:uid="{DCC244CF-02F3-41A9-9B8D-AC760ACCD84F}"/>
    <cellStyle name="Normal 12 2 2 5 4" xfId="10120" xr:uid="{65B93044-E488-44BD-B59C-D84417188AD8}"/>
    <cellStyle name="Normal 12 2 2 6" xfId="2014" xr:uid="{00000000-0005-0000-0000-0000EF0D0000}"/>
    <cellStyle name="Normal 12 2 2 6 2" xfId="4243" xr:uid="{00000000-0005-0000-0000-0000F00D0000}"/>
    <cellStyle name="Normal 12 2 2 6 2 2" xfId="8467" xr:uid="{00000000-0005-0000-0000-0000F10D0000}"/>
    <cellStyle name="Normal 12 2 2 6 2 2 2" xfId="16896" xr:uid="{7BA6AB92-4719-484C-AF3C-AC67AECF0DFB}"/>
    <cellStyle name="Normal 12 2 2 6 2 3" xfId="12678" xr:uid="{541F881D-AFAF-402A-B357-7AAEEBFDDE2E}"/>
    <cellStyle name="Normal 12 2 2 6 3" xfId="6322" xr:uid="{00000000-0005-0000-0000-0000F20D0000}"/>
    <cellStyle name="Normal 12 2 2 6 3 2" xfId="14751" xr:uid="{7A61344C-83A9-4D32-AED0-9FA523E1B859}"/>
    <cellStyle name="Normal 12 2 2 6 4" xfId="10533" xr:uid="{0232D858-FDF5-48A4-B70C-D7626537DE67}"/>
    <cellStyle name="Normal 12 2 2 7" xfId="2450" xr:uid="{00000000-0005-0000-0000-0000F30D0000}"/>
    <cellStyle name="Normal 12 2 2 7 2" xfId="6735" xr:uid="{00000000-0005-0000-0000-0000F40D0000}"/>
    <cellStyle name="Normal 12 2 2 7 2 2" xfId="15164" xr:uid="{1C378929-6BB7-4C67-A907-6561C6EB4E3F}"/>
    <cellStyle name="Normal 12 2 2 7 3" xfId="10946" xr:uid="{F97960C1-62C1-4F51-B099-77FF003715AB}"/>
    <cellStyle name="Normal 12 2 2 8" xfId="4669" xr:uid="{00000000-0005-0000-0000-0000F50D0000}"/>
    <cellStyle name="Normal 12 2 2 8 2" xfId="13098" xr:uid="{E318F76C-E08D-4371-AD8F-23B3459A8671}"/>
    <cellStyle name="Normal 12 2 2 9" xfId="8880" xr:uid="{FCF9DCD8-185F-421B-A854-712502A15F24}"/>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2 2 2" xfId="15659" xr:uid="{E8AD092D-149F-406D-8D38-E32F3F3085C7}"/>
    <cellStyle name="Normal 12 2 3 2 2 3" xfId="11441" xr:uid="{1DB74A4A-03A4-410A-8936-97C4E255E408}"/>
    <cellStyle name="Normal 12 2 3 2 3" xfId="5085" xr:uid="{00000000-0005-0000-0000-0000FA0D0000}"/>
    <cellStyle name="Normal 12 2 3 2 3 2" xfId="13514" xr:uid="{549E69CD-D2DA-4571-A99A-FE741DF3CFAF}"/>
    <cellStyle name="Normal 12 2 3 2 4" xfId="9296" xr:uid="{872E9640-2045-4CA5-86CA-FD5D3B16B13A}"/>
    <cellStyle name="Normal 12 2 3 3" xfId="1188" xr:uid="{00000000-0005-0000-0000-0000FB0D0000}"/>
    <cellStyle name="Normal 12 2 3 3 2" xfId="3419" xr:uid="{00000000-0005-0000-0000-0000FC0D0000}"/>
    <cellStyle name="Normal 12 2 3 3 2 2" xfId="7643" xr:uid="{00000000-0005-0000-0000-0000FD0D0000}"/>
    <cellStyle name="Normal 12 2 3 3 2 2 2" xfId="16072" xr:uid="{AF7C3D6B-30D5-4198-B788-C29B0F06F897}"/>
    <cellStyle name="Normal 12 2 3 3 2 3" xfId="11854" xr:uid="{003E60FD-BDB1-43A9-8013-DE5FA58F76B7}"/>
    <cellStyle name="Normal 12 2 3 3 3" xfId="5498" xr:uid="{00000000-0005-0000-0000-0000FE0D0000}"/>
    <cellStyle name="Normal 12 2 3 3 3 2" xfId="13927" xr:uid="{66464FF9-1CFD-4E54-92E4-3C5A3127A2B0}"/>
    <cellStyle name="Normal 12 2 3 3 4" xfId="9709" xr:uid="{CFEC860B-1628-4E4F-8A11-ECC284E04BEF}"/>
    <cellStyle name="Normal 12 2 3 4" xfId="1602" xr:uid="{00000000-0005-0000-0000-0000FF0D0000}"/>
    <cellStyle name="Normal 12 2 3 4 2" xfId="3832" xr:uid="{00000000-0005-0000-0000-0000000E0000}"/>
    <cellStyle name="Normal 12 2 3 4 2 2" xfId="8056" xr:uid="{00000000-0005-0000-0000-0000010E0000}"/>
    <cellStyle name="Normal 12 2 3 4 2 2 2" xfId="16485" xr:uid="{39899D8B-1C19-4CEC-8602-9F2B5191C09C}"/>
    <cellStyle name="Normal 12 2 3 4 2 3" xfId="12267" xr:uid="{9E31CB90-0CBB-46E9-BFFC-C251DC6CC8E1}"/>
    <cellStyle name="Normal 12 2 3 4 3" xfId="5911" xr:uid="{00000000-0005-0000-0000-0000020E0000}"/>
    <cellStyle name="Normal 12 2 3 4 3 2" xfId="14340" xr:uid="{ACB45486-11C9-4401-A8DE-0E8B3CD058AC}"/>
    <cellStyle name="Normal 12 2 3 4 4" xfId="10122" xr:uid="{38F2CAEE-96D5-4B71-9F73-5B60A682E7AD}"/>
    <cellStyle name="Normal 12 2 3 5" xfId="2016" xr:uid="{00000000-0005-0000-0000-0000030E0000}"/>
    <cellStyle name="Normal 12 2 3 5 2" xfId="4245" xr:uid="{00000000-0005-0000-0000-0000040E0000}"/>
    <cellStyle name="Normal 12 2 3 5 2 2" xfId="8469" xr:uid="{00000000-0005-0000-0000-0000050E0000}"/>
    <cellStyle name="Normal 12 2 3 5 2 2 2" xfId="16898" xr:uid="{F37B13E9-4550-4DE9-BC77-EA695E899957}"/>
    <cellStyle name="Normal 12 2 3 5 2 3" xfId="12680" xr:uid="{8B3C7C49-C315-4AB3-BD25-A07FB9CE9571}"/>
    <cellStyle name="Normal 12 2 3 5 3" xfId="6324" xr:uid="{00000000-0005-0000-0000-0000060E0000}"/>
    <cellStyle name="Normal 12 2 3 5 3 2" xfId="14753" xr:uid="{B8E60321-B95A-4880-BB1E-08AE7CBD61D4}"/>
    <cellStyle name="Normal 12 2 3 5 4" xfId="10535" xr:uid="{C4B7A751-6E15-4C28-A244-F31C05A56266}"/>
    <cellStyle name="Normal 12 2 3 6" xfId="2452" xr:uid="{00000000-0005-0000-0000-0000070E0000}"/>
    <cellStyle name="Normal 12 2 3 6 2" xfId="6737" xr:uid="{00000000-0005-0000-0000-0000080E0000}"/>
    <cellStyle name="Normal 12 2 3 6 2 2" xfId="15166" xr:uid="{91D5E5E3-1350-4E46-A500-B232DF9EAFE9}"/>
    <cellStyle name="Normal 12 2 3 6 3" xfId="10948" xr:uid="{2950FD62-14F7-4FE6-97E3-97FEA78FFBA4}"/>
    <cellStyle name="Normal 12 2 3 7" xfId="4671" xr:uid="{00000000-0005-0000-0000-0000090E0000}"/>
    <cellStyle name="Normal 12 2 3 7 2" xfId="13100" xr:uid="{A091D2D1-7C28-4F9E-8EBC-31B8321E945D}"/>
    <cellStyle name="Normal 12 2 3 8" xfId="8882" xr:uid="{AF391B1A-5592-4DCF-9EBC-412D6951CCF7}"/>
    <cellStyle name="Normal 12 2 4" xfId="762" xr:uid="{00000000-0005-0000-0000-00000A0E0000}"/>
    <cellStyle name="Normal 12 2 4 2" xfId="3003" xr:uid="{00000000-0005-0000-0000-00000B0E0000}"/>
    <cellStyle name="Normal 12 2 4 2 2" xfId="7227" xr:uid="{00000000-0005-0000-0000-00000C0E0000}"/>
    <cellStyle name="Normal 12 2 4 2 2 2" xfId="15656" xr:uid="{68E38321-61A0-4240-897D-FA5A6CF7867E}"/>
    <cellStyle name="Normal 12 2 4 2 3" xfId="11438" xr:uid="{05EB9364-2AA1-4736-A95C-EBBCDE0345E1}"/>
    <cellStyle name="Normal 12 2 4 3" xfId="5082" xr:uid="{00000000-0005-0000-0000-00000D0E0000}"/>
    <cellStyle name="Normal 12 2 4 3 2" xfId="13511" xr:uid="{D9844ED4-AFD1-4070-8382-24466D57F90C}"/>
    <cellStyle name="Normal 12 2 4 4" xfId="9293" xr:uid="{03F39407-FE49-4651-AAEB-941239BDD627}"/>
    <cellStyle name="Normal 12 2 5" xfId="1185" xr:uid="{00000000-0005-0000-0000-00000E0E0000}"/>
    <cellStyle name="Normal 12 2 5 2" xfId="3416" xr:uid="{00000000-0005-0000-0000-00000F0E0000}"/>
    <cellStyle name="Normal 12 2 5 2 2" xfId="7640" xr:uid="{00000000-0005-0000-0000-0000100E0000}"/>
    <cellStyle name="Normal 12 2 5 2 2 2" xfId="16069" xr:uid="{7921E2AE-6E91-43F3-BE2E-6C77D5365445}"/>
    <cellStyle name="Normal 12 2 5 2 3" xfId="11851" xr:uid="{37FCB6D8-6F2B-4359-B4EF-561686EABBEA}"/>
    <cellStyle name="Normal 12 2 5 3" xfId="5495" xr:uid="{00000000-0005-0000-0000-0000110E0000}"/>
    <cellStyle name="Normal 12 2 5 3 2" xfId="13924" xr:uid="{46C96A88-3EDF-42A7-8F17-F073D8FE1AE4}"/>
    <cellStyle name="Normal 12 2 5 4" xfId="9706" xr:uid="{A2000F14-B191-4EBF-8BE2-C03A300AB344}"/>
    <cellStyle name="Normal 12 2 6" xfId="1599" xr:uid="{00000000-0005-0000-0000-0000120E0000}"/>
    <cellStyle name="Normal 12 2 6 2" xfId="3829" xr:uid="{00000000-0005-0000-0000-0000130E0000}"/>
    <cellStyle name="Normal 12 2 6 2 2" xfId="8053" xr:uid="{00000000-0005-0000-0000-0000140E0000}"/>
    <cellStyle name="Normal 12 2 6 2 2 2" xfId="16482" xr:uid="{50223920-CED6-4122-A1BE-00016BFAD9DE}"/>
    <cellStyle name="Normal 12 2 6 2 3" xfId="12264" xr:uid="{F22D6F03-9832-4EF8-A27E-7FD2733DDEF3}"/>
    <cellStyle name="Normal 12 2 6 3" xfId="5908" xr:uid="{00000000-0005-0000-0000-0000150E0000}"/>
    <cellStyle name="Normal 12 2 6 3 2" xfId="14337" xr:uid="{1FC8EC2B-469A-4FBF-8ACD-88122CC48414}"/>
    <cellStyle name="Normal 12 2 6 4" xfId="10119" xr:uid="{D51F49ED-ADD6-4E89-A69F-10461C798780}"/>
    <cellStyle name="Normal 12 2 7" xfId="2013" xr:uid="{00000000-0005-0000-0000-0000160E0000}"/>
    <cellStyle name="Normal 12 2 7 2" xfId="4242" xr:uid="{00000000-0005-0000-0000-0000170E0000}"/>
    <cellStyle name="Normal 12 2 7 2 2" xfId="8466" xr:uid="{00000000-0005-0000-0000-0000180E0000}"/>
    <cellStyle name="Normal 12 2 7 2 2 2" xfId="16895" xr:uid="{359150D2-AF96-4BFF-8638-892CD8A15B15}"/>
    <cellStyle name="Normal 12 2 7 2 3" xfId="12677" xr:uid="{A73277EE-2425-4565-8BB9-6455FD7298CD}"/>
    <cellStyle name="Normal 12 2 7 3" xfId="6321" xr:uid="{00000000-0005-0000-0000-0000190E0000}"/>
    <cellStyle name="Normal 12 2 7 3 2" xfId="14750" xr:uid="{06931FA3-E55C-49AD-9C84-E19B51478B9C}"/>
    <cellStyle name="Normal 12 2 7 4" xfId="10532" xr:uid="{F6571D4A-B23F-47F8-9046-5D5C58A37C51}"/>
    <cellStyle name="Normal 12 2 8" xfId="2449" xr:uid="{00000000-0005-0000-0000-00001A0E0000}"/>
    <cellStyle name="Normal 12 2 8 2" xfId="6734" xr:uid="{00000000-0005-0000-0000-00001B0E0000}"/>
    <cellStyle name="Normal 12 2 8 2 2" xfId="15163" xr:uid="{88F05B0E-526F-4DC1-9073-33766E64A448}"/>
    <cellStyle name="Normal 12 2 8 3" xfId="10945" xr:uid="{FF9FB1ED-A535-4AD0-B30D-E512EFF9291B}"/>
    <cellStyle name="Normal 12 2 9" xfId="4668" xr:uid="{00000000-0005-0000-0000-00001C0E0000}"/>
    <cellStyle name="Normal 12 2 9 2" xfId="13097" xr:uid="{958A51A6-8A8A-4D00-BB7A-798F3583A3F4}"/>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2 2 2" xfId="15661" xr:uid="{0443F4E3-F0A9-41FA-B865-676970C2352A}"/>
    <cellStyle name="Normal 12 3 2 2 2 3" xfId="11443" xr:uid="{1EF8CE3A-920A-47F3-A719-A52730DFC895}"/>
    <cellStyle name="Normal 12 3 2 2 3" xfId="5087" xr:uid="{00000000-0005-0000-0000-0000220E0000}"/>
    <cellStyle name="Normal 12 3 2 2 3 2" xfId="13516" xr:uid="{FAE5070B-F416-4FE9-92A3-E61B2A838427}"/>
    <cellStyle name="Normal 12 3 2 2 4" xfId="9298" xr:uid="{19200D47-A465-4FA1-8854-3AEF9A81BB2A}"/>
    <cellStyle name="Normal 12 3 2 3" xfId="1190" xr:uid="{00000000-0005-0000-0000-0000230E0000}"/>
    <cellStyle name="Normal 12 3 2 3 2" xfId="3421" xr:uid="{00000000-0005-0000-0000-0000240E0000}"/>
    <cellStyle name="Normal 12 3 2 3 2 2" xfId="7645" xr:uid="{00000000-0005-0000-0000-0000250E0000}"/>
    <cellStyle name="Normal 12 3 2 3 2 2 2" xfId="16074" xr:uid="{C905AC52-917A-40D1-B5DE-C49B096E0143}"/>
    <cellStyle name="Normal 12 3 2 3 2 3" xfId="11856" xr:uid="{764377B5-FC65-479E-80F1-251508C77A4F}"/>
    <cellStyle name="Normal 12 3 2 3 3" xfId="5500" xr:uid="{00000000-0005-0000-0000-0000260E0000}"/>
    <cellStyle name="Normal 12 3 2 3 3 2" xfId="13929" xr:uid="{32214EC8-25B5-4D24-87AA-25F20BF615D7}"/>
    <cellStyle name="Normal 12 3 2 3 4" xfId="9711" xr:uid="{B48F7F28-0C3E-44C7-85B6-2C9998460A13}"/>
    <cellStyle name="Normal 12 3 2 4" xfId="1604" xr:uid="{00000000-0005-0000-0000-0000270E0000}"/>
    <cellStyle name="Normal 12 3 2 4 2" xfId="3834" xr:uid="{00000000-0005-0000-0000-0000280E0000}"/>
    <cellStyle name="Normal 12 3 2 4 2 2" xfId="8058" xr:uid="{00000000-0005-0000-0000-0000290E0000}"/>
    <cellStyle name="Normal 12 3 2 4 2 2 2" xfId="16487" xr:uid="{16D4A0EE-B0A7-413E-8F37-2FD07BCF5D02}"/>
    <cellStyle name="Normal 12 3 2 4 2 3" xfId="12269" xr:uid="{11A588C0-9888-4787-A4F9-B87AAA2F340E}"/>
    <cellStyle name="Normal 12 3 2 4 3" xfId="5913" xr:uid="{00000000-0005-0000-0000-00002A0E0000}"/>
    <cellStyle name="Normal 12 3 2 4 3 2" xfId="14342" xr:uid="{31A8E03C-873D-4F71-AE68-55610D75BC42}"/>
    <cellStyle name="Normal 12 3 2 4 4" xfId="10124" xr:uid="{B5B1D6B5-C8A0-4850-892C-E47FB6817C92}"/>
    <cellStyle name="Normal 12 3 2 5" xfId="2018" xr:uid="{00000000-0005-0000-0000-00002B0E0000}"/>
    <cellStyle name="Normal 12 3 2 5 2" xfId="4247" xr:uid="{00000000-0005-0000-0000-00002C0E0000}"/>
    <cellStyle name="Normal 12 3 2 5 2 2" xfId="8471" xr:uid="{00000000-0005-0000-0000-00002D0E0000}"/>
    <cellStyle name="Normal 12 3 2 5 2 2 2" xfId="16900" xr:uid="{97592EC7-895E-4263-89C7-4A7286B7977B}"/>
    <cellStyle name="Normal 12 3 2 5 2 3" xfId="12682" xr:uid="{8D4DC7FE-7A9D-48A6-BF27-F799FCC295B5}"/>
    <cellStyle name="Normal 12 3 2 5 3" xfId="6326" xr:uid="{00000000-0005-0000-0000-00002E0E0000}"/>
    <cellStyle name="Normal 12 3 2 5 3 2" xfId="14755" xr:uid="{9B810AAE-6E73-4B0D-9C63-1254E5DC7B22}"/>
    <cellStyle name="Normal 12 3 2 5 4" xfId="10537" xr:uid="{C4B141D4-49C4-4CCB-9116-2F310FF28309}"/>
    <cellStyle name="Normal 12 3 2 6" xfId="2454" xr:uid="{00000000-0005-0000-0000-00002F0E0000}"/>
    <cellStyle name="Normal 12 3 2 6 2" xfId="6739" xr:uid="{00000000-0005-0000-0000-0000300E0000}"/>
    <cellStyle name="Normal 12 3 2 6 2 2" xfId="15168" xr:uid="{78A845B2-13CB-4E9E-92AD-2E5E0E67BAAF}"/>
    <cellStyle name="Normal 12 3 2 6 3" xfId="10950" xr:uid="{C89F900A-CAB8-4AFB-AABF-9F9571225608}"/>
    <cellStyle name="Normal 12 3 2 7" xfId="4673" xr:uid="{00000000-0005-0000-0000-0000310E0000}"/>
    <cellStyle name="Normal 12 3 2 7 2" xfId="13102" xr:uid="{862B4FD3-C8BD-41E4-89B9-FC0A0A02DC1A}"/>
    <cellStyle name="Normal 12 3 2 8" xfId="8884" xr:uid="{2EA24637-9A81-4FE7-8F89-1ECBCBE7A9DC}"/>
    <cellStyle name="Normal 12 3 3" xfId="766" xr:uid="{00000000-0005-0000-0000-0000320E0000}"/>
    <cellStyle name="Normal 12 3 3 2" xfId="3007" xr:uid="{00000000-0005-0000-0000-0000330E0000}"/>
    <cellStyle name="Normal 12 3 3 2 2" xfId="7231" xr:uid="{00000000-0005-0000-0000-0000340E0000}"/>
    <cellStyle name="Normal 12 3 3 2 2 2" xfId="15660" xr:uid="{E929F102-50B5-4D4E-BC40-726ACC9B62B4}"/>
    <cellStyle name="Normal 12 3 3 2 3" xfId="11442" xr:uid="{AF7A92EE-89FB-4045-A3FE-54E2240D590D}"/>
    <cellStyle name="Normal 12 3 3 3" xfId="5086" xr:uid="{00000000-0005-0000-0000-0000350E0000}"/>
    <cellStyle name="Normal 12 3 3 3 2" xfId="13515" xr:uid="{36F9163C-B1E0-45B5-B51F-308487FA4656}"/>
    <cellStyle name="Normal 12 3 3 4" xfId="9297" xr:uid="{1FC270AB-4375-4E80-8D05-93AD9CE23270}"/>
    <cellStyle name="Normal 12 3 4" xfId="1189" xr:uid="{00000000-0005-0000-0000-0000360E0000}"/>
    <cellStyle name="Normal 12 3 4 2" xfId="3420" xr:uid="{00000000-0005-0000-0000-0000370E0000}"/>
    <cellStyle name="Normal 12 3 4 2 2" xfId="7644" xr:uid="{00000000-0005-0000-0000-0000380E0000}"/>
    <cellStyle name="Normal 12 3 4 2 2 2" xfId="16073" xr:uid="{C16BC0DC-0794-45C0-BCCF-52CB7D1AE7E7}"/>
    <cellStyle name="Normal 12 3 4 2 3" xfId="11855" xr:uid="{E5436610-A322-4041-A6A3-E4D37C7F8F7C}"/>
    <cellStyle name="Normal 12 3 4 3" xfId="5499" xr:uid="{00000000-0005-0000-0000-0000390E0000}"/>
    <cellStyle name="Normal 12 3 4 3 2" xfId="13928" xr:uid="{BB5435AA-6B72-405C-ADE1-C4F5F366804A}"/>
    <cellStyle name="Normal 12 3 4 4" xfId="9710" xr:uid="{9B5F08CE-43F6-41C5-9039-FB1DB7BB52A7}"/>
    <cellStyle name="Normal 12 3 5" xfId="1603" xr:uid="{00000000-0005-0000-0000-00003A0E0000}"/>
    <cellStyle name="Normal 12 3 5 2" xfId="3833" xr:uid="{00000000-0005-0000-0000-00003B0E0000}"/>
    <cellStyle name="Normal 12 3 5 2 2" xfId="8057" xr:uid="{00000000-0005-0000-0000-00003C0E0000}"/>
    <cellStyle name="Normal 12 3 5 2 2 2" xfId="16486" xr:uid="{ED90FD60-3C90-4A6C-B890-F2AA324820F6}"/>
    <cellStyle name="Normal 12 3 5 2 3" xfId="12268" xr:uid="{5AEAB968-B83F-4FCB-94C1-E86F6567885F}"/>
    <cellStyle name="Normal 12 3 5 3" xfId="5912" xr:uid="{00000000-0005-0000-0000-00003D0E0000}"/>
    <cellStyle name="Normal 12 3 5 3 2" xfId="14341" xr:uid="{3B58D6B6-6C3C-426E-8AE4-479396D6F927}"/>
    <cellStyle name="Normal 12 3 5 4" xfId="10123" xr:uid="{B8D1F3EB-1C2A-4E84-9D55-57184EDC494F}"/>
    <cellStyle name="Normal 12 3 6" xfId="2017" xr:uid="{00000000-0005-0000-0000-00003E0E0000}"/>
    <cellStyle name="Normal 12 3 6 2" xfId="4246" xr:uid="{00000000-0005-0000-0000-00003F0E0000}"/>
    <cellStyle name="Normal 12 3 6 2 2" xfId="8470" xr:uid="{00000000-0005-0000-0000-0000400E0000}"/>
    <cellStyle name="Normal 12 3 6 2 2 2" xfId="16899" xr:uid="{10997DE9-3D2B-42D5-B44A-F8DF92E14D9B}"/>
    <cellStyle name="Normal 12 3 6 2 3" xfId="12681" xr:uid="{96705284-9360-47D8-86E9-5DE07F7BCB7B}"/>
    <cellStyle name="Normal 12 3 6 3" xfId="6325" xr:uid="{00000000-0005-0000-0000-0000410E0000}"/>
    <cellStyle name="Normal 12 3 6 3 2" xfId="14754" xr:uid="{AFC42252-F4DE-49C0-8298-EFEE6876CB72}"/>
    <cellStyle name="Normal 12 3 6 4" xfId="10536" xr:uid="{F0C55A1A-578A-4ED6-89FC-0830D1F63D14}"/>
    <cellStyle name="Normal 12 3 7" xfId="2453" xr:uid="{00000000-0005-0000-0000-0000420E0000}"/>
    <cellStyle name="Normal 12 3 7 2" xfId="6738" xr:uid="{00000000-0005-0000-0000-0000430E0000}"/>
    <cellStyle name="Normal 12 3 7 2 2" xfId="15167" xr:uid="{D963EB1B-030D-4471-998A-28E1C707008D}"/>
    <cellStyle name="Normal 12 3 7 3" xfId="10949" xr:uid="{8ABE7BB5-96AF-4687-8EF1-B187E398093E}"/>
    <cellStyle name="Normal 12 3 8" xfId="4672" xr:uid="{00000000-0005-0000-0000-0000440E0000}"/>
    <cellStyle name="Normal 12 3 8 2" xfId="13101" xr:uid="{45E708F7-7B7B-4033-9F05-150317212705}"/>
    <cellStyle name="Normal 12 3 9" xfId="8883" xr:uid="{DAA5C453-9A0C-440D-BF71-C09C1229943A}"/>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2 2 2" xfId="15662" xr:uid="{4B34469E-1FC7-4DEB-B8DA-33431109F276}"/>
    <cellStyle name="Normal 12 4 2 2 3" xfId="11444" xr:uid="{D1945C40-8FD5-4C22-8913-605CE0F45817}"/>
    <cellStyle name="Normal 12 4 2 3" xfId="5088" xr:uid="{00000000-0005-0000-0000-0000490E0000}"/>
    <cellStyle name="Normal 12 4 2 3 2" xfId="13517" xr:uid="{DD8EFFB5-AE31-485B-B1C9-86D611DB8A62}"/>
    <cellStyle name="Normal 12 4 2 4" xfId="9299" xr:uid="{D7810ADE-392C-494E-87A1-5999F30529D7}"/>
    <cellStyle name="Normal 12 4 3" xfId="1191" xr:uid="{00000000-0005-0000-0000-00004A0E0000}"/>
    <cellStyle name="Normal 12 4 3 2" xfId="3422" xr:uid="{00000000-0005-0000-0000-00004B0E0000}"/>
    <cellStyle name="Normal 12 4 3 2 2" xfId="7646" xr:uid="{00000000-0005-0000-0000-00004C0E0000}"/>
    <cellStyle name="Normal 12 4 3 2 2 2" xfId="16075" xr:uid="{86F9C9CB-62CB-4AC5-8260-6213B8C6545C}"/>
    <cellStyle name="Normal 12 4 3 2 3" xfId="11857" xr:uid="{B65F4D43-5DC3-4688-815D-A43315A0F2EF}"/>
    <cellStyle name="Normal 12 4 3 3" xfId="5501" xr:uid="{00000000-0005-0000-0000-00004D0E0000}"/>
    <cellStyle name="Normal 12 4 3 3 2" xfId="13930" xr:uid="{1F9E7B3A-72F3-4AA4-8CD4-097B54F78E16}"/>
    <cellStyle name="Normal 12 4 3 4" xfId="9712" xr:uid="{41BD582A-961B-4302-A1E6-39F9AF3B6915}"/>
    <cellStyle name="Normal 12 4 4" xfId="1605" xr:uid="{00000000-0005-0000-0000-00004E0E0000}"/>
    <cellStyle name="Normal 12 4 4 2" xfId="3835" xr:uid="{00000000-0005-0000-0000-00004F0E0000}"/>
    <cellStyle name="Normal 12 4 4 2 2" xfId="8059" xr:uid="{00000000-0005-0000-0000-0000500E0000}"/>
    <cellStyle name="Normal 12 4 4 2 2 2" xfId="16488" xr:uid="{6D90805D-DD51-4E41-8239-D7A19CBA9F79}"/>
    <cellStyle name="Normal 12 4 4 2 3" xfId="12270" xr:uid="{BCA372C1-7DD8-4E34-8626-B40D948DC1EB}"/>
    <cellStyle name="Normal 12 4 4 3" xfId="5914" xr:uid="{00000000-0005-0000-0000-0000510E0000}"/>
    <cellStyle name="Normal 12 4 4 3 2" xfId="14343" xr:uid="{65B67B3C-3B10-48A8-8D85-EBDA945AC77E}"/>
    <cellStyle name="Normal 12 4 4 4" xfId="10125" xr:uid="{79E78898-785C-4E8B-96D6-1FAF5EF25143}"/>
    <cellStyle name="Normal 12 4 5" xfId="2019" xr:uid="{00000000-0005-0000-0000-0000520E0000}"/>
    <cellStyle name="Normal 12 4 5 2" xfId="4248" xr:uid="{00000000-0005-0000-0000-0000530E0000}"/>
    <cellStyle name="Normal 12 4 5 2 2" xfId="8472" xr:uid="{00000000-0005-0000-0000-0000540E0000}"/>
    <cellStyle name="Normal 12 4 5 2 2 2" xfId="16901" xr:uid="{534285AF-8C0F-4DDE-B1CA-E16300EAF587}"/>
    <cellStyle name="Normal 12 4 5 2 3" xfId="12683" xr:uid="{014A58CE-902B-42E6-BC1B-FE5EC1198713}"/>
    <cellStyle name="Normal 12 4 5 3" xfId="6327" xr:uid="{00000000-0005-0000-0000-0000550E0000}"/>
    <cellStyle name="Normal 12 4 5 3 2" xfId="14756" xr:uid="{ACD28559-CD00-444B-B7D5-BCE6C7F33273}"/>
    <cellStyle name="Normal 12 4 5 4" xfId="10538" xr:uid="{CAD0FC5B-E920-4C50-B2AD-90817DC23BFD}"/>
    <cellStyle name="Normal 12 4 6" xfId="2455" xr:uid="{00000000-0005-0000-0000-0000560E0000}"/>
    <cellStyle name="Normal 12 4 6 2" xfId="6740" xr:uid="{00000000-0005-0000-0000-0000570E0000}"/>
    <cellStyle name="Normal 12 4 6 2 2" xfId="15169" xr:uid="{E5F03A06-D07E-48B8-BC93-1947ACE66664}"/>
    <cellStyle name="Normal 12 4 6 3" xfId="10951" xr:uid="{C8CC9F99-ABF5-4CC5-8096-1087256C52D2}"/>
    <cellStyle name="Normal 12 4 7" xfId="4674" xr:uid="{00000000-0005-0000-0000-0000580E0000}"/>
    <cellStyle name="Normal 12 4 7 2" xfId="13103" xr:uid="{8253E747-6935-4DD0-838E-0AF19AE87F45}"/>
    <cellStyle name="Normal 12 4 8" xfId="8885" xr:uid="{6E230825-4A93-49D2-A8B0-0DB77AE0CA62}"/>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2 2 2" xfId="15655" xr:uid="{28465E20-0DB8-492C-995E-84FF0B960D5F}"/>
    <cellStyle name="Normal 12 6 2 3" xfId="11437" xr:uid="{DF611BEA-333D-4D78-8C90-F0B41D227BA2}"/>
    <cellStyle name="Normal 12 6 3" xfId="5081" xr:uid="{00000000-0005-0000-0000-00005D0E0000}"/>
    <cellStyle name="Normal 12 6 3 2" xfId="13510" xr:uid="{1331DD20-023E-4040-95A5-C8B2AE7E6E17}"/>
    <cellStyle name="Normal 12 6 4" xfId="9292" xr:uid="{FC488CA2-5BBF-4DBC-BC97-FEE1C91BEAAB}"/>
    <cellStyle name="Normal 12 7" xfId="1184" xr:uid="{00000000-0005-0000-0000-00005E0E0000}"/>
    <cellStyle name="Normal 12 7 2" xfId="3415" xr:uid="{00000000-0005-0000-0000-00005F0E0000}"/>
    <cellStyle name="Normal 12 7 2 2" xfId="7639" xr:uid="{00000000-0005-0000-0000-0000600E0000}"/>
    <cellStyle name="Normal 12 7 2 2 2" xfId="16068" xr:uid="{CD26BE3F-B237-40CF-A4C8-FCB62159EC88}"/>
    <cellStyle name="Normal 12 7 2 3" xfId="11850" xr:uid="{6D85ECBB-DD24-467E-B16A-4A8667E2D56B}"/>
    <cellStyle name="Normal 12 7 3" xfId="5494" xr:uid="{00000000-0005-0000-0000-0000610E0000}"/>
    <cellStyle name="Normal 12 7 3 2" xfId="13923" xr:uid="{E4E07B4B-C371-4D9F-9E9E-2C4E0E74F648}"/>
    <cellStyle name="Normal 12 7 4" xfId="9705" xr:uid="{4260B6DC-0E64-486D-B710-2CBE7E60792A}"/>
    <cellStyle name="Normal 12 8" xfId="1598" xr:uid="{00000000-0005-0000-0000-0000620E0000}"/>
    <cellStyle name="Normal 12 8 2" xfId="3828" xr:uid="{00000000-0005-0000-0000-0000630E0000}"/>
    <cellStyle name="Normal 12 8 2 2" xfId="8052" xr:uid="{00000000-0005-0000-0000-0000640E0000}"/>
    <cellStyle name="Normal 12 8 2 2 2" xfId="16481" xr:uid="{B97D1205-C389-443D-83BF-B3CEED8726B2}"/>
    <cellStyle name="Normal 12 8 2 3" xfId="12263" xr:uid="{0961B72C-A57D-4BB0-9F99-EFA6F51AED12}"/>
    <cellStyle name="Normal 12 8 3" xfId="5907" xr:uid="{00000000-0005-0000-0000-0000650E0000}"/>
    <cellStyle name="Normal 12 8 3 2" xfId="14336" xr:uid="{38C08987-D423-4945-9333-8EF8B23E85EA}"/>
    <cellStyle name="Normal 12 8 4" xfId="10118" xr:uid="{3C20612C-C699-4027-A3B4-09E6AA2515E3}"/>
    <cellStyle name="Normal 12 9" xfId="2012" xr:uid="{00000000-0005-0000-0000-0000660E0000}"/>
    <cellStyle name="Normal 12 9 2" xfId="4241" xr:uid="{00000000-0005-0000-0000-0000670E0000}"/>
    <cellStyle name="Normal 12 9 2 2" xfId="8465" xr:uid="{00000000-0005-0000-0000-0000680E0000}"/>
    <cellStyle name="Normal 12 9 2 2 2" xfId="16894" xr:uid="{B507051C-71E2-4A36-BBB8-49CCC0F3D690}"/>
    <cellStyle name="Normal 12 9 2 3" xfId="12676" xr:uid="{CA9C3702-5390-43C3-8EB5-A280F9CE005B}"/>
    <cellStyle name="Normal 12 9 3" xfId="6320" xr:uid="{00000000-0005-0000-0000-0000690E0000}"/>
    <cellStyle name="Normal 12 9 3 2" xfId="14749" xr:uid="{026DF7E4-DEA6-40BD-9484-69413998DAE9}"/>
    <cellStyle name="Normal 12 9 4" xfId="10531" xr:uid="{B18C97D3-FF1C-4CB3-B540-A1CBBD3E2B2C}"/>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2 2 2" xfId="15663" xr:uid="{9B8FEAB2-375B-4B08-A3E4-508186C8E501}"/>
    <cellStyle name="Normal 14 2 2 3" xfId="11445" xr:uid="{7D320D80-1B4C-4D08-89F4-40AA759119E9}"/>
    <cellStyle name="Normal 14 2 3" xfId="5089" xr:uid="{00000000-0005-0000-0000-0000700E0000}"/>
    <cellStyle name="Normal 14 2 3 2" xfId="13518" xr:uid="{E583294B-4C92-4349-8F1D-E09A39AD585F}"/>
    <cellStyle name="Normal 14 2 4" xfId="9300" xr:uid="{8A4850EA-8F31-4C5F-9FD7-10E1FA806C3D}"/>
    <cellStyle name="Normal 14 3" xfId="1192" xr:uid="{00000000-0005-0000-0000-0000710E0000}"/>
    <cellStyle name="Normal 14 3 2" xfId="3423" xr:uid="{00000000-0005-0000-0000-0000720E0000}"/>
    <cellStyle name="Normal 14 3 2 2" xfId="7647" xr:uid="{00000000-0005-0000-0000-0000730E0000}"/>
    <cellStyle name="Normal 14 3 2 2 2" xfId="16076" xr:uid="{9F0EFA13-5F54-4283-B5AD-BE9402D09510}"/>
    <cellStyle name="Normal 14 3 2 3" xfId="11858" xr:uid="{B7844643-A2DC-4630-B95D-45CFFC630ACA}"/>
    <cellStyle name="Normal 14 3 3" xfId="5502" xr:uid="{00000000-0005-0000-0000-0000740E0000}"/>
    <cellStyle name="Normal 14 3 3 2" xfId="13931" xr:uid="{014DD9DA-9DC3-45FE-9553-A818E6BF95A9}"/>
    <cellStyle name="Normal 14 3 4" xfId="9713" xr:uid="{84D6CBEC-7504-49D7-A418-2AB789CC2C97}"/>
    <cellStyle name="Normal 14 4" xfId="1606" xr:uid="{00000000-0005-0000-0000-0000750E0000}"/>
    <cellStyle name="Normal 14 4 2" xfId="3836" xr:uid="{00000000-0005-0000-0000-0000760E0000}"/>
    <cellStyle name="Normal 14 4 2 2" xfId="8060" xr:uid="{00000000-0005-0000-0000-0000770E0000}"/>
    <cellStyle name="Normal 14 4 2 2 2" xfId="16489" xr:uid="{D2E73A4F-79D4-4816-99CF-D2D015E8B130}"/>
    <cellStyle name="Normal 14 4 2 3" xfId="12271" xr:uid="{8114F0DB-9E64-42E9-B4F9-000449DBFB73}"/>
    <cellStyle name="Normal 14 4 3" xfId="5915" xr:uid="{00000000-0005-0000-0000-0000780E0000}"/>
    <cellStyle name="Normal 14 4 3 2" xfId="14344" xr:uid="{8A0BF8CE-307C-4131-9845-CF832D65DA84}"/>
    <cellStyle name="Normal 14 4 4" xfId="10126" xr:uid="{CF226E75-472D-44CB-A865-9DCFB5D9D541}"/>
    <cellStyle name="Normal 14 5" xfId="2020" xr:uid="{00000000-0005-0000-0000-0000790E0000}"/>
    <cellStyle name="Normal 14 5 2" xfId="4249" xr:uid="{00000000-0005-0000-0000-00007A0E0000}"/>
    <cellStyle name="Normal 14 5 2 2" xfId="8473" xr:uid="{00000000-0005-0000-0000-00007B0E0000}"/>
    <cellStyle name="Normal 14 5 2 2 2" xfId="16902" xr:uid="{E5C8F5BF-E14E-4DFA-A011-9495615D7108}"/>
    <cellStyle name="Normal 14 5 2 3" xfId="12684" xr:uid="{CAA8BCF6-83A2-41FF-9AC6-525FB805F9C6}"/>
    <cellStyle name="Normal 14 5 3" xfId="6328" xr:uid="{00000000-0005-0000-0000-00007C0E0000}"/>
    <cellStyle name="Normal 14 5 3 2" xfId="14757" xr:uid="{DE8F48C3-C5A0-49AA-BFB2-9C759ECAEDF0}"/>
    <cellStyle name="Normal 14 5 4" xfId="10539" xr:uid="{87AD5F7E-55FC-4D57-8948-70FA12346921}"/>
    <cellStyle name="Normal 14 6" xfId="2456" xr:uid="{00000000-0005-0000-0000-00007D0E0000}"/>
    <cellStyle name="Normal 14 6 2" xfId="6741" xr:uid="{00000000-0005-0000-0000-00007E0E0000}"/>
    <cellStyle name="Normal 14 6 2 2" xfId="15170" xr:uid="{87AC63B2-4EAE-4748-AE3C-0126C37E9E33}"/>
    <cellStyle name="Normal 14 6 3" xfId="10952" xr:uid="{37F1C512-531D-4CF0-AEA6-A43EF88A1029}"/>
    <cellStyle name="Normal 14 7" xfId="4675" xr:uid="{00000000-0005-0000-0000-00007F0E0000}"/>
    <cellStyle name="Normal 14 7 2" xfId="13104" xr:uid="{076750DB-7CC1-4270-9F6F-42E55D5A2DD5}"/>
    <cellStyle name="Normal 14 8" xfId="8886" xr:uid="{760A046B-9E54-478D-AA3D-26855986480E}"/>
    <cellStyle name="Normal 15" xfId="4497" xr:uid="{00000000-0005-0000-0000-0000800E0000}"/>
    <cellStyle name="Normal 15 2" xfId="12930" xr:uid="{3BAA9D4B-5923-461F-8C5C-494F4194BE16}"/>
    <cellStyle name="Normal 16" xfId="4501" xr:uid="{00000000-0005-0000-0000-0000810E0000}"/>
    <cellStyle name="Normal 16 2" xfId="12933" xr:uid="{738B5C2E-3E80-4831-9277-F86F5CF4350A}"/>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2 2 2" xfId="16903" xr:uid="{8B8E1C73-4967-45BA-993A-D3C6135344A6}"/>
    <cellStyle name="Normal 2 4 2 10 2 3" xfId="12685" xr:uid="{6E3ADAF9-7BCC-47AC-80DC-90143362F346}"/>
    <cellStyle name="Normal 2 4 2 10 3" xfId="6329" xr:uid="{00000000-0005-0000-0000-0000900E0000}"/>
    <cellStyle name="Normal 2 4 2 10 3 2" xfId="14758" xr:uid="{D7FE0CAA-F295-4A72-963F-7D9255F9C6DA}"/>
    <cellStyle name="Normal 2 4 2 10 4" xfId="10540" xr:uid="{D85EFAAB-0796-400C-9F98-D00E8490CF7B}"/>
    <cellStyle name="Normal 2 4 2 11" xfId="2457" xr:uid="{00000000-0005-0000-0000-0000910E0000}"/>
    <cellStyle name="Normal 2 4 2 11 2" xfId="6742" xr:uid="{00000000-0005-0000-0000-0000920E0000}"/>
    <cellStyle name="Normal 2 4 2 11 2 2" xfId="15171" xr:uid="{3084923A-B981-43AF-ABC3-865EBE8C9C84}"/>
    <cellStyle name="Normal 2 4 2 11 3" xfId="10953" xr:uid="{9B19EB9C-04FA-467E-B334-3795FC7DAD5A}"/>
    <cellStyle name="Normal 2 4 2 12" xfId="4676" xr:uid="{00000000-0005-0000-0000-0000930E0000}"/>
    <cellStyle name="Normal 2 4 2 12 2" xfId="13105" xr:uid="{835EC6B6-3117-482F-AA0B-BC6621648AF4}"/>
    <cellStyle name="Normal 2 4 2 13" xfId="8887" xr:uid="{E19E98C9-573D-4E45-8371-5A6A89FD16E6}"/>
    <cellStyle name="Normal 2 4 2 2" xfId="280" xr:uid="{00000000-0005-0000-0000-0000940E0000}"/>
    <cellStyle name="Normal 2 4 2 3" xfId="281" xr:uid="{00000000-0005-0000-0000-0000950E0000}"/>
    <cellStyle name="Normal 2 4 2 3 10" xfId="4677" xr:uid="{00000000-0005-0000-0000-0000960E0000}"/>
    <cellStyle name="Normal 2 4 2 3 10 2" xfId="13106" xr:uid="{989B5452-7804-4A48-A9C5-FFE1F5B76700}"/>
    <cellStyle name="Normal 2 4 2 3 11" xfId="8888" xr:uid="{D636B7EB-7B3C-4167-8FD1-4E1C2E2EE28F}"/>
    <cellStyle name="Normal 2 4 2 3 2" xfId="282" xr:uid="{00000000-0005-0000-0000-0000970E0000}"/>
    <cellStyle name="Normal 2 4 2 3 2 10" xfId="8889" xr:uid="{C361BFEB-B6A2-4D2E-8853-7FDF22A19873}"/>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2 2 2" xfId="15668" xr:uid="{BDE9E171-EB31-4133-A5B4-FE4B84E1B33F}"/>
    <cellStyle name="Normal 2 4 2 3 2 2 2 2 2 3" xfId="11450" xr:uid="{C55B9001-C6B5-45F9-956E-D69C885FAE05}"/>
    <cellStyle name="Normal 2 4 2 3 2 2 2 2 3" xfId="5094" xr:uid="{00000000-0005-0000-0000-00009D0E0000}"/>
    <cellStyle name="Normal 2 4 2 3 2 2 2 2 3 2" xfId="13523" xr:uid="{54DA480F-124C-43A4-B450-B095A251F1E1}"/>
    <cellStyle name="Normal 2 4 2 3 2 2 2 2 4" xfId="9305" xr:uid="{AD7F7F1C-BDF4-4024-A4DF-9DB1DF07871B}"/>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2 2 2" xfId="16081" xr:uid="{50759CE8-C8B4-4EDA-BE36-BF93BD28576F}"/>
    <cellStyle name="Normal 2 4 2 3 2 2 2 3 2 3" xfId="11863" xr:uid="{DB2016AF-0F9F-4CCE-B99B-65054CF2DE5B}"/>
    <cellStyle name="Normal 2 4 2 3 2 2 2 3 3" xfId="5507" xr:uid="{00000000-0005-0000-0000-0000A10E0000}"/>
    <cellStyle name="Normal 2 4 2 3 2 2 2 3 3 2" xfId="13936" xr:uid="{94B70B5A-16C0-478B-BDB8-5E8611F223BF}"/>
    <cellStyle name="Normal 2 4 2 3 2 2 2 3 4" xfId="9718" xr:uid="{DCB4FC5B-FB60-41FC-BBCB-9D724F6FAD36}"/>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2 2 2" xfId="16494" xr:uid="{C7D0E7A4-797C-429B-A4B3-BDC14640F53F}"/>
    <cellStyle name="Normal 2 4 2 3 2 2 2 4 2 3" xfId="12276" xr:uid="{63FCB410-E80B-473D-ACBD-269FE2624031}"/>
    <cellStyle name="Normal 2 4 2 3 2 2 2 4 3" xfId="5920" xr:uid="{00000000-0005-0000-0000-0000A50E0000}"/>
    <cellStyle name="Normal 2 4 2 3 2 2 2 4 3 2" xfId="14349" xr:uid="{22800917-1679-4955-B2C4-A0F7FA8F8B01}"/>
    <cellStyle name="Normal 2 4 2 3 2 2 2 4 4" xfId="10131" xr:uid="{D42C5AF8-9214-43AC-B9E9-5FD393775F06}"/>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2 2 2" xfId="16907" xr:uid="{5CDE6ABF-5024-4B0E-972B-4700B0C2988B}"/>
    <cellStyle name="Normal 2 4 2 3 2 2 2 5 2 3" xfId="12689" xr:uid="{5F84459F-DF8E-478E-AE40-51414D596124}"/>
    <cellStyle name="Normal 2 4 2 3 2 2 2 5 3" xfId="6333" xr:uid="{00000000-0005-0000-0000-0000A90E0000}"/>
    <cellStyle name="Normal 2 4 2 3 2 2 2 5 3 2" xfId="14762" xr:uid="{FDDF8D94-5C4C-42DB-BAF6-29208AAC0C75}"/>
    <cellStyle name="Normal 2 4 2 3 2 2 2 5 4" xfId="10544" xr:uid="{92DB6B9A-B261-491E-8F1A-4D83164C4648}"/>
    <cellStyle name="Normal 2 4 2 3 2 2 2 6" xfId="2461" xr:uid="{00000000-0005-0000-0000-0000AA0E0000}"/>
    <cellStyle name="Normal 2 4 2 3 2 2 2 6 2" xfId="6746" xr:uid="{00000000-0005-0000-0000-0000AB0E0000}"/>
    <cellStyle name="Normal 2 4 2 3 2 2 2 6 2 2" xfId="15175" xr:uid="{0FEFBC0A-AAE1-4D23-A840-1FFE2D50D541}"/>
    <cellStyle name="Normal 2 4 2 3 2 2 2 6 3" xfId="10957" xr:uid="{AC72A9C7-09DB-47B3-BE49-CC95F55A87C2}"/>
    <cellStyle name="Normal 2 4 2 3 2 2 2 7" xfId="4680" xr:uid="{00000000-0005-0000-0000-0000AC0E0000}"/>
    <cellStyle name="Normal 2 4 2 3 2 2 2 7 2" xfId="13109" xr:uid="{2E6317B2-DC96-4784-BD56-1B889E1DA10C}"/>
    <cellStyle name="Normal 2 4 2 3 2 2 2 8" xfId="8891" xr:uid="{BC9F9A29-6EC8-480E-9C92-199B207992A6}"/>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2 2 2" xfId="15667" xr:uid="{B111362C-1FCA-43AA-8A49-B2B2C5D93830}"/>
    <cellStyle name="Normal 2 4 2 3 2 2 3 2 3" xfId="11449" xr:uid="{57768579-9644-485E-A1DF-15B56B9A7C9B}"/>
    <cellStyle name="Normal 2 4 2 3 2 2 3 3" xfId="5093" xr:uid="{00000000-0005-0000-0000-0000B00E0000}"/>
    <cellStyle name="Normal 2 4 2 3 2 2 3 3 2" xfId="13522" xr:uid="{C24611A9-8C46-44C2-9F37-48FA00D9FDCB}"/>
    <cellStyle name="Normal 2 4 2 3 2 2 3 4" xfId="9304" xr:uid="{FB154B5D-3DE5-4D4D-AA5C-49794BE1878E}"/>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2 2 2" xfId="16080" xr:uid="{63DF3A00-1F96-473B-914E-11F6103F53FD}"/>
    <cellStyle name="Normal 2 4 2 3 2 2 4 2 3" xfId="11862" xr:uid="{DD2E2811-DB92-4AA8-9065-4B64BEA782F2}"/>
    <cellStyle name="Normal 2 4 2 3 2 2 4 3" xfId="5506" xr:uid="{00000000-0005-0000-0000-0000B40E0000}"/>
    <cellStyle name="Normal 2 4 2 3 2 2 4 3 2" xfId="13935" xr:uid="{F38DB2FD-3D28-49BB-99D9-86F613AD3E82}"/>
    <cellStyle name="Normal 2 4 2 3 2 2 4 4" xfId="9717" xr:uid="{780F2484-A0CF-4173-BBF6-FC8B22E6723E}"/>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2 2 2" xfId="16493" xr:uid="{AEED2433-DB0E-4987-A8BC-FE34294C7064}"/>
    <cellStyle name="Normal 2 4 2 3 2 2 5 2 3" xfId="12275" xr:uid="{4DEA67C4-33FD-4C0D-8772-FE2AB2D7AA1E}"/>
    <cellStyle name="Normal 2 4 2 3 2 2 5 3" xfId="5919" xr:uid="{00000000-0005-0000-0000-0000B80E0000}"/>
    <cellStyle name="Normal 2 4 2 3 2 2 5 3 2" xfId="14348" xr:uid="{17FE6FC1-62BF-40A1-BC2A-6E0650BFED26}"/>
    <cellStyle name="Normal 2 4 2 3 2 2 5 4" xfId="10130" xr:uid="{199D8378-3857-40AA-9503-6387E200140C}"/>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2 2 2" xfId="16906" xr:uid="{A1871CD6-CE05-449C-AA1D-D344C47E316E}"/>
    <cellStyle name="Normal 2 4 2 3 2 2 6 2 3" xfId="12688" xr:uid="{066E7429-9C24-4C06-AC38-EBCE5C8E6E90}"/>
    <cellStyle name="Normal 2 4 2 3 2 2 6 3" xfId="6332" xr:uid="{00000000-0005-0000-0000-0000BC0E0000}"/>
    <cellStyle name="Normal 2 4 2 3 2 2 6 3 2" xfId="14761" xr:uid="{4D83DEB9-9D48-4682-91D4-9D758B93D528}"/>
    <cellStyle name="Normal 2 4 2 3 2 2 6 4" xfId="10543" xr:uid="{8D98627A-DBFD-4350-B235-DFC4DC58C336}"/>
    <cellStyle name="Normal 2 4 2 3 2 2 7" xfId="2460" xr:uid="{00000000-0005-0000-0000-0000BD0E0000}"/>
    <cellStyle name="Normal 2 4 2 3 2 2 7 2" xfId="6745" xr:uid="{00000000-0005-0000-0000-0000BE0E0000}"/>
    <cellStyle name="Normal 2 4 2 3 2 2 7 2 2" xfId="15174" xr:uid="{1C95E4A8-0A20-44D6-803F-560D23A796BA}"/>
    <cellStyle name="Normal 2 4 2 3 2 2 7 3" xfId="10956" xr:uid="{3C28990C-604F-46B9-9A89-954AF2DFFB7E}"/>
    <cellStyle name="Normal 2 4 2 3 2 2 8" xfId="4679" xr:uid="{00000000-0005-0000-0000-0000BF0E0000}"/>
    <cellStyle name="Normal 2 4 2 3 2 2 8 2" xfId="13108" xr:uid="{513B8EC9-E34E-494C-99F2-6D3C060A18A8}"/>
    <cellStyle name="Normal 2 4 2 3 2 2 9" xfId="8890" xr:uid="{077F51A6-2164-4B39-A5F2-68D9B33AC0D3}"/>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2 2 2" xfId="15669" xr:uid="{71C05C45-EAB0-47EF-A1FF-374F7C437311}"/>
    <cellStyle name="Normal 2 4 2 3 2 3 2 2 3" xfId="11451" xr:uid="{0C75DCB4-E3BD-4319-9701-5D83F8C32FA1}"/>
    <cellStyle name="Normal 2 4 2 3 2 3 2 3" xfId="5095" xr:uid="{00000000-0005-0000-0000-0000C40E0000}"/>
    <cellStyle name="Normal 2 4 2 3 2 3 2 3 2" xfId="13524" xr:uid="{2F412EC1-FF0D-4D7D-9B97-F7D78C0E5CE7}"/>
    <cellStyle name="Normal 2 4 2 3 2 3 2 4" xfId="9306" xr:uid="{112C661F-5565-45A4-8100-3B85FD51EEB9}"/>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2 2 2" xfId="16082" xr:uid="{FBC76AD0-ED23-40D6-AB89-9A747ABE22ED}"/>
    <cellStyle name="Normal 2 4 2 3 2 3 3 2 3" xfId="11864" xr:uid="{58579B53-DAEE-40CE-AB40-0048EF934F7D}"/>
    <cellStyle name="Normal 2 4 2 3 2 3 3 3" xfId="5508" xr:uid="{00000000-0005-0000-0000-0000C80E0000}"/>
    <cellStyle name="Normal 2 4 2 3 2 3 3 3 2" xfId="13937" xr:uid="{4A63FBE5-9495-4768-BE0B-BE59E44B4652}"/>
    <cellStyle name="Normal 2 4 2 3 2 3 3 4" xfId="9719" xr:uid="{528B1790-97C1-4336-AF06-62C5C712BD95}"/>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2 2 2" xfId="16495" xr:uid="{AB2021C0-7696-4517-8296-B16471040A4B}"/>
    <cellStyle name="Normal 2 4 2 3 2 3 4 2 3" xfId="12277" xr:uid="{2AD08F1D-4D3A-4084-B937-79F32E3842A1}"/>
    <cellStyle name="Normal 2 4 2 3 2 3 4 3" xfId="5921" xr:uid="{00000000-0005-0000-0000-0000CC0E0000}"/>
    <cellStyle name="Normal 2 4 2 3 2 3 4 3 2" xfId="14350" xr:uid="{51711D13-6466-431E-A984-AB7E9C921A15}"/>
    <cellStyle name="Normal 2 4 2 3 2 3 4 4" xfId="10132" xr:uid="{71915630-82C6-4486-A16B-80F2779EFEF1}"/>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2 2 2" xfId="16908" xr:uid="{68C2A72F-7A01-4C4F-86F1-D90AEA7A0944}"/>
    <cellStyle name="Normal 2 4 2 3 2 3 5 2 3" xfId="12690" xr:uid="{AC4F1720-A360-4A8A-8D04-919F40C0A41C}"/>
    <cellStyle name="Normal 2 4 2 3 2 3 5 3" xfId="6334" xr:uid="{00000000-0005-0000-0000-0000D00E0000}"/>
    <cellStyle name="Normal 2 4 2 3 2 3 5 3 2" xfId="14763" xr:uid="{B5A74C7D-0A39-4B81-93C4-E82C0C074147}"/>
    <cellStyle name="Normal 2 4 2 3 2 3 5 4" xfId="10545" xr:uid="{6193AB1D-BDCC-462E-AD66-29519CC8E948}"/>
    <cellStyle name="Normal 2 4 2 3 2 3 6" xfId="2462" xr:uid="{00000000-0005-0000-0000-0000D10E0000}"/>
    <cellStyle name="Normal 2 4 2 3 2 3 6 2" xfId="6747" xr:uid="{00000000-0005-0000-0000-0000D20E0000}"/>
    <cellStyle name="Normal 2 4 2 3 2 3 6 2 2" xfId="15176" xr:uid="{7024A076-8263-48B0-97F5-6DEEF9CAE359}"/>
    <cellStyle name="Normal 2 4 2 3 2 3 6 3" xfId="10958" xr:uid="{0AB62B00-A4F4-4440-A449-6B35EF52F06A}"/>
    <cellStyle name="Normal 2 4 2 3 2 3 7" xfId="4681" xr:uid="{00000000-0005-0000-0000-0000D30E0000}"/>
    <cellStyle name="Normal 2 4 2 3 2 3 7 2" xfId="13110" xr:uid="{36ED7809-E0E6-4D2B-BBF8-822DC1E98809}"/>
    <cellStyle name="Normal 2 4 2 3 2 3 8" xfId="8892" xr:uid="{A3EC63D2-DC85-4965-874F-7F0A86DFBAA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2 2 2" xfId="15666" xr:uid="{C942AC89-F506-41A8-9650-7455D14D5A7B}"/>
    <cellStyle name="Normal 2 4 2 3 2 4 2 3" xfId="11448" xr:uid="{D1A6E46C-2D4F-4B27-AAA4-F93BF2FD2BAF}"/>
    <cellStyle name="Normal 2 4 2 3 2 4 3" xfId="5092" xr:uid="{00000000-0005-0000-0000-0000D70E0000}"/>
    <cellStyle name="Normal 2 4 2 3 2 4 3 2" xfId="13521" xr:uid="{C5C49E7D-C315-41C7-99D8-9BDB80AB3CC0}"/>
    <cellStyle name="Normal 2 4 2 3 2 4 4" xfId="9303" xr:uid="{49426B6C-872B-48DD-BE3A-8A373B688741}"/>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2 2 2" xfId="16079" xr:uid="{0542131E-919B-4D17-B324-661246D81E02}"/>
    <cellStyle name="Normal 2 4 2 3 2 5 2 3" xfId="11861" xr:uid="{F0D6D7ED-E54D-4269-8792-44C18FD5BA7F}"/>
    <cellStyle name="Normal 2 4 2 3 2 5 3" xfId="5505" xr:uid="{00000000-0005-0000-0000-0000DB0E0000}"/>
    <cellStyle name="Normal 2 4 2 3 2 5 3 2" xfId="13934" xr:uid="{79206487-A888-4238-97C6-F57A8BC78BB9}"/>
    <cellStyle name="Normal 2 4 2 3 2 5 4" xfId="9716" xr:uid="{FE4D3E35-6665-4221-8336-16B3EEC6693C}"/>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2 2 2" xfId="16492" xr:uid="{21F3CC01-3B48-4F8A-9E81-250BADBFD2F1}"/>
    <cellStyle name="Normal 2 4 2 3 2 6 2 3" xfId="12274" xr:uid="{6AE0E30E-B84C-4893-A60A-99A3F33B9900}"/>
    <cellStyle name="Normal 2 4 2 3 2 6 3" xfId="5918" xr:uid="{00000000-0005-0000-0000-0000DF0E0000}"/>
    <cellStyle name="Normal 2 4 2 3 2 6 3 2" xfId="14347" xr:uid="{4EA5A879-E7AD-46A6-AE54-BB2236DAEC99}"/>
    <cellStyle name="Normal 2 4 2 3 2 6 4" xfId="10129" xr:uid="{B665620F-4192-4C36-9C10-9E591E6D7F7B}"/>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2 2 2" xfId="16905" xr:uid="{6AC3F834-0C5D-4409-9B4B-33A7C4E276D0}"/>
    <cellStyle name="Normal 2 4 2 3 2 7 2 3" xfId="12687" xr:uid="{C3728380-206E-4F2A-8405-694CB65A9264}"/>
    <cellStyle name="Normal 2 4 2 3 2 7 3" xfId="6331" xr:uid="{00000000-0005-0000-0000-0000E30E0000}"/>
    <cellStyle name="Normal 2 4 2 3 2 7 3 2" xfId="14760" xr:uid="{2533EAE9-2408-4D06-89C3-7126F56865D4}"/>
    <cellStyle name="Normal 2 4 2 3 2 7 4" xfId="10542" xr:uid="{E821A5E1-C636-4D6B-9868-E69209639CA2}"/>
    <cellStyle name="Normal 2 4 2 3 2 8" xfId="2459" xr:uid="{00000000-0005-0000-0000-0000E40E0000}"/>
    <cellStyle name="Normal 2 4 2 3 2 8 2" xfId="6744" xr:uid="{00000000-0005-0000-0000-0000E50E0000}"/>
    <cellStyle name="Normal 2 4 2 3 2 8 2 2" xfId="15173" xr:uid="{4AD0DA0F-0BF3-4200-A5BA-28B841D4C2BF}"/>
    <cellStyle name="Normal 2 4 2 3 2 8 3" xfId="10955" xr:uid="{DED8A2F9-B7B3-4248-8495-7796CF79EFAA}"/>
    <cellStyle name="Normal 2 4 2 3 2 9" xfId="4678" xr:uid="{00000000-0005-0000-0000-0000E60E0000}"/>
    <cellStyle name="Normal 2 4 2 3 2 9 2" xfId="13107" xr:uid="{B6125680-A629-4E1A-BBBF-CFDE72699733}"/>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2 2 2" xfId="15671" xr:uid="{F4A92EA8-8F7C-4C50-B9A0-AD71080C9925}"/>
    <cellStyle name="Normal 2 4 2 3 3 2 2 2 3" xfId="11453" xr:uid="{322EA5B2-93EC-4C9B-898F-0963CF7AFDAE}"/>
    <cellStyle name="Normal 2 4 2 3 3 2 2 3" xfId="5097" xr:uid="{00000000-0005-0000-0000-0000EC0E0000}"/>
    <cellStyle name="Normal 2 4 2 3 3 2 2 3 2" xfId="13526" xr:uid="{8547A8CA-2F00-4D1A-96F8-83F476711ED3}"/>
    <cellStyle name="Normal 2 4 2 3 3 2 2 4" xfId="9308" xr:uid="{91980AB7-ADD3-4549-B944-DE926FCF2E0D}"/>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2 2 2" xfId="16084" xr:uid="{068480C7-1396-4093-8F27-44C5CE146E33}"/>
    <cellStyle name="Normal 2 4 2 3 3 2 3 2 3" xfId="11866" xr:uid="{5D8865C6-6512-4970-887B-3CE7328467A9}"/>
    <cellStyle name="Normal 2 4 2 3 3 2 3 3" xfId="5510" xr:uid="{00000000-0005-0000-0000-0000F00E0000}"/>
    <cellStyle name="Normal 2 4 2 3 3 2 3 3 2" xfId="13939" xr:uid="{2287F2C9-E85A-43E7-9552-2880026DCC97}"/>
    <cellStyle name="Normal 2 4 2 3 3 2 3 4" xfId="9721" xr:uid="{C107A83A-4653-481D-A138-DB93398B57F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2 2 2" xfId="16497" xr:uid="{19C79AA4-2446-4F16-8A2B-F8DACB110834}"/>
    <cellStyle name="Normal 2 4 2 3 3 2 4 2 3" xfId="12279" xr:uid="{82528C18-214E-4F35-B45C-8951E3416D49}"/>
    <cellStyle name="Normal 2 4 2 3 3 2 4 3" xfId="5923" xr:uid="{00000000-0005-0000-0000-0000F40E0000}"/>
    <cellStyle name="Normal 2 4 2 3 3 2 4 3 2" xfId="14352" xr:uid="{8D7DA3A4-F02A-4BB2-811C-A277D3DFAF05}"/>
    <cellStyle name="Normal 2 4 2 3 3 2 4 4" xfId="10134" xr:uid="{B6D39BB8-5C5C-4A6A-A9E4-F0BC4ACD1315}"/>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2 2 2" xfId="16910" xr:uid="{A88375BE-EC5D-4A83-BA96-6DB4824D8806}"/>
    <cellStyle name="Normal 2 4 2 3 3 2 5 2 3" xfId="12692" xr:uid="{C81E19C3-F292-4CEB-B00C-0C24DAF25D81}"/>
    <cellStyle name="Normal 2 4 2 3 3 2 5 3" xfId="6336" xr:uid="{00000000-0005-0000-0000-0000F80E0000}"/>
    <cellStyle name="Normal 2 4 2 3 3 2 5 3 2" xfId="14765" xr:uid="{5148E30C-210A-4105-A667-81411A778597}"/>
    <cellStyle name="Normal 2 4 2 3 3 2 5 4" xfId="10547" xr:uid="{7FEC8748-B4BE-46A2-BACB-D4F1FD63BEBF}"/>
    <cellStyle name="Normal 2 4 2 3 3 2 6" xfId="2464" xr:uid="{00000000-0005-0000-0000-0000F90E0000}"/>
    <cellStyle name="Normal 2 4 2 3 3 2 6 2" xfId="6749" xr:uid="{00000000-0005-0000-0000-0000FA0E0000}"/>
    <cellStyle name="Normal 2 4 2 3 3 2 6 2 2" xfId="15178" xr:uid="{57C8C171-B447-4CF1-ACE5-AA2220666D8A}"/>
    <cellStyle name="Normal 2 4 2 3 3 2 6 3" xfId="10960" xr:uid="{9B6B8EA5-A15D-4DD1-9139-C32633F45BEB}"/>
    <cellStyle name="Normal 2 4 2 3 3 2 7" xfId="4683" xr:uid="{00000000-0005-0000-0000-0000FB0E0000}"/>
    <cellStyle name="Normal 2 4 2 3 3 2 7 2" xfId="13112" xr:uid="{97AAD015-EC3A-4A58-A261-86687D9EA622}"/>
    <cellStyle name="Normal 2 4 2 3 3 2 8" xfId="8894" xr:uid="{1922DA44-6CFE-493A-AE6E-07723648A3A7}"/>
    <cellStyle name="Normal 2 4 2 3 3 3" xfId="778" xr:uid="{00000000-0005-0000-0000-0000FC0E0000}"/>
    <cellStyle name="Normal 2 4 2 3 3 3 2" xfId="3017" xr:uid="{00000000-0005-0000-0000-0000FD0E0000}"/>
    <cellStyle name="Normal 2 4 2 3 3 3 2 2" xfId="7241" xr:uid="{00000000-0005-0000-0000-0000FE0E0000}"/>
    <cellStyle name="Normal 2 4 2 3 3 3 2 2 2" xfId="15670" xr:uid="{36CECCB6-56BB-436C-A8A9-D918699EE92D}"/>
    <cellStyle name="Normal 2 4 2 3 3 3 2 3" xfId="11452" xr:uid="{C9C7A0A7-2197-4B8C-A6E9-6632C53249ED}"/>
    <cellStyle name="Normal 2 4 2 3 3 3 3" xfId="5096" xr:uid="{00000000-0005-0000-0000-0000FF0E0000}"/>
    <cellStyle name="Normal 2 4 2 3 3 3 3 2" xfId="13525" xr:uid="{2BA8DF65-1E57-4446-BB97-D59FBA6AC9BE}"/>
    <cellStyle name="Normal 2 4 2 3 3 3 4" xfId="9307" xr:uid="{217E98F1-D3ED-40F4-A6EC-D70F3A7DA586}"/>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2 2 2" xfId="16083" xr:uid="{CB15BBC7-1794-42EB-BC3B-4A886F3A10F6}"/>
    <cellStyle name="Normal 2 4 2 3 3 4 2 3" xfId="11865" xr:uid="{4D9AA798-B9DB-4F24-B3A4-1860B2155CF4}"/>
    <cellStyle name="Normal 2 4 2 3 3 4 3" xfId="5509" xr:uid="{00000000-0005-0000-0000-0000030F0000}"/>
    <cellStyle name="Normal 2 4 2 3 3 4 3 2" xfId="13938" xr:uid="{C306FBB9-5903-453C-BAB4-12F6EDF8725D}"/>
    <cellStyle name="Normal 2 4 2 3 3 4 4" xfId="9720" xr:uid="{9D47E3DF-3F8F-486B-9DE3-E318E01D7453}"/>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2 2 2" xfId="16496" xr:uid="{CA817DB1-9604-4E8F-98CD-DEDF1B13736D}"/>
    <cellStyle name="Normal 2 4 2 3 3 5 2 3" xfId="12278" xr:uid="{4A6C91B0-36B9-499A-86F9-9BDA692DF4F6}"/>
    <cellStyle name="Normal 2 4 2 3 3 5 3" xfId="5922" xr:uid="{00000000-0005-0000-0000-0000070F0000}"/>
    <cellStyle name="Normal 2 4 2 3 3 5 3 2" xfId="14351" xr:uid="{2A0DE859-A671-4F4B-9C6D-2EDB01AA8405}"/>
    <cellStyle name="Normal 2 4 2 3 3 5 4" xfId="10133" xr:uid="{11FA2688-09DB-4000-A4EB-59224A8E0C38}"/>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2 2 2" xfId="16909" xr:uid="{8C95BB79-436D-407F-A8B4-FAA90F2D4876}"/>
    <cellStyle name="Normal 2 4 2 3 3 6 2 3" xfId="12691" xr:uid="{24117D4D-26BE-4633-BB20-FA253F9B45D9}"/>
    <cellStyle name="Normal 2 4 2 3 3 6 3" xfId="6335" xr:uid="{00000000-0005-0000-0000-00000B0F0000}"/>
    <cellStyle name="Normal 2 4 2 3 3 6 3 2" xfId="14764" xr:uid="{4801E992-762F-47AE-90D3-D3CECB5F625F}"/>
    <cellStyle name="Normal 2 4 2 3 3 6 4" xfId="10546" xr:uid="{AEAAFD49-4879-42A9-AFF4-CFC03B1D5F55}"/>
    <cellStyle name="Normal 2 4 2 3 3 7" xfId="2463" xr:uid="{00000000-0005-0000-0000-00000C0F0000}"/>
    <cellStyle name="Normal 2 4 2 3 3 7 2" xfId="6748" xr:uid="{00000000-0005-0000-0000-00000D0F0000}"/>
    <cellStyle name="Normal 2 4 2 3 3 7 2 2" xfId="15177" xr:uid="{9CF9C149-4268-48DC-AF7A-DFD81D02504E}"/>
    <cellStyle name="Normal 2 4 2 3 3 7 3" xfId="10959" xr:uid="{E46FA51E-A81E-4DE2-A105-0C3BC5109111}"/>
    <cellStyle name="Normal 2 4 2 3 3 8" xfId="4682" xr:uid="{00000000-0005-0000-0000-00000E0F0000}"/>
    <cellStyle name="Normal 2 4 2 3 3 8 2" xfId="13111" xr:uid="{1023F50C-36DC-49C3-961E-E1439874B214}"/>
    <cellStyle name="Normal 2 4 2 3 3 9" xfId="8893" xr:uid="{8943E03D-19D9-4287-842B-87E55D1C1204}"/>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2 2 2" xfId="15672" xr:uid="{7FE58461-409B-47DE-BF11-130928738FF3}"/>
    <cellStyle name="Normal 2 4 2 3 4 2 2 3" xfId="11454" xr:uid="{B1C06AD2-B7EB-4CF9-95C8-748A8BAD6B15}"/>
    <cellStyle name="Normal 2 4 2 3 4 2 3" xfId="5098" xr:uid="{00000000-0005-0000-0000-0000130F0000}"/>
    <cellStyle name="Normal 2 4 2 3 4 2 3 2" xfId="13527" xr:uid="{20A95773-82F8-45D4-8302-96405B41A2B8}"/>
    <cellStyle name="Normal 2 4 2 3 4 2 4" xfId="9309" xr:uid="{FF41BEEB-7B61-491F-AFC7-CE526B9A8CE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2 2 2" xfId="16085" xr:uid="{5EACD151-973D-4342-ABE2-FEB92C2949D3}"/>
    <cellStyle name="Normal 2 4 2 3 4 3 2 3" xfId="11867" xr:uid="{8F30A623-29E1-42EE-B954-A10910753D38}"/>
    <cellStyle name="Normal 2 4 2 3 4 3 3" xfId="5511" xr:uid="{00000000-0005-0000-0000-0000170F0000}"/>
    <cellStyle name="Normal 2 4 2 3 4 3 3 2" xfId="13940" xr:uid="{70B38E67-6F6D-463F-9297-719B3811B4AE}"/>
    <cellStyle name="Normal 2 4 2 3 4 3 4" xfId="9722" xr:uid="{E37DFE7F-711C-4670-B2F7-463450C5FAA5}"/>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2 2 2" xfId="16498" xr:uid="{81E4FD8D-FCDB-4209-9232-6EE27B5F1591}"/>
    <cellStyle name="Normal 2 4 2 3 4 4 2 3" xfId="12280" xr:uid="{9800792D-EA67-4C5E-8079-61FB821A887F}"/>
    <cellStyle name="Normal 2 4 2 3 4 4 3" xfId="5924" xr:uid="{00000000-0005-0000-0000-00001B0F0000}"/>
    <cellStyle name="Normal 2 4 2 3 4 4 3 2" xfId="14353" xr:uid="{4F4996AD-2062-44FA-815C-C16067835CF2}"/>
    <cellStyle name="Normal 2 4 2 3 4 4 4" xfId="10135" xr:uid="{245B0E82-74D6-4B95-B242-C2ABD404C773}"/>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2 2 2" xfId="16911" xr:uid="{2A9870E8-2F16-49A0-AF84-F719DD775AAC}"/>
    <cellStyle name="Normal 2 4 2 3 4 5 2 3" xfId="12693" xr:uid="{8DCF8652-7DC8-452D-8526-BDB466362DDC}"/>
    <cellStyle name="Normal 2 4 2 3 4 5 3" xfId="6337" xr:uid="{00000000-0005-0000-0000-00001F0F0000}"/>
    <cellStyle name="Normal 2 4 2 3 4 5 3 2" xfId="14766" xr:uid="{97F7D949-28D5-4740-B88F-0DB95ECF1989}"/>
    <cellStyle name="Normal 2 4 2 3 4 5 4" xfId="10548" xr:uid="{C5247061-B72C-4184-8954-C760EF112E25}"/>
    <cellStyle name="Normal 2 4 2 3 4 6" xfId="2465" xr:uid="{00000000-0005-0000-0000-0000200F0000}"/>
    <cellStyle name="Normal 2 4 2 3 4 6 2" xfId="6750" xr:uid="{00000000-0005-0000-0000-0000210F0000}"/>
    <cellStyle name="Normal 2 4 2 3 4 6 2 2" xfId="15179" xr:uid="{5EDAC6E3-2A12-4FB9-B115-853451E9540A}"/>
    <cellStyle name="Normal 2 4 2 3 4 6 3" xfId="10961" xr:uid="{38385857-77FC-4FE7-BB87-F71C5BBFC369}"/>
    <cellStyle name="Normal 2 4 2 3 4 7" xfId="4684" xr:uid="{00000000-0005-0000-0000-0000220F0000}"/>
    <cellStyle name="Normal 2 4 2 3 4 7 2" xfId="13113" xr:uid="{0F946E68-4AFF-4C70-B8B6-E2627B8841A7}"/>
    <cellStyle name="Normal 2 4 2 3 4 8" xfId="8895" xr:uid="{9BA6B7BA-B1B6-4015-94CE-3EF865D70D63}"/>
    <cellStyle name="Normal 2 4 2 3 5" xfId="773" xr:uid="{00000000-0005-0000-0000-0000230F0000}"/>
    <cellStyle name="Normal 2 4 2 3 5 2" xfId="3012" xr:uid="{00000000-0005-0000-0000-0000240F0000}"/>
    <cellStyle name="Normal 2 4 2 3 5 2 2" xfId="7236" xr:uid="{00000000-0005-0000-0000-0000250F0000}"/>
    <cellStyle name="Normal 2 4 2 3 5 2 2 2" xfId="15665" xr:uid="{8C3D8667-EEEB-4D87-8C0F-FF68C22DF9EE}"/>
    <cellStyle name="Normal 2 4 2 3 5 2 3" xfId="11447" xr:uid="{223542B0-CBCC-4867-B932-E0D9113AA24F}"/>
    <cellStyle name="Normal 2 4 2 3 5 3" xfId="5091" xr:uid="{00000000-0005-0000-0000-0000260F0000}"/>
    <cellStyle name="Normal 2 4 2 3 5 3 2" xfId="13520" xr:uid="{CD200A56-CB40-48C6-A99F-F35DB7374A83}"/>
    <cellStyle name="Normal 2 4 2 3 5 4" xfId="9302" xr:uid="{4104865B-7D05-43CF-8072-994D01B6FA29}"/>
    <cellStyle name="Normal 2 4 2 3 6" xfId="1195" xr:uid="{00000000-0005-0000-0000-0000270F0000}"/>
    <cellStyle name="Normal 2 4 2 3 6 2" xfId="3425" xr:uid="{00000000-0005-0000-0000-0000280F0000}"/>
    <cellStyle name="Normal 2 4 2 3 6 2 2" xfId="7649" xr:uid="{00000000-0005-0000-0000-0000290F0000}"/>
    <cellStyle name="Normal 2 4 2 3 6 2 2 2" xfId="16078" xr:uid="{4F2F6A68-1994-49FF-9812-724C3258365B}"/>
    <cellStyle name="Normal 2 4 2 3 6 2 3" xfId="11860" xr:uid="{96DB0F6D-D849-44A1-ADBC-37C034AF2F0F}"/>
    <cellStyle name="Normal 2 4 2 3 6 3" xfId="5504" xr:uid="{00000000-0005-0000-0000-00002A0F0000}"/>
    <cellStyle name="Normal 2 4 2 3 6 3 2" xfId="13933" xr:uid="{9F28F977-BDCF-4F97-8F6B-E0594173335A}"/>
    <cellStyle name="Normal 2 4 2 3 6 4" xfId="9715" xr:uid="{B6025016-9A91-4AB7-8FA4-6895568F2DB4}"/>
    <cellStyle name="Normal 2 4 2 3 7" xfId="1608" xr:uid="{00000000-0005-0000-0000-00002B0F0000}"/>
    <cellStyle name="Normal 2 4 2 3 7 2" xfId="3838" xr:uid="{00000000-0005-0000-0000-00002C0F0000}"/>
    <cellStyle name="Normal 2 4 2 3 7 2 2" xfId="8062" xr:uid="{00000000-0005-0000-0000-00002D0F0000}"/>
    <cellStyle name="Normal 2 4 2 3 7 2 2 2" xfId="16491" xr:uid="{D5D87DE2-35E4-4348-B44B-19528ADA1380}"/>
    <cellStyle name="Normal 2 4 2 3 7 2 3" xfId="12273" xr:uid="{959B0096-0A47-4ABA-AA4E-CDE27C1BB1BA}"/>
    <cellStyle name="Normal 2 4 2 3 7 3" xfId="5917" xr:uid="{00000000-0005-0000-0000-00002E0F0000}"/>
    <cellStyle name="Normal 2 4 2 3 7 3 2" xfId="14346" xr:uid="{651A6E96-A55F-42A8-83F3-473FFE829C41}"/>
    <cellStyle name="Normal 2 4 2 3 7 4" xfId="10128" xr:uid="{869E307A-E02A-4440-B4E4-D521AE3F993D}"/>
    <cellStyle name="Normal 2 4 2 3 8" xfId="2022" xr:uid="{00000000-0005-0000-0000-00002F0F0000}"/>
    <cellStyle name="Normal 2 4 2 3 8 2" xfId="4251" xr:uid="{00000000-0005-0000-0000-0000300F0000}"/>
    <cellStyle name="Normal 2 4 2 3 8 2 2" xfId="8475" xr:uid="{00000000-0005-0000-0000-0000310F0000}"/>
    <cellStyle name="Normal 2 4 2 3 8 2 2 2" xfId="16904" xr:uid="{0826D4BE-5CB9-4972-B366-9662EC77D100}"/>
    <cellStyle name="Normal 2 4 2 3 8 2 3" xfId="12686" xr:uid="{EF6EDD86-B139-449E-A787-E10A3B309726}"/>
    <cellStyle name="Normal 2 4 2 3 8 3" xfId="6330" xr:uid="{00000000-0005-0000-0000-0000320F0000}"/>
    <cellStyle name="Normal 2 4 2 3 8 3 2" xfId="14759" xr:uid="{9478196A-8195-4DD3-B92A-9655963BCAED}"/>
    <cellStyle name="Normal 2 4 2 3 8 4" xfId="10541" xr:uid="{5F162EF1-74FF-436F-9715-3232CB909450}"/>
    <cellStyle name="Normal 2 4 2 3 9" xfId="2458" xr:uid="{00000000-0005-0000-0000-0000330F0000}"/>
    <cellStyle name="Normal 2 4 2 3 9 2" xfId="6743" xr:uid="{00000000-0005-0000-0000-0000340F0000}"/>
    <cellStyle name="Normal 2 4 2 3 9 2 2" xfId="15172" xr:uid="{4FCAD9C6-EAA2-4CE4-BCBE-4391EF9504E3}"/>
    <cellStyle name="Normal 2 4 2 3 9 3" xfId="10954" xr:uid="{424EABD6-A63E-4FF7-951F-5940B319B435}"/>
    <cellStyle name="Normal 2 4 2 4" xfId="289" xr:uid="{00000000-0005-0000-0000-0000350F0000}"/>
    <cellStyle name="Normal 2 4 2 4 10" xfId="8896" xr:uid="{17C0C13A-9490-43CD-B55C-461D23B42646}"/>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2 2 2" xfId="15675" xr:uid="{B36779B2-2DCC-4B4A-9E59-C18E4ADDA1EB}"/>
    <cellStyle name="Normal 2 4 2 4 2 2 2 2 3" xfId="11457" xr:uid="{5CFBF2B2-EC1C-44EC-930B-BCC004D24AB6}"/>
    <cellStyle name="Normal 2 4 2 4 2 2 2 3" xfId="5101" xr:uid="{00000000-0005-0000-0000-00003B0F0000}"/>
    <cellStyle name="Normal 2 4 2 4 2 2 2 3 2" xfId="13530" xr:uid="{C4C97BC0-E935-431E-9947-3BDCA11ED25D}"/>
    <cellStyle name="Normal 2 4 2 4 2 2 2 4" xfId="9312" xr:uid="{BF11CA0A-37CC-4821-87E1-EBD767F71A73}"/>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2 2 2" xfId="16088" xr:uid="{34816DE6-AFAB-4359-B214-226758AAC395}"/>
    <cellStyle name="Normal 2 4 2 4 2 2 3 2 3" xfId="11870" xr:uid="{6B9FEABC-CE49-4076-85E3-6A0E2C5DF837}"/>
    <cellStyle name="Normal 2 4 2 4 2 2 3 3" xfId="5514" xr:uid="{00000000-0005-0000-0000-00003F0F0000}"/>
    <cellStyle name="Normal 2 4 2 4 2 2 3 3 2" xfId="13943" xr:uid="{FE9DFCAB-D3AE-46D9-80D8-30B7D4E06CC6}"/>
    <cellStyle name="Normal 2 4 2 4 2 2 3 4" xfId="9725" xr:uid="{0F94CD8B-9DC5-40A4-9194-ECC4AB4B093B}"/>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2 2 2" xfId="16501" xr:uid="{907B6000-93C9-43F7-A6A6-7C3E36CDE9CF}"/>
    <cellStyle name="Normal 2 4 2 4 2 2 4 2 3" xfId="12283" xr:uid="{608C72D0-62F5-4D6C-A8FD-3BA80B307906}"/>
    <cellStyle name="Normal 2 4 2 4 2 2 4 3" xfId="5927" xr:uid="{00000000-0005-0000-0000-0000430F0000}"/>
    <cellStyle name="Normal 2 4 2 4 2 2 4 3 2" xfId="14356" xr:uid="{28EDD81C-69BD-431A-9F73-BAB9D1EA6343}"/>
    <cellStyle name="Normal 2 4 2 4 2 2 4 4" xfId="10138" xr:uid="{6BD96374-BC46-4212-83DA-689968A8DD7E}"/>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2 2 2" xfId="16914" xr:uid="{11EDF569-8B66-4123-BA02-71CDD54EF5A3}"/>
    <cellStyle name="Normal 2 4 2 4 2 2 5 2 3" xfId="12696" xr:uid="{E4CD6C1A-5DF6-4DA8-9D81-0AF124A41307}"/>
    <cellStyle name="Normal 2 4 2 4 2 2 5 3" xfId="6340" xr:uid="{00000000-0005-0000-0000-0000470F0000}"/>
    <cellStyle name="Normal 2 4 2 4 2 2 5 3 2" xfId="14769" xr:uid="{7AB914BD-D3EB-4F82-A107-FF34BED875AB}"/>
    <cellStyle name="Normal 2 4 2 4 2 2 5 4" xfId="10551" xr:uid="{62FF36A9-4895-49C1-A5DC-C8BCD2ABB916}"/>
    <cellStyle name="Normal 2 4 2 4 2 2 6" xfId="2468" xr:uid="{00000000-0005-0000-0000-0000480F0000}"/>
    <cellStyle name="Normal 2 4 2 4 2 2 6 2" xfId="6753" xr:uid="{00000000-0005-0000-0000-0000490F0000}"/>
    <cellStyle name="Normal 2 4 2 4 2 2 6 2 2" xfId="15182" xr:uid="{7EC73270-957C-40C8-A9D1-17A2759A81BA}"/>
    <cellStyle name="Normal 2 4 2 4 2 2 6 3" xfId="10964" xr:uid="{A68BEB2B-9D6B-4360-B457-A6F6DB2F82FE}"/>
    <cellStyle name="Normal 2 4 2 4 2 2 7" xfId="4687" xr:uid="{00000000-0005-0000-0000-00004A0F0000}"/>
    <cellStyle name="Normal 2 4 2 4 2 2 7 2" xfId="13116" xr:uid="{FD5BBB6F-D0C8-4649-84ED-154EABF1A848}"/>
    <cellStyle name="Normal 2 4 2 4 2 2 8" xfId="8898" xr:uid="{11059F0A-5059-4BFA-961D-8EF003A6984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2 2 2" xfId="15674" xr:uid="{B098E70C-82FE-43E7-9242-5A810CE9E423}"/>
    <cellStyle name="Normal 2 4 2 4 2 3 2 3" xfId="11456" xr:uid="{00ED93DE-037E-418B-A337-19E3CC110227}"/>
    <cellStyle name="Normal 2 4 2 4 2 3 3" xfId="5100" xr:uid="{00000000-0005-0000-0000-00004E0F0000}"/>
    <cellStyle name="Normal 2 4 2 4 2 3 3 2" xfId="13529" xr:uid="{E45B45F5-E2C4-44AF-9D1F-D346B59E43EB}"/>
    <cellStyle name="Normal 2 4 2 4 2 3 4" xfId="9311" xr:uid="{617CD646-AF69-478F-AC5B-D151BFF1A5AB}"/>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2 2 2" xfId="16087" xr:uid="{A6203920-7071-4B23-8A53-8F5742539900}"/>
    <cellStyle name="Normal 2 4 2 4 2 4 2 3" xfId="11869" xr:uid="{3E38C07A-183A-4F24-884D-4CE5AB9163F1}"/>
    <cellStyle name="Normal 2 4 2 4 2 4 3" xfId="5513" xr:uid="{00000000-0005-0000-0000-0000520F0000}"/>
    <cellStyle name="Normal 2 4 2 4 2 4 3 2" xfId="13942" xr:uid="{201A7C62-B5A8-4B31-A851-420416ABCE80}"/>
    <cellStyle name="Normal 2 4 2 4 2 4 4" xfId="9724" xr:uid="{C2867FA5-5C29-4F11-AA9B-58F2B97ACD48}"/>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2 2 2" xfId="16500" xr:uid="{395CC24A-171A-4F3C-B670-0ECFA597A806}"/>
    <cellStyle name="Normal 2 4 2 4 2 5 2 3" xfId="12282" xr:uid="{8E236B2D-DE73-4C5F-9B81-1325FE33001C}"/>
    <cellStyle name="Normal 2 4 2 4 2 5 3" xfId="5926" xr:uid="{00000000-0005-0000-0000-0000560F0000}"/>
    <cellStyle name="Normal 2 4 2 4 2 5 3 2" xfId="14355" xr:uid="{028D1D6E-86A8-4450-A152-9B5C526C604B}"/>
    <cellStyle name="Normal 2 4 2 4 2 5 4" xfId="10137" xr:uid="{6117E04B-8CB1-45C9-912A-B612CA68AA62}"/>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2 2 2" xfId="16913" xr:uid="{DAD93D24-E62A-4465-AB1A-478CB0F55F3B}"/>
    <cellStyle name="Normal 2 4 2 4 2 6 2 3" xfId="12695" xr:uid="{E45E8A51-0981-4333-8145-770C4EFEE806}"/>
    <cellStyle name="Normal 2 4 2 4 2 6 3" xfId="6339" xr:uid="{00000000-0005-0000-0000-00005A0F0000}"/>
    <cellStyle name="Normal 2 4 2 4 2 6 3 2" xfId="14768" xr:uid="{2A7878DE-7967-4787-B14F-5715FC960762}"/>
    <cellStyle name="Normal 2 4 2 4 2 6 4" xfId="10550" xr:uid="{3D78B990-4973-4DD2-AFED-819123D9803B}"/>
    <cellStyle name="Normal 2 4 2 4 2 7" xfId="2467" xr:uid="{00000000-0005-0000-0000-00005B0F0000}"/>
    <cellStyle name="Normal 2 4 2 4 2 7 2" xfId="6752" xr:uid="{00000000-0005-0000-0000-00005C0F0000}"/>
    <cellStyle name="Normal 2 4 2 4 2 7 2 2" xfId="15181" xr:uid="{A2EEDB09-2A29-40CE-84A6-F8383A266B61}"/>
    <cellStyle name="Normal 2 4 2 4 2 7 3" xfId="10963" xr:uid="{C0604023-2A07-4BC1-B506-C96B475FFD15}"/>
    <cellStyle name="Normal 2 4 2 4 2 8" xfId="4686" xr:uid="{00000000-0005-0000-0000-00005D0F0000}"/>
    <cellStyle name="Normal 2 4 2 4 2 8 2" xfId="13115" xr:uid="{BE11118D-EAD1-4919-B344-B4B1C9A8A28A}"/>
    <cellStyle name="Normal 2 4 2 4 2 9" xfId="8897" xr:uid="{83388C4E-5A13-481C-89EA-FEF924C63AB9}"/>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2 2 2" xfId="15676" xr:uid="{B4A96B5D-2A3D-4AEA-A0AF-14A6D226C0E3}"/>
    <cellStyle name="Normal 2 4 2 4 3 2 2 3" xfId="11458" xr:uid="{0EDCE6D5-9BE7-425C-8586-D676856F03D1}"/>
    <cellStyle name="Normal 2 4 2 4 3 2 3" xfId="5102" xr:uid="{00000000-0005-0000-0000-0000620F0000}"/>
    <cellStyle name="Normal 2 4 2 4 3 2 3 2" xfId="13531" xr:uid="{C5A3E007-2827-4463-B6AC-10EBCD9BFE62}"/>
    <cellStyle name="Normal 2 4 2 4 3 2 4" xfId="9313" xr:uid="{D9C6F441-163C-4027-8037-5B542D31D5D9}"/>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2 2 2" xfId="16089" xr:uid="{C48E3F68-55F8-4E18-B690-2F4E932B1BCA}"/>
    <cellStyle name="Normal 2 4 2 4 3 3 2 3" xfId="11871" xr:uid="{7A6C0D0F-FA3D-4D84-AE8D-9B74714B2271}"/>
    <cellStyle name="Normal 2 4 2 4 3 3 3" xfId="5515" xr:uid="{00000000-0005-0000-0000-0000660F0000}"/>
    <cellStyle name="Normal 2 4 2 4 3 3 3 2" xfId="13944" xr:uid="{9026AE7A-AE99-4E79-A630-A0BDE4C63732}"/>
    <cellStyle name="Normal 2 4 2 4 3 3 4" xfId="9726" xr:uid="{5BA94FBC-2591-4E9C-B5AE-53E62E905805}"/>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2 2 2" xfId="16502" xr:uid="{D4A7C3BA-BF6A-4CB8-8DAB-8AE494F78894}"/>
    <cellStyle name="Normal 2 4 2 4 3 4 2 3" xfId="12284" xr:uid="{2F156A85-8594-49CF-829F-A44CA7B7D7CA}"/>
    <cellStyle name="Normal 2 4 2 4 3 4 3" xfId="5928" xr:uid="{00000000-0005-0000-0000-00006A0F0000}"/>
    <cellStyle name="Normal 2 4 2 4 3 4 3 2" xfId="14357" xr:uid="{FF592312-ECEE-4BFC-95B2-755A51D695A1}"/>
    <cellStyle name="Normal 2 4 2 4 3 4 4" xfId="10139" xr:uid="{1663A221-E436-40E9-BA26-9F328F721A28}"/>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2 2 2" xfId="16915" xr:uid="{5BA1DF9A-585F-4050-A848-F649247148B3}"/>
    <cellStyle name="Normal 2 4 2 4 3 5 2 3" xfId="12697" xr:uid="{716EAA56-ACE1-445B-B964-E4AAE8916358}"/>
    <cellStyle name="Normal 2 4 2 4 3 5 3" xfId="6341" xr:uid="{00000000-0005-0000-0000-00006E0F0000}"/>
    <cellStyle name="Normal 2 4 2 4 3 5 3 2" xfId="14770" xr:uid="{52747BB5-69FF-400F-83BE-38DBD187FC08}"/>
    <cellStyle name="Normal 2 4 2 4 3 5 4" xfId="10552" xr:uid="{A5A5E431-CD2A-4BF4-8230-50728EAAA69C}"/>
    <cellStyle name="Normal 2 4 2 4 3 6" xfId="2469" xr:uid="{00000000-0005-0000-0000-00006F0F0000}"/>
    <cellStyle name="Normal 2 4 2 4 3 6 2" xfId="6754" xr:uid="{00000000-0005-0000-0000-0000700F0000}"/>
    <cellStyle name="Normal 2 4 2 4 3 6 2 2" xfId="15183" xr:uid="{6AE16BB2-EDC8-41C0-BB5F-87F56DD5DCA9}"/>
    <cellStyle name="Normal 2 4 2 4 3 6 3" xfId="10965" xr:uid="{303204E7-DCDA-4F4F-B497-86F79B34776C}"/>
    <cellStyle name="Normal 2 4 2 4 3 7" xfId="4688" xr:uid="{00000000-0005-0000-0000-0000710F0000}"/>
    <cellStyle name="Normal 2 4 2 4 3 7 2" xfId="13117" xr:uid="{98BEE170-A6DB-41AE-86F7-32D6E9446A3E}"/>
    <cellStyle name="Normal 2 4 2 4 3 8" xfId="8899" xr:uid="{5C1012F8-4557-4AC4-9AB0-3A63E83EF400}"/>
    <cellStyle name="Normal 2 4 2 4 4" xfId="781" xr:uid="{00000000-0005-0000-0000-0000720F0000}"/>
    <cellStyle name="Normal 2 4 2 4 4 2" xfId="3020" xr:uid="{00000000-0005-0000-0000-0000730F0000}"/>
    <cellStyle name="Normal 2 4 2 4 4 2 2" xfId="7244" xr:uid="{00000000-0005-0000-0000-0000740F0000}"/>
    <cellStyle name="Normal 2 4 2 4 4 2 2 2" xfId="15673" xr:uid="{FA290A9E-2B84-4F16-B90A-8DCB07EFD0F9}"/>
    <cellStyle name="Normal 2 4 2 4 4 2 3" xfId="11455" xr:uid="{76FF2865-B406-4AAA-BEE2-047549C6B6A7}"/>
    <cellStyle name="Normal 2 4 2 4 4 3" xfId="5099" xr:uid="{00000000-0005-0000-0000-0000750F0000}"/>
    <cellStyle name="Normal 2 4 2 4 4 3 2" xfId="13528" xr:uid="{8BF18F57-18ED-4F3D-9EF7-E6F6BB0CE786}"/>
    <cellStyle name="Normal 2 4 2 4 4 4" xfId="9310" xr:uid="{73992B99-21B8-48A7-BFEF-8E3AD777C6A5}"/>
    <cellStyle name="Normal 2 4 2 4 5" xfId="1203" xr:uid="{00000000-0005-0000-0000-0000760F0000}"/>
    <cellStyle name="Normal 2 4 2 4 5 2" xfId="3433" xr:uid="{00000000-0005-0000-0000-0000770F0000}"/>
    <cellStyle name="Normal 2 4 2 4 5 2 2" xfId="7657" xr:uid="{00000000-0005-0000-0000-0000780F0000}"/>
    <cellStyle name="Normal 2 4 2 4 5 2 2 2" xfId="16086" xr:uid="{B1C38E85-905E-44E6-ABB3-E185B17A460F}"/>
    <cellStyle name="Normal 2 4 2 4 5 2 3" xfId="11868" xr:uid="{F6A9B593-145B-4D6F-91B7-28C346853596}"/>
    <cellStyle name="Normal 2 4 2 4 5 3" xfId="5512" xr:uid="{00000000-0005-0000-0000-0000790F0000}"/>
    <cellStyle name="Normal 2 4 2 4 5 3 2" xfId="13941" xr:uid="{06117430-0DBB-46AE-8ED1-E914342988F9}"/>
    <cellStyle name="Normal 2 4 2 4 5 4" xfId="9723" xr:uid="{48B946B5-1C1D-4252-8F33-9D940D2E010D}"/>
    <cellStyle name="Normal 2 4 2 4 6" xfId="1616" xr:uid="{00000000-0005-0000-0000-00007A0F0000}"/>
    <cellStyle name="Normal 2 4 2 4 6 2" xfId="3846" xr:uid="{00000000-0005-0000-0000-00007B0F0000}"/>
    <cellStyle name="Normal 2 4 2 4 6 2 2" xfId="8070" xr:uid="{00000000-0005-0000-0000-00007C0F0000}"/>
    <cellStyle name="Normal 2 4 2 4 6 2 2 2" xfId="16499" xr:uid="{B926CBFF-D8F1-4264-AF56-8B1FA681297C}"/>
    <cellStyle name="Normal 2 4 2 4 6 2 3" xfId="12281" xr:uid="{BC64E26D-2706-4C09-9C14-A0A275A2BA1C}"/>
    <cellStyle name="Normal 2 4 2 4 6 3" xfId="5925" xr:uid="{00000000-0005-0000-0000-00007D0F0000}"/>
    <cellStyle name="Normal 2 4 2 4 6 3 2" xfId="14354" xr:uid="{7E049E98-0C20-4D90-80A7-35C3ED20C633}"/>
    <cellStyle name="Normal 2 4 2 4 6 4" xfId="10136" xr:uid="{B28B1342-D216-481B-893B-49F37087A54A}"/>
    <cellStyle name="Normal 2 4 2 4 7" xfId="2030" xr:uid="{00000000-0005-0000-0000-00007E0F0000}"/>
    <cellStyle name="Normal 2 4 2 4 7 2" xfId="4259" xr:uid="{00000000-0005-0000-0000-00007F0F0000}"/>
    <cellStyle name="Normal 2 4 2 4 7 2 2" xfId="8483" xr:uid="{00000000-0005-0000-0000-0000800F0000}"/>
    <cellStyle name="Normal 2 4 2 4 7 2 2 2" xfId="16912" xr:uid="{759C136B-F5E8-455F-9F68-590F8F1117BD}"/>
    <cellStyle name="Normal 2 4 2 4 7 2 3" xfId="12694" xr:uid="{DA6E4C61-7A8B-41B6-83D6-1F72894385D9}"/>
    <cellStyle name="Normal 2 4 2 4 7 3" xfId="6338" xr:uid="{00000000-0005-0000-0000-0000810F0000}"/>
    <cellStyle name="Normal 2 4 2 4 7 3 2" xfId="14767" xr:uid="{855E0987-C274-4C0A-BE35-7B195CA43431}"/>
    <cellStyle name="Normal 2 4 2 4 7 4" xfId="10549" xr:uid="{7592ECA2-D447-4874-B017-BF988C25E29D}"/>
    <cellStyle name="Normal 2 4 2 4 8" xfId="2466" xr:uid="{00000000-0005-0000-0000-0000820F0000}"/>
    <cellStyle name="Normal 2 4 2 4 8 2" xfId="6751" xr:uid="{00000000-0005-0000-0000-0000830F0000}"/>
    <cellStyle name="Normal 2 4 2 4 8 2 2" xfId="15180" xr:uid="{19E28283-D211-48A7-80D2-36297630FE34}"/>
    <cellStyle name="Normal 2 4 2 4 8 3" xfId="10962" xr:uid="{566D0EBE-E3CF-4052-A39D-308FA730F090}"/>
    <cellStyle name="Normal 2 4 2 4 9" xfId="4685" xr:uid="{00000000-0005-0000-0000-0000840F0000}"/>
    <cellStyle name="Normal 2 4 2 4 9 2" xfId="13114" xr:uid="{9EAAEC98-6273-4F33-9B0C-F73862F1082B}"/>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2 2 2" xfId="15678" xr:uid="{23A5AA69-434D-4410-8796-4CE374522B89}"/>
    <cellStyle name="Normal 2 4 2 5 2 2 2 3" xfId="11460" xr:uid="{C6856410-992B-4D29-AF44-62BBA7F26DA7}"/>
    <cellStyle name="Normal 2 4 2 5 2 2 3" xfId="5104" xr:uid="{00000000-0005-0000-0000-00008A0F0000}"/>
    <cellStyle name="Normal 2 4 2 5 2 2 3 2" xfId="13533" xr:uid="{86160537-0F96-4E6A-85A6-301DD16E5A86}"/>
    <cellStyle name="Normal 2 4 2 5 2 2 4" xfId="9315" xr:uid="{85B83C10-5AFD-4F3F-9248-EE0D6413A97D}"/>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2 2 2" xfId="16091" xr:uid="{759169E0-461C-4D1D-AFB8-19D7315C1217}"/>
    <cellStyle name="Normal 2 4 2 5 2 3 2 3" xfId="11873" xr:uid="{ED9FBFC3-9DD4-4DD1-B36D-301DE0734ADA}"/>
    <cellStyle name="Normal 2 4 2 5 2 3 3" xfId="5517" xr:uid="{00000000-0005-0000-0000-00008E0F0000}"/>
    <cellStyle name="Normal 2 4 2 5 2 3 3 2" xfId="13946" xr:uid="{73FB33B5-E3A5-4A13-8F26-D87D131836BB}"/>
    <cellStyle name="Normal 2 4 2 5 2 3 4" xfId="9728" xr:uid="{8F82B4A1-721D-4764-8771-A4A59A624B5C}"/>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2 2 2" xfId="16504" xr:uid="{EF1D6523-EFD8-4577-871B-57381C1EBF0B}"/>
    <cellStyle name="Normal 2 4 2 5 2 4 2 3" xfId="12286" xr:uid="{4DF353F6-A98B-4429-8351-8A6F5785C429}"/>
    <cellStyle name="Normal 2 4 2 5 2 4 3" xfId="5930" xr:uid="{00000000-0005-0000-0000-0000920F0000}"/>
    <cellStyle name="Normal 2 4 2 5 2 4 3 2" xfId="14359" xr:uid="{15BB2CF7-91DF-4B50-8464-D7C1B3AF5061}"/>
    <cellStyle name="Normal 2 4 2 5 2 4 4" xfId="10141" xr:uid="{A0940806-CE59-4B0D-85AA-3FF6D9BEF273}"/>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2 2 2" xfId="16917" xr:uid="{1D8A06DC-996C-43BC-9ECE-D812BC768162}"/>
    <cellStyle name="Normal 2 4 2 5 2 5 2 3" xfId="12699" xr:uid="{991108C2-38D1-465F-9042-62055C775D27}"/>
    <cellStyle name="Normal 2 4 2 5 2 5 3" xfId="6343" xr:uid="{00000000-0005-0000-0000-0000960F0000}"/>
    <cellStyle name="Normal 2 4 2 5 2 5 3 2" xfId="14772" xr:uid="{41D540E7-1387-4A2A-8F4A-17DA12CFC9DB}"/>
    <cellStyle name="Normal 2 4 2 5 2 5 4" xfId="10554" xr:uid="{F71FB189-C623-4140-AB17-309BEC1CF147}"/>
    <cellStyle name="Normal 2 4 2 5 2 6" xfId="2471" xr:uid="{00000000-0005-0000-0000-0000970F0000}"/>
    <cellStyle name="Normal 2 4 2 5 2 6 2" xfId="6756" xr:uid="{00000000-0005-0000-0000-0000980F0000}"/>
    <cellStyle name="Normal 2 4 2 5 2 6 2 2" xfId="15185" xr:uid="{9B5258D5-E968-466D-B4B5-EB2B729A01AB}"/>
    <cellStyle name="Normal 2 4 2 5 2 6 3" xfId="10967" xr:uid="{15019CBF-BE58-472C-97EC-61941C9AC899}"/>
    <cellStyle name="Normal 2 4 2 5 2 7" xfId="4690" xr:uid="{00000000-0005-0000-0000-0000990F0000}"/>
    <cellStyle name="Normal 2 4 2 5 2 7 2" xfId="13119" xr:uid="{E28B3F85-9116-4AEC-BA7D-3EE1FB2EE443}"/>
    <cellStyle name="Normal 2 4 2 5 2 8" xfId="8901" xr:uid="{64D4E30E-A793-4D75-AB39-1AE43696DF82}"/>
    <cellStyle name="Normal 2 4 2 5 3" xfId="785" xr:uid="{00000000-0005-0000-0000-00009A0F0000}"/>
    <cellStyle name="Normal 2 4 2 5 3 2" xfId="3024" xr:uid="{00000000-0005-0000-0000-00009B0F0000}"/>
    <cellStyle name="Normal 2 4 2 5 3 2 2" xfId="7248" xr:uid="{00000000-0005-0000-0000-00009C0F0000}"/>
    <cellStyle name="Normal 2 4 2 5 3 2 2 2" xfId="15677" xr:uid="{A3482F5A-8155-48AB-8470-03FBE8630D54}"/>
    <cellStyle name="Normal 2 4 2 5 3 2 3" xfId="11459" xr:uid="{D6F1C94C-476C-43F9-A309-AEEBE82F1332}"/>
    <cellStyle name="Normal 2 4 2 5 3 3" xfId="5103" xr:uid="{00000000-0005-0000-0000-00009D0F0000}"/>
    <cellStyle name="Normal 2 4 2 5 3 3 2" xfId="13532" xr:uid="{32B9745C-2E3B-4727-BFFE-B85E46CD58D4}"/>
    <cellStyle name="Normal 2 4 2 5 3 4" xfId="9314" xr:uid="{94F72A1D-9E16-4341-AA1E-9E471BBB0FA8}"/>
    <cellStyle name="Normal 2 4 2 5 4" xfId="1207" xr:uid="{00000000-0005-0000-0000-00009E0F0000}"/>
    <cellStyle name="Normal 2 4 2 5 4 2" xfId="3437" xr:uid="{00000000-0005-0000-0000-00009F0F0000}"/>
    <cellStyle name="Normal 2 4 2 5 4 2 2" xfId="7661" xr:uid="{00000000-0005-0000-0000-0000A00F0000}"/>
    <cellStyle name="Normal 2 4 2 5 4 2 2 2" xfId="16090" xr:uid="{C87DCA5B-CB5C-4A25-8DC7-79B1EB818657}"/>
    <cellStyle name="Normal 2 4 2 5 4 2 3" xfId="11872" xr:uid="{31C2645D-8EEA-4C98-B718-66505A68587F}"/>
    <cellStyle name="Normal 2 4 2 5 4 3" xfId="5516" xr:uid="{00000000-0005-0000-0000-0000A10F0000}"/>
    <cellStyle name="Normal 2 4 2 5 4 3 2" xfId="13945" xr:uid="{440ADDD4-2585-45B3-B462-53D199733879}"/>
    <cellStyle name="Normal 2 4 2 5 4 4" xfId="9727" xr:uid="{19B18A56-AF18-4D56-90C2-E161C9927396}"/>
    <cellStyle name="Normal 2 4 2 5 5" xfId="1620" xr:uid="{00000000-0005-0000-0000-0000A20F0000}"/>
    <cellStyle name="Normal 2 4 2 5 5 2" xfId="3850" xr:uid="{00000000-0005-0000-0000-0000A30F0000}"/>
    <cellStyle name="Normal 2 4 2 5 5 2 2" xfId="8074" xr:uid="{00000000-0005-0000-0000-0000A40F0000}"/>
    <cellStyle name="Normal 2 4 2 5 5 2 2 2" xfId="16503" xr:uid="{2E61AD04-455B-4B34-B720-1A674E73B225}"/>
    <cellStyle name="Normal 2 4 2 5 5 2 3" xfId="12285" xr:uid="{EA998E9D-6CF0-463C-B174-39CE00D5A150}"/>
    <cellStyle name="Normal 2 4 2 5 5 3" xfId="5929" xr:uid="{00000000-0005-0000-0000-0000A50F0000}"/>
    <cellStyle name="Normal 2 4 2 5 5 3 2" xfId="14358" xr:uid="{9CAD1CA1-F5EA-4737-9EC4-D9A7F132ABD1}"/>
    <cellStyle name="Normal 2 4 2 5 5 4" xfId="10140" xr:uid="{C4A7750F-1844-4914-8F2C-3F2A4E9776A8}"/>
    <cellStyle name="Normal 2 4 2 5 6" xfId="2034" xr:uid="{00000000-0005-0000-0000-0000A60F0000}"/>
    <cellStyle name="Normal 2 4 2 5 6 2" xfId="4263" xr:uid="{00000000-0005-0000-0000-0000A70F0000}"/>
    <cellStyle name="Normal 2 4 2 5 6 2 2" xfId="8487" xr:uid="{00000000-0005-0000-0000-0000A80F0000}"/>
    <cellStyle name="Normal 2 4 2 5 6 2 2 2" xfId="16916" xr:uid="{D7AA4485-D9C9-4B5A-B601-5AACED163B8B}"/>
    <cellStyle name="Normal 2 4 2 5 6 2 3" xfId="12698" xr:uid="{58F7CED8-480D-476B-B8B5-508D15A1BAAE}"/>
    <cellStyle name="Normal 2 4 2 5 6 3" xfId="6342" xr:uid="{00000000-0005-0000-0000-0000A90F0000}"/>
    <cellStyle name="Normal 2 4 2 5 6 3 2" xfId="14771" xr:uid="{F55A947F-AC1C-4477-9FE0-070AC102A824}"/>
    <cellStyle name="Normal 2 4 2 5 6 4" xfId="10553" xr:uid="{BC88B23F-0C09-4D28-9392-6CA31495A873}"/>
    <cellStyle name="Normal 2 4 2 5 7" xfId="2470" xr:uid="{00000000-0005-0000-0000-0000AA0F0000}"/>
    <cellStyle name="Normal 2 4 2 5 7 2" xfId="6755" xr:uid="{00000000-0005-0000-0000-0000AB0F0000}"/>
    <cellStyle name="Normal 2 4 2 5 7 2 2" xfId="15184" xr:uid="{2EFF6A2D-9DCF-4BF5-BAA5-96A1D4FB2347}"/>
    <cellStyle name="Normal 2 4 2 5 7 3" xfId="10966" xr:uid="{9C2F9F76-BF56-4602-B7E4-9945F362316B}"/>
    <cellStyle name="Normal 2 4 2 5 8" xfId="4689" xr:uid="{00000000-0005-0000-0000-0000AC0F0000}"/>
    <cellStyle name="Normal 2 4 2 5 8 2" xfId="13118" xr:uid="{A8173080-06DA-4161-9DC3-433DD86CAC7D}"/>
    <cellStyle name="Normal 2 4 2 5 9" xfId="8900" xr:uid="{BA0D3963-ADE1-4D7D-92D0-C551D02C465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2 2 2" xfId="15679" xr:uid="{DDE37237-1C92-4334-BAD2-9D2B02BFF61A}"/>
    <cellStyle name="Normal 2 4 2 6 2 2 3" xfId="11461" xr:uid="{E2249FFC-0027-4D3F-9B8C-53BCCC0ADF6D}"/>
    <cellStyle name="Normal 2 4 2 6 2 3" xfId="5105" xr:uid="{00000000-0005-0000-0000-0000B10F0000}"/>
    <cellStyle name="Normal 2 4 2 6 2 3 2" xfId="13534" xr:uid="{C2DCACAF-CDBA-4F3E-8EAD-F88023CB9444}"/>
    <cellStyle name="Normal 2 4 2 6 2 4" xfId="9316" xr:uid="{E095B091-3D50-40DA-A405-EB0281887439}"/>
    <cellStyle name="Normal 2 4 2 6 3" xfId="1209" xr:uid="{00000000-0005-0000-0000-0000B20F0000}"/>
    <cellStyle name="Normal 2 4 2 6 3 2" xfId="3439" xr:uid="{00000000-0005-0000-0000-0000B30F0000}"/>
    <cellStyle name="Normal 2 4 2 6 3 2 2" xfId="7663" xr:uid="{00000000-0005-0000-0000-0000B40F0000}"/>
    <cellStyle name="Normal 2 4 2 6 3 2 2 2" xfId="16092" xr:uid="{0F95CEBB-5677-47D5-8CB4-6DAFDC51B8EB}"/>
    <cellStyle name="Normal 2 4 2 6 3 2 3" xfId="11874" xr:uid="{5F10FA77-FB97-4795-9FE0-F675531E00B1}"/>
    <cellStyle name="Normal 2 4 2 6 3 3" xfId="5518" xr:uid="{00000000-0005-0000-0000-0000B50F0000}"/>
    <cellStyle name="Normal 2 4 2 6 3 3 2" xfId="13947" xr:uid="{D19CC54C-C66D-4E63-A7B5-E289AB1B2846}"/>
    <cellStyle name="Normal 2 4 2 6 3 4" xfId="9729" xr:uid="{39152746-3D55-4D70-A78E-3D0EB932FC73}"/>
    <cellStyle name="Normal 2 4 2 6 4" xfId="1622" xr:uid="{00000000-0005-0000-0000-0000B60F0000}"/>
    <cellStyle name="Normal 2 4 2 6 4 2" xfId="3852" xr:uid="{00000000-0005-0000-0000-0000B70F0000}"/>
    <cellStyle name="Normal 2 4 2 6 4 2 2" xfId="8076" xr:uid="{00000000-0005-0000-0000-0000B80F0000}"/>
    <cellStyle name="Normal 2 4 2 6 4 2 2 2" xfId="16505" xr:uid="{FA1109B2-35B4-406E-937E-A7A9C6218945}"/>
    <cellStyle name="Normal 2 4 2 6 4 2 3" xfId="12287" xr:uid="{4B0931D5-9DEB-4C3E-B073-12B6E4F4C9F2}"/>
    <cellStyle name="Normal 2 4 2 6 4 3" xfId="5931" xr:uid="{00000000-0005-0000-0000-0000B90F0000}"/>
    <cellStyle name="Normal 2 4 2 6 4 3 2" xfId="14360" xr:uid="{684B14AF-EBF7-4DB1-93DE-C4CAB4FCAF5A}"/>
    <cellStyle name="Normal 2 4 2 6 4 4" xfId="10142" xr:uid="{2B3C0BB1-2E60-4590-A632-D24EC8FC2DE4}"/>
    <cellStyle name="Normal 2 4 2 6 5" xfId="2036" xr:uid="{00000000-0005-0000-0000-0000BA0F0000}"/>
    <cellStyle name="Normal 2 4 2 6 5 2" xfId="4265" xr:uid="{00000000-0005-0000-0000-0000BB0F0000}"/>
    <cellStyle name="Normal 2 4 2 6 5 2 2" xfId="8489" xr:uid="{00000000-0005-0000-0000-0000BC0F0000}"/>
    <cellStyle name="Normal 2 4 2 6 5 2 2 2" xfId="16918" xr:uid="{8950C8BE-CBDA-4B90-9B5F-D097A0D4E788}"/>
    <cellStyle name="Normal 2 4 2 6 5 2 3" xfId="12700" xr:uid="{C0FD13F1-3DD2-415D-B3DB-ED9F36E6BD07}"/>
    <cellStyle name="Normal 2 4 2 6 5 3" xfId="6344" xr:uid="{00000000-0005-0000-0000-0000BD0F0000}"/>
    <cellStyle name="Normal 2 4 2 6 5 3 2" xfId="14773" xr:uid="{00EE07FD-54A6-4665-87F8-0B6BE687A75F}"/>
    <cellStyle name="Normal 2 4 2 6 5 4" xfId="10555" xr:uid="{5CF8662D-72BA-4CBF-BB2C-E626877BFD3F}"/>
    <cellStyle name="Normal 2 4 2 6 6" xfId="2472" xr:uid="{00000000-0005-0000-0000-0000BE0F0000}"/>
    <cellStyle name="Normal 2 4 2 6 6 2" xfId="6757" xr:uid="{00000000-0005-0000-0000-0000BF0F0000}"/>
    <cellStyle name="Normal 2 4 2 6 6 2 2" xfId="15186" xr:uid="{A5B5BA60-1717-446C-911D-56EAE2DB3D97}"/>
    <cellStyle name="Normal 2 4 2 6 6 3" xfId="10968" xr:uid="{3FE528D7-351A-4FCC-98DC-B407F7E1529A}"/>
    <cellStyle name="Normal 2 4 2 6 7" xfId="4691" xr:uid="{00000000-0005-0000-0000-0000C00F0000}"/>
    <cellStyle name="Normal 2 4 2 6 7 2" xfId="13120" xr:uid="{D7266A16-6181-4CDC-B889-D805E986BE1D}"/>
    <cellStyle name="Normal 2 4 2 6 8" xfId="8902" xr:uid="{73C0C3BB-603B-4677-AC49-F40B1D30AED1}"/>
    <cellStyle name="Normal 2 4 2 7" xfId="772" xr:uid="{00000000-0005-0000-0000-0000C10F0000}"/>
    <cellStyle name="Normal 2 4 2 7 2" xfId="3011" xr:uid="{00000000-0005-0000-0000-0000C20F0000}"/>
    <cellStyle name="Normal 2 4 2 7 2 2" xfId="7235" xr:uid="{00000000-0005-0000-0000-0000C30F0000}"/>
    <cellStyle name="Normal 2 4 2 7 2 2 2" xfId="15664" xr:uid="{05F1F575-6F27-4090-9FDE-1C866F84E166}"/>
    <cellStyle name="Normal 2 4 2 7 2 3" xfId="11446" xr:uid="{B1B3F680-FA59-4C33-AF86-0BDA776BDFBC}"/>
    <cellStyle name="Normal 2 4 2 7 3" xfId="5090" xr:uid="{00000000-0005-0000-0000-0000C40F0000}"/>
    <cellStyle name="Normal 2 4 2 7 3 2" xfId="13519" xr:uid="{F2307CE6-58BC-43D8-8A15-C5ADE51767B9}"/>
    <cellStyle name="Normal 2 4 2 7 4" xfId="9301" xr:uid="{1A636734-4CD0-472C-857E-DF58794DAB39}"/>
    <cellStyle name="Normal 2 4 2 8" xfId="1194" xr:uid="{00000000-0005-0000-0000-0000C50F0000}"/>
    <cellStyle name="Normal 2 4 2 8 2" xfId="3424" xr:uid="{00000000-0005-0000-0000-0000C60F0000}"/>
    <cellStyle name="Normal 2 4 2 8 2 2" xfId="7648" xr:uid="{00000000-0005-0000-0000-0000C70F0000}"/>
    <cellStyle name="Normal 2 4 2 8 2 2 2" xfId="16077" xr:uid="{E3AE8C22-44FB-4C45-ACC1-6671B4515CEC}"/>
    <cellStyle name="Normal 2 4 2 8 2 3" xfId="11859" xr:uid="{6412F1D0-CFC5-4DCE-821A-18771D400015}"/>
    <cellStyle name="Normal 2 4 2 8 3" xfId="5503" xr:uid="{00000000-0005-0000-0000-0000C80F0000}"/>
    <cellStyle name="Normal 2 4 2 8 3 2" xfId="13932" xr:uid="{9B5D16DA-8610-45CF-8B9E-B1B3F9655769}"/>
    <cellStyle name="Normal 2 4 2 8 4" xfId="9714" xr:uid="{F6C5C6C2-1C22-476B-925B-B8B626D08B03}"/>
    <cellStyle name="Normal 2 4 2 9" xfId="1607" xr:uid="{00000000-0005-0000-0000-0000C90F0000}"/>
    <cellStyle name="Normal 2 4 2 9 2" xfId="3837" xr:uid="{00000000-0005-0000-0000-0000CA0F0000}"/>
    <cellStyle name="Normal 2 4 2 9 2 2" xfId="8061" xr:uid="{00000000-0005-0000-0000-0000CB0F0000}"/>
    <cellStyle name="Normal 2 4 2 9 2 2 2" xfId="16490" xr:uid="{3FBDC6DE-1DC5-49CE-B2CE-76E2AC03859E}"/>
    <cellStyle name="Normal 2 4 2 9 2 3" xfId="12272" xr:uid="{A2BE8B79-D750-448D-8D91-C78EDC6E6BA5}"/>
    <cellStyle name="Normal 2 4 2 9 3" xfId="5916" xr:uid="{00000000-0005-0000-0000-0000CC0F0000}"/>
    <cellStyle name="Normal 2 4 2 9 3 2" xfId="14345" xr:uid="{902631EB-A3C3-4AFF-B65B-19A8ECCC7F44}"/>
    <cellStyle name="Normal 2 4 2 9 4" xfId="10127" xr:uid="{43E8F59C-BCFD-4D72-B575-21E9D9D9E44D}"/>
    <cellStyle name="Normal 2 4 3" xfId="296" xr:uid="{00000000-0005-0000-0000-0000CD0F0000}"/>
    <cellStyle name="Normal 2 4 3 10" xfId="8903" xr:uid="{8CF04063-B2CE-4AFC-AFA5-F031C8793D6F}"/>
    <cellStyle name="Normal 2 4 3 2" xfId="297" xr:uid="{00000000-0005-0000-0000-0000CE0F0000}"/>
    <cellStyle name="Normal 2 4 3 3" xfId="298" xr:uid="{00000000-0005-0000-0000-0000CF0F0000}"/>
    <cellStyle name="Normal 2 4 3 3 10" xfId="8904" xr:uid="{8975A287-C0DD-48B2-8966-620B9381D03B}"/>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2 2 2" xfId="15683" xr:uid="{A572F0C3-50CA-4726-AE10-21619D19695C}"/>
    <cellStyle name="Normal 2 4 3 3 2 2 2 2 3" xfId="11465" xr:uid="{3DACEC9A-F369-466F-91BD-7E9C4B7D87DE}"/>
    <cellStyle name="Normal 2 4 3 3 2 2 2 3" xfId="5109" xr:uid="{00000000-0005-0000-0000-0000D50F0000}"/>
    <cellStyle name="Normal 2 4 3 3 2 2 2 3 2" xfId="13538" xr:uid="{225CBE69-FA47-404D-A480-FE2A22745637}"/>
    <cellStyle name="Normal 2 4 3 3 2 2 2 4" xfId="9320" xr:uid="{F4B5EA6D-ABD4-494A-8715-2AA71899EFE3}"/>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2 2 2" xfId="16096" xr:uid="{C17A0492-AEE2-4F2D-A5C6-D2C7F6FAA2A8}"/>
    <cellStyle name="Normal 2 4 3 3 2 2 3 2 3" xfId="11878" xr:uid="{1E81EA87-FC90-4284-B0D3-B85F0171680C}"/>
    <cellStyle name="Normal 2 4 3 3 2 2 3 3" xfId="5522" xr:uid="{00000000-0005-0000-0000-0000D90F0000}"/>
    <cellStyle name="Normal 2 4 3 3 2 2 3 3 2" xfId="13951" xr:uid="{1E4D82FC-43C8-452A-BC75-0C27819B630C}"/>
    <cellStyle name="Normal 2 4 3 3 2 2 3 4" xfId="9733" xr:uid="{70230D5F-1BDD-486F-821F-BD052B42F23D}"/>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2 2 2" xfId="16509" xr:uid="{EB87EF46-91C6-4749-8ACF-723436B19C64}"/>
    <cellStyle name="Normal 2 4 3 3 2 2 4 2 3" xfId="12291" xr:uid="{20E861A6-6AC7-48D2-B5D3-55F195D33464}"/>
    <cellStyle name="Normal 2 4 3 3 2 2 4 3" xfId="5935" xr:uid="{00000000-0005-0000-0000-0000DD0F0000}"/>
    <cellStyle name="Normal 2 4 3 3 2 2 4 3 2" xfId="14364" xr:uid="{529E2840-4CAA-4C7B-A29E-4AEA172CFA03}"/>
    <cellStyle name="Normal 2 4 3 3 2 2 4 4" xfId="10146" xr:uid="{80CD2E05-1054-494B-9374-F41A2F8B5BEA}"/>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2 2 2" xfId="16922" xr:uid="{3668BECF-8ECF-4759-9F93-21DF51946419}"/>
    <cellStyle name="Normal 2 4 3 3 2 2 5 2 3" xfId="12704" xr:uid="{9D583CB3-508F-45B7-A135-0183AEBE59DD}"/>
    <cellStyle name="Normal 2 4 3 3 2 2 5 3" xfId="6348" xr:uid="{00000000-0005-0000-0000-0000E10F0000}"/>
    <cellStyle name="Normal 2 4 3 3 2 2 5 3 2" xfId="14777" xr:uid="{2BC5FCF1-6844-465E-A063-B15786A1D259}"/>
    <cellStyle name="Normal 2 4 3 3 2 2 5 4" xfId="10559" xr:uid="{D6335704-49F4-4763-8737-1C74167EF41D}"/>
    <cellStyle name="Normal 2 4 3 3 2 2 6" xfId="2476" xr:uid="{00000000-0005-0000-0000-0000E20F0000}"/>
    <cellStyle name="Normal 2 4 3 3 2 2 6 2" xfId="6761" xr:uid="{00000000-0005-0000-0000-0000E30F0000}"/>
    <cellStyle name="Normal 2 4 3 3 2 2 6 2 2" xfId="15190" xr:uid="{0A788538-E51D-4018-9817-E7D807D55D02}"/>
    <cellStyle name="Normal 2 4 3 3 2 2 6 3" xfId="10972" xr:uid="{6E23D941-8182-42C6-AD11-65BFBF178004}"/>
    <cellStyle name="Normal 2 4 3 3 2 2 7" xfId="4695" xr:uid="{00000000-0005-0000-0000-0000E40F0000}"/>
    <cellStyle name="Normal 2 4 3 3 2 2 7 2" xfId="13124" xr:uid="{F3AB8F29-1944-4D65-8757-36A316DCE446}"/>
    <cellStyle name="Normal 2 4 3 3 2 2 8" xfId="8906" xr:uid="{3F8D90D2-37C4-4AAE-88B3-B6907DBB4AB7}"/>
    <cellStyle name="Normal 2 4 3 3 2 3" xfId="790" xr:uid="{00000000-0005-0000-0000-0000E50F0000}"/>
    <cellStyle name="Normal 2 4 3 3 2 3 2" xfId="3029" xr:uid="{00000000-0005-0000-0000-0000E60F0000}"/>
    <cellStyle name="Normal 2 4 3 3 2 3 2 2" xfId="7253" xr:uid="{00000000-0005-0000-0000-0000E70F0000}"/>
    <cellStyle name="Normal 2 4 3 3 2 3 2 2 2" xfId="15682" xr:uid="{605DB8B6-439A-4A62-9234-4775FC4233AF}"/>
    <cellStyle name="Normal 2 4 3 3 2 3 2 3" xfId="11464" xr:uid="{09B473B7-5FA7-4DF7-84FC-E6FA19988A8C}"/>
    <cellStyle name="Normal 2 4 3 3 2 3 3" xfId="5108" xr:uid="{00000000-0005-0000-0000-0000E80F0000}"/>
    <cellStyle name="Normal 2 4 3 3 2 3 3 2" xfId="13537" xr:uid="{9E182A27-CB8C-4FB9-B67F-E70CF6F47CA2}"/>
    <cellStyle name="Normal 2 4 3 3 2 3 4" xfId="9319" xr:uid="{59B83B27-1DF3-41AE-9ECD-DC1D43EB11EE}"/>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2 2 2" xfId="16095" xr:uid="{363B1404-C946-4134-9D1D-235092C62F3F}"/>
    <cellStyle name="Normal 2 4 3 3 2 4 2 3" xfId="11877" xr:uid="{166A9997-AD60-4DFD-9B1E-E1662A47726A}"/>
    <cellStyle name="Normal 2 4 3 3 2 4 3" xfId="5521" xr:uid="{00000000-0005-0000-0000-0000EC0F0000}"/>
    <cellStyle name="Normal 2 4 3 3 2 4 3 2" xfId="13950" xr:uid="{F573EE53-E2CF-47C1-A468-85F7EF7AE6F7}"/>
    <cellStyle name="Normal 2 4 3 3 2 4 4" xfId="9732" xr:uid="{FEEC422B-F88B-4F52-AC8B-E5BE2C02066A}"/>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2 2 2" xfId="16508" xr:uid="{9F43B00E-1B58-4025-91F6-5F8ABE4C9FAD}"/>
    <cellStyle name="Normal 2 4 3 3 2 5 2 3" xfId="12290" xr:uid="{B208782D-6AEA-424B-A0B5-EF90D169904C}"/>
    <cellStyle name="Normal 2 4 3 3 2 5 3" xfId="5934" xr:uid="{00000000-0005-0000-0000-0000F00F0000}"/>
    <cellStyle name="Normal 2 4 3 3 2 5 3 2" xfId="14363" xr:uid="{B0D6344F-DF56-4CAD-A797-CFBDCDBE06BD}"/>
    <cellStyle name="Normal 2 4 3 3 2 5 4" xfId="10145" xr:uid="{E498CAFC-3399-4CF6-B08D-0B22CDE9B835}"/>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2 2 2" xfId="16921" xr:uid="{226C0BEC-27BA-41A1-9831-CDBB522A656F}"/>
    <cellStyle name="Normal 2 4 3 3 2 6 2 3" xfId="12703" xr:uid="{9A843DC1-091C-4B69-8465-6B98B89DB476}"/>
    <cellStyle name="Normal 2 4 3 3 2 6 3" xfId="6347" xr:uid="{00000000-0005-0000-0000-0000F40F0000}"/>
    <cellStyle name="Normal 2 4 3 3 2 6 3 2" xfId="14776" xr:uid="{DA22D4F7-4734-4BE6-AADA-29E29D98F960}"/>
    <cellStyle name="Normal 2 4 3 3 2 6 4" xfId="10558" xr:uid="{D91BCD55-B782-4B16-A4B5-965F8C1B147D}"/>
    <cellStyle name="Normal 2 4 3 3 2 7" xfId="2475" xr:uid="{00000000-0005-0000-0000-0000F50F0000}"/>
    <cellStyle name="Normal 2 4 3 3 2 7 2" xfId="6760" xr:uid="{00000000-0005-0000-0000-0000F60F0000}"/>
    <cellStyle name="Normal 2 4 3 3 2 7 2 2" xfId="15189" xr:uid="{4202E8D6-D521-4437-85D6-232F02458F71}"/>
    <cellStyle name="Normal 2 4 3 3 2 7 3" xfId="10971" xr:uid="{47609760-910E-42B3-9DAB-C66550C52441}"/>
    <cellStyle name="Normal 2 4 3 3 2 8" xfId="4694" xr:uid="{00000000-0005-0000-0000-0000F70F0000}"/>
    <cellStyle name="Normal 2 4 3 3 2 8 2" xfId="13123" xr:uid="{AEBF3BD6-A634-4A5F-A21C-C1B9BF78D54B}"/>
    <cellStyle name="Normal 2 4 3 3 2 9" xfId="8905" xr:uid="{8B4A37CD-927F-4C9D-948F-A5EE6F1ABE5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2 2 2" xfId="15684" xr:uid="{255A7A13-B2E4-4265-B600-28AA5B8027A4}"/>
    <cellStyle name="Normal 2 4 3 3 3 2 2 3" xfId="11466" xr:uid="{FD64B2FC-D14D-4D93-A784-2C730D47EF7E}"/>
    <cellStyle name="Normal 2 4 3 3 3 2 3" xfId="5110" xr:uid="{00000000-0005-0000-0000-0000FC0F0000}"/>
    <cellStyle name="Normal 2 4 3 3 3 2 3 2" xfId="13539" xr:uid="{A4A0CDB1-4CFA-4617-8A6F-F669C229F3AE}"/>
    <cellStyle name="Normal 2 4 3 3 3 2 4" xfId="9321" xr:uid="{9964219F-92AC-4497-856A-4B41EBD6F67F}"/>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2 2 2" xfId="16097" xr:uid="{B26B8C2C-945B-4077-B069-C1B9AABAF2F9}"/>
    <cellStyle name="Normal 2 4 3 3 3 3 2 3" xfId="11879" xr:uid="{8B19D030-DBC7-4D6D-A416-DD139A28C91A}"/>
    <cellStyle name="Normal 2 4 3 3 3 3 3" xfId="5523" xr:uid="{00000000-0005-0000-0000-000000100000}"/>
    <cellStyle name="Normal 2 4 3 3 3 3 3 2" xfId="13952" xr:uid="{2FE286C8-355F-4AAF-901A-2B98D3D93759}"/>
    <cellStyle name="Normal 2 4 3 3 3 3 4" xfId="9734" xr:uid="{361F1280-1364-4008-A376-24E063C2180A}"/>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2 2 2" xfId="16510" xr:uid="{4EE74982-642A-49D6-9407-30C5D92D86B6}"/>
    <cellStyle name="Normal 2 4 3 3 3 4 2 3" xfId="12292" xr:uid="{033CB079-2C21-435E-B567-29330FA7CD3B}"/>
    <cellStyle name="Normal 2 4 3 3 3 4 3" xfId="5936" xr:uid="{00000000-0005-0000-0000-000004100000}"/>
    <cellStyle name="Normal 2 4 3 3 3 4 3 2" xfId="14365" xr:uid="{ADF9AF94-7E5B-48FE-ACA8-09DD30B7678D}"/>
    <cellStyle name="Normal 2 4 3 3 3 4 4" xfId="10147" xr:uid="{DB0F66F8-F855-41BE-AE90-BF70FF84B63E}"/>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2 2 2" xfId="16923" xr:uid="{37521D52-09FE-4C48-B05A-10B1748D4119}"/>
    <cellStyle name="Normal 2 4 3 3 3 5 2 3" xfId="12705" xr:uid="{90C7D7E2-94BE-42D4-A25B-40D3C437B190}"/>
    <cellStyle name="Normal 2 4 3 3 3 5 3" xfId="6349" xr:uid="{00000000-0005-0000-0000-000008100000}"/>
    <cellStyle name="Normal 2 4 3 3 3 5 3 2" xfId="14778" xr:uid="{93933E7D-9A1F-47BF-B97A-562709074A8D}"/>
    <cellStyle name="Normal 2 4 3 3 3 5 4" xfId="10560" xr:uid="{FE2A1808-4CCF-4ECF-B236-B77CFF7C9CC7}"/>
    <cellStyle name="Normal 2 4 3 3 3 6" xfId="2477" xr:uid="{00000000-0005-0000-0000-000009100000}"/>
    <cellStyle name="Normal 2 4 3 3 3 6 2" xfId="6762" xr:uid="{00000000-0005-0000-0000-00000A100000}"/>
    <cellStyle name="Normal 2 4 3 3 3 6 2 2" xfId="15191" xr:uid="{E22314B3-0BD1-419B-885A-91B131B51A29}"/>
    <cellStyle name="Normal 2 4 3 3 3 6 3" xfId="10973" xr:uid="{3953AC3B-C74D-4606-89DB-F18AD43488FD}"/>
    <cellStyle name="Normal 2 4 3 3 3 7" xfId="4696" xr:uid="{00000000-0005-0000-0000-00000B100000}"/>
    <cellStyle name="Normal 2 4 3 3 3 7 2" xfId="13125" xr:uid="{B6910246-B4B5-432E-9638-38AAB1948557}"/>
    <cellStyle name="Normal 2 4 3 3 3 8" xfId="8907" xr:uid="{729B4DB1-4596-44E3-B294-C0B0EC3BAFB1}"/>
    <cellStyle name="Normal 2 4 3 3 4" xfId="789" xr:uid="{00000000-0005-0000-0000-00000C100000}"/>
    <cellStyle name="Normal 2 4 3 3 4 2" xfId="3028" xr:uid="{00000000-0005-0000-0000-00000D100000}"/>
    <cellStyle name="Normal 2 4 3 3 4 2 2" xfId="7252" xr:uid="{00000000-0005-0000-0000-00000E100000}"/>
    <cellStyle name="Normal 2 4 3 3 4 2 2 2" xfId="15681" xr:uid="{EAC8893A-80D5-46DB-9006-57BEE2097E2D}"/>
    <cellStyle name="Normal 2 4 3 3 4 2 3" xfId="11463" xr:uid="{C010DB85-6F91-482C-8527-B47B1795C1B6}"/>
    <cellStyle name="Normal 2 4 3 3 4 3" xfId="5107" xr:uid="{00000000-0005-0000-0000-00000F100000}"/>
    <cellStyle name="Normal 2 4 3 3 4 3 2" xfId="13536" xr:uid="{7DB053B7-C2CE-4161-A203-30C0C0BB7CA8}"/>
    <cellStyle name="Normal 2 4 3 3 4 4" xfId="9318" xr:uid="{F1D7BAB5-A477-40C8-9BD8-CC588F389F22}"/>
    <cellStyle name="Normal 2 4 3 3 5" xfId="1211" xr:uid="{00000000-0005-0000-0000-000010100000}"/>
    <cellStyle name="Normal 2 4 3 3 5 2" xfId="3441" xr:uid="{00000000-0005-0000-0000-000011100000}"/>
    <cellStyle name="Normal 2 4 3 3 5 2 2" xfId="7665" xr:uid="{00000000-0005-0000-0000-000012100000}"/>
    <cellStyle name="Normal 2 4 3 3 5 2 2 2" xfId="16094" xr:uid="{9360CEBE-0E6D-4BE8-9680-83A51BEE3C7D}"/>
    <cellStyle name="Normal 2 4 3 3 5 2 3" xfId="11876" xr:uid="{9A7C8E04-09E7-4265-AC94-D2F934EEC324}"/>
    <cellStyle name="Normal 2 4 3 3 5 3" xfId="5520" xr:uid="{00000000-0005-0000-0000-000013100000}"/>
    <cellStyle name="Normal 2 4 3 3 5 3 2" xfId="13949" xr:uid="{337C6AB9-2413-47BF-BBA8-BACBA5EF82EF}"/>
    <cellStyle name="Normal 2 4 3 3 5 4" xfId="9731" xr:uid="{2A3A8280-C841-47A7-BEDD-96B6FB1BB143}"/>
    <cellStyle name="Normal 2 4 3 3 6" xfId="1624" xr:uid="{00000000-0005-0000-0000-000014100000}"/>
    <cellStyle name="Normal 2 4 3 3 6 2" xfId="3854" xr:uid="{00000000-0005-0000-0000-000015100000}"/>
    <cellStyle name="Normal 2 4 3 3 6 2 2" xfId="8078" xr:uid="{00000000-0005-0000-0000-000016100000}"/>
    <cellStyle name="Normal 2 4 3 3 6 2 2 2" xfId="16507" xr:uid="{3498FDEB-F075-4B40-8FA8-9BD506AA944C}"/>
    <cellStyle name="Normal 2 4 3 3 6 2 3" xfId="12289" xr:uid="{CE60EC6D-AA81-4A32-BF90-726DBFF9A75C}"/>
    <cellStyle name="Normal 2 4 3 3 6 3" xfId="5933" xr:uid="{00000000-0005-0000-0000-000017100000}"/>
    <cellStyle name="Normal 2 4 3 3 6 3 2" xfId="14362" xr:uid="{51C3E052-5CDD-4F18-A4BF-879DED5B51E7}"/>
    <cellStyle name="Normal 2 4 3 3 6 4" xfId="10144" xr:uid="{83005335-2C35-4C7C-AE78-B9DEC9CBEC8F}"/>
    <cellStyle name="Normal 2 4 3 3 7" xfId="2038" xr:uid="{00000000-0005-0000-0000-000018100000}"/>
    <cellStyle name="Normal 2 4 3 3 7 2" xfId="4267" xr:uid="{00000000-0005-0000-0000-000019100000}"/>
    <cellStyle name="Normal 2 4 3 3 7 2 2" xfId="8491" xr:uid="{00000000-0005-0000-0000-00001A100000}"/>
    <cellStyle name="Normal 2 4 3 3 7 2 2 2" xfId="16920" xr:uid="{4B912D44-6DAB-4842-9F9A-BC5612A79C3B}"/>
    <cellStyle name="Normal 2 4 3 3 7 2 3" xfId="12702" xr:uid="{A6FA2D09-9AB9-4073-9802-798C8E15BF9A}"/>
    <cellStyle name="Normal 2 4 3 3 7 3" xfId="6346" xr:uid="{00000000-0005-0000-0000-00001B100000}"/>
    <cellStyle name="Normal 2 4 3 3 7 3 2" xfId="14775" xr:uid="{2FCB4D4A-9267-40B5-B045-A3D6C7CC1BA7}"/>
    <cellStyle name="Normal 2 4 3 3 7 4" xfId="10557" xr:uid="{5AADB7F5-3815-4B49-98FE-2282451A0952}"/>
    <cellStyle name="Normal 2 4 3 3 8" xfId="2474" xr:uid="{00000000-0005-0000-0000-00001C100000}"/>
    <cellStyle name="Normal 2 4 3 3 8 2" xfId="6759" xr:uid="{00000000-0005-0000-0000-00001D100000}"/>
    <cellStyle name="Normal 2 4 3 3 8 2 2" xfId="15188" xr:uid="{DE7A278B-E4BD-4166-9008-42069D7E5814}"/>
    <cellStyle name="Normal 2 4 3 3 8 3" xfId="10970" xr:uid="{ABFC3FC1-5B09-4841-A9E9-46C809C6B9FB}"/>
    <cellStyle name="Normal 2 4 3 3 9" xfId="4693" xr:uid="{00000000-0005-0000-0000-00001E100000}"/>
    <cellStyle name="Normal 2 4 3 3 9 2" xfId="13122" xr:uid="{38CE6E3E-F81D-4968-A83C-9B460ACCC836}"/>
    <cellStyle name="Normal 2 4 3 4" xfId="788" xr:uid="{00000000-0005-0000-0000-00001F100000}"/>
    <cellStyle name="Normal 2 4 3 4 2" xfId="3027" xr:uid="{00000000-0005-0000-0000-000020100000}"/>
    <cellStyle name="Normal 2 4 3 4 2 2" xfId="7251" xr:uid="{00000000-0005-0000-0000-000021100000}"/>
    <cellStyle name="Normal 2 4 3 4 2 2 2" xfId="15680" xr:uid="{ABB9FB56-D1C0-4876-B910-C5F7886BC1B1}"/>
    <cellStyle name="Normal 2 4 3 4 2 3" xfId="11462" xr:uid="{4A9928AC-72A3-4532-AD1A-356FEBEC1635}"/>
    <cellStyle name="Normal 2 4 3 4 3" xfId="5106" xr:uid="{00000000-0005-0000-0000-000022100000}"/>
    <cellStyle name="Normal 2 4 3 4 3 2" xfId="13535" xr:uid="{DC9455EB-0253-41F1-B267-4169DA4A38F7}"/>
    <cellStyle name="Normal 2 4 3 4 4" xfId="9317" xr:uid="{989C3FA6-CC34-42D7-A44C-2D9354D3CA9B}"/>
    <cellStyle name="Normal 2 4 3 5" xfId="1210" xr:uid="{00000000-0005-0000-0000-000023100000}"/>
    <cellStyle name="Normal 2 4 3 5 2" xfId="3440" xr:uid="{00000000-0005-0000-0000-000024100000}"/>
    <cellStyle name="Normal 2 4 3 5 2 2" xfId="7664" xr:uid="{00000000-0005-0000-0000-000025100000}"/>
    <cellStyle name="Normal 2 4 3 5 2 2 2" xfId="16093" xr:uid="{5D4931FD-AB94-4FB8-9C9B-392A035531A5}"/>
    <cellStyle name="Normal 2 4 3 5 2 3" xfId="11875" xr:uid="{80863122-D289-4E4A-AF85-327F368557CC}"/>
    <cellStyle name="Normal 2 4 3 5 3" xfId="5519" xr:uid="{00000000-0005-0000-0000-000026100000}"/>
    <cellStyle name="Normal 2 4 3 5 3 2" xfId="13948" xr:uid="{F6EB855F-DC15-4908-B7E2-1D7F3CB63C27}"/>
    <cellStyle name="Normal 2 4 3 5 4" xfId="9730" xr:uid="{3EC2A99D-0760-4CC9-974E-F63733EFF323}"/>
    <cellStyle name="Normal 2 4 3 6" xfId="1623" xr:uid="{00000000-0005-0000-0000-000027100000}"/>
    <cellStyle name="Normal 2 4 3 6 2" xfId="3853" xr:uid="{00000000-0005-0000-0000-000028100000}"/>
    <cellStyle name="Normal 2 4 3 6 2 2" xfId="8077" xr:uid="{00000000-0005-0000-0000-000029100000}"/>
    <cellStyle name="Normal 2 4 3 6 2 2 2" xfId="16506" xr:uid="{F5E63D0C-C092-48EC-B924-061843E97896}"/>
    <cellStyle name="Normal 2 4 3 6 2 3" xfId="12288" xr:uid="{74BD797B-2AFB-4446-BA66-EC3826FCF549}"/>
    <cellStyle name="Normal 2 4 3 6 3" xfId="5932" xr:uid="{00000000-0005-0000-0000-00002A100000}"/>
    <cellStyle name="Normal 2 4 3 6 3 2" xfId="14361" xr:uid="{8A21C592-DDEA-4C87-873C-18BAA83DF6C1}"/>
    <cellStyle name="Normal 2 4 3 6 4" xfId="10143" xr:uid="{B36DD660-E402-452A-AD25-9D489DDF920D}"/>
    <cellStyle name="Normal 2 4 3 7" xfId="2037" xr:uid="{00000000-0005-0000-0000-00002B100000}"/>
    <cellStyle name="Normal 2 4 3 7 2" xfId="4266" xr:uid="{00000000-0005-0000-0000-00002C100000}"/>
    <cellStyle name="Normal 2 4 3 7 2 2" xfId="8490" xr:uid="{00000000-0005-0000-0000-00002D100000}"/>
    <cellStyle name="Normal 2 4 3 7 2 2 2" xfId="16919" xr:uid="{4857DA40-9657-4ABC-8479-34FDBE36B450}"/>
    <cellStyle name="Normal 2 4 3 7 2 3" xfId="12701" xr:uid="{1A28A456-B8CC-4753-BED6-720E3116B993}"/>
    <cellStyle name="Normal 2 4 3 7 3" xfId="6345" xr:uid="{00000000-0005-0000-0000-00002E100000}"/>
    <cellStyle name="Normal 2 4 3 7 3 2" xfId="14774" xr:uid="{E9182C78-0CF8-4FB9-AFB7-EE8D61106766}"/>
    <cellStyle name="Normal 2 4 3 7 4" xfId="10556" xr:uid="{96E1971A-3295-4B2A-B22C-B9036DBA2657}"/>
    <cellStyle name="Normal 2 4 3 8" xfId="2473" xr:uid="{00000000-0005-0000-0000-00002F100000}"/>
    <cellStyle name="Normal 2 4 3 8 2" xfId="6758" xr:uid="{00000000-0005-0000-0000-000030100000}"/>
    <cellStyle name="Normal 2 4 3 8 2 2" xfId="15187" xr:uid="{31AA26B6-BA4F-4894-9A8E-1D308D2AF59E}"/>
    <cellStyle name="Normal 2 4 3 8 3" xfId="10969" xr:uid="{58C3F571-A690-487F-9704-968EA356949B}"/>
    <cellStyle name="Normal 2 4 3 9" xfId="4692" xr:uid="{00000000-0005-0000-0000-000031100000}"/>
    <cellStyle name="Normal 2 4 3 9 2" xfId="13121" xr:uid="{A714735A-081C-4C72-B4D2-EC8781726611}"/>
    <cellStyle name="Normal 2 4 4" xfId="302" xr:uid="{00000000-0005-0000-0000-000032100000}"/>
    <cellStyle name="Normal 2 4 5" xfId="303" xr:uid="{00000000-0005-0000-0000-000033100000}"/>
    <cellStyle name="Normal 2 4 5 10" xfId="4697" xr:uid="{00000000-0005-0000-0000-000034100000}"/>
    <cellStyle name="Normal 2 4 5 10 2" xfId="13126" xr:uid="{D682C572-4324-4BF0-8CFC-4DB9DC81AE82}"/>
    <cellStyle name="Normal 2 4 5 11" xfId="8908" xr:uid="{8AB23145-AC5F-4C89-983D-C6583E8A1BD5}"/>
    <cellStyle name="Normal 2 4 5 2" xfId="304" xr:uid="{00000000-0005-0000-0000-000035100000}"/>
    <cellStyle name="Normal 2 4 5 2 10" xfId="8909" xr:uid="{23769B96-C7F0-4FA7-AEB8-311F12BB7A86}"/>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2 2 2" xfId="15688" xr:uid="{690BEE36-923A-4924-AC4C-71BA702E5CFB}"/>
    <cellStyle name="Normal 2 4 5 2 2 2 2 2 3" xfId="11470" xr:uid="{E962868A-8044-4ADA-A1CD-8F0B46F1E8AB}"/>
    <cellStyle name="Normal 2 4 5 2 2 2 2 3" xfId="5114" xr:uid="{00000000-0005-0000-0000-00003B100000}"/>
    <cellStyle name="Normal 2 4 5 2 2 2 2 3 2" xfId="13543" xr:uid="{FDBDC35A-2D86-418D-9EB8-D5DAC61161F0}"/>
    <cellStyle name="Normal 2 4 5 2 2 2 2 4" xfId="9325" xr:uid="{3DB0A51C-0934-495B-8306-C873BD3BFD2A}"/>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2 2 2" xfId="16101" xr:uid="{070889A9-0C51-45BE-8827-8FF202AAE084}"/>
    <cellStyle name="Normal 2 4 5 2 2 2 3 2 3" xfId="11883" xr:uid="{5C1BF7D2-7396-4BFD-84CF-A3E285FEDE1C}"/>
    <cellStyle name="Normal 2 4 5 2 2 2 3 3" xfId="5527" xr:uid="{00000000-0005-0000-0000-00003F100000}"/>
    <cellStyle name="Normal 2 4 5 2 2 2 3 3 2" xfId="13956" xr:uid="{635CDD9B-CE24-4A22-B948-0F3D0F4F50D7}"/>
    <cellStyle name="Normal 2 4 5 2 2 2 3 4" xfId="9738" xr:uid="{54AE9B32-75FA-436C-AFA3-5756E2163A8B}"/>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2 2 2" xfId="16514" xr:uid="{A34BEB82-0E34-4307-BF54-56932301C9DA}"/>
    <cellStyle name="Normal 2 4 5 2 2 2 4 2 3" xfId="12296" xr:uid="{06970C32-1097-419F-99F9-50CF840584E4}"/>
    <cellStyle name="Normal 2 4 5 2 2 2 4 3" xfId="5940" xr:uid="{00000000-0005-0000-0000-000043100000}"/>
    <cellStyle name="Normal 2 4 5 2 2 2 4 3 2" xfId="14369" xr:uid="{AAEF9367-9502-404B-A473-09C211A5FF30}"/>
    <cellStyle name="Normal 2 4 5 2 2 2 4 4" xfId="10151" xr:uid="{001ADEB5-621D-4361-84B8-00D808576228}"/>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2 2 2" xfId="16927" xr:uid="{53525835-8C6F-4D7B-B2FC-0CA7BA28B235}"/>
    <cellStyle name="Normal 2 4 5 2 2 2 5 2 3" xfId="12709" xr:uid="{178F1725-C331-43B4-9C46-F41E7962B9C9}"/>
    <cellStyle name="Normal 2 4 5 2 2 2 5 3" xfId="6353" xr:uid="{00000000-0005-0000-0000-000047100000}"/>
    <cellStyle name="Normal 2 4 5 2 2 2 5 3 2" xfId="14782" xr:uid="{1C0E2A4B-7BBB-43D7-AD27-F3AA1D179DAE}"/>
    <cellStyle name="Normal 2 4 5 2 2 2 5 4" xfId="10564" xr:uid="{95D034A3-BF5A-45FE-8C57-E27B05AF44D8}"/>
    <cellStyle name="Normal 2 4 5 2 2 2 6" xfId="2481" xr:uid="{00000000-0005-0000-0000-000048100000}"/>
    <cellStyle name="Normal 2 4 5 2 2 2 6 2" xfId="6766" xr:uid="{00000000-0005-0000-0000-000049100000}"/>
    <cellStyle name="Normal 2 4 5 2 2 2 6 2 2" xfId="15195" xr:uid="{D31C0BA8-7ED8-4ADD-9C07-96744F3DA953}"/>
    <cellStyle name="Normal 2 4 5 2 2 2 6 3" xfId="10977" xr:uid="{8B1D9295-4A4D-4A1A-A1FF-B3AE8B8A8BF4}"/>
    <cellStyle name="Normal 2 4 5 2 2 2 7" xfId="4700" xr:uid="{00000000-0005-0000-0000-00004A100000}"/>
    <cellStyle name="Normal 2 4 5 2 2 2 7 2" xfId="13129" xr:uid="{A027F1C5-C929-426F-BCB3-D15056C02AE2}"/>
    <cellStyle name="Normal 2 4 5 2 2 2 8" xfId="8911" xr:uid="{865253E2-367E-4B86-84D9-3502C05ACEE4}"/>
    <cellStyle name="Normal 2 4 5 2 2 3" xfId="795" xr:uid="{00000000-0005-0000-0000-00004B100000}"/>
    <cellStyle name="Normal 2 4 5 2 2 3 2" xfId="3034" xr:uid="{00000000-0005-0000-0000-00004C100000}"/>
    <cellStyle name="Normal 2 4 5 2 2 3 2 2" xfId="7258" xr:uid="{00000000-0005-0000-0000-00004D100000}"/>
    <cellStyle name="Normal 2 4 5 2 2 3 2 2 2" xfId="15687" xr:uid="{0AD24130-1AE1-401B-B40C-8537018B5085}"/>
    <cellStyle name="Normal 2 4 5 2 2 3 2 3" xfId="11469" xr:uid="{34E91BAA-F539-4FA5-AE61-ADB6E88F6052}"/>
    <cellStyle name="Normal 2 4 5 2 2 3 3" xfId="5113" xr:uid="{00000000-0005-0000-0000-00004E100000}"/>
    <cellStyle name="Normal 2 4 5 2 2 3 3 2" xfId="13542" xr:uid="{A54C3EF3-9FBF-47A4-B01A-0313A466A449}"/>
    <cellStyle name="Normal 2 4 5 2 2 3 4" xfId="9324" xr:uid="{9E8E4ABF-E2B8-4407-A60C-880A792E9445}"/>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2 2 2" xfId="16100" xr:uid="{9621E5BB-55B1-4DF6-8184-5772FA6AF50A}"/>
    <cellStyle name="Normal 2 4 5 2 2 4 2 3" xfId="11882" xr:uid="{F5A7E40E-3479-4DFC-85E0-DF7D59A62860}"/>
    <cellStyle name="Normal 2 4 5 2 2 4 3" xfId="5526" xr:uid="{00000000-0005-0000-0000-000052100000}"/>
    <cellStyle name="Normal 2 4 5 2 2 4 3 2" xfId="13955" xr:uid="{7614141F-D3A2-4CE7-9668-61FAD0E7F76B}"/>
    <cellStyle name="Normal 2 4 5 2 2 4 4" xfId="9737" xr:uid="{9DA3FECA-2141-4047-846C-CA0624F17311}"/>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2 2 2" xfId="16513" xr:uid="{81530A53-65CE-490C-90E5-587E7EC74212}"/>
    <cellStyle name="Normal 2 4 5 2 2 5 2 3" xfId="12295" xr:uid="{E8D87C88-B544-4A6E-AF1A-B86E6B1B6F99}"/>
    <cellStyle name="Normal 2 4 5 2 2 5 3" xfId="5939" xr:uid="{00000000-0005-0000-0000-000056100000}"/>
    <cellStyle name="Normal 2 4 5 2 2 5 3 2" xfId="14368" xr:uid="{0F079579-A216-4BEA-AFA7-B5B627A6386D}"/>
    <cellStyle name="Normal 2 4 5 2 2 5 4" xfId="10150" xr:uid="{80207CB5-FD0A-4550-9484-D6A7AC300ABF}"/>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2 2 2" xfId="16926" xr:uid="{9864501E-7B2D-4212-956A-872AA30F723B}"/>
    <cellStyle name="Normal 2 4 5 2 2 6 2 3" xfId="12708" xr:uid="{0EDAA6E4-0944-4056-BF38-13B923D2639C}"/>
    <cellStyle name="Normal 2 4 5 2 2 6 3" xfId="6352" xr:uid="{00000000-0005-0000-0000-00005A100000}"/>
    <cellStyle name="Normal 2 4 5 2 2 6 3 2" xfId="14781" xr:uid="{20F08789-1167-4ABF-AA61-90D5CC2C5613}"/>
    <cellStyle name="Normal 2 4 5 2 2 6 4" xfId="10563" xr:uid="{F409E4A5-F359-43CF-B338-A2DEF871FE3B}"/>
    <cellStyle name="Normal 2 4 5 2 2 7" xfId="2480" xr:uid="{00000000-0005-0000-0000-00005B100000}"/>
    <cellStyle name="Normal 2 4 5 2 2 7 2" xfId="6765" xr:uid="{00000000-0005-0000-0000-00005C100000}"/>
    <cellStyle name="Normal 2 4 5 2 2 7 2 2" xfId="15194" xr:uid="{5C3A46B0-5C65-490E-AAB8-DF373B29AB8B}"/>
    <cellStyle name="Normal 2 4 5 2 2 7 3" xfId="10976" xr:uid="{4F896527-32C8-4DD2-A00E-E9A128CDDF4D}"/>
    <cellStyle name="Normal 2 4 5 2 2 8" xfId="4699" xr:uid="{00000000-0005-0000-0000-00005D100000}"/>
    <cellStyle name="Normal 2 4 5 2 2 8 2" xfId="13128" xr:uid="{196E929F-36E6-4A24-95E3-06C0E50C4A45}"/>
    <cellStyle name="Normal 2 4 5 2 2 9" xfId="8910" xr:uid="{FD15B3DF-CFAC-45B9-AE78-6BC74725B8D5}"/>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2 2 2" xfId="15689" xr:uid="{3B0D1254-47E7-409E-BB24-FE0FAC3110BB}"/>
    <cellStyle name="Normal 2 4 5 2 3 2 2 3" xfId="11471" xr:uid="{0DFD5713-78B0-4532-92F2-3C9B1EC5A7DF}"/>
    <cellStyle name="Normal 2 4 5 2 3 2 3" xfId="5115" xr:uid="{00000000-0005-0000-0000-000062100000}"/>
    <cellStyle name="Normal 2 4 5 2 3 2 3 2" xfId="13544" xr:uid="{A5EE717B-BEA2-4564-80CB-48018D01634D}"/>
    <cellStyle name="Normal 2 4 5 2 3 2 4" xfId="9326" xr:uid="{86AF679B-7E6E-4B67-959B-C7F067DEB58F}"/>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2 2 2" xfId="16102" xr:uid="{668F5D3A-FE09-4201-B116-64721DA654DD}"/>
    <cellStyle name="Normal 2 4 5 2 3 3 2 3" xfId="11884" xr:uid="{AD97A2BB-91BB-4DC0-BDB2-BB96F9FB7236}"/>
    <cellStyle name="Normal 2 4 5 2 3 3 3" xfId="5528" xr:uid="{00000000-0005-0000-0000-000066100000}"/>
    <cellStyle name="Normal 2 4 5 2 3 3 3 2" xfId="13957" xr:uid="{1A909687-1449-40F2-BB00-A9A2F306225A}"/>
    <cellStyle name="Normal 2 4 5 2 3 3 4" xfId="9739" xr:uid="{F34937A0-4007-4EEF-BAE1-848ECCF6287A}"/>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2 2 2" xfId="16515" xr:uid="{1BE04939-B147-45CF-A8AB-6FAFD2DEA5BC}"/>
    <cellStyle name="Normal 2 4 5 2 3 4 2 3" xfId="12297" xr:uid="{B7CC0D9A-8B7F-4AAA-9353-092D8FB04F39}"/>
    <cellStyle name="Normal 2 4 5 2 3 4 3" xfId="5941" xr:uid="{00000000-0005-0000-0000-00006A100000}"/>
    <cellStyle name="Normal 2 4 5 2 3 4 3 2" xfId="14370" xr:uid="{41591EE9-7880-4C61-B39F-24DE7F78DD64}"/>
    <cellStyle name="Normal 2 4 5 2 3 4 4" xfId="10152" xr:uid="{BE09E47E-6759-454A-945E-A2C896B58B43}"/>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2 2 2" xfId="16928" xr:uid="{93374759-CC95-4A99-8B8D-635A2D5BAA48}"/>
    <cellStyle name="Normal 2 4 5 2 3 5 2 3" xfId="12710" xr:uid="{CADD3BB3-C747-4109-8936-7F2CB2FFD96B}"/>
    <cellStyle name="Normal 2 4 5 2 3 5 3" xfId="6354" xr:uid="{00000000-0005-0000-0000-00006E100000}"/>
    <cellStyle name="Normal 2 4 5 2 3 5 3 2" xfId="14783" xr:uid="{52130419-C47A-41C0-B45D-CEC2CE1ECFC1}"/>
    <cellStyle name="Normal 2 4 5 2 3 5 4" xfId="10565" xr:uid="{486E0C75-F882-4CB0-8548-A5D7DC14A5D8}"/>
    <cellStyle name="Normal 2 4 5 2 3 6" xfId="2482" xr:uid="{00000000-0005-0000-0000-00006F100000}"/>
    <cellStyle name="Normal 2 4 5 2 3 6 2" xfId="6767" xr:uid="{00000000-0005-0000-0000-000070100000}"/>
    <cellStyle name="Normal 2 4 5 2 3 6 2 2" xfId="15196" xr:uid="{B0BB9D3F-F733-475D-93C0-9C23D32C2F1D}"/>
    <cellStyle name="Normal 2 4 5 2 3 6 3" xfId="10978" xr:uid="{2A098841-D12B-4C6C-A3A4-C613F0418751}"/>
    <cellStyle name="Normal 2 4 5 2 3 7" xfId="4701" xr:uid="{00000000-0005-0000-0000-000071100000}"/>
    <cellStyle name="Normal 2 4 5 2 3 7 2" xfId="13130" xr:uid="{3A4001D1-CA3D-4243-A09C-B3CC07A38356}"/>
    <cellStyle name="Normal 2 4 5 2 3 8" xfId="8912" xr:uid="{0D353530-4E7F-4EAF-9890-CF4A20AAFDD3}"/>
    <cellStyle name="Normal 2 4 5 2 4" xfId="794" xr:uid="{00000000-0005-0000-0000-000072100000}"/>
    <cellStyle name="Normal 2 4 5 2 4 2" xfId="3033" xr:uid="{00000000-0005-0000-0000-000073100000}"/>
    <cellStyle name="Normal 2 4 5 2 4 2 2" xfId="7257" xr:uid="{00000000-0005-0000-0000-000074100000}"/>
    <cellStyle name="Normal 2 4 5 2 4 2 2 2" xfId="15686" xr:uid="{2CA6E663-DAF8-41EF-858D-CD61DA900E64}"/>
    <cellStyle name="Normal 2 4 5 2 4 2 3" xfId="11468" xr:uid="{CB04C2FC-50C4-4A9F-BE6E-947A1BF80417}"/>
    <cellStyle name="Normal 2 4 5 2 4 3" xfId="5112" xr:uid="{00000000-0005-0000-0000-000075100000}"/>
    <cellStyle name="Normal 2 4 5 2 4 3 2" xfId="13541" xr:uid="{1CA4BAD5-47CF-4A18-962C-F95EBAF1D62F}"/>
    <cellStyle name="Normal 2 4 5 2 4 4" xfId="9323" xr:uid="{D7A27D1F-9A32-4166-AE24-12827195FAE2}"/>
    <cellStyle name="Normal 2 4 5 2 5" xfId="1216" xr:uid="{00000000-0005-0000-0000-000076100000}"/>
    <cellStyle name="Normal 2 4 5 2 5 2" xfId="3446" xr:uid="{00000000-0005-0000-0000-000077100000}"/>
    <cellStyle name="Normal 2 4 5 2 5 2 2" xfId="7670" xr:uid="{00000000-0005-0000-0000-000078100000}"/>
    <cellStyle name="Normal 2 4 5 2 5 2 2 2" xfId="16099" xr:uid="{F172DD87-96F8-4108-94F1-58AD396C3E14}"/>
    <cellStyle name="Normal 2 4 5 2 5 2 3" xfId="11881" xr:uid="{342BA988-F3C8-433B-9D3F-63CBD5214E03}"/>
    <cellStyle name="Normal 2 4 5 2 5 3" xfId="5525" xr:uid="{00000000-0005-0000-0000-000079100000}"/>
    <cellStyle name="Normal 2 4 5 2 5 3 2" xfId="13954" xr:uid="{DD4D1CE7-C0A9-4AC6-8557-1E391F9878EA}"/>
    <cellStyle name="Normal 2 4 5 2 5 4" xfId="9736" xr:uid="{03D9AE97-8ED1-4BC0-BFB9-2026E6F21A8C}"/>
    <cellStyle name="Normal 2 4 5 2 6" xfId="1629" xr:uid="{00000000-0005-0000-0000-00007A100000}"/>
    <cellStyle name="Normal 2 4 5 2 6 2" xfId="3859" xr:uid="{00000000-0005-0000-0000-00007B100000}"/>
    <cellStyle name="Normal 2 4 5 2 6 2 2" xfId="8083" xr:uid="{00000000-0005-0000-0000-00007C100000}"/>
    <cellStyle name="Normal 2 4 5 2 6 2 2 2" xfId="16512" xr:uid="{A03A207E-D3FF-42CC-92B6-3C0008654A4F}"/>
    <cellStyle name="Normal 2 4 5 2 6 2 3" xfId="12294" xr:uid="{5006DC9C-7F67-46A3-BC57-FF8D291EAA62}"/>
    <cellStyle name="Normal 2 4 5 2 6 3" xfId="5938" xr:uid="{00000000-0005-0000-0000-00007D100000}"/>
    <cellStyle name="Normal 2 4 5 2 6 3 2" xfId="14367" xr:uid="{54B5D1EB-331B-4687-990E-02EC89D8DA7C}"/>
    <cellStyle name="Normal 2 4 5 2 6 4" xfId="10149" xr:uid="{A3CADC12-8B11-4B0C-8057-97541C01092D}"/>
    <cellStyle name="Normal 2 4 5 2 7" xfId="2043" xr:uid="{00000000-0005-0000-0000-00007E100000}"/>
    <cellStyle name="Normal 2 4 5 2 7 2" xfId="4272" xr:uid="{00000000-0005-0000-0000-00007F100000}"/>
    <cellStyle name="Normal 2 4 5 2 7 2 2" xfId="8496" xr:uid="{00000000-0005-0000-0000-000080100000}"/>
    <cellStyle name="Normal 2 4 5 2 7 2 2 2" xfId="16925" xr:uid="{3DCCF325-A884-4DD7-A286-F39157BB22E2}"/>
    <cellStyle name="Normal 2 4 5 2 7 2 3" xfId="12707" xr:uid="{1FA024D0-842C-4EB2-A117-F9DA59232E0D}"/>
    <cellStyle name="Normal 2 4 5 2 7 3" xfId="6351" xr:uid="{00000000-0005-0000-0000-000081100000}"/>
    <cellStyle name="Normal 2 4 5 2 7 3 2" xfId="14780" xr:uid="{E386A193-CACB-4D01-A1CD-09ECF4DE87AB}"/>
    <cellStyle name="Normal 2 4 5 2 7 4" xfId="10562" xr:uid="{3DA9F060-A52E-40D2-AFDE-3EA56B9E0343}"/>
    <cellStyle name="Normal 2 4 5 2 8" xfId="2479" xr:uid="{00000000-0005-0000-0000-000082100000}"/>
    <cellStyle name="Normal 2 4 5 2 8 2" xfId="6764" xr:uid="{00000000-0005-0000-0000-000083100000}"/>
    <cellStyle name="Normal 2 4 5 2 8 2 2" xfId="15193" xr:uid="{6FFC9147-0186-4A37-B75F-A97E921EA31D}"/>
    <cellStyle name="Normal 2 4 5 2 8 3" xfId="10975" xr:uid="{EF792188-3DB1-4D3A-83BC-422366BD98DE}"/>
    <cellStyle name="Normal 2 4 5 2 9" xfId="4698" xr:uid="{00000000-0005-0000-0000-000084100000}"/>
    <cellStyle name="Normal 2 4 5 2 9 2" xfId="13127" xr:uid="{EC802105-08A8-4CCF-A45E-47F2F406AFFA}"/>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2 2 2" xfId="15691" xr:uid="{B0D400F6-C5B1-40A5-AF1B-7866DA4D9EDE}"/>
    <cellStyle name="Normal 2 4 5 3 2 2 2 3" xfId="11473" xr:uid="{59B8767B-7255-4090-9A7A-E48F6017BE79}"/>
    <cellStyle name="Normal 2 4 5 3 2 2 3" xfId="5117" xr:uid="{00000000-0005-0000-0000-00008A100000}"/>
    <cellStyle name="Normal 2 4 5 3 2 2 3 2" xfId="13546" xr:uid="{FC83D9DE-5EC8-4EF7-AF80-9D3A0EC8E16A}"/>
    <cellStyle name="Normal 2 4 5 3 2 2 4" xfId="9328" xr:uid="{E95590E3-2A4B-4E57-BB7F-43ADD61D6721}"/>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2 2 2" xfId="16104" xr:uid="{3C418332-1723-47B6-8042-4243FA812DE0}"/>
    <cellStyle name="Normal 2 4 5 3 2 3 2 3" xfId="11886" xr:uid="{9A3845FB-2EDD-4D81-BC9A-8C0490BAA98C}"/>
    <cellStyle name="Normal 2 4 5 3 2 3 3" xfId="5530" xr:uid="{00000000-0005-0000-0000-00008E100000}"/>
    <cellStyle name="Normal 2 4 5 3 2 3 3 2" xfId="13959" xr:uid="{4688C8DF-353C-41FC-8F26-FB0D69DF3E5E}"/>
    <cellStyle name="Normal 2 4 5 3 2 3 4" xfId="9741" xr:uid="{57A8A7A2-93BB-42AA-8F6B-1F975998F915}"/>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2 2 2" xfId="16517" xr:uid="{8EE86BAC-60EF-4A9D-803F-745FBBF4D9F8}"/>
    <cellStyle name="Normal 2 4 5 3 2 4 2 3" xfId="12299" xr:uid="{BABDC5DB-A577-40A3-AD97-A22C90D8CB54}"/>
    <cellStyle name="Normal 2 4 5 3 2 4 3" xfId="5943" xr:uid="{00000000-0005-0000-0000-000092100000}"/>
    <cellStyle name="Normal 2 4 5 3 2 4 3 2" xfId="14372" xr:uid="{71F04DBB-5EF4-47D9-804B-950D9631F5B7}"/>
    <cellStyle name="Normal 2 4 5 3 2 4 4" xfId="10154" xr:uid="{A7C38C12-05E4-46FE-B1CE-CF0F2D66E658}"/>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2 2 2" xfId="16930" xr:uid="{B49F52C4-BE5A-454B-9E23-712488314E32}"/>
    <cellStyle name="Normal 2 4 5 3 2 5 2 3" xfId="12712" xr:uid="{12869F58-4C24-4F70-9BBD-6EBAC4049CBA}"/>
    <cellStyle name="Normal 2 4 5 3 2 5 3" xfId="6356" xr:uid="{00000000-0005-0000-0000-000096100000}"/>
    <cellStyle name="Normal 2 4 5 3 2 5 3 2" xfId="14785" xr:uid="{48CCEE23-8362-4DB2-8371-74BB4DA3E8FF}"/>
    <cellStyle name="Normal 2 4 5 3 2 5 4" xfId="10567" xr:uid="{2130FBF0-2EDE-47E9-AC6E-B3BE4C2A938D}"/>
    <cellStyle name="Normal 2 4 5 3 2 6" xfId="2484" xr:uid="{00000000-0005-0000-0000-000097100000}"/>
    <cellStyle name="Normal 2 4 5 3 2 6 2" xfId="6769" xr:uid="{00000000-0005-0000-0000-000098100000}"/>
    <cellStyle name="Normal 2 4 5 3 2 6 2 2" xfId="15198" xr:uid="{CB1F934F-1B2B-4152-8E09-0EA70C499E53}"/>
    <cellStyle name="Normal 2 4 5 3 2 6 3" xfId="10980" xr:uid="{2BD51D06-59BA-4DDA-B164-D9BF54F3FDFD}"/>
    <cellStyle name="Normal 2 4 5 3 2 7" xfId="4703" xr:uid="{00000000-0005-0000-0000-000099100000}"/>
    <cellStyle name="Normal 2 4 5 3 2 7 2" xfId="13132" xr:uid="{5CCC0E25-1A4C-41F2-8549-A83E0DE9A996}"/>
    <cellStyle name="Normal 2 4 5 3 2 8" xfId="8914" xr:uid="{BCC29DFE-7438-48F6-91BB-D4A3AE2F68D1}"/>
    <cellStyle name="Normal 2 4 5 3 3" xfId="798" xr:uid="{00000000-0005-0000-0000-00009A100000}"/>
    <cellStyle name="Normal 2 4 5 3 3 2" xfId="3037" xr:uid="{00000000-0005-0000-0000-00009B100000}"/>
    <cellStyle name="Normal 2 4 5 3 3 2 2" xfId="7261" xr:uid="{00000000-0005-0000-0000-00009C100000}"/>
    <cellStyle name="Normal 2 4 5 3 3 2 2 2" xfId="15690" xr:uid="{7E65456C-80A3-418E-BB2C-A09245F6902E}"/>
    <cellStyle name="Normal 2 4 5 3 3 2 3" xfId="11472" xr:uid="{9C71A803-03F5-435A-B81B-CF58B03F9FE6}"/>
    <cellStyle name="Normal 2 4 5 3 3 3" xfId="5116" xr:uid="{00000000-0005-0000-0000-00009D100000}"/>
    <cellStyle name="Normal 2 4 5 3 3 3 2" xfId="13545" xr:uid="{67D3F610-B1A9-4D61-A1F4-C5E68CD74140}"/>
    <cellStyle name="Normal 2 4 5 3 3 4" xfId="9327" xr:uid="{E99BBB27-646A-4E38-B321-DA0DDFB4D4AE}"/>
    <cellStyle name="Normal 2 4 5 3 4" xfId="1220" xr:uid="{00000000-0005-0000-0000-00009E100000}"/>
    <cellStyle name="Normal 2 4 5 3 4 2" xfId="3450" xr:uid="{00000000-0005-0000-0000-00009F100000}"/>
    <cellStyle name="Normal 2 4 5 3 4 2 2" xfId="7674" xr:uid="{00000000-0005-0000-0000-0000A0100000}"/>
    <cellStyle name="Normal 2 4 5 3 4 2 2 2" xfId="16103" xr:uid="{B6DB6E55-483A-4CBB-A71D-316C98359A52}"/>
    <cellStyle name="Normal 2 4 5 3 4 2 3" xfId="11885" xr:uid="{4AAC052D-0C4B-419A-9F2D-55FC857BE44E}"/>
    <cellStyle name="Normal 2 4 5 3 4 3" xfId="5529" xr:uid="{00000000-0005-0000-0000-0000A1100000}"/>
    <cellStyle name="Normal 2 4 5 3 4 3 2" xfId="13958" xr:uid="{0CA2775D-E085-4B0E-97A6-5034FAA24E29}"/>
    <cellStyle name="Normal 2 4 5 3 4 4" xfId="9740" xr:uid="{EC655288-F3D3-47BE-A16C-54E43BDB8624}"/>
    <cellStyle name="Normal 2 4 5 3 5" xfId="1633" xr:uid="{00000000-0005-0000-0000-0000A2100000}"/>
    <cellStyle name="Normal 2 4 5 3 5 2" xfId="3863" xr:uid="{00000000-0005-0000-0000-0000A3100000}"/>
    <cellStyle name="Normal 2 4 5 3 5 2 2" xfId="8087" xr:uid="{00000000-0005-0000-0000-0000A4100000}"/>
    <cellStyle name="Normal 2 4 5 3 5 2 2 2" xfId="16516" xr:uid="{3285CD43-EBA3-417D-BE09-C0185C60C9CB}"/>
    <cellStyle name="Normal 2 4 5 3 5 2 3" xfId="12298" xr:uid="{34208B0F-0D83-4A08-973C-91ECC7ED15DD}"/>
    <cellStyle name="Normal 2 4 5 3 5 3" xfId="5942" xr:uid="{00000000-0005-0000-0000-0000A5100000}"/>
    <cellStyle name="Normal 2 4 5 3 5 3 2" xfId="14371" xr:uid="{960BA9A3-9D12-4E08-8991-76E5663A40A3}"/>
    <cellStyle name="Normal 2 4 5 3 5 4" xfId="10153" xr:uid="{52C6AC05-5D76-45DE-BCF5-D8F3A1B2C587}"/>
    <cellStyle name="Normal 2 4 5 3 6" xfId="2047" xr:uid="{00000000-0005-0000-0000-0000A6100000}"/>
    <cellStyle name="Normal 2 4 5 3 6 2" xfId="4276" xr:uid="{00000000-0005-0000-0000-0000A7100000}"/>
    <cellStyle name="Normal 2 4 5 3 6 2 2" xfId="8500" xr:uid="{00000000-0005-0000-0000-0000A8100000}"/>
    <cellStyle name="Normal 2 4 5 3 6 2 2 2" xfId="16929" xr:uid="{80C90A4C-0E4F-448E-AAF8-FDBC1312AA46}"/>
    <cellStyle name="Normal 2 4 5 3 6 2 3" xfId="12711" xr:uid="{CF5AA645-225D-4423-8091-8FF3FBCFAF3F}"/>
    <cellStyle name="Normal 2 4 5 3 6 3" xfId="6355" xr:uid="{00000000-0005-0000-0000-0000A9100000}"/>
    <cellStyle name="Normal 2 4 5 3 6 3 2" xfId="14784" xr:uid="{1D70E6E0-075E-46C4-B335-675E5BE1F6C3}"/>
    <cellStyle name="Normal 2 4 5 3 6 4" xfId="10566" xr:uid="{6DB74094-4EB2-4925-8625-A07FDD922E09}"/>
    <cellStyle name="Normal 2 4 5 3 7" xfId="2483" xr:uid="{00000000-0005-0000-0000-0000AA100000}"/>
    <cellStyle name="Normal 2 4 5 3 7 2" xfId="6768" xr:uid="{00000000-0005-0000-0000-0000AB100000}"/>
    <cellStyle name="Normal 2 4 5 3 7 2 2" xfId="15197" xr:uid="{6ECDAFD4-2204-4771-8612-5B3C34F01B71}"/>
    <cellStyle name="Normal 2 4 5 3 7 3" xfId="10979" xr:uid="{949CD943-EB44-4338-AC5D-AA36B4DF9592}"/>
    <cellStyle name="Normal 2 4 5 3 8" xfId="4702" xr:uid="{00000000-0005-0000-0000-0000AC100000}"/>
    <cellStyle name="Normal 2 4 5 3 8 2" xfId="13131" xr:uid="{F87DC5AE-E640-4354-A383-5467BEAA67D5}"/>
    <cellStyle name="Normal 2 4 5 3 9" xfId="8913" xr:uid="{492CBB34-DA4F-4240-A3C4-F9AF5DC65909}"/>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2 2 2" xfId="15692" xr:uid="{CCEB26B9-AA1D-4FBE-920C-CB91725BFF1D}"/>
    <cellStyle name="Normal 2 4 5 4 2 2 3" xfId="11474" xr:uid="{8119A970-A31D-4E22-BAFB-453E06C16027}"/>
    <cellStyle name="Normal 2 4 5 4 2 3" xfId="5118" xr:uid="{00000000-0005-0000-0000-0000B1100000}"/>
    <cellStyle name="Normal 2 4 5 4 2 3 2" xfId="13547" xr:uid="{DD6FB84E-1831-4AD0-9D07-4FAA022EBA69}"/>
    <cellStyle name="Normal 2 4 5 4 2 4" xfId="9329" xr:uid="{90D6906B-FFB5-4B27-A3AB-EF7FDBDBDF9B}"/>
    <cellStyle name="Normal 2 4 5 4 3" xfId="1222" xr:uid="{00000000-0005-0000-0000-0000B2100000}"/>
    <cellStyle name="Normal 2 4 5 4 3 2" xfId="3452" xr:uid="{00000000-0005-0000-0000-0000B3100000}"/>
    <cellStyle name="Normal 2 4 5 4 3 2 2" xfId="7676" xr:uid="{00000000-0005-0000-0000-0000B4100000}"/>
    <cellStyle name="Normal 2 4 5 4 3 2 2 2" xfId="16105" xr:uid="{4F1B9F3E-CA9C-43A6-A2DE-F32B25F35DFD}"/>
    <cellStyle name="Normal 2 4 5 4 3 2 3" xfId="11887" xr:uid="{21108B07-5900-4C08-BE61-594619D071F0}"/>
    <cellStyle name="Normal 2 4 5 4 3 3" xfId="5531" xr:uid="{00000000-0005-0000-0000-0000B5100000}"/>
    <cellStyle name="Normal 2 4 5 4 3 3 2" xfId="13960" xr:uid="{3E63C55A-8FBB-4850-9BB6-ACBDDD29B907}"/>
    <cellStyle name="Normal 2 4 5 4 3 4" xfId="9742" xr:uid="{35FB2211-C9D6-4459-AE00-AE3530E0F6F2}"/>
    <cellStyle name="Normal 2 4 5 4 4" xfId="1635" xr:uid="{00000000-0005-0000-0000-0000B6100000}"/>
    <cellStyle name="Normal 2 4 5 4 4 2" xfId="3865" xr:uid="{00000000-0005-0000-0000-0000B7100000}"/>
    <cellStyle name="Normal 2 4 5 4 4 2 2" xfId="8089" xr:uid="{00000000-0005-0000-0000-0000B8100000}"/>
    <cellStyle name="Normal 2 4 5 4 4 2 2 2" xfId="16518" xr:uid="{E8A062CE-4722-45CA-9832-EDE4B66B899C}"/>
    <cellStyle name="Normal 2 4 5 4 4 2 3" xfId="12300" xr:uid="{12461420-B9EB-429F-BC79-1F46F997A10A}"/>
    <cellStyle name="Normal 2 4 5 4 4 3" xfId="5944" xr:uid="{00000000-0005-0000-0000-0000B9100000}"/>
    <cellStyle name="Normal 2 4 5 4 4 3 2" xfId="14373" xr:uid="{486D1D9D-1278-439D-BAC5-7E688DFDA581}"/>
    <cellStyle name="Normal 2 4 5 4 4 4" xfId="10155" xr:uid="{35CBA957-0A61-4B12-A0EC-1AE2A466F075}"/>
    <cellStyle name="Normal 2 4 5 4 5" xfId="2049" xr:uid="{00000000-0005-0000-0000-0000BA100000}"/>
    <cellStyle name="Normal 2 4 5 4 5 2" xfId="4278" xr:uid="{00000000-0005-0000-0000-0000BB100000}"/>
    <cellStyle name="Normal 2 4 5 4 5 2 2" xfId="8502" xr:uid="{00000000-0005-0000-0000-0000BC100000}"/>
    <cellStyle name="Normal 2 4 5 4 5 2 2 2" xfId="16931" xr:uid="{4292691B-6889-441E-98D4-82CB5FB6AF93}"/>
    <cellStyle name="Normal 2 4 5 4 5 2 3" xfId="12713" xr:uid="{B8B95A10-3089-4A6C-BAA1-0D53BB0BC567}"/>
    <cellStyle name="Normal 2 4 5 4 5 3" xfId="6357" xr:uid="{00000000-0005-0000-0000-0000BD100000}"/>
    <cellStyle name="Normal 2 4 5 4 5 3 2" xfId="14786" xr:uid="{E6BA1715-D6D1-4E41-A31A-79A5EFD82731}"/>
    <cellStyle name="Normal 2 4 5 4 5 4" xfId="10568" xr:uid="{6AA530F1-96B4-405D-8AB5-501AC32D2D11}"/>
    <cellStyle name="Normal 2 4 5 4 6" xfId="2485" xr:uid="{00000000-0005-0000-0000-0000BE100000}"/>
    <cellStyle name="Normal 2 4 5 4 6 2" xfId="6770" xr:uid="{00000000-0005-0000-0000-0000BF100000}"/>
    <cellStyle name="Normal 2 4 5 4 6 2 2" xfId="15199" xr:uid="{3387BB6A-B2E1-4424-862E-452E54686F84}"/>
    <cellStyle name="Normal 2 4 5 4 6 3" xfId="10981" xr:uid="{5C64CFFD-F214-4E60-8296-49FCEA17B074}"/>
    <cellStyle name="Normal 2 4 5 4 7" xfId="4704" xr:uid="{00000000-0005-0000-0000-0000C0100000}"/>
    <cellStyle name="Normal 2 4 5 4 7 2" xfId="13133" xr:uid="{654D99C3-FD1F-46DF-A898-AF8C527C00BC}"/>
    <cellStyle name="Normal 2 4 5 4 8" xfId="8915" xr:uid="{6DA70BB2-8B4A-4C77-BAEF-82541F136AA1}"/>
    <cellStyle name="Normal 2 4 5 5" xfId="793" xr:uid="{00000000-0005-0000-0000-0000C1100000}"/>
    <cellStyle name="Normal 2 4 5 5 2" xfId="3032" xr:uid="{00000000-0005-0000-0000-0000C2100000}"/>
    <cellStyle name="Normal 2 4 5 5 2 2" xfId="7256" xr:uid="{00000000-0005-0000-0000-0000C3100000}"/>
    <cellStyle name="Normal 2 4 5 5 2 2 2" xfId="15685" xr:uid="{5BB46E96-476D-43D0-90AC-035021BF7889}"/>
    <cellStyle name="Normal 2 4 5 5 2 3" xfId="11467" xr:uid="{42666458-1E35-4B51-94B4-313B5A83FF14}"/>
    <cellStyle name="Normal 2 4 5 5 3" xfId="5111" xr:uid="{00000000-0005-0000-0000-0000C4100000}"/>
    <cellStyle name="Normal 2 4 5 5 3 2" xfId="13540" xr:uid="{7FD6A356-F23E-4985-9022-A655D3A13473}"/>
    <cellStyle name="Normal 2 4 5 5 4" xfId="9322" xr:uid="{CDADFDEA-6985-460B-AE85-CC4598A26BA7}"/>
    <cellStyle name="Normal 2 4 5 6" xfId="1215" xr:uid="{00000000-0005-0000-0000-0000C5100000}"/>
    <cellStyle name="Normal 2 4 5 6 2" xfId="3445" xr:uid="{00000000-0005-0000-0000-0000C6100000}"/>
    <cellStyle name="Normal 2 4 5 6 2 2" xfId="7669" xr:uid="{00000000-0005-0000-0000-0000C7100000}"/>
    <cellStyle name="Normal 2 4 5 6 2 2 2" xfId="16098" xr:uid="{7C9BEA7F-B18F-4120-9AB8-D7BED0D153C6}"/>
    <cellStyle name="Normal 2 4 5 6 2 3" xfId="11880" xr:uid="{05BB1908-5DB0-460A-B737-E9CEF5021B96}"/>
    <cellStyle name="Normal 2 4 5 6 3" xfId="5524" xr:uid="{00000000-0005-0000-0000-0000C8100000}"/>
    <cellStyle name="Normal 2 4 5 6 3 2" xfId="13953" xr:uid="{8AC8248D-603A-4023-9CC1-5EFA5590A513}"/>
    <cellStyle name="Normal 2 4 5 6 4" xfId="9735" xr:uid="{462A1A66-10A7-4467-AEE3-BD89537D6845}"/>
    <cellStyle name="Normal 2 4 5 7" xfId="1628" xr:uid="{00000000-0005-0000-0000-0000C9100000}"/>
    <cellStyle name="Normal 2 4 5 7 2" xfId="3858" xr:uid="{00000000-0005-0000-0000-0000CA100000}"/>
    <cellStyle name="Normal 2 4 5 7 2 2" xfId="8082" xr:uid="{00000000-0005-0000-0000-0000CB100000}"/>
    <cellStyle name="Normal 2 4 5 7 2 2 2" xfId="16511" xr:uid="{1D9F47E7-6997-459E-BC35-F4B43935E002}"/>
    <cellStyle name="Normal 2 4 5 7 2 3" xfId="12293" xr:uid="{A7A2509C-D880-471F-AEEF-D66789FC7690}"/>
    <cellStyle name="Normal 2 4 5 7 3" xfId="5937" xr:uid="{00000000-0005-0000-0000-0000CC100000}"/>
    <cellStyle name="Normal 2 4 5 7 3 2" xfId="14366" xr:uid="{40AA1DB5-64E3-4E43-B4C7-22D2422E4828}"/>
    <cellStyle name="Normal 2 4 5 7 4" xfId="10148" xr:uid="{ACB47E01-41E3-43A8-AA11-2BE7C3C398F2}"/>
    <cellStyle name="Normal 2 4 5 8" xfId="2042" xr:uid="{00000000-0005-0000-0000-0000CD100000}"/>
    <cellStyle name="Normal 2 4 5 8 2" xfId="4271" xr:uid="{00000000-0005-0000-0000-0000CE100000}"/>
    <cellStyle name="Normal 2 4 5 8 2 2" xfId="8495" xr:uid="{00000000-0005-0000-0000-0000CF100000}"/>
    <cellStyle name="Normal 2 4 5 8 2 2 2" xfId="16924" xr:uid="{52F704AD-9840-42A6-A8D6-3FB15F6CBEEB}"/>
    <cellStyle name="Normal 2 4 5 8 2 3" xfId="12706" xr:uid="{C6421727-5F9F-4788-9DA6-0A1A5C0BBFB3}"/>
    <cellStyle name="Normal 2 4 5 8 3" xfId="6350" xr:uid="{00000000-0005-0000-0000-0000D0100000}"/>
    <cellStyle name="Normal 2 4 5 8 3 2" xfId="14779" xr:uid="{C580CED6-B724-435E-ADE6-F341FE7020D7}"/>
    <cellStyle name="Normal 2 4 5 8 4" xfId="10561" xr:uid="{8186F4E0-FB4D-4A79-BAEB-EC8AC745484E}"/>
    <cellStyle name="Normal 2 4 5 9" xfId="2478" xr:uid="{00000000-0005-0000-0000-0000D1100000}"/>
    <cellStyle name="Normal 2 4 5 9 2" xfId="6763" xr:uid="{00000000-0005-0000-0000-0000D2100000}"/>
    <cellStyle name="Normal 2 4 5 9 2 2" xfId="15192" xr:uid="{675E9B81-67E4-404A-8C02-CD6609B2F2AE}"/>
    <cellStyle name="Normal 2 4 5 9 3" xfId="10974" xr:uid="{16399683-562D-4041-A861-2B5BADE425CF}"/>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2 2 2" xfId="15694" xr:uid="{76114DBF-42FF-4073-94AD-65DF7A2A11D4}"/>
    <cellStyle name="Normal 2 4 7 2 2 2 3" xfId="11476" xr:uid="{950C01FE-F29B-42D6-B407-F571B4706072}"/>
    <cellStyle name="Normal 2 4 7 2 2 3" xfId="5120" xr:uid="{00000000-0005-0000-0000-0000D9100000}"/>
    <cellStyle name="Normal 2 4 7 2 2 3 2" xfId="13549" xr:uid="{9A7E481B-ADAD-4828-B190-C561064F8904}"/>
    <cellStyle name="Normal 2 4 7 2 2 4" xfId="9331" xr:uid="{3CBDA6D4-9016-49B4-8C21-ECFB2800B281}"/>
    <cellStyle name="Normal 2 4 7 2 3" xfId="1224" xr:uid="{00000000-0005-0000-0000-0000DA100000}"/>
    <cellStyle name="Normal 2 4 7 2 3 2" xfId="3454" xr:uid="{00000000-0005-0000-0000-0000DB100000}"/>
    <cellStyle name="Normal 2 4 7 2 3 2 2" xfId="7678" xr:uid="{00000000-0005-0000-0000-0000DC100000}"/>
    <cellStyle name="Normal 2 4 7 2 3 2 2 2" xfId="16107" xr:uid="{0A19B4C1-1317-4238-BBFC-3247E5CC03E2}"/>
    <cellStyle name="Normal 2 4 7 2 3 2 3" xfId="11889" xr:uid="{0EBBF691-FE3B-4A80-AC37-99A6B6981244}"/>
    <cellStyle name="Normal 2 4 7 2 3 3" xfId="5533" xr:uid="{00000000-0005-0000-0000-0000DD100000}"/>
    <cellStyle name="Normal 2 4 7 2 3 3 2" xfId="13962" xr:uid="{DBF63A43-6AB1-4EB6-B3CF-7DC5CB683EE0}"/>
    <cellStyle name="Normal 2 4 7 2 3 4" xfId="9744" xr:uid="{54F8CBF3-FE1F-49BC-AC47-EFB8E4E5453D}"/>
    <cellStyle name="Normal 2 4 7 2 4" xfId="1637" xr:uid="{00000000-0005-0000-0000-0000DE100000}"/>
    <cellStyle name="Normal 2 4 7 2 4 2" xfId="3867" xr:uid="{00000000-0005-0000-0000-0000DF100000}"/>
    <cellStyle name="Normal 2 4 7 2 4 2 2" xfId="8091" xr:uid="{00000000-0005-0000-0000-0000E0100000}"/>
    <cellStyle name="Normal 2 4 7 2 4 2 2 2" xfId="16520" xr:uid="{09BCCD37-4265-46D6-9F85-AB399CBFDBC5}"/>
    <cellStyle name="Normal 2 4 7 2 4 2 3" xfId="12302" xr:uid="{8351FC12-5DC0-49CF-8248-75EE67162FCA}"/>
    <cellStyle name="Normal 2 4 7 2 4 3" xfId="5946" xr:uid="{00000000-0005-0000-0000-0000E1100000}"/>
    <cellStyle name="Normal 2 4 7 2 4 3 2" xfId="14375" xr:uid="{32784F74-9892-49C1-AACE-3451BD2F1267}"/>
    <cellStyle name="Normal 2 4 7 2 4 4" xfId="10157" xr:uid="{16C1800E-21F7-47F5-B476-5118BEE9D7D6}"/>
    <cellStyle name="Normal 2 4 7 2 5" xfId="2051" xr:uid="{00000000-0005-0000-0000-0000E2100000}"/>
    <cellStyle name="Normal 2 4 7 2 5 2" xfId="4280" xr:uid="{00000000-0005-0000-0000-0000E3100000}"/>
    <cellStyle name="Normal 2 4 7 2 5 2 2" xfId="8504" xr:uid="{00000000-0005-0000-0000-0000E4100000}"/>
    <cellStyle name="Normal 2 4 7 2 5 2 2 2" xfId="16933" xr:uid="{E0AD47D8-2118-4E8E-8799-8E43FDB59B0A}"/>
    <cellStyle name="Normal 2 4 7 2 5 2 3" xfId="12715" xr:uid="{FEC00548-E7DB-42A7-BDF7-5FA62D4A69E4}"/>
    <cellStyle name="Normal 2 4 7 2 5 3" xfId="6359" xr:uid="{00000000-0005-0000-0000-0000E5100000}"/>
    <cellStyle name="Normal 2 4 7 2 5 3 2" xfId="14788" xr:uid="{29D6D510-141C-4FF9-9B94-EFA03F7052A4}"/>
    <cellStyle name="Normal 2 4 7 2 5 4" xfId="10570" xr:uid="{E65BFD90-DA71-4507-ADDF-6A6BF8DED279}"/>
    <cellStyle name="Normal 2 4 7 2 6" xfId="2487" xr:uid="{00000000-0005-0000-0000-0000E6100000}"/>
    <cellStyle name="Normal 2 4 7 2 6 2" xfId="6772" xr:uid="{00000000-0005-0000-0000-0000E7100000}"/>
    <cellStyle name="Normal 2 4 7 2 6 2 2" xfId="15201" xr:uid="{FF369135-FA50-453E-919F-E1CFFE700325}"/>
    <cellStyle name="Normal 2 4 7 2 6 3" xfId="10983" xr:uid="{DDBA4D16-6790-4BAA-B101-56BC14B1F7ED}"/>
    <cellStyle name="Normal 2 4 7 2 7" xfId="4706" xr:uid="{00000000-0005-0000-0000-0000E8100000}"/>
    <cellStyle name="Normal 2 4 7 2 7 2" xfId="13135" xr:uid="{FCBE7FBF-A8F0-4F56-8737-CBA9F12CC88F}"/>
    <cellStyle name="Normal 2 4 7 2 8" xfId="8917" xr:uid="{671F53E1-42EF-4023-B9E6-96E694DA5205}"/>
    <cellStyle name="Normal 2 4 7 3" xfId="801" xr:uid="{00000000-0005-0000-0000-0000E9100000}"/>
    <cellStyle name="Normal 2 4 7 3 2" xfId="3040" xr:uid="{00000000-0005-0000-0000-0000EA100000}"/>
    <cellStyle name="Normal 2 4 7 3 2 2" xfId="7264" xr:uid="{00000000-0005-0000-0000-0000EB100000}"/>
    <cellStyle name="Normal 2 4 7 3 2 2 2" xfId="15693" xr:uid="{1412E3B9-5605-4172-9A17-B5B14343536E}"/>
    <cellStyle name="Normal 2 4 7 3 2 3" xfId="11475" xr:uid="{FF23F1BA-40B6-4AAA-BA50-D3D288A9306C}"/>
    <cellStyle name="Normal 2 4 7 3 3" xfId="5119" xr:uid="{00000000-0005-0000-0000-0000EC100000}"/>
    <cellStyle name="Normal 2 4 7 3 3 2" xfId="13548" xr:uid="{0AB2F77E-ACC8-4D2A-8D9D-CA78CDDF3F89}"/>
    <cellStyle name="Normal 2 4 7 3 4" xfId="9330" xr:uid="{8B7C4EA4-364C-4EEA-83D0-B79C4B403AC4}"/>
    <cellStyle name="Normal 2 4 7 4" xfId="1223" xr:uid="{00000000-0005-0000-0000-0000ED100000}"/>
    <cellStyle name="Normal 2 4 7 4 2" xfId="3453" xr:uid="{00000000-0005-0000-0000-0000EE100000}"/>
    <cellStyle name="Normal 2 4 7 4 2 2" xfId="7677" xr:uid="{00000000-0005-0000-0000-0000EF100000}"/>
    <cellStyle name="Normal 2 4 7 4 2 2 2" xfId="16106" xr:uid="{AE6898C2-3736-4A75-94D2-C94AE101120B}"/>
    <cellStyle name="Normal 2 4 7 4 2 3" xfId="11888" xr:uid="{8281B423-8DE5-445D-90D7-7B4B489243D1}"/>
    <cellStyle name="Normal 2 4 7 4 3" xfId="5532" xr:uid="{00000000-0005-0000-0000-0000F0100000}"/>
    <cellStyle name="Normal 2 4 7 4 3 2" xfId="13961" xr:uid="{C3B1C425-8EFA-454D-9545-55662F3B5556}"/>
    <cellStyle name="Normal 2 4 7 4 4" xfId="9743" xr:uid="{E6F31F50-FD41-4817-BBA6-9DD2B71AE855}"/>
    <cellStyle name="Normal 2 4 7 5" xfId="1636" xr:uid="{00000000-0005-0000-0000-0000F1100000}"/>
    <cellStyle name="Normal 2 4 7 5 2" xfId="3866" xr:uid="{00000000-0005-0000-0000-0000F2100000}"/>
    <cellStyle name="Normal 2 4 7 5 2 2" xfId="8090" xr:uid="{00000000-0005-0000-0000-0000F3100000}"/>
    <cellStyle name="Normal 2 4 7 5 2 2 2" xfId="16519" xr:uid="{C63D4B10-8064-4695-9182-4CC10EFA6842}"/>
    <cellStyle name="Normal 2 4 7 5 2 3" xfId="12301" xr:uid="{8997CE83-9043-4D20-98B5-AF0B853570C6}"/>
    <cellStyle name="Normal 2 4 7 5 3" xfId="5945" xr:uid="{00000000-0005-0000-0000-0000F4100000}"/>
    <cellStyle name="Normal 2 4 7 5 3 2" xfId="14374" xr:uid="{2F90B4AF-8D4C-43C7-A2D2-534E813F57DE}"/>
    <cellStyle name="Normal 2 4 7 5 4" xfId="10156" xr:uid="{4AFF6080-9787-4D3D-BC63-8195A62C676B}"/>
    <cellStyle name="Normal 2 4 7 6" xfId="2050" xr:uid="{00000000-0005-0000-0000-0000F5100000}"/>
    <cellStyle name="Normal 2 4 7 6 2" xfId="4279" xr:uid="{00000000-0005-0000-0000-0000F6100000}"/>
    <cellStyle name="Normal 2 4 7 6 2 2" xfId="8503" xr:uid="{00000000-0005-0000-0000-0000F7100000}"/>
    <cellStyle name="Normal 2 4 7 6 2 2 2" xfId="16932" xr:uid="{18C2E4DB-4995-49C6-8005-581C7EF9CC75}"/>
    <cellStyle name="Normal 2 4 7 6 2 3" xfId="12714" xr:uid="{A909B752-1D2E-44B5-9E38-8F754A2F03E8}"/>
    <cellStyle name="Normal 2 4 7 6 3" xfId="6358" xr:uid="{00000000-0005-0000-0000-0000F8100000}"/>
    <cellStyle name="Normal 2 4 7 6 3 2" xfId="14787" xr:uid="{86C0B5E8-A284-4AA8-9116-5512444E1E6B}"/>
    <cellStyle name="Normal 2 4 7 6 4" xfId="10569" xr:uid="{D661B0AC-505F-4518-9B35-4C42DAE3660A}"/>
    <cellStyle name="Normal 2 4 7 7" xfId="2486" xr:uid="{00000000-0005-0000-0000-0000F9100000}"/>
    <cellStyle name="Normal 2 4 7 7 2" xfId="6771" xr:uid="{00000000-0005-0000-0000-0000FA100000}"/>
    <cellStyle name="Normal 2 4 7 7 2 2" xfId="15200" xr:uid="{6EED9A13-0B12-4D09-94F2-4C324CBC5060}"/>
    <cellStyle name="Normal 2 4 7 7 3" xfId="10982" xr:uid="{0C250FA9-D78B-435E-8A4A-44F509C15715}"/>
    <cellStyle name="Normal 2 4 7 8" xfId="4705" xr:uid="{00000000-0005-0000-0000-0000FB100000}"/>
    <cellStyle name="Normal 2 4 7 8 2" xfId="13134" xr:uid="{D8D54A8D-E2AE-4F49-B52D-638922893411}"/>
    <cellStyle name="Normal 2 4 7 9" xfId="8916" xr:uid="{866F41A8-3160-4CDB-9AAD-0F40F81B6023}"/>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2 2 2" xfId="15695" xr:uid="{4C3A19BA-F4B5-4DC4-ACA3-501ADEA3E208}"/>
    <cellStyle name="Normal 2 4 8 2 2 3" xfId="11477" xr:uid="{98572BB2-A407-484E-B919-5AD27D8076D4}"/>
    <cellStyle name="Normal 2 4 8 2 3" xfId="5121" xr:uid="{00000000-0005-0000-0000-000000110000}"/>
    <cellStyle name="Normal 2 4 8 2 3 2" xfId="13550" xr:uid="{3307E307-12ED-49FC-A517-5C4BC5A3B7D4}"/>
    <cellStyle name="Normal 2 4 8 2 4" xfId="9332" xr:uid="{08AAE627-F973-42DA-BA8B-779BF3A4E47E}"/>
    <cellStyle name="Normal 2 4 8 3" xfId="1225" xr:uid="{00000000-0005-0000-0000-000001110000}"/>
    <cellStyle name="Normal 2 4 8 3 2" xfId="3455" xr:uid="{00000000-0005-0000-0000-000002110000}"/>
    <cellStyle name="Normal 2 4 8 3 2 2" xfId="7679" xr:uid="{00000000-0005-0000-0000-000003110000}"/>
    <cellStyle name="Normal 2 4 8 3 2 2 2" xfId="16108" xr:uid="{A3646EAA-CA86-41C6-BF21-B7B46E1AEEC0}"/>
    <cellStyle name="Normal 2 4 8 3 2 3" xfId="11890" xr:uid="{6246A48A-CCFE-4C67-9686-1C77200B7C1C}"/>
    <cellStyle name="Normal 2 4 8 3 3" xfId="5534" xr:uid="{00000000-0005-0000-0000-000004110000}"/>
    <cellStyle name="Normal 2 4 8 3 3 2" xfId="13963" xr:uid="{7B103664-C00F-45F6-BEA6-779AFF23E7EB}"/>
    <cellStyle name="Normal 2 4 8 3 4" xfId="9745" xr:uid="{1E69AB49-0152-463A-A203-ABAFD690F82F}"/>
    <cellStyle name="Normal 2 4 8 4" xfId="1638" xr:uid="{00000000-0005-0000-0000-000005110000}"/>
    <cellStyle name="Normal 2 4 8 4 2" xfId="3868" xr:uid="{00000000-0005-0000-0000-000006110000}"/>
    <cellStyle name="Normal 2 4 8 4 2 2" xfId="8092" xr:uid="{00000000-0005-0000-0000-000007110000}"/>
    <cellStyle name="Normal 2 4 8 4 2 2 2" xfId="16521" xr:uid="{1174EB79-E445-4AC3-8CFC-474AEDCC2491}"/>
    <cellStyle name="Normal 2 4 8 4 2 3" xfId="12303" xr:uid="{2842894B-07A4-4152-8BDA-013911646406}"/>
    <cellStyle name="Normal 2 4 8 4 3" xfId="5947" xr:uid="{00000000-0005-0000-0000-000008110000}"/>
    <cellStyle name="Normal 2 4 8 4 3 2" xfId="14376" xr:uid="{E0662B3B-CB73-4B54-A414-3816A3361FB5}"/>
    <cellStyle name="Normal 2 4 8 4 4" xfId="10158" xr:uid="{11424970-3C96-4AC2-A78F-A0219041B3B5}"/>
    <cellStyle name="Normal 2 4 8 5" xfId="2052" xr:uid="{00000000-0005-0000-0000-000009110000}"/>
    <cellStyle name="Normal 2 4 8 5 2" xfId="4281" xr:uid="{00000000-0005-0000-0000-00000A110000}"/>
    <cellStyle name="Normal 2 4 8 5 2 2" xfId="8505" xr:uid="{00000000-0005-0000-0000-00000B110000}"/>
    <cellStyle name="Normal 2 4 8 5 2 2 2" xfId="16934" xr:uid="{305CEC40-EC6D-4FB0-BC34-8ED8A0682BEE}"/>
    <cellStyle name="Normal 2 4 8 5 2 3" xfId="12716" xr:uid="{F50CAB6E-0CE1-451E-B3CF-DDAA0F6A767B}"/>
    <cellStyle name="Normal 2 4 8 5 3" xfId="6360" xr:uid="{00000000-0005-0000-0000-00000C110000}"/>
    <cellStyle name="Normal 2 4 8 5 3 2" xfId="14789" xr:uid="{076FDF2B-E69F-4328-830F-3AF36B01EC1F}"/>
    <cellStyle name="Normal 2 4 8 5 4" xfId="10571" xr:uid="{E1530C25-A16A-43BF-8B5B-2D130052621B}"/>
    <cellStyle name="Normal 2 4 8 6" xfId="2488" xr:uid="{00000000-0005-0000-0000-00000D110000}"/>
    <cellStyle name="Normal 2 4 8 6 2" xfId="6773" xr:uid="{00000000-0005-0000-0000-00000E110000}"/>
    <cellStyle name="Normal 2 4 8 6 2 2" xfId="15202" xr:uid="{840F8E1D-2267-4FFF-B7A1-3AD2950ECD10}"/>
    <cellStyle name="Normal 2 4 8 6 3" xfId="10984" xr:uid="{563F880B-2CCF-4F7D-B155-0BB6E19A918B}"/>
    <cellStyle name="Normal 2 4 8 7" xfId="4707" xr:uid="{00000000-0005-0000-0000-00000F110000}"/>
    <cellStyle name="Normal 2 4 8 7 2" xfId="13136" xr:uid="{27FB9F21-01C8-4151-A52F-F593E313EFBE}"/>
    <cellStyle name="Normal 2 4 8 8" xfId="8918" xr:uid="{849EA192-3856-4A81-A95E-997016E07F33}"/>
    <cellStyle name="Normal 2 5" xfId="315" xr:uid="{00000000-0005-0000-0000-000010110000}"/>
    <cellStyle name="Normal 2 5 10" xfId="4708" xr:uid="{00000000-0005-0000-0000-000011110000}"/>
    <cellStyle name="Normal 2 5 10 2" xfId="13137" xr:uid="{8DCDFD1F-A23F-4E89-AEB1-5FC7E6AD4E80}"/>
    <cellStyle name="Normal 2 5 11" xfId="8919" xr:uid="{2B38BAA3-411D-4848-8176-F979E0B4D99A}"/>
    <cellStyle name="Normal 2 5 2" xfId="316" xr:uid="{00000000-0005-0000-0000-000012110000}"/>
    <cellStyle name="Normal 2 5 3" xfId="317" xr:uid="{00000000-0005-0000-0000-000013110000}"/>
    <cellStyle name="Normal 2 5 4" xfId="318" xr:uid="{00000000-0005-0000-0000-000014110000}"/>
    <cellStyle name="Normal 2 5 4 10" xfId="8920" xr:uid="{9D596C34-0D4A-4F62-A50C-2D5D46BE84AD}"/>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2 2 2" xfId="15699" xr:uid="{C03B6E47-9E87-4270-B400-97451307E98C}"/>
    <cellStyle name="Normal 2 5 4 2 2 2 2 3" xfId="11481" xr:uid="{24B48FDB-8053-4F1F-9C49-6C8805A2FEE0}"/>
    <cellStyle name="Normal 2 5 4 2 2 2 3" xfId="5125" xr:uid="{00000000-0005-0000-0000-00001A110000}"/>
    <cellStyle name="Normal 2 5 4 2 2 2 3 2" xfId="13554" xr:uid="{6D1EE334-7CED-430E-9F06-76A13AE4D56A}"/>
    <cellStyle name="Normal 2 5 4 2 2 2 4" xfId="9336" xr:uid="{8E55C8BC-6894-4CCC-B0FF-0BD1C593378E}"/>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2 2 2" xfId="16112" xr:uid="{6664E985-FA3A-4AEC-93B9-F669AEE92593}"/>
    <cellStyle name="Normal 2 5 4 2 2 3 2 3" xfId="11894" xr:uid="{B181A07F-6638-41BE-9E63-DF4661B178E4}"/>
    <cellStyle name="Normal 2 5 4 2 2 3 3" xfId="5538" xr:uid="{00000000-0005-0000-0000-00001E110000}"/>
    <cellStyle name="Normal 2 5 4 2 2 3 3 2" xfId="13967" xr:uid="{077C4B2F-4860-4DD0-88F1-B3BAD6FEA8FA}"/>
    <cellStyle name="Normal 2 5 4 2 2 3 4" xfId="9749" xr:uid="{6ECF1287-553D-4F24-AE87-2265D4AF68DB}"/>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2 2 2" xfId="16525" xr:uid="{38140A84-083E-4971-9B24-870FA04D9AE7}"/>
    <cellStyle name="Normal 2 5 4 2 2 4 2 3" xfId="12307" xr:uid="{A41EA691-5741-4F1F-B6EC-6C330A8882E2}"/>
    <cellStyle name="Normal 2 5 4 2 2 4 3" xfId="5951" xr:uid="{00000000-0005-0000-0000-000022110000}"/>
    <cellStyle name="Normal 2 5 4 2 2 4 3 2" xfId="14380" xr:uid="{B973148B-979A-4E61-97DB-C149AE56F71D}"/>
    <cellStyle name="Normal 2 5 4 2 2 4 4" xfId="10162" xr:uid="{05D451F7-E0B9-44CD-AF5B-3992E81074AB}"/>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2 2 2" xfId="16938" xr:uid="{4431AB7D-EBF3-44DC-AA39-0DC8881B3AAB}"/>
    <cellStyle name="Normal 2 5 4 2 2 5 2 3" xfId="12720" xr:uid="{3282232F-FFB6-4B31-AC22-A199B45B95A0}"/>
    <cellStyle name="Normal 2 5 4 2 2 5 3" xfId="6364" xr:uid="{00000000-0005-0000-0000-000026110000}"/>
    <cellStyle name="Normal 2 5 4 2 2 5 3 2" xfId="14793" xr:uid="{F4612579-848F-481A-A17A-96ED1D9D5F15}"/>
    <cellStyle name="Normal 2 5 4 2 2 5 4" xfId="10575" xr:uid="{18B3F155-AD59-4FDE-884F-851AFB3C4CF4}"/>
    <cellStyle name="Normal 2 5 4 2 2 6" xfId="2492" xr:uid="{00000000-0005-0000-0000-000027110000}"/>
    <cellStyle name="Normal 2 5 4 2 2 6 2" xfId="6777" xr:uid="{00000000-0005-0000-0000-000028110000}"/>
    <cellStyle name="Normal 2 5 4 2 2 6 2 2" xfId="15206" xr:uid="{7B3DD609-C7D0-47BA-B2BD-F1F528B7EDEF}"/>
    <cellStyle name="Normal 2 5 4 2 2 6 3" xfId="10988" xr:uid="{31F35D04-BCC6-4DC4-8CC3-B2F55516D9F6}"/>
    <cellStyle name="Normal 2 5 4 2 2 7" xfId="4711" xr:uid="{00000000-0005-0000-0000-000029110000}"/>
    <cellStyle name="Normal 2 5 4 2 2 7 2" xfId="13140" xr:uid="{3BE5E46F-3099-45A4-8005-6AC7E0484ED8}"/>
    <cellStyle name="Normal 2 5 4 2 2 8" xfId="8922" xr:uid="{AE8BCD6D-A4A4-4ED8-9504-1B78F23B4D73}"/>
    <cellStyle name="Normal 2 5 4 2 3" xfId="806" xr:uid="{00000000-0005-0000-0000-00002A110000}"/>
    <cellStyle name="Normal 2 5 4 2 3 2" xfId="3045" xr:uid="{00000000-0005-0000-0000-00002B110000}"/>
    <cellStyle name="Normal 2 5 4 2 3 2 2" xfId="7269" xr:uid="{00000000-0005-0000-0000-00002C110000}"/>
    <cellStyle name="Normal 2 5 4 2 3 2 2 2" xfId="15698" xr:uid="{87CF94C4-4941-48C8-9783-90187AE02F79}"/>
    <cellStyle name="Normal 2 5 4 2 3 2 3" xfId="11480" xr:uid="{E95B160B-6317-4BC7-BC95-3231ED5DCAD9}"/>
    <cellStyle name="Normal 2 5 4 2 3 3" xfId="5124" xr:uid="{00000000-0005-0000-0000-00002D110000}"/>
    <cellStyle name="Normal 2 5 4 2 3 3 2" xfId="13553" xr:uid="{BA2B762D-7EA6-4090-B387-F2370E751E98}"/>
    <cellStyle name="Normal 2 5 4 2 3 4" xfId="9335" xr:uid="{378914A0-00B6-4FF1-8248-0D752A35E394}"/>
    <cellStyle name="Normal 2 5 4 2 4" xfId="1228" xr:uid="{00000000-0005-0000-0000-00002E110000}"/>
    <cellStyle name="Normal 2 5 4 2 4 2" xfId="3458" xr:uid="{00000000-0005-0000-0000-00002F110000}"/>
    <cellStyle name="Normal 2 5 4 2 4 2 2" xfId="7682" xr:uid="{00000000-0005-0000-0000-000030110000}"/>
    <cellStyle name="Normal 2 5 4 2 4 2 2 2" xfId="16111" xr:uid="{3CE245B1-723F-43C4-8FFF-0F041E7A905A}"/>
    <cellStyle name="Normal 2 5 4 2 4 2 3" xfId="11893" xr:uid="{9E140B08-5EAB-4D6F-90E2-B7BA31B9E716}"/>
    <cellStyle name="Normal 2 5 4 2 4 3" xfId="5537" xr:uid="{00000000-0005-0000-0000-000031110000}"/>
    <cellStyle name="Normal 2 5 4 2 4 3 2" xfId="13966" xr:uid="{1F7BF509-FAD3-4B49-BE2C-212B816D0410}"/>
    <cellStyle name="Normal 2 5 4 2 4 4" xfId="9748" xr:uid="{819CC09B-1231-4A55-BB4F-180DDBCFEBA1}"/>
    <cellStyle name="Normal 2 5 4 2 5" xfId="1641" xr:uid="{00000000-0005-0000-0000-000032110000}"/>
    <cellStyle name="Normal 2 5 4 2 5 2" xfId="3871" xr:uid="{00000000-0005-0000-0000-000033110000}"/>
    <cellStyle name="Normal 2 5 4 2 5 2 2" xfId="8095" xr:uid="{00000000-0005-0000-0000-000034110000}"/>
    <cellStyle name="Normal 2 5 4 2 5 2 2 2" xfId="16524" xr:uid="{D87B84F9-1431-4E02-BC82-EB5D9AFE1E18}"/>
    <cellStyle name="Normal 2 5 4 2 5 2 3" xfId="12306" xr:uid="{F7A814D9-B740-40E4-95E1-544AD1BB8092}"/>
    <cellStyle name="Normal 2 5 4 2 5 3" xfId="5950" xr:uid="{00000000-0005-0000-0000-000035110000}"/>
    <cellStyle name="Normal 2 5 4 2 5 3 2" xfId="14379" xr:uid="{7FBE4C92-A312-46FA-AC37-8C3E04AD0977}"/>
    <cellStyle name="Normal 2 5 4 2 5 4" xfId="10161" xr:uid="{DB39041F-88C6-4C69-8544-FD538E720EA1}"/>
    <cellStyle name="Normal 2 5 4 2 6" xfId="2055" xr:uid="{00000000-0005-0000-0000-000036110000}"/>
    <cellStyle name="Normal 2 5 4 2 6 2" xfId="4284" xr:uid="{00000000-0005-0000-0000-000037110000}"/>
    <cellStyle name="Normal 2 5 4 2 6 2 2" xfId="8508" xr:uid="{00000000-0005-0000-0000-000038110000}"/>
    <cellStyle name="Normal 2 5 4 2 6 2 2 2" xfId="16937" xr:uid="{78AC8FE0-3677-4EB6-A15E-A198701CED93}"/>
    <cellStyle name="Normal 2 5 4 2 6 2 3" xfId="12719" xr:uid="{0CAFD4E3-1527-4FBD-AB50-10F38031DC55}"/>
    <cellStyle name="Normal 2 5 4 2 6 3" xfId="6363" xr:uid="{00000000-0005-0000-0000-000039110000}"/>
    <cellStyle name="Normal 2 5 4 2 6 3 2" xfId="14792" xr:uid="{C3C49E34-062D-44FC-8157-130D43A4397D}"/>
    <cellStyle name="Normal 2 5 4 2 6 4" xfId="10574" xr:uid="{56179E15-CE31-4473-BE7C-AE0DCE7D609B}"/>
    <cellStyle name="Normal 2 5 4 2 7" xfId="2491" xr:uid="{00000000-0005-0000-0000-00003A110000}"/>
    <cellStyle name="Normal 2 5 4 2 7 2" xfId="6776" xr:uid="{00000000-0005-0000-0000-00003B110000}"/>
    <cellStyle name="Normal 2 5 4 2 7 2 2" xfId="15205" xr:uid="{EB57ACC2-82E7-4256-ABBE-322B2BB5B824}"/>
    <cellStyle name="Normal 2 5 4 2 7 3" xfId="10987" xr:uid="{A31DB0AD-268F-4982-8F8C-506CFF46C1FC}"/>
    <cellStyle name="Normal 2 5 4 2 8" xfId="4710" xr:uid="{00000000-0005-0000-0000-00003C110000}"/>
    <cellStyle name="Normal 2 5 4 2 8 2" xfId="13139" xr:uid="{AC52068B-29ED-4166-AF31-FEBD7E4C8CAC}"/>
    <cellStyle name="Normal 2 5 4 2 9" xfId="8921" xr:uid="{F7F141FF-4DE9-4B75-B206-668EDC3FF5A5}"/>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2 2 2" xfId="15700" xr:uid="{37C5AC2A-4DC9-4492-9D77-58D99509B874}"/>
    <cellStyle name="Normal 2 5 4 3 2 2 3" xfId="11482" xr:uid="{D886DD58-AA27-477B-800E-F59F6899F80A}"/>
    <cellStyle name="Normal 2 5 4 3 2 3" xfId="5126" xr:uid="{00000000-0005-0000-0000-000041110000}"/>
    <cellStyle name="Normal 2 5 4 3 2 3 2" xfId="13555" xr:uid="{B20CF2AA-F5FF-45F7-AE13-92A1E8FC71AD}"/>
    <cellStyle name="Normal 2 5 4 3 2 4" xfId="9337" xr:uid="{911744EC-CBD5-4B23-8E5C-53DAA756CD85}"/>
    <cellStyle name="Normal 2 5 4 3 3" xfId="1230" xr:uid="{00000000-0005-0000-0000-000042110000}"/>
    <cellStyle name="Normal 2 5 4 3 3 2" xfId="3460" xr:uid="{00000000-0005-0000-0000-000043110000}"/>
    <cellStyle name="Normal 2 5 4 3 3 2 2" xfId="7684" xr:uid="{00000000-0005-0000-0000-000044110000}"/>
    <cellStyle name="Normal 2 5 4 3 3 2 2 2" xfId="16113" xr:uid="{303EFFA8-9EFC-45D6-83DD-B8AE16476036}"/>
    <cellStyle name="Normal 2 5 4 3 3 2 3" xfId="11895" xr:uid="{91AEFA1F-12EB-4AF9-B862-FA918EC33736}"/>
    <cellStyle name="Normal 2 5 4 3 3 3" xfId="5539" xr:uid="{00000000-0005-0000-0000-000045110000}"/>
    <cellStyle name="Normal 2 5 4 3 3 3 2" xfId="13968" xr:uid="{7C626A77-1498-4D18-B445-6B4008E9C1CB}"/>
    <cellStyle name="Normal 2 5 4 3 3 4" xfId="9750" xr:uid="{0569FBFE-A249-4217-AAE1-C4027DCCFD6C}"/>
    <cellStyle name="Normal 2 5 4 3 4" xfId="1643" xr:uid="{00000000-0005-0000-0000-000046110000}"/>
    <cellStyle name="Normal 2 5 4 3 4 2" xfId="3873" xr:uid="{00000000-0005-0000-0000-000047110000}"/>
    <cellStyle name="Normal 2 5 4 3 4 2 2" xfId="8097" xr:uid="{00000000-0005-0000-0000-000048110000}"/>
    <cellStyle name="Normal 2 5 4 3 4 2 2 2" xfId="16526" xr:uid="{11FD8DF8-E86E-46A8-AAC6-714E9A36B2E8}"/>
    <cellStyle name="Normal 2 5 4 3 4 2 3" xfId="12308" xr:uid="{73D17D8B-8EA3-466E-8839-6EB3F90B169E}"/>
    <cellStyle name="Normal 2 5 4 3 4 3" xfId="5952" xr:uid="{00000000-0005-0000-0000-000049110000}"/>
    <cellStyle name="Normal 2 5 4 3 4 3 2" xfId="14381" xr:uid="{41E8C2B5-801E-4373-8C66-D2E3A2517775}"/>
    <cellStyle name="Normal 2 5 4 3 4 4" xfId="10163" xr:uid="{C329CB20-2EB1-4687-9833-A92DBD05F9A4}"/>
    <cellStyle name="Normal 2 5 4 3 5" xfId="2057" xr:uid="{00000000-0005-0000-0000-00004A110000}"/>
    <cellStyle name="Normal 2 5 4 3 5 2" xfId="4286" xr:uid="{00000000-0005-0000-0000-00004B110000}"/>
    <cellStyle name="Normal 2 5 4 3 5 2 2" xfId="8510" xr:uid="{00000000-0005-0000-0000-00004C110000}"/>
    <cellStyle name="Normal 2 5 4 3 5 2 2 2" xfId="16939" xr:uid="{F260B1BB-338D-499A-82A2-E994FCC3ACD3}"/>
    <cellStyle name="Normal 2 5 4 3 5 2 3" xfId="12721" xr:uid="{4EEDC81C-62D3-4A55-9499-AF9886E34EB5}"/>
    <cellStyle name="Normal 2 5 4 3 5 3" xfId="6365" xr:uid="{00000000-0005-0000-0000-00004D110000}"/>
    <cellStyle name="Normal 2 5 4 3 5 3 2" xfId="14794" xr:uid="{758A55E7-5980-481D-B02A-E9A29E7AC7C8}"/>
    <cellStyle name="Normal 2 5 4 3 5 4" xfId="10576" xr:uid="{F391F1E5-D63F-435E-82F0-FF5F3A9A35C1}"/>
    <cellStyle name="Normal 2 5 4 3 6" xfId="2493" xr:uid="{00000000-0005-0000-0000-00004E110000}"/>
    <cellStyle name="Normal 2 5 4 3 6 2" xfId="6778" xr:uid="{00000000-0005-0000-0000-00004F110000}"/>
    <cellStyle name="Normal 2 5 4 3 6 2 2" xfId="15207" xr:uid="{B61EC744-EFBA-40F2-98B9-960376C2ACFD}"/>
    <cellStyle name="Normal 2 5 4 3 6 3" xfId="10989" xr:uid="{5FB6CB62-048E-4B0C-B23D-4B16274E5123}"/>
    <cellStyle name="Normal 2 5 4 3 7" xfId="4712" xr:uid="{00000000-0005-0000-0000-000050110000}"/>
    <cellStyle name="Normal 2 5 4 3 7 2" xfId="13141" xr:uid="{A94AB2FD-C37C-4EAC-A887-B5CFEE418FB9}"/>
    <cellStyle name="Normal 2 5 4 3 8" xfId="8923" xr:uid="{724AB239-5ABB-45E5-8085-00CC79670649}"/>
    <cellStyle name="Normal 2 5 4 4" xfId="805" xr:uid="{00000000-0005-0000-0000-000051110000}"/>
    <cellStyle name="Normal 2 5 4 4 2" xfId="3044" xr:uid="{00000000-0005-0000-0000-000052110000}"/>
    <cellStyle name="Normal 2 5 4 4 2 2" xfId="7268" xr:uid="{00000000-0005-0000-0000-000053110000}"/>
    <cellStyle name="Normal 2 5 4 4 2 2 2" xfId="15697" xr:uid="{2285C6C2-3D3D-49EA-92F7-F24E96AD99FB}"/>
    <cellStyle name="Normal 2 5 4 4 2 3" xfId="11479" xr:uid="{21AE8C71-604A-4461-8B29-401A39E626ED}"/>
    <cellStyle name="Normal 2 5 4 4 3" xfId="5123" xr:uid="{00000000-0005-0000-0000-000054110000}"/>
    <cellStyle name="Normal 2 5 4 4 3 2" xfId="13552" xr:uid="{8159DAA8-F1FF-44CB-BDA8-26E2A30F932F}"/>
    <cellStyle name="Normal 2 5 4 4 4" xfId="9334" xr:uid="{07FDE866-25FE-4008-B1A3-E66498B46964}"/>
    <cellStyle name="Normal 2 5 4 5" xfId="1227" xr:uid="{00000000-0005-0000-0000-000055110000}"/>
    <cellStyle name="Normal 2 5 4 5 2" xfId="3457" xr:uid="{00000000-0005-0000-0000-000056110000}"/>
    <cellStyle name="Normal 2 5 4 5 2 2" xfId="7681" xr:uid="{00000000-0005-0000-0000-000057110000}"/>
    <cellStyle name="Normal 2 5 4 5 2 2 2" xfId="16110" xr:uid="{34AD460A-C55D-4E2F-AFE2-4CBD4E347C47}"/>
    <cellStyle name="Normal 2 5 4 5 2 3" xfId="11892" xr:uid="{C0B0FA2B-D1A2-4922-A103-8526CF747E12}"/>
    <cellStyle name="Normal 2 5 4 5 3" xfId="5536" xr:uid="{00000000-0005-0000-0000-000058110000}"/>
    <cellStyle name="Normal 2 5 4 5 3 2" xfId="13965" xr:uid="{A405A7A3-8541-47B0-A0EF-7C51070F29D9}"/>
    <cellStyle name="Normal 2 5 4 5 4" xfId="9747" xr:uid="{51F05697-DB27-4D7F-9BD0-7B7F7A881EE4}"/>
    <cellStyle name="Normal 2 5 4 6" xfId="1640" xr:uid="{00000000-0005-0000-0000-000059110000}"/>
    <cellStyle name="Normal 2 5 4 6 2" xfId="3870" xr:uid="{00000000-0005-0000-0000-00005A110000}"/>
    <cellStyle name="Normal 2 5 4 6 2 2" xfId="8094" xr:uid="{00000000-0005-0000-0000-00005B110000}"/>
    <cellStyle name="Normal 2 5 4 6 2 2 2" xfId="16523" xr:uid="{F108B864-B07C-4FDC-AA96-64230084AE01}"/>
    <cellStyle name="Normal 2 5 4 6 2 3" xfId="12305" xr:uid="{8E5CA1F1-ADFC-4761-9640-9F8925508FDD}"/>
    <cellStyle name="Normal 2 5 4 6 3" xfId="5949" xr:uid="{00000000-0005-0000-0000-00005C110000}"/>
    <cellStyle name="Normal 2 5 4 6 3 2" xfId="14378" xr:uid="{02674B67-E536-4257-BD5F-387A4FF50BC5}"/>
    <cellStyle name="Normal 2 5 4 6 4" xfId="10160" xr:uid="{1213E372-1DFB-49AF-AD5D-7B80997D6137}"/>
    <cellStyle name="Normal 2 5 4 7" xfId="2054" xr:uid="{00000000-0005-0000-0000-00005D110000}"/>
    <cellStyle name="Normal 2 5 4 7 2" xfId="4283" xr:uid="{00000000-0005-0000-0000-00005E110000}"/>
    <cellStyle name="Normal 2 5 4 7 2 2" xfId="8507" xr:uid="{00000000-0005-0000-0000-00005F110000}"/>
    <cellStyle name="Normal 2 5 4 7 2 2 2" xfId="16936" xr:uid="{FA16B51C-5C72-4061-8F16-5D1E54B2650C}"/>
    <cellStyle name="Normal 2 5 4 7 2 3" xfId="12718" xr:uid="{F0148CAC-48E4-41B0-A492-A7E51BDC5280}"/>
    <cellStyle name="Normal 2 5 4 7 3" xfId="6362" xr:uid="{00000000-0005-0000-0000-000060110000}"/>
    <cellStyle name="Normal 2 5 4 7 3 2" xfId="14791" xr:uid="{4B3CD0E1-54BE-4D25-A2BC-897F0D5B320C}"/>
    <cellStyle name="Normal 2 5 4 7 4" xfId="10573" xr:uid="{30F11888-393B-411D-BCAF-3CF451EB3B52}"/>
    <cellStyle name="Normal 2 5 4 8" xfId="2490" xr:uid="{00000000-0005-0000-0000-000061110000}"/>
    <cellStyle name="Normal 2 5 4 8 2" xfId="6775" xr:uid="{00000000-0005-0000-0000-000062110000}"/>
    <cellStyle name="Normal 2 5 4 8 2 2" xfId="15204" xr:uid="{5B0906C6-0B04-4BAF-B4D1-80803B7F4A7C}"/>
    <cellStyle name="Normal 2 5 4 8 3" xfId="10986" xr:uid="{DF94F519-DE3D-4013-A70E-15A6F2DA7104}"/>
    <cellStyle name="Normal 2 5 4 9" xfId="4709" xr:uid="{00000000-0005-0000-0000-000063110000}"/>
    <cellStyle name="Normal 2 5 4 9 2" xfId="13138" xr:uid="{4CAF3D44-E452-4D7B-9C0B-CA0A34373133}"/>
    <cellStyle name="Normal 2 5 5" xfId="804" xr:uid="{00000000-0005-0000-0000-000064110000}"/>
    <cellStyle name="Normal 2 5 5 2" xfId="3043" xr:uid="{00000000-0005-0000-0000-000065110000}"/>
    <cellStyle name="Normal 2 5 5 2 2" xfId="7267" xr:uid="{00000000-0005-0000-0000-000066110000}"/>
    <cellStyle name="Normal 2 5 5 2 2 2" xfId="15696" xr:uid="{EF3DA28B-F987-4FAC-9DCE-89DC7ABD2E23}"/>
    <cellStyle name="Normal 2 5 5 2 3" xfId="11478" xr:uid="{8B0D06EF-AB38-4D2E-AFD2-02F0FA0B03A2}"/>
    <cellStyle name="Normal 2 5 5 3" xfId="5122" xr:uid="{00000000-0005-0000-0000-000067110000}"/>
    <cellStyle name="Normal 2 5 5 3 2" xfId="13551" xr:uid="{1C9068A5-9B78-4C95-A3C5-90940160E727}"/>
    <cellStyle name="Normal 2 5 5 4" xfId="9333" xr:uid="{1E3F16CA-B612-4491-A1F3-781E00883590}"/>
    <cellStyle name="Normal 2 5 6" xfId="1226" xr:uid="{00000000-0005-0000-0000-000068110000}"/>
    <cellStyle name="Normal 2 5 6 2" xfId="3456" xr:uid="{00000000-0005-0000-0000-000069110000}"/>
    <cellStyle name="Normal 2 5 6 2 2" xfId="7680" xr:uid="{00000000-0005-0000-0000-00006A110000}"/>
    <cellStyle name="Normal 2 5 6 2 2 2" xfId="16109" xr:uid="{503A351B-FF51-48B4-8FB8-3961F1339205}"/>
    <cellStyle name="Normal 2 5 6 2 3" xfId="11891" xr:uid="{D3F6DDEC-513D-4D05-A5A1-99E49540DEFD}"/>
    <cellStyle name="Normal 2 5 6 3" xfId="5535" xr:uid="{00000000-0005-0000-0000-00006B110000}"/>
    <cellStyle name="Normal 2 5 6 3 2" xfId="13964" xr:uid="{41BD3C0A-F66D-44AC-9EF2-63CEC71588AB}"/>
    <cellStyle name="Normal 2 5 6 4" xfId="9746" xr:uid="{0B93A007-0E17-48D5-B226-FB9D9A43F845}"/>
    <cellStyle name="Normal 2 5 7" xfId="1639" xr:uid="{00000000-0005-0000-0000-00006C110000}"/>
    <cellStyle name="Normal 2 5 7 2" xfId="3869" xr:uid="{00000000-0005-0000-0000-00006D110000}"/>
    <cellStyle name="Normal 2 5 7 2 2" xfId="8093" xr:uid="{00000000-0005-0000-0000-00006E110000}"/>
    <cellStyle name="Normal 2 5 7 2 2 2" xfId="16522" xr:uid="{C80F4A95-86C3-43DA-9EBC-6470B6247075}"/>
    <cellStyle name="Normal 2 5 7 2 3" xfId="12304" xr:uid="{CED667B3-52BA-42C9-99B2-17BD7EFBF275}"/>
    <cellStyle name="Normal 2 5 7 3" xfId="5948" xr:uid="{00000000-0005-0000-0000-00006F110000}"/>
    <cellStyle name="Normal 2 5 7 3 2" xfId="14377" xr:uid="{E213427E-7529-434B-8D29-77D8B315ADF1}"/>
    <cellStyle name="Normal 2 5 7 4" xfId="10159" xr:uid="{13BE7F81-8F15-4898-867F-9EE1468570DD}"/>
    <cellStyle name="Normal 2 5 8" xfId="2053" xr:uid="{00000000-0005-0000-0000-000070110000}"/>
    <cellStyle name="Normal 2 5 8 2" xfId="4282" xr:uid="{00000000-0005-0000-0000-000071110000}"/>
    <cellStyle name="Normal 2 5 8 2 2" xfId="8506" xr:uid="{00000000-0005-0000-0000-000072110000}"/>
    <cellStyle name="Normal 2 5 8 2 2 2" xfId="16935" xr:uid="{ED80979D-4EB2-4E10-B004-CE084B58C13A}"/>
    <cellStyle name="Normal 2 5 8 2 3" xfId="12717" xr:uid="{7540D17D-77FD-4A8C-95AD-A907B3822C79}"/>
    <cellStyle name="Normal 2 5 8 3" xfId="6361" xr:uid="{00000000-0005-0000-0000-000073110000}"/>
    <cellStyle name="Normal 2 5 8 3 2" xfId="14790" xr:uid="{982EBFA2-6363-46DD-9295-F11439C7033C}"/>
    <cellStyle name="Normal 2 5 8 4" xfId="10572" xr:uid="{16FCDDF9-D66B-4744-9FE7-FE0429FE5AA8}"/>
    <cellStyle name="Normal 2 5 9" xfId="2489" xr:uid="{00000000-0005-0000-0000-000074110000}"/>
    <cellStyle name="Normal 2 5 9 2" xfId="6774" xr:uid="{00000000-0005-0000-0000-000075110000}"/>
    <cellStyle name="Normal 2 5 9 2 2" xfId="15203" xr:uid="{9329F5C3-E04B-49E6-9EAC-DDD6A180FE42}"/>
    <cellStyle name="Normal 2 5 9 3" xfId="10985" xr:uid="{0EA1518F-195C-49B4-ABAF-4391B0CFA56F}"/>
    <cellStyle name="Normal 2 6" xfId="322" xr:uid="{00000000-0005-0000-0000-000076110000}"/>
    <cellStyle name="Normal 2 7" xfId="770" xr:uid="{00000000-0005-0000-0000-000077110000}"/>
    <cellStyle name="Normal 2 8" xfId="4496" xr:uid="{00000000-0005-0000-0000-000078110000}"/>
    <cellStyle name="Normal 2 8 2" xfId="12929" xr:uid="{A098EB99-02C9-4ABF-89A2-D38837C87B24}"/>
    <cellStyle name="Normal 3" xfId="323" xr:uid="{00000000-0005-0000-0000-000079110000}"/>
    <cellStyle name="Normal 3 2" xfId="324" xr:uid="{00000000-0005-0000-0000-00007A110000}"/>
    <cellStyle name="Normal 3 2 10" xfId="8924" xr:uid="{4A781D55-A1C9-4072-BD88-734BF68E2CED}"/>
    <cellStyle name="Normal 3 2 2" xfId="325" xr:uid="{00000000-0005-0000-0000-00007B110000}"/>
    <cellStyle name="Normal 3 2 2 2" xfId="811" xr:uid="{00000000-0005-0000-0000-00007C110000}"/>
    <cellStyle name="Normal 3 2 3" xfId="326" xr:uid="{00000000-0005-0000-0000-00007D110000}"/>
    <cellStyle name="Normal 3 2 3 10" xfId="8925" xr:uid="{E44906DD-2C3A-4A8E-905D-018F7F53F49A}"/>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2 2 2" xfId="15704" xr:uid="{6BEC1B01-E04A-470D-9E4D-F345BAAF63CA}"/>
    <cellStyle name="Normal 3 2 3 2 2 2 2 3" xfId="11486" xr:uid="{C708826A-AC5B-43E8-9E81-FEFCF6DD73BD}"/>
    <cellStyle name="Normal 3 2 3 2 2 2 3" xfId="5130" xr:uid="{00000000-0005-0000-0000-000083110000}"/>
    <cellStyle name="Normal 3 2 3 2 2 2 3 2" xfId="13559" xr:uid="{FB05649C-8D25-46D0-B719-E4B6B6172D46}"/>
    <cellStyle name="Normal 3 2 3 2 2 2 4" xfId="9341" xr:uid="{93ABF33C-57CC-4A45-9433-B088F1B20AE9}"/>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2 2 2" xfId="16117" xr:uid="{7AB11CA9-0681-425B-BBB2-5187E89FFF5F}"/>
    <cellStyle name="Normal 3 2 3 2 2 3 2 3" xfId="11899" xr:uid="{0928D339-1354-4324-ABFB-7BC77C4D00D2}"/>
    <cellStyle name="Normal 3 2 3 2 2 3 3" xfId="5543" xr:uid="{00000000-0005-0000-0000-000087110000}"/>
    <cellStyle name="Normal 3 2 3 2 2 3 3 2" xfId="13972" xr:uid="{3728947C-3575-413B-B094-ACEA515CA2CF}"/>
    <cellStyle name="Normal 3 2 3 2 2 3 4" xfId="9754" xr:uid="{818928D9-2B0C-4F15-902B-B58E0A1F9E78}"/>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2 2 2" xfId="16530" xr:uid="{AF516E81-422C-4C52-8411-E0D402DA4D33}"/>
    <cellStyle name="Normal 3 2 3 2 2 4 2 3" xfId="12312" xr:uid="{A155B3F1-6773-43B6-B930-4B5114E8D174}"/>
    <cellStyle name="Normal 3 2 3 2 2 4 3" xfId="5956" xr:uid="{00000000-0005-0000-0000-00008B110000}"/>
    <cellStyle name="Normal 3 2 3 2 2 4 3 2" xfId="14385" xr:uid="{6E4F7E61-0C8C-4E2D-8115-420E3EE43EDC}"/>
    <cellStyle name="Normal 3 2 3 2 2 4 4" xfId="10167" xr:uid="{DBF9B782-08FF-4910-AFA8-AB585C883464}"/>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2 2 2" xfId="16943" xr:uid="{D587B1D3-7AC7-413E-9032-97DF1164129C}"/>
    <cellStyle name="Normal 3 2 3 2 2 5 2 3" xfId="12725" xr:uid="{9F243E4E-7CD1-4F90-857A-6A17AC833940}"/>
    <cellStyle name="Normal 3 2 3 2 2 5 3" xfId="6369" xr:uid="{00000000-0005-0000-0000-00008F110000}"/>
    <cellStyle name="Normal 3 2 3 2 2 5 3 2" xfId="14798" xr:uid="{262B94B4-7700-49AF-8D49-89FBC1100A7E}"/>
    <cellStyle name="Normal 3 2 3 2 2 5 4" xfId="10580" xr:uid="{BC062EEB-3A0B-4EA4-BCB1-EFA796B67F73}"/>
    <cellStyle name="Normal 3 2 3 2 2 6" xfId="2497" xr:uid="{00000000-0005-0000-0000-000090110000}"/>
    <cellStyle name="Normal 3 2 3 2 2 6 2" xfId="6782" xr:uid="{00000000-0005-0000-0000-000091110000}"/>
    <cellStyle name="Normal 3 2 3 2 2 6 2 2" xfId="15211" xr:uid="{0D01941B-F927-4297-922E-62AAF6231152}"/>
    <cellStyle name="Normal 3 2 3 2 2 6 3" xfId="10993" xr:uid="{61CFFF6E-8855-422F-A5FF-C0A04C1D993E}"/>
    <cellStyle name="Normal 3 2 3 2 2 7" xfId="4716" xr:uid="{00000000-0005-0000-0000-000092110000}"/>
    <cellStyle name="Normal 3 2 3 2 2 7 2" xfId="13145" xr:uid="{9328FAB8-F91A-4D83-A82B-37FCC9CBEF44}"/>
    <cellStyle name="Normal 3 2 3 2 2 8" xfId="8927" xr:uid="{AE60EAA2-C3A0-4CD3-A4A7-CC681F341E9D}"/>
    <cellStyle name="Normal 3 2 3 2 3" xfId="813" xr:uid="{00000000-0005-0000-0000-000093110000}"/>
    <cellStyle name="Normal 3 2 3 2 3 2" xfId="3050" xr:uid="{00000000-0005-0000-0000-000094110000}"/>
    <cellStyle name="Normal 3 2 3 2 3 2 2" xfId="7274" xr:uid="{00000000-0005-0000-0000-000095110000}"/>
    <cellStyle name="Normal 3 2 3 2 3 2 2 2" xfId="15703" xr:uid="{78E36443-D03E-4409-94CF-A89DE4F57525}"/>
    <cellStyle name="Normal 3 2 3 2 3 2 3" xfId="11485" xr:uid="{7740DA0F-BAFD-4464-80F0-885812A6FB1C}"/>
    <cellStyle name="Normal 3 2 3 2 3 3" xfId="5129" xr:uid="{00000000-0005-0000-0000-000096110000}"/>
    <cellStyle name="Normal 3 2 3 2 3 3 2" xfId="13558" xr:uid="{82EEF2DD-6A23-42E4-9F82-30267E88AD69}"/>
    <cellStyle name="Normal 3 2 3 2 3 4" xfId="9340" xr:uid="{0562B894-10AB-4031-A4E4-506FABB1DD79}"/>
    <cellStyle name="Normal 3 2 3 2 4" xfId="1233" xr:uid="{00000000-0005-0000-0000-000097110000}"/>
    <cellStyle name="Normal 3 2 3 2 4 2" xfId="3463" xr:uid="{00000000-0005-0000-0000-000098110000}"/>
    <cellStyle name="Normal 3 2 3 2 4 2 2" xfId="7687" xr:uid="{00000000-0005-0000-0000-000099110000}"/>
    <cellStyle name="Normal 3 2 3 2 4 2 2 2" xfId="16116" xr:uid="{C002E95D-95E3-41D8-97FF-14BE312A24C8}"/>
    <cellStyle name="Normal 3 2 3 2 4 2 3" xfId="11898" xr:uid="{6EA97C03-D60E-4739-A4D9-84D54CB8C287}"/>
    <cellStyle name="Normal 3 2 3 2 4 3" xfId="5542" xr:uid="{00000000-0005-0000-0000-00009A110000}"/>
    <cellStyle name="Normal 3 2 3 2 4 3 2" xfId="13971" xr:uid="{49F7AAA8-B52E-4D79-93F3-5E72A0BA20D7}"/>
    <cellStyle name="Normal 3 2 3 2 4 4" xfId="9753" xr:uid="{4C520D76-2D04-411A-BDA0-41D06BE9E2C9}"/>
    <cellStyle name="Normal 3 2 3 2 5" xfId="1646" xr:uid="{00000000-0005-0000-0000-00009B110000}"/>
    <cellStyle name="Normal 3 2 3 2 5 2" xfId="3876" xr:uid="{00000000-0005-0000-0000-00009C110000}"/>
    <cellStyle name="Normal 3 2 3 2 5 2 2" xfId="8100" xr:uid="{00000000-0005-0000-0000-00009D110000}"/>
    <cellStyle name="Normal 3 2 3 2 5 2 2 2" xfId="16529" xr:uid="{76CC0CCB-838A-4452-AF46-6695F11E4EBE}"/>
    <cellStyle name="Normal 3 2 3 2 5 2 3" xfId="12311" xr:uid="{A6C23288-837C-4F45-9FC1-99CD60B955D2}"/>
    <cellStyle name="Normal 3 2 3 2 5 3" xfId="5955" xr:uid="{00000000-0005-0000-0000-00009E110000}"/>
    <cellStyle name="Normal 3 2 3 2 5 3 2" xfId="14384" xr:uid="{407D7892-2DD8-4371-AFC2-B7AAB48AE259}"/>
    <cellStyle name="Normal 3 2 3 2 5 4" xfId="10166" xr:uid="{DEFDA49B-A9ED-462E-AC79-53335478687B}"/>
    <cellStyle name="Normal 3 2 3 2 6" xfId="2060" xr:uid="{00000000-0005-0000-0000-00009F110000}"/>
    <cellStyle name="Normal 3 2 3 2 6 2" xfId="4289" xr:uid="{00000000-0005-0000-0000-0000A0110000}"/>
    <cellStyle name="Normal 3 2 3 2 6 2 2" xfId="8513" xr:uid="{00000000-0005-0000-0000-0000A1110000}"/>
    <cellStyle name="Normal 3 2 3 2 6 2 2 2" xfId="16942" xr:uid="{1F372B20-91EF-42B4-8ECF-ED65D09F0FC9}"/>
    <cellStyle name="Normal 3 2 3 2 6 2 3" xfId="12724" xr:uid="{B6186728-4992-423C-90BE-D4C4A658B1D5}"/>
    <cellStyle name="Normal 3 2 3 2 6 3" xfId="6368" xr:uid="{00000000-0005-0000-0000-0000A2110000}"/>
    <cellStyle name="Normal 3 2 3 2 6 3 2" xfId="14797" xr:uid="{8A150CA9-E25C-4B1A-A1B1-3D9A392905EE}"/>
    <cellStyle name="Normal 3 2 3 2 6 4" xfId="10579" xr:uid="{E48206CB-E720-4FDA-8B95-61FC17DADF31}"/>
    <cellStyle name="Normal 3 2 3 2 7" xfId="2496" xr:uid="{00000000-0005-0000-0000-0000A3110000}"/>
    <cellStyle name="Normal 3 2 3 2 7 2" xfId="6781" xr:uid="{00000000-0005-0000-0000-0000A4110000}"/>
    <cellStyle name="Normal 3 2 3 2 7 2 2" xfId="15210" xr:uid="{470797CD-9D21-4A57-9C30-E85F945DEDAE}"/>
    <cellStyle name="Normal 3 2 3 2 7 3" xfId="10992" xr:uid="{AA7B2973-8154-4578-A1BB-6A703E50D168}"/>
    <cellStyle name="Normal 3 2 3 2 8" xfId="4715" xr:uid="{00000000-0005-0000-0000-0000A5110000}"/>
    <cellStyle name="Normal 3 2 3 2 8 2" xfId="13144" xr:uid="{0EB00AF2-D624-475A-AC10-0B8FCECD8B01}"/>
    <cellStyle name="Normal 3 2 3 2 9" xfId="8926" xr:uid="{E8818789-6FBC-4439-AFCD-86D7D046AB16}"/>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2 2 2" xfId="15705" xr:uid="{2D4C9535-7F4B-474C-A728-C1A744D58765}"/>
    <cellStyle name="Normal 3 2 3 3 2 2 3" xfId="11487" xr:uid="{FE3BEFF9-282C-4CDB-98FF-311B48E7B781}"/>
    <cellStyle name="Normal 3 2 3 3 2 3" xfId="5131" xr:uid="{00000000-0005-0000-0000-0000AA110000}"/>
    <cellStyle name="Normal 3 2 3 3 2 3 2" xfId="13560" xr:uid="{E19C6AEA-FFE4-4EAB-9EEA-2E092371FFF2}"/>
    <cellStyle name="Normal 3 2 3 3 2 4" xfId="9342" xr:uid="{E5F0DE5A-5BFF-4DC4-8FE9-538E1449E684}"/>
    <cellStyle name="Normal 3 2 3 3 3" xfId="1235" xr:uid="{00000000-0005-0000-0000-0000AB110000}"/>
    <cellStyle name="Normal 3 2 3 3 3 2" xfId="3465" xr:uid="{00000000-0005-0000-0000-0000AC110000}"/>
    <cellStyle name="Normal 3 2 3 3 3 2 2" xfId="7689" xr:uid="{00000000-0005-0000-0000-0000AD110000}"/>
    <cellStyle name="Normal 3 2 3 3 3 2 2 2" xfId="16118" xr:uid="{D7777702-136A-4FDE-93F0-B20D4E5AAD89}"/>
    <cellStyle name="Normal 3 2 3 3 3 2 3" xfId="11900" xr:uid="{95F0171C-0EC0-49BA-8E4A-6A1574E8C837}"/>
    <cellStyle name="Normal 3 2 3 3 3 3" xfId="5544" xr:uid="{00000000-0005-0000-0000-0000AE110000}"/>
    <cellStyle name="Normal 3 2 3 3 3 3 2" xfId="13973" xr:uid="{BC3A3F3A-4DD5-4EAE-B9D2-9438988F434F}"/>
    <cellStyle name="Normal 3 2 3 3 3 4" xfId="9755" xr:uid="{D48935C5-523B-450C-8A10-DEB5F765C625}"/>
    <cellStyle name="Normal 3 2 3 3 4" xfId="1648" xr:uid="{00000000-0005-0000-0000-0000AF110000}"/>
    <cellStyle name="Normal 3 2 3 3 4 2" xfId="3878" xr:uid="{00000000-0005-0000-0000-0000B0110000}"/>
    <cellStyle name="Normal 3 2 3 3 4 2 2" xfId="8102" xr:uid="{00000000-0005-0000-0000-0000B1110000}"/>
    <cellStyle name="Normal 3 2 3 3 4 2 2 2" xfId="16531" xr:uid="{AB08AD32-27CA-402F-B0E6-9552259C5BB9}"/>
    <cellStyle name="Normal 3 2 3 3 4 2 3" xfId="12313" xr:uid="{E499FF88-6062-4E91-B019-54460FF8E4F4}"/>
    <cellStyle name="Normal 3 2 3 3 4 3" xfId="5957" xr:uid="{00000000-0005-0000-0000-0000B2110000}"/>
    <cellStyle name="Normal 3 2 3 3 4 3 2" xfId="14386" xr:uid="{A44E8AE1-F200-49C3-B6E2-F22D3F041585}"/>
    <cellStyle name="Normal 3 2 3 3 4 4" xfId="10168" xr:uid="{A156FCE0-51A3-42CC-B115-72F89802C1F1}"/>
    <cellStyle name="Normal 3 2 3 3 5" xfId="2062" xr:uid="{00000000-0005-0000-0000-0000B3110000}"/>
    <cellStyle name="Normal 3 2 3 3 5 2" xfId="4291" xr:uid="{00000000-0005-0000-0000-0000B4110000}"/>
    <cellStyle name="Normal 3 2 3 3 5 2 2" xfId="8515" xr:uid="{00000000-0005-0000-0000-0000B5110000}"/>
    <cellStyle name="Normal 3 2 3 3 5 2 2 2" xfId="16944" xr:uid="{77DA06FE-D9A0-4FF0-B231-0E99F3DE166A}"/>
    <cellStyle name="Normal 3 2 3 3 5 2 3" xfId="12726" xr:uid="{ED54015C-18C1-45F4-AB0D-83FE8D6633E0}"/>
    <cellStyle name="Normal 3 2 3 3 5 3" xfId="6370" xr:uid="{00000000-0005-0000-0000-0000B6110000}"/>
    <cellStyle name="Normal 3 2 3 3 5 3 2" xfId="14799" xr:uid="{6D3EF9E8-6553-44E9-A1FC-DFF78FC4732D}"/>
    <cellStyle name="Normal 3 2 3 3 5 4" xfId="10581" xr:uid="{A58D9E68-AE60-4D6B-AC91-5450D7C78464}"/>
    <cellStyle name="Normal 3 2 3 3 6" xfId="2498" xr:uid="{00000000-0005-0000-0000-0000B7110000}"/>
    <cellStyle name="Normal 3 2 3 3 6 2" xfId="6783" xr:uid="{00000000-0005-0000-0000-0000B8110000}"/>
    <cellStyle name="Normal 3 2 3 3 6 2 2" xfId="15212" xr:uid="{00E48A3C-B8BE-4422-B4E9-1D5F052A3071}"/>
    <cellStyle name="Normal 3 2 3 3 6 3" xfId="10994" xr:uid="{4AB8D4DC-8922-49AD-B3C2-0A389746FE3C}"/>
    <cellStyle name="Normal 3 2 3 3 7" xfId="4717" xr:uid="{00000000-0005-0000-0000-0000B9110000}"/>
    <cellStyle name="Normal 3 2 3 3 7 2" xfId="13146" xr:uid="{50683930-68D2-48AB-B312-5CC03CFF9B6C}"/>
    <cellStyle name="Normal 3 2 3 3 8" xfId="8928" xr:uid="{36AAB3E6-9F5F-40F7-8BE3-9A8375F4EDDA}"/>
    <cellStyle name="Normal 3 2 3 4" xfId="812" xr:uid="{00000000-0005-0000-0000-0000BA110000}"/>
    <cellStyle name="Normal 3 2 3 4 2" xfId="3049" xr:uid="{00000000-0005-0000-0000-0000BB110000}"/>
    <cellStyle name="Normal 3 2 3 4 2 2" xfId="7273" xr:uid="{00000000-0005-0000-0000-0000BC110000}"/>
    <cellStyle name="Normal 3 2 3 4 2 2 2" xfId="15702" xr:uid="{D9273901-ABDA-4427-AD36-0DEF384A8132}"/>
    <cellStyle name="Normal 3 2 3 4 2 3" xfId="11484" xr:uid="{DA3EF8B1-E571-491B-BCFE-93B9C8AF5B66}"/>
    <cellStyle name="Normal 3 2 3 4 3" xfId="5128" xr:uid="{00000000-0005-0000-0000-0000BD110000}"/>
    <cellStyle name="Normal 3 2 3 4 3 2" xfId="13557" xr:uid="{962C0B2D-6138-415C-9472-1423DF102BAA}"/>
    <cellStyle name="Normal 3 2 3 4 4" xfId="9339" xr:uid="{C92B120B-0D83-4C6B-AE5C-59BAB3B49F0F}"/>
    <cellStyle name="Normal 3 2 3 5" xfId="1232" xr:uid="{00000000-0005-0000-0000-0000BE110000}"/>
    <cellStyle name="Normal 3 2 3 5 2" xfId="3462" xr:uid="{00000000-0005-0000-0000-0000BF110000}"/>
    <cellStyle name="Normal 3 2 3 5 2 2" xfId="7686" xr:uid="{00000000-0005-0000-0000-0000C0110000}"/>
    <cellStyle name="Normal 3 2 3 5 2 2 2" xfId="16115" xr:uid="{BB2F665C-73BF-4362-9641-D284E89F90B1}"/>
    <cellStyle name="Normal 3 2 3 5 2 3" xfId="11897" xr:uid="{90626709-0C6C-4916-9351-B04D68B69A6C}"/>
    <cellStyle name="Normal 3 2 3 5 3" xfId="5541" xr:uid="{00000000-0005-0000-0000-0000C1110000}"/>
    <cellStyle name="Normal 3 2 3 5 3 2" xfId="13970" xr:uid="{ED30C042-844E-4062-9DE5-8968C85AF945}"/>
    <cellStyle name="Normal 3 2 3 5 4" xfId="9752" xr:uid="{906611F7-D390-4583-8FE0-5D7F8A3BA09D}"/>
    <cellStyle name="Normal 3 2 3 6" xfId="1645" xr:uid="{00000000-0005-0000-0000-0000C2110000}"/>
    <cellStyle name="Normal 3 2 3 6 2" xfId="3875" xr:uid="{00000000-0005-0000-0000-0000C3110000}"/>
    <cellStyle name="Normal 3 2 3 6 2 2" xfId="8099" xr:uid="{00000000-0005-0000-0000-0000C4110000}"/>
    <cellStyle name="Normal 3 2 3 6 2 2 2" xfId="16528" xr:uid="{61637B4C-F926-4B8F-AD1C-D79286D1D660}"/>
    <cellStyle name="Normal 3 2 3 6 2 3" xfId="12310" xr:uid="{DFDE286E-7706-4E5B-8D34-0F12A59479D1}"/>
    <cellStyle name="Normal 3 2 3 6 3" xfId="5954" xr:uid="{00000000-0005-0000-0000-0000C5110000}"/>
    <cellStyle name="Normal 3 2 3 6 3 2" xfId="14383" xr:uid="{CF56751C-D339-4B33-8BE7-00D50BB4B121}"/>
    <cellStyle name="Normal 3 2 3 6 4" xfId="10165" xr:uid="{2A351F13-DB4F-4580-BEA1-9EB499576FF3}"/>
    <cellStyle name="Normal 3 2 3 7" xfId="2059" xr:uid="{00000000-0005-0000-0000-0000C6110000}"/>
    <cellStyle name="Normal 3 2 3 7 2" xfId="4288" xr:uid="{00000000-0005-0000-0000-0000C7110000}"/>
    <cellStyle name="Normal 3 2 3 7 2 2" xfId="8512" xr:uid="{00000000-0005-0000-0000-0000C8110000}"/>
    <cellStyle name="Normal 3 2 3 7 2 2 2" xfId="16941" xr:uid="{65996C4F-60F4-4312-9EFF-1878F011BBC9}"/>
    <cellStyle name="Normal 3 2 3 7 2 3" xfId="12723" xr:uid="{73D074AA-2096-489D-A215-272F05B5D3AA}"/>
    <cellStyle name="Normal 3 2 3 7 3" xfId="6367" xr:uid="{00000000-0005-0000-0000-0000C9110000}"/>
    <cellStyle name="Normal 3 2 3 7 3 2" xfId="14796" xr:uid="{AFC2DD3E-D6EB-41AE-A8D2-A6122615ADB9}"/>
    <cellStyle name="Normal 3 2 3 7 4" xfId="10578" xr:uid="{92CF53C3-8A0C-4D23-A02D-5D74242B63EE}"/>
    <cellStyle name="Normal 3 2 3 8" xfId="2495" xr:uid="{00000000-0005-0000-0000-0000CA110000}"/>
    <cellStyle name="Normal 3 2 3 8 2" xfId="6780" xr:uid="{00000000-0005-0000-0000-0000CB110000}"/>
    <cellStyle name="Normal 3 2 3 8 2 2" xfId="15209" xr:uid="{D0EF134A-209E-4470-BE5F-D1943B86031A}"/>
    <cellStyle name="Normal 3 2 3 8 3" xfId="10991" xr:uid="{6CC48944-98F5-44B3-8908-94EA9A7B49D4}"/>
    <cellStyle name="Normal 3 2 3 9" xfId="4714" xr:uid="{00000000-0005-0000-0000-0000CC110000}"/>
    <cellStyle name="Normal 3 2 3 9 2" xfId="13143" xr:uid="{413719F3-B896-4898-A7BF-407EFDC9BEFA}"/>
    <cellStyle name="Normal 3 2 4" xfId="810" xr:uid="{00000000-0005-0000-0000-0000CD110000}"/>
    <cellStyle name="Normal 3 2 4 2" xfId="3048" xr:uid="{00000000-0005-0000-0000-0000CE110000}"/>
    <cellStyle name="Normal 3 2 4 2 2" xfId="7272" xr:uid="{00000000-0005-0000-0000-0000CF110000}"/>
    <cellStyle name="Normal 3 2 4 2 2 2" xfId="15701" xr:uid="{71778144-AF70-4DA0-8C3D-5E3CF361A0EC}"/>
    <cellStyle name="Normal 3 2 4 2 3" xfId="11483" xr:uid="{796C9798-D8E4-4E4E-995E-416B8CF8DD6A}"/>
    <cellStyle name="Normal 3 2 4 3" xfId="5127" xr:uid="{00000000-0005-0000-0000-0000D0110000}"/>
    <cellStyle name="Normal 3 2 4 3 2" xfId="13556" xr:uid="{E31457BE-B7FA-48D7-A8F1-A87848C33CD8}"/>
    <cellStyle name="Normal 3 2 4 4" xfId="9338" xr:uid="{009A4D14-F792-47D3-891A-B1CD270E04B2}"/>
    <cellStyle name="Normal 3 2 5" xfId="1231" xr:uid="{00000000-0005-0000-0000-0000D1110000}"/>
    <cellStyle name="Normal 3 2 5 2" xfId="3461" xr:uid="{00000000-0005-0000-0000-0000D2110000}"/>
    <cellStyle name="Normal 3 2 5 2 2" xfId="7685" xr:uid="{00000000-0005-0000-0000-0000D3110000}"/>
    <cellStyle name="Normal 3 2 5 2 2 2" xfId="16114" xr:uid="{85475705-B53C-48A0-97D8-04BCC51252B2}"/>
    <cellStyle name="Normal 3 2 5 2 3" xfId="11896" xr:uid="{2D62D19A-B372-4CA5-B5B0-D0C996701020}"/>
    <cellStyle name="Normal 3 2 5 3" xfId="5540" xr:uid="{00000000-0005-0000-0000-0000D4110000}"/>
    <cellStyle name="Normal 3 2 5 3 2" xfId="13969" xr:uid="{48E074D1-9C45-4496-82AA-6D50CFFC8AE0}"/>
    <cellStyle name="Normal 3 2 5 4" xfId="9751" xr:uid="{0D816694-F2E6-4FA4-808E-592123EE4CC9}"/>
    <cellStyle name="Normal 3 2 6" xfId="1644" xr:uid="{00000000-0005-0000-0000-0000D5110000}"/>
    <cellStyle name="Normal 3 2 6 2" xfId="3874" xr:uid="{00000000-0005-0000-0000-0000D6110000}"/>
    <cellStyle name="Normal 3 2 6 2 2" xfId="8098" xr:uid="{00000000-0005-0000-0000-0000D7110000}"/>
    <cellStyle name="Normal 3 2 6 2 2 2" xfId="16527" xr:uid="{5127A581-B645-44A3-B12F-38721B0CBE5A}"/>
    <cellStyle name="Normal 3 2 6 2 3" xfId="12309" xr:uid="{93C108E1-5256-482A-AF7B-2FAD9C7CB145}"/>
    <cellStyle name="Normal 3 2 6 3" xfId="5953" xr:uid="{00000000-0005-0000-0000-0000D8110000}"/>
    <cellStyle name="Normal 3 2 6 3 2" xfId="14382" xr:uid="{9D2C96A9-6FE0-43E4-8F24-8533C0C21174}"/>
    <cellStyle name="Normal 3 2 6 4" xfId="10164" xr:uid="{E2E6EEBE-ED47-4D60-A8B2-18038A92CD56}"/>
    <cellStyle name="Normal 3 2 7" xfId="2058" xr:uid="{00000000-0005-0000-0000-0000D9110000}"/>
    <cellStyle name="Normal 3 2 7 2" xfId="4287" xr:uid="{00000000-0005-0000-0000-0000DA110000}"/>
    <cellStyle name="Normal 3 2 7 2 2" xfId="8511" xr:uid="{00000000-0005-0000-0000-0000DB110000}"/>
    <cellStyle name="Normal 3 2 7 2 2 2" xfId="16940" xr:uid="{6BBCFD29-32CF-4219-9901-1203A02E74D7}"/>
    <cellStyle name="Normal 3 2 7 2 3" xfId="12722" xr:uid="{FE4F43FA-A2F5-433E-ADCC-F801FF2BE288}"/>
    <cellStyle name="Normal 3 2 7 3" xfId="6366" xr:uid="{00000000-0005-0000-0000-0000DC110000}"/>
    <cellStyle name="Normal 3 2 7 3 2" xfId="14795" xr:uid="{4EF6B5AB-A66E-4ADB-AD3A-49956C90E9F4}"/>
    <cellStyle name="Normal 3 2 7 4" xfId="10577" xr:uid="{4CE4FF2D-2DF0-498A-A551-F703B8ED7785}"/>
    <cellStyle name="Normal 3 2 8" xfId="2494" xr:uid="{00000000-0005-0000-0000-0000DD110000}"/>
    <cellStyle name="Normal 3 2 8 2" xfId="6779" xr:uid="{00000000-0005-0000-0000-0000DE110000}"/>
    <cellStyle name="Normal 3 2 8 2 2" xfId="15208" xr:uid="{59606C07-94CA-48B8-AA8A-75B8147470E5}"/>
    <cellStyle name="Normal 3 2 8 3" xfId="10990" xr:uid="{125D3015-E270-44A2-8EE9-9B829C0D3DD3}"/>
    <cellStyle name="Normal 3 2 9" xfId="4713" xr:uid="{00000000-0005-0000-0000-0000DF110000}"/>
    <cellStyle name="Normal 3 2 9 2" xfId="13142" xr:uid="{932946FD-1BBA-4CA4-8BB1-FF253B4C6AF1}"/>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10" xfId="8929" xr:uid="{20DF9D65-B23E-467C-A198-2094D0EF8F76}"/>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2 2 2" xfId="16945" xr:uid="{6E796CE3-C160-4E98-9734-D6529423391F}"/>
    <cellStyle name="Normal 4 2 2 10 2 3" xfId="12727" xr:uid="{D9249687-2BEB-4CAA-B6E4-BEB27F31E6F9}"/>
    <cellStyle name="Normal 4 2 2 10 3" xfId="6371" xr:uid="{00000000-0005-0000-0000-0000EC110000}"/>
    <cellStyle name="Normal 4 2 2 10 3 2" xfId="14800" xr:uid="{51262C38-FD0E-43FA-A848-A0A77E77E683}"/>
    <cellStyle name="Normal 4 2 2 10 4" xfId="10582" xr:uid="{1CC7D6A3-948F-419C-8367-510D8D1CE8CC}"/>
    <cellStyle name="Normal 4 2 2 11" xfId="2499" xr:uid="{00000000-0005-0000-0000-0000ED110000}"/>
    <cellStyle name="Normal 4 2 2 11 2" xfId="6784" xr:uid="{00000000-0005-0000-0000-0000EE110000}"/>
    <cellStyle name="Normal 4 2 2 11 2 2" xfId="15213" xr:uid="{65C9E5DD-20ED-4DF4-BAAB-6B3FF7A98ECA}"/>
    <cellStyle name="Normal 4 2 2 11 3" xfId="10995" xr:uid="{C1A874C5-26E2-4CD5-AC70-2A135A06F6E2}"/>
    <cellStyle name="Normal 4 2 2 12" xfId="4719" xr:uid="{00000000-0005-0000-0000-0000EF110000}"/>
    <cellStyle name="Normal 4 2 2 12 2" xfId="13148" xr:uid="{051ED5A6-A1B0-4782-B332-ED24C8F46E8B}"/>
    <cellStyle name="Normal 4 2 2 13" xfId="8930" xr:uid="{887E34EA-6821-40E3-A6F4-01B51469E2D1}"/>
    <cellStyle name="Normal 4 2 2 2" xfId="338" xr:uid="{00000000-0005-0000-0000-0000F0110000}"/>
    <cellStyle name="Normal 4 2 2 3" xfId="339" xr:uid="{00000000-0005-0000-0000-0000F1110000}"/>
    <cellStyle name="Normal 4 2 2 3 10" xfId="4720" xr:uid="{00000000-0005-0000-0000-0000F2110000}"/>
    <cellStyle name="Normal 4 2 2 3 10 2" xfId="13149" xr:uid="{0F3C9D07-6106-4BE4-A280-373024EFAACD}"/>
    <cellStyle name="Normal 4 2 2 3 11" xfId="8931" xr:uid="{CF0019B3-1B05-4AA4-B1B5-AFA8538C76FC}"/>
    <cellStyle name="Normal 4 2 2 3 2" xfId="340" xr:uid="{00000000-0005-0000-0000-0000F3110000}"/>
    <cellStyle name="Normal 4 2 2 3 2 10" xfId="8932" xr:uid="{DC42AF69-D11A-4759-85E1-0B713DA9BDAF}"/>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2 2 2" xfId="15710" xr:uid="{20BAC879-73FC-4C43-AD79-9ED9442B2793}"/>
    <cellStyle name="Normal 4 2 2 3 2 2 2 2 2 3" xfId="11492" xr:uid="{38BA5EE9-DE9B-4D87-9AC2-753C618EC9EB}"/>
    <cellStyle name="Normal 4 2 2 3 2 2 2 2 3" xfId="5136" xr:uid="{00000000-0005-0000-0000-0000F9110000}"/>
    <cellStyle name="Normal 4 2 2 3 2 2 2 2 3 2" xfId="13565" xr:uid="{1E39592B-1107-4115-9980-82E13FA87C7B}"/>
    <cellStyle name="Normal 4 2 2 3 2 2 2 2 4" xfId="9347" xr:uid="{F011C4A2-DD0B-4DBB-8C2C-FAA27E01F813}"/>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2 2 2" xfId="16123" xr:uid="{835FE76C-6A82-47D5-BA49-BD34A355AE95}"/>
    <cellStyle name="Normal 4 2 2 3 2 2 2 3 2 3" xfId="11905" xr:uid="{E0BDE041-3C84-4909-A62D-7D9CDBF9F90A}"/>
    <cellStyle name="Normal 4 2 2 3 2 2 2 3 3" xfId="5549" xr:uid="{00000000-0005-0000-0000-0000FD110000}"/>
    <cellStyle name="Normal 4 2 2 3 2 2 2 3 3 2" xfId="13978" xr:uid="{0BF5F4A0-7006-407D-A50D-1CB6583873A0}"/>
    <cellStyle name="Normal 4 2 2 3 2 2 2 3 4" xfId="9760" xr:uid="{D7E8FACF-9D19-4AA1-9288-D52282E129C5}"/>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2 2 2" xfId="16536" xr:uid="{14955857-D3EC-4546-B695-E89894CA8D3A}"/>
    <cellStyle name="Normal 4 2 2 3 2 2 2 4 2 3" xfId="12318" xr:uid="{455CC72E-A619-495A-BC27-A76DC1F161CF}"/>
    <cellStyle name="Normal 4 2 2 3 2 2 2 4 3" xfId="5962" xr:uid="{00000000-0005-0000-0000-000001120000}"/>
    <cellStyle name="Normal 4 2 2 3 2 2 2 4 3 2" xfId="14391" xr:uid="{F9B95894-F794-43E4-B38D-654500F7E2B7}"/>
    <cellStyle name="Normal 4 2 2 3 2 2 2 4 4" xfId="10173" xr:uid="{58D1D0DA-6400-461A-B32D-B85D2DAC7809}"/>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2 2 2" xfId="16949" xr:uid="{FD139E2C-550D-458E-9F15-98B71C472558}"/>
    <cellStyle name="Normal 4 2 2 3 2 2 2 5 2 3" xfId="12731" xr:uid="{08D6D77D-4BF0-4A6B-93CA-2D55A8C27EF8}"/>
    <cellStyle name="Normal 4 2 2 3 2 2 2 5 3" xfId="6375" xr:uid="{00000000-0005-0000-0000-000005120000}"/>
    <cellStyle name="Normal 4 2 2 3 2 2 2 5 3 2" xfId="14804" xr:uid="{3F3F2111-1234-45EC-937C-E63BC4E82E7A}"/>
    <cellStyle name="Normal 4 2 2 3 2 2 2 5 4" xfId="10586" xr:uid="{1635864D-A290-49D8-AF0C-290B3AE41175}"/>
    <cellStyle name="Normal 4 2 2 3 2 2 2 6" xfId="2503" xr:uid="{00000000-0005-0000-0000-000006120000}"/>
    <cellStyle name="Normal 4 2 2 3 2 2 2 6 2" xfId="6788" xr:uid="{00000000-0005-0000-0000-000007120000}"/>
    <cellStyle name="Normal 4 2 2 3 2 2 2 6 2 2" xfId="15217" xr:uid="{24DF9ED6-21EF-4E2D-9092-C0211ABAFDFB}"/>
    <cellStyle name="Normal 4 2 2 3 2 2 2 6 3" xfId="10999" xr:uid="{F7D5D1EF-3F0F-4B2F-87A2-DEC6B7C1F171}"/>
    <cellStyle name="Normal 4 2 2 3 2 2 2 7" xfId="4723" xr:uid="{00000000-0005-0000-0000-000008120000}"/>
    <cellStyle name="Normal 4 2 2 3 2 2 2 7 2" xfId="13152" xr:uid="{BD232D1C-CFDE-41E1-A839-64AB7C118835}"/>
    <cellStyle name="Normal 4 2 2 3 2 2 2 8" xfId="8934" xr:uid="{102A2C1B-3122-43BA-9CF0-9B57352126D3}"/>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2 2 2" xfId="15709" xr:uid="{D10ED44B-4127-468C-9997-E0B57012C74B}"/>
    <cellStyle name="Normal 4 2 2 3 2 2 3 2 3" xfId="11491" xr:uid="{7A381CA6-668F-48B4-80EE-A4E7FC48DD39}"/>
    <cellStyle name="Normal 4 2 2 3 2 2 3 3" xfId="5135" xr:uid="{00000000-0005-0000-0000-00000C120000}"/>
    <cellStyle name="Normal 4 2 2 3 2 2 3 3 2" xfId="13564" xr:uid="{2117A40F-F0E9-47C0-AAB3-9CA4FBB29FA9}"/>
    <cellStyle name="Normal 4 2 2 3 2 2 3 4" xfId="9346" xr:uid="{2A9B5579-EC7E-4F8F-A96F-EF8AC1F4CD0E}"/>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2 2 2" xfId="16122" xr:uid="{3C325EA2-CCEC-4266-B8CD-26543860F390}"/>
    <cellStyle name="Normal 4 2 2 3 2 2 4 2 3" xfId="11904" xr:uid="{758B0F68-928C-4011-91AA-A5AF974A6E37}"/>
    <cellStyle name="Normal 4 2 2 3 2 2 4 3" xfId="5548" xr:uid="{00000000-0005-0000-0000-000010120000}"/>
    <cellStyle name="Normal 4 2 2 3 2 2 4 3 2" xfId="13977" xr:uid="{93AFCAED-F6E9-427E-8137-C072081D550F}"/>
    <cellStyle name="Normal 4 2 2 3 2 2 4 4" xfId="9759" xr:uid="{9E603AEA-1CB7-4B62-B1C6-DA2294ECD805}"/>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2 2 2" xfId="16535" xr:uid="{ED6F76DE-957E-4E8F-B5D0-EADBD3EFC5FF}"/>
    <cellStyle name="Normal 4 2 2 3 2 2 5 2 3" xfId="12317" xr:uid="{E4658B3F-1172-455E-9A33-ECAB9CE77301}"/>
    <cellStyle name="Normal 4 2 2 3 2 2 5 3" xfId="5961" xr:uid="{00000000-0005-0000-0000-000014120000}"/>
    <cellStyle name="Normal 4 2 2 3 2 2 5 3 2" xfId="14390" xr:uid="{52AF788B-2FD8-4074-8C1F-40617CE062D7}"/>
    <cellStyle name="Normal 4 2 2 3 2 2 5 4" xfId="10172" xr:uid="{0D11DF91-8B15-44A0-A9D1-116B0CE7C11F}"/>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2 2 2" xfId="16948" xr:uid="{F326EF2C-8136-4764-8BD9-94B9492BF8FA}"/>
    <cellStyle name="Normal 4 2 2 3 2 2 6 2 3" xfId="12730" xr:uid="{E563D452-D218-484C-AB5A-5B8655F42DFC}"/>
    <cellStyle name="Normal 4 2 2 3 2 2 6 3" xfId="6374" xr:uid="{00000000-0005-0000-0000-000018120000}"/>
    <cellStyle name="Normal 4 2 2 3 2 2 6 3 2" xfId="14803" xr:uid="{436ED226-5141-4E9E-AB76-105D659EE85D}"/>
    <cellStyle name="Normal 4 2 2 3 2 2 6 4" xfId="10585" xr:uid="{0EAF0849-6DB0-4BDD-BF32-0EEDCAFC5411}"/>
    <cellStyle name="Normal 4 2 2 3 2 2 7" xfId="2502" xr:uid="{00000000-0005-0000-0000-000019120000}"/>
    <cellStyle name="Normal 4 2 2 3 2 2 7 2" xfId="6787" xr:uid="{00000000-0005-0000-0000-00001A120000}"/>
    <cellStyle name="Normal 4 2 2 3 2 2 7 2 2" xfId="15216" xr:uid="{BA203FB3-57C3-420F-A981-E405476F6066}"/>
    <cellStyle name="Normal 4 2 2 3 2 2 7 3" xfId="10998" xr:uid="{569744B7-A734-4E8D-A00D-8B7A88E127C5}"/>
    <cellStyle name="Normal 4 2 2 3 2 2 8" xfId="4722" xr:uid="{00000000-0005-0000-0000-00001B120000}"/>
    <cellStyle name="Normal 4 2 2 3 2 2 8 2" xfId="13151" xr:uid="{B7465987-9D43-46F5-8A0B-FC6E59662758}"/>
    <cellStyle name="Normal 4 2 2 3 2 2 9" xfId="8933" xr:uid="{F6CAC9ED-B03F-4323-9ADD-AA7951FA9D79}"/>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2 2 2" xfId="15711" xr:uid="{E35F4DC2-32FA-4437-A27E-275B5D68697C}"/>
    <cellStyle name="Normal 4 2 2 3 2 3 2 2 3" xfId="11493" xr:uid="{9D598060-71A4-4B88-8E1F-B5080EAD4679}"/>
    <cellStyle name="Normal 4 2 2 3 2 3 2 3" xfId="5137" xr:uid="{00000000-0005-0000-0000-000020120000}"/>
    <cellStyle name="Normal 4 2 2 3 2 3 2 3 2" xfId="13566" xr:uid="{A89B418F-4114-4ABB-9EB0-3B787257D5DD}"/>
    <cellStyle name="Normal 4 2 2 3 2 3 2 4" xfId="9348" xr:uid="{8E753E52-FA27-4761-B2A6-F57B9B2A070E}"/>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2 2 2" xfId="16124" xr:uid="{A24F30A9-74C0-465E-BDBC-0F9E27FE888D}"/>
    <cellStyle name="Normal 4 2 2 3 2 3 3 2 3" xfId="11906" xr:uid="{7CB3D69B-1EF6-4104-9FBC-B7BDBF755E42}"/>
    <cellStyle name="Normal 4 2 2 3 2 3 3 3" xfId="5550" xr:uid="{00000000-0005-0000-0000-000024120000}"/>
    <cellStyle name="Normal 4 2 2 3 2 3 3 3 2" xfId="13979" xr:uid="{61ED2708-32D6-4CA2-99DF-EFAB1FB8C93A}"/>
    <cellStyle name="Normal 4 2 2 3 2 3 3 4" xfId="9761" xr:uid="{2D0C6A0F-249A-4B5B-A3D1-35658B8075A4}"/>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2 2 2" xfId="16537" xr:uid="{495D3768-5A5F-4CBB-A1AE-667206E3CF2E}"/>
    <cellStyle name="Normal 4 2 2 3 2 3 4 2 3" xfId="12319" xr:uid="{F2C8DF51-1463-4CCA-84C2-4B3676C6C306}"/>
    <cellStyle name="Normal 4 2 2 3 2 3 4 3" xfId="5963" xr:uid="{00000000-0005-0000-0000-000028120000}"/>
    <cellStyle name="Normal 4 2 2 3 2 3 4 3 2" xfId="14392" xr:uid="{FB68A228-2211-43C9-96EB-F978DA63DD57}"/>
    <cellStyle name="Normal 4 2 2 3 2 3 4 4" xfId="10174" xr:uid="{0DF72BA3-9EA3-467C-8B9D-E41D5975DC65}"/>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2 2 2" xfId="16950" xr:uid="{CA60F0DD-C2EF-44F1-8A5C-6FC5360D81C3}"/>
    <cellStyle name="Normal 4 2 2 3 2 3 5 2 3" xfId="12732" xr:uid="{DB37432F-C5EB-4476-BB34-4AB17CAD7471}"/>
    <cellStyle name="Normal 4 2 2 3 2 3 5 3" xfId="6376" xr:uid="{00000000-0005-0000-0000-00002C120000}"/>
    <cellStyle name="Normal 4 2 2 3 2 3 5 3 2" xfId="14805" xr:uid="{9CB3BDA6-E1B1-4072-8B9A-EF21A06E9851}"/>
    <cellStyle name="Normal 4 2 2 3 2 3 5 4" xfId="10587" xr:uid="{E1B1EF2E-C11C-4A3B-B10C-167622F7B40B}"/>
    <cellStyle name="Normal 4 2 2 3 2 3 6" xfId="2504" xr:uid="{00000000-0005-0000-0000-00002D120000}"/>
    <cellStyle name="Normal 4 2 2 3 2 3 6 2" xfId="6789" xr:uid="{00000000-0005-0000-0000-00002E120000}"/>
    <cellStyle name="Normal 4 2 2 3 2 3 6 2 2" xfId="15218" xr:uid="{F4074FB8-5C92-48F8-A354-1B0204F322B5}"/>
    <cellStyle name="Normal 4 2 2 3 2 3 6 3" xfId="11000" xr:uid="{794528CF-BACD-4534-B87B-1015C3EEF72D}"/>
    <cellStyle name="Normal 4 2 2 3 2 3 7" xfId="4724" xr:uid="{00000000-0005-0000-0000-00002F120000}"/>
    <cellStyle name="Normal 4 2 2 3 2 3 7 2" xfId="13153" xr:uid="{11CFEAB6-A88A-45CC-911B-BA4600631160}"/>
    <cellStyle name="Normal 4 2 2 3 2 3 8" xfId="8935" xr:uid="{959EC825-54CE-461E-87D4-9AFED232E71E}"/>
    <cellStyle name="Normal 4 2 2 3 2 4" xfId="818" xr:uid="{00000000-0005-0000-0000-000030120000}"/>
    <cellStyle name="Normal 4 2 2 3 2 4 2" xfId="3055" xr:uid="{00000000-0005-0000-0000-000031120000}"/>
    <cellStyle name="Normal 4 2 2 3 2 4 2 2" xfId="7279" xr:uid="{00000000-0005-0000-0000-000032120000}"/>
    <cellStyle name="Normal 4 2 2 3 2 4 2 2 2" xfId="15708" xr:uid="{C82E34E5-DC82-4B16-B6AE-1E141B8F6C16}"/>
    <cellStyle name="Normal 4 2 2 3 2 4 2 3" xfId="11490" xr:uid="{017F91EB-8A50-4B87-AC90-61FA1F830CF7}"/>
    <cellStyle name="Normal 4 2 2 3 2 4 3" xfId="5134" xr:uid="{00000000-0005-0000-0000-000033120000}"/>
    <cellStyle name="Normal 4 2 2 3 2 4 3 2" xfId="13563" xr:uid="{0E64A5E3-4460-4FA0-9DF8-0DF20CB20305}"/>
    <cellStyle name="Normal 4 2 2 3 2 4 4" xfId="9345" xr:uid="{0BFB189B-ACDC-4467-8E93-68BEE589E143}"/>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2 2 2" xfId="16121" xr:uid="{7D0E528C-7924-4ED4-BC8D-BEC82AACE9AF}"/>
    <cellStyle name="Normal 4 2 2 3 2 5 2 3" xfId="11903" xr:uid="{4B2000C4-CCCE-4B27-BDB2-CEB2D77425B5}"/>
    <cellStyle name="Normal 4 2 2 3 2 5 3" xfId="5547" xr:uid="{00000000-0005-0000-0000-000037120000}"/>
    <cellStyle name="Normal 4 2 2 3 2 5 3 2" xfId="13976" xr:uid="{3614D5D3-30BA-46F5-9C8D-0FAEB17C188D}"/>
    <cellStyle name="Normal 4 2 2 3 2 5 4" xfId="9758" xr:uid="{C51C6CA0-1D32-4156-BB6C-62D27F342BF5}"/>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2 2 2" xfId="16534" xr:uid="{6B700889-3334-44EF-BCDB-F106AC7069DE}"/>
    <cellStyle name="Normal 4 2 2 3 2 6 2 3" xfId="12316" xr:uid="{F6F75F1D-DCB2-434E-A077-A00B202D5A22}"/>
    <cellStyle name="Normal 4 2 2 3 2 6 3" xfId="5960" xr:uid="{00000000-0005-0000-0000-00003B120000}"/>
    <cellStyle name="Normal 4 2 2 3 2 6 3 2" xfId="14389" xr:uid="{6766978D-F6E3-4BF0-8C96-212976D724CC}"/>
    <cellStyle name="Normal 4 2 2 3 2 6 4" xfId="10171" xr:uid="{73D6A1A9-56A2-4602-B864-7C52D1AC29C3}"/>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2 2 2" xfId="16947" xr:uid="{0A8C1684-6E71-4C45-AB13-4B657CD8B5DE}"/>
    <cellStyle name="Normal 4 2 2 3 2 7 2 3" xfId="12729" xr:uid="{ABF9F5EA-B1AC-4B49-BBA6-42D578A4B2DD}"/>
    <cellStyle name="Normal 4 2 2 3 2 7 3" xfId="6373" xr:uid="{00000000-0005-0000-0000-00003F120000}"/>
    <cellStyle name="Normal 4 2 2 3 2 7 3 2" xfId="14802" xr:uid="{569A01BD-174F-413A-8F5B-C6E4CD2CFBB8}"/>
    <cellStyle name="Normal 4 2 2 3 2 7 4" xfId="10584" xr:uid="{500EFF31-784B-4DDF-9061-3BA97A0EB3C3}"/>
    <cellStyle name="Normal 4 2 2 3 2 8" xfId="2501" xr:uid="{00000000-0005-0000-0000-000040120000}"/>
    <cellStyle name="Normal 4 2 2 3 2 8 2" xfId="6786" xr:uid="{00000000-0005-0000-0000-000041120000}"/>
    <cellStyle name="Normal 4 2 2 3 2 8 2 2" xfId="15215" xr:uid="{5F5B5876-B062-4C5D-AD12-3D06A95C7B7E}"/>
    <cellStyle name="Normal 4 2 2 3 2 8 3" xfId="10997" xr:uid="{3D7BFB4B-F2C4-4C19-A60D-EFD776378CF2}"/>
    <cellStyle name="Normal 4 2 2 3 2 9" xfId="4721" xr:uid="{00000000-0005-0000-0000-000042120000}"/>
    <cellStyle name="Normal 4 2 2 3 2 9 2" xfId="13150" xr:uid="{7C25E172-7CD2-403B-9E06-1BAD350CB54D}"/>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2 2 2" xfId="15713" xr:uid="{592DB9C7-ECCA-4307-9F90-CD90301438BC}"/>
    <cellStyle name="Normal 4 2 2 3 3 2 2 2 3" xfId="11495" xr:uid="{D55B0070-4611-47B7-8B4D-1EAC705A0064}"/>
    <cellStyle name="Normal 4 2 2 3 3 2 2 3" xfId="5139" xr:uid="{00000000-0005-0000-0000-000048120000}"/>
    <cellStyle name="Normal 4 2 2 3 3 2 2 3 2" xfId="13568" xr:uid="{40937CE8-71DE-43F3-BC1B-E813D1EB6D39}"/>
    <cellStyle name="Normal 4 2 2 3 3 2 2 4" xfId="9350" xr:uid="{41977BD6-8919-4FAB-A9DD-3474CFDC7AAE}"/>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2 2 2" xfId="16126" xr:uid="{6F1AEC43-E25A-459D-B727-2F780CC5B917}"/>
    <cellStyle name="Normal 4 2 2 3 3 2 3 2 3" xfId="11908" xr:uid="{789551AB-4578-48EA-A3B4-4A48C6426C06}"/>
    <cellStyle name="Normal 4 2 2 3 3 2 3 3" xfId="5552" xr:uid="{00000000-0005-0000-0000-00004C120000}"/>
    <cellStyle name="Normal 4 2 2 3 3 2 3 3 2" xfId="13981" xr:uid="{8610D38D-3E80-4468-8A50-EB7700BE0528}"/>
    <cellStyle name="Normal 4 2 2 3 3 2 3 4" xfId="9763" xr:uid="{B147AC07-04D9-4649-8805-8CBBFCAE3F58}"/>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2 2 2" xfId="16539" xr:uid="{54AC780E-1EE1-464D-8F99-4C24D2196A6D}"/>
    <cellStyle name="Normal 4 2 2 3 3 2 4 2 3" xfId="12321" xr:uid="{72C8BC7C-F3FC-4151-BD31-76EEB470B617}"/>
    <cellStyle name="Normal 4 2 2 3 3 2 4 3" xfId="5965" xr:uid="{00000000-0005-0000-0000-000050120000}"/>
    <cellStyle name="Normal 4 2 2 3 3 2 4 3 2" xfId="14394" xr:uid="{A11596FC-F33F-41C5-8CBD-40250A0E9956}"/>
    <cellStyle name="Normal 4 2 2 3 3 2 4 4" xfId="10176" xr:uid="{9913941A-E88D-4F50-AF4C-023A18696F64}"/>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2 2 2" xfId="16952" xr:uid="{27CEC750-B73F-4142-B669-EC4E80F00356}"/>
    <cellStyle name="Normal 4 2 2 3 3 2 5 2 3" xfId="12734" xr:uid="{472A0B9D-A73F-4701-8F72-62C4D82C9AA2}"/>
    <cellStyle name="Normal 4 2 2 3 3 2 5 3" xfId="6378" xr:uid="{00000000-0005-0000-0000-000054120000}"/>
    <cellStyle name="Normal 4 2 2 3 3 2 5 3 2" xfId="14807" xr:uid="{0237369D-3DBC-4A88-B1BD-7FA8059F151A}"/>
    <cellStyle name="Normal 4 2 2 3 3 2 5 4" xfId="10589" xr:uid="{F0C487CD-3F28-48CA-9AED-46A26E91DC9C}"/>
    <cellStyle name="Normal 4 2 2 3 3 2 6" xfId="2506" xr:uid="{00000000-0005-0000-0000-000055120000}"/>
    <cellStyle name="Normal 4 2 2 3 3 2 6 2" xfId="6791" xr:uid="{00000000-0005-0000-0000-000056120000}"/>
    <cellStyle name="Normal 4 2 2 3 3 2 6 2 2" xfId="15220" xr:uid="{F4D050FE-4245-4DD3-8610-12C3F204056D}"/>
    <cellStyle name="Normal 4 2 2 3 3 2 6 3" xfId="11002" xr:uid="{53104CD5-D8D9-47FB-9F4D-B4086BDE10EB}"/>
    <cellStyle name="Normal 4 2 2 3 3 2 7" xfId="4726" xr:uid="{00000000-0005-0000-0000-000057120000}"/>
    <cellStyle name="Normal 4 2 2 3 3 2 7 2" xfId="13155" xr:uid="{3591F551-7BBD-4BC9-8F3A-3CDA0D026D2E}"/>
    <cellStyle name="Normal 4 2 2 3 3 2 8" xfId="8937" xr:uid="{9E9326A9-47B0-485F-A510-1A25C9B48E34}"/>
    <cellStyle name="Normal 4 2 2 3 3 3" xfId="822" xr:uid="{00000000-0005-0000-0000-000058120000}"/>
    <cellStyle name="Normal 4 2 2 3 3 3 2" xfId="3059" xr:uid="{00000000-0005-0000-0000-000059120000}"/>
    <cellStyle name="Normal 4 2 2 3 3 3 2 2" xfId="7283" xr:uid="{00000000-0005-0000-0000-00005A120000}"/>
    <cellStyle name="Normal 4 2 2 3 3 3 2 2 2" xfId="15712" xr:uid="{6095D63A-691B-43FF-ABF5-19930478AD80}"/>
    <cellStyle name="Normal 4 2 2 3 3 3 2 3" xfId="11494" xr:uid="{544E2412-2707-4AE8-9D16-710DA3D5A402}"/>
    <cellStyle name="Normal 4 2 2 3 3 3 3" xfId="5138" xr:uid="{00000000-0005-0000-0000-00005B120000}"/>
    <cellStyle name="Normal 4 2 2 3 3 3 3 2" xfId="13567" xr:uid="{AFA24116-73BC-4265-AF3E-5D3702322156}"/>
    <cellStyle name="Normal 4 2 2 3 3 3 4" xfId="9349" xr:uid="{10AB6462-1DD0-43D7-860E-8D5E4507909C}"/>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2 2 2" xfId="16125" xr:uid="{83E3B5BD-99BB-4D62-8053-56A1340A92AC}"/>
    <cellStyle name="Normal 4 2 2 3 3 4 2 3" xfId="11907" xr:uid="{4DB2FC0F-5027-4AF0-A3B5-013E45EC13EC}"/>
    <cellStyle name="Normal 4 2 2 3 3 4 3" xfId="5551" xr:uid="{00000000-0005-0000-0000-00005F120000}"/>
    <cellStyle name="Normal 4 2 2 3 3 4 3 2" xfId="13980" xr:uid="{01409575-E1C5-4893-9833-25E1BBFFDBDC}"/>
    <cellStyle name="Normal 4 2 2 3 3 4 4" xfId="9762" xr:uid="{7BDD8149-74F6-4952-A2C2-D69991D762A1}"/>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2 2 2" xfId="16538" xr:uid="{FEB702CB-99F2-4DFB-B52E-A8F034BB1953}"/>
    <cellStyle name="Normal 4 2 2 3 3 5 2 3" xfId="12320" xr:uid="{C7FD1F45-797B-49EC-BF82-5D39110249CB}"/>
    <cellStyle name="Normal 4 2 2 3 3 5 3" xfId="5964" xr:uid="{00000000-0005-0000-0000-000063120000}"/>
    <cellStyle name="Normal 4 2 2 3 3 5 3 2" xfId="14393" xr:uid="{2AD5B0E2-9D06-4BEC-9EF5-6C413FB0D27E}"/>
    <cellStyle name="Normal 4 2 2 3 3 5 4" xfId="10175" xr:uid="{F9B5390D-CB74-49FB-B097-540758CF87BA}"/>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2 2 2" xfId="16951" xr:uid="{5832E849-85ED-4190-A516-43318E7E766C}"/>
    <cellStyle name="Normal 4 2 2 3 3 6 2 3" xfId="12733" xr:uid="{4442511C-2563-461A-BC93-17E219F8A622}"/>
    <cellStyle name="Normal 4 2 2 3 3 6 3" xfId="6377" xr:uid="{00000000-0005-0000-0000-000067120000}"/>
    <cellStyle name="Normal 4 2 2 3 3 6 3 2" xfId="14806" xr:uid="{6CDFBC9D-70C0-4AD5-AE76-E2B8D71790E4}"/>
    <cellStyle name="Normal 4 2 2 3 3 6 4" xfId="10588" xr:uid="{30EBFA42-DA5B-4553-B3CF-9FD0D90A622A}"/>
    <cellStyle name="Normal 4 2 2 3 3 7" xfId="2505" xr:uid="{00000000-0005-0000-0000-000068120000}"/>
    <cellStyle name="Normal 4 2 2 3 3 7 2" xfId="6790" xr:uid="{00000000-0005-0000-0000-000069120000}"/>
    <cellStyle name="Normal 4 2 2 3 3 7 2 2" xfId="15219" xr:uid="{A88DCCA1-48C9-4BBE-A5E5-605864B9AC7F}"/>
    <cellStyle name="Normal 4 2 2 3 3 7 3" xfId="11001" xr:uid="{7BE6FF38-5041-44E1-874A-5625C7CB27BF}"/>
    <cellStyle name="Normal 4 2 2 3 3 8" xfId="4725" xr:uid="{00000000-0005-0000-0000-00006A120000}"/>
    <cellStyle name="Normal 4 2 2 3 3 8 2" xfId="13154" xr:uid="{CDAF1BC0-D884-4974-8BA6-6F6C0159BD08}"/>
    <cellStyle name="Normal 4 2 2 3 3 9" xfId="8936" xr:uid="{A92C3D13-83FE-4678-9D8E-540ABD4D7DD7}"/>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2 2 2" xfId="15714" xr:uid="{186A0310-77AF-46A5-8CB9-9AE91492268B}"/>
    <cellStyle name="Normal 4 2 2 3 4 2 2 3" xfId="11496" xr:uid="{E7F0CD64-7F4B-4894-A47D-8B0FC2614A69}"/>
    <cellStyle name="Normal 4 2 2 3 4 2 3" xfId="5140" xr:uid="{00000000-0005-0000-0000-00006F120000}"/>
    <cellStyle name="Normal 4 2 2 3 4 2 3 2" xfId="13569" xr:uid="{BDB4BBF3-8795-45D5-8998-1EFFA8C32F0F}"/>
    <cellStyle name="Normal 4 2 2 3 4 2 4" xfId="9351" xr:uid="{9B69369C-25E2-4AAD-8697-0EC41AE2AFD4}"/>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2 2 2" xfId="16127" xr:uid="{48AFE193-DFF9-41BC-B7DE-CF678BF666AD}"/>
    <cellStyle name="Normal 4 2 2 3 4 3 2 3" xfId="11909" xr:uid="{7739A223-19DB-4EDE-B694-1E98BD47077B}"/>
    <cellStyle name="Normal 4 2 2 3 4 3 3" xfId="5553" xr:uid="{00000000-0005-0000-0000-000073120000}"/>
    <cellStyle name="Normal 4 2 2 3 4 3 3 2" xfId="13982" xr:uid="{B1D0C35A-93F3-480E-8DA4-5B35D7455783}"/>
    <cellStyle name="Normal 4 2 2 3 4 3 4" xfId="9764" xr:uid="{25CB9251-C0C2-4445-9791-3627A6A742F8}"/>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2 2 2" xfId="16540" xr:uid="{9AA4594B-7745-4DC4-8922-597E6BABE10A}"/>
    <cellStyle name="Normal 4 2 2 3 4 4 2 3" xfId="12322" xr:uid="{1DDDBFC1-E4FF-4B78-9883-1D31996373C8}"/>
    <cellStyle name="Normal 4 2 2 3 4 4 3" xfId="5966" xr:uid="{00000000-0005-0000-0000-000077120000}"/>
    <cellStyle name="Normal 4 2 2 3 4 4 3 2" xfId="14395" xr:uid="{AB0FB35B-4C32-4237-8865-D4402675C150}"/>
    <cellStyle name="Normal 4 2 2 3 4 4 4" xfId="10177" xr:uid="{276B5773-D590-4873-9B85-D6ABA84E528A}"/>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2 2 2" xfId="16953" xr:uid="{5FC78E1C-2406-4F1B-B378-38E423756D87}"/>
    <cellStyle name="Normal 4 2 2 3 4 5 2 3" xfId="12735" xr:uid="{AD3D979D-75CC-4F85-98E2-14A899F1C7CC}"/>
    <cellStyle name="Normal 4 2 2 3 4 5 3" xfId="6379" xr:uid="{00000000-0005-0000-0000-00007B120000}"/>
    <cellStyle name="Normal 4 2 2 3 4 5 3 2" xfId="14808" xr:uid="{9953AFA7-1FAE-4859-A7A9-A6FAFB4F06D6}"/>
    <cellStyle name="Normal 4 2 2 3 4 5 4" xfId="10590" xr:uid="{FFF7D829-936F-4B25-A64B-A08969ACF49B}"/>
    <cellStyle name="Normal 4 2 2 3 4 6" xfId="2507" xr:uid="{00000000-0005-0000-0000-00007C120000}"/>
    <cellStyle name="Normal 4 2 2 3 4 6 2" xfId="6792" xr:uid="{00000000-0005-0000-0000-00007D120000}"/>
    <cellStyle name="Normal 4 2 2 3 4 6 2 2" xfId="15221" xr:uid="{93723584-9DAD-46F9-AB4C-DDA7BDDD7D34}"/>
    <cellStyle name="Normal 4 2 2 3 4 6 3" xfId="11003" xr:uid="{CF4AD77E-82A9-46E9-96DA-68DA817E4AAC}"/>
    <cellStyle name="Normal 4 2 2 3 4 7" xfId="4727" xr:uid="{00000000-0005-0000-0000-00007E120000}"/>
    <cellStyle name="Normal 4 2 2 3 4 7 2" xfId="13156" xr:uid="{82608CF2-376C-4D6B-ADCC-63D9B5971B8B}"/>
    <cellStyle name="Normal 4 2 2 3 4 8" xfId="8938" xr:uid="{21F7E59B-469E-4B67-AE85-DC259F873C9D}"/>
    <cellStyle name="Normal 4 2 2 3 5" xfId="817" xr:uid="{00000000-0005-0000-0000-00007F120000}"/>
    <cellStyle name="Normal 4 2 2 3 5 2" xfId="3054" xr:uid="{00000000-0005-0000-0000-000080120000}"/>
    <cellStyle name="Normal 4 2 2 3 5 2 2" xfId="7278" xr:uid="{00000000-0005-0000-0000-000081120000}"/>
    <cellStyle name="Normal 4 2 2 3 5 2 2 2" xfId="15707" xr:uid="{4226DDB1-19DF-4549-AE1F-6FA6D7975B82}"/>
    <cellStyle name="Normal 4 2 2 3 5 2 3" xfId="11489" xr:uid="{927D582F-6738-4F04-BBC0-823FBAFDD1B5}"/>
    <cellStyle name="Normal 4 2 2 3 5 3" xfId="5133" xr:uid="{00000000-0005-0000-0000-000082120000}"/>
    <cellStyle name="Normal 4 2 2 3 5 3 2" xfId="13562" xr:uid="{FFFB1ABB-024D-4903-9FE1-6708CFF8DD78}"/>
    <cellStyle name="Normal 4 2 2 3 5 4" xfId="9344" xr:uid="{1CE98A99-66FD-4E76-BA72-D0B7462AD3FB}"/>
    <cellStyle name="Normal 4 2 2 3 6" xfId="1237" xr:uid="{00000000-0005-0000-0000-000083120000}"/>
    <cellStyle name="Normal 4 2 2 3 6 2" xfId="3467" xr:uid="{00000000-0005-0000-0000-000084120000}"/>
    <cellStyle name="Normal 4 2 2 3 6 2 2" xfId="7691" xr:uid="{00000000-0005-0000-0000-000085120000}"/>
    <cellStyle name="Normal 4 2 2 3 6 2 2 2" xfId="16120" xr:uid="{24D0D117-2EEC-435B-9780-C3FE52704AC5}"/>
    <cellStyle name="Normal 4 2 2 3 6 2 3" xfId="11902" xr:uid="{4E2E9B3B-B675-4BFB-9F5C-39D72EF4C204}"/>
    <cellStyle name="Normal 4 2 2 3 6 3" xfId="5546" xr:uid="{00000000-0005-0000-0000-000086120000}"/>
    <cellStyle name="Normal 4 2 2 3 6 3 2" xfId="13975" xr:uid="{CC1FD25E-1017-4D9D-A51B-B30DEE76A52E}"/>
    <cellStyle name="Normal 4 2 2 3 6 4" xfId="9757" xr:uid="{AD74557D-191B-4E49-9FF1-6F925B25390D}"/>
    <cellStyle name="Normal 4 2 2 3 7" xfId="1650" xr:uid="{00000000-0005-0000-0000-000087120000}"/>
    <cellStyle name="Normal 4 2 2 3 7 2" xfId="3880" xr:uid="{00000000-0005-0000-0000-000088120000}"/>
    <cellStyle name="Normal 4 2 2 3 7 2 2" xfId="8104" xr:uid="{00000000-0005-0000-0000-000089120000}"/>
    <cellStyle name="Normal 4 2 2 3 7 2 2 2" xfId="16533" xr:uid="{42113440-457B-48B7-B3F5-55564D3CC663}"/>
    <cellStyle name="Normal 4 2 2 3 7 2 3" xfId="12315" xr:uid="{A5086EA1-7EFC-4DA8-8838-AC53B73C8225}"/>
    <cellStyle name="Normal 4 2 2 3 7 3" xfId="5959" xr:uid="{00000000-0005-0000-0000-00008A120000}"/>
    <cellStyle name="Normal 4 2 2 3 7 3 2" xfId="14388" xr:uid="{D25F5F99-0F60-45E8-BB43-C84C7F076B3A}"/>
    <cellStyle name="Normal 4 2 2 3 7 4" xfId="10170" xr:uid="{7CFFBC27-CF32-443B-81DE-C5F7D23C0EBB}"/>
    <cellStyle name="Normal 4 2 2 3 8" xfId="2064" xr:uid="{00000000-0005-0000-0000-00008B120000}"/>
    <cellStyle name="Normal 4 2 2 3 8 2" xfId="4293" xr:uid="{00000000-0005-0000-0000-00008C120000}"/>
    <cellStyle name="Normal 4 2 2 3 8 2 2" xfId="8517" xr:uid="{00000000-0005-0000-0000-00008D120000}"/>
    <cellStyle name="Normal 4 2 2 3 8 2 2 2" xfId="16946" xr:uid="{77E97F54-56B0-4A6D-8175-C27196C0BC0B}"/>
    <cellStyle name="Normal 4 2 2 3 8 2 3" xfId="12728" xr:uid="{88A788CA-59BF-4BB1-BF5A-CAB13F42DEEB}"/>
    <cellStyle name="Normal 4 2 2 3 8 3" xfId="6372" xr:uid="{00000000-0005-0000-0000-00008E120000}"/>
    <cellStyle name="Normal 4 2 2 3 8 3 2" xfId="14801" xr:uid="{A5362B6E-E539-4198-9E3C-1C1EB21159E3}"/>
    <cellStyle name="Normal 4 2 2 3 8 4" xfId="10583" xr:uid="{C3CFCEF5-11FC-446D-B87E-9EEAF813CE7C}"/>
    <cellStyle name="Normal 4 2 2 3 9" xfId="2500" xr:uid="{00000000-0005-0000-0000-00008F120000}"/>
    <cellStyle name="Normal 4 2 2 3 9 2" xfId="6785" xr:uid="{00000000-0005-0000-0000-000090120000}"/>
    <cellStyle name="Normal 4 2 2 3 9 2 2" xfId="15214" xr:uid="{C70DF4FB-1818-4132-B127-66D975A4E60C}"/>
    <cellStyle name="Normal 4 2 2 3 9 3" xfId="10996" xr:uid="{876D9249-7383-4621-89D0-2D75C76A7074}"/>
    <cellStyle name="Normal 4 2 2 4" xfId="347" xr:uid="{00000000-0005-0000-0000-000091120000}"/>
    <cellStyle name="Normal 4 2 2 4 10" xfId="8939" xr:uid="{F1947588-0EFC-40C0-A46F-A5D8D05864E4}"/>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2 2 2" xfId="15717" xr:uid="{E2DC1B34-B33C-41FC-9D0D-CF6DA071F912}"/>
    <cellStyle name="Normal 4 2 2 4 2 2 2 2 3" xfId="11499" xr:uid="{1E79E686-3265-48F2-9C6D-7AE455839D47}"/>
    <cellStyle name="Normal 4 2 2 4 2 2 2 3" xfId="5143" xr:uid="{00000000-0005-0000-0000-000097120000}"/>
    <cellStyle name="Normal 4 2 2 4 2 2 2 3 2" xfId="13572" xr:uid="{0E3869B5-5C3B-4D08-AC07-06E488ACA68D}"/>
    <cellStyle name="Normal 4 2 2 4 2 2 2 4" xfId="9354" xr:uid="{BECFFFC2-E77A-4E43-9475-02E8FFDCA9E8}"/>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2 2 2" xfId="16130" xr:uid="{BD0E9307-EFD3-4A49-A3D3-E84AAD438158}"/>
    <cellStyle name="Normal 4 2 2 4 2 2 3 2 3" xfId="11912" xr:uid="{C2CC49A8-79C5-4B5A-AA3C-6CFDDEE12414}"/>
    <cellStyle name="Normal 4 2 2 4 2 2 3 3" xfId="5556" xr:uid="{00000000-0005-0000-0000-00009B120000}"/>
    <cellStyle name="Normal 4 2 2 4 2 2 3 3 2" xfId="13985" xr:uid="{5E4EE8C8-7BFE-4103-8702-BA3147B2BEBF}"/>
    <cellStyle name="Normal 4 2 2 4 2 2 3 4" xfId="9767" xr:uid="{D768AEB0-DDC1-4277-BAA5-2E3149AD9DCD}"/>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2 2 2" xfId="16543" xr:uid="{53604421-656E-4C13-B70D-BCA23CEEDE4B}"/>
    <cellStyle name="Normal 4 2 2 4 2 2 4 2 3" xfId="12325" xr:uid="{B7E0D8E2-4AEE-4EBD-9EB7-02075570838E}"/>
    <cellStyle name="Normal 4 2 2 4 2 2 4 3" xfId="5969" xr:uid="{00000000-0005-0000-0000-00009F120000}"/>
    <cellStyle name="Normal 4 2 2 4 2 2 4 3 2" xfId="14398" xr:uid="{9E86ADBB-1143-4AA2-96E2-B6FDED2233D1}"/>
    <cellStyle name="Normal 4 2 2 4 2 2 4 4" xfId="10180" xr:uid="{06DE9C37-D843-4B2A-810C-FDA25CFD6DD7}"/>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2 2 2" xfId="16956" xr:uid="{E0D68F8A-FE69-4997-9636-555661897F6A}"/>
    <cellStyle name="Normal 4 2 2 4 2 2 5 2 3" xfId="12738" xr:uid="{FEB7B0C9-C4FE-4A40-89F0-CD25FF7B169C}"/>
    <cellStyle name="Normal 4 2 2 4 2 2 5 3" xfId="6382" xr:uid="{00000000-0005-0000-0000-0000A3120000}"/>
    <cellStyle name="Normal 4 2 2 4 2 2 5 3 2" xfId="14811" xr:uid="{AC4F2B17-CCB3-4C54-AEFD-926C5990A54D}"/>
    <cellStyle name="Normal 4 2 2 4 2 2 5 4" xfId="10593" xr:uid="{F6F7D23F-871A-43A2-8CEF-42FAE45844AE}"/>
    <cellStyle name="Normal 4 2 2 4 2 2 6" xfId="2510" xr:uid="{00000000-0005-0000-0000-0000A4120000}"/>
    <cellStyle name="Normal 4 2 2 4 2 2 6 2" xfId="6795" xr:uid="{00000000-0005-0000-0000-0000A5120000}"/>
    <cellStyle name="Normal 4 2 2 4 2 2 6 2 2" xfId="15224" xr:uid="{DC1784A3-24EC-49E3-BAFB-FA840EB55670}"/>
    <cellStyle name="Normal 4 2 2 4 2 2 6 3" xfId="11006" xr:uid="{DE59DBBB-8DB9-4F32-9A70-B461903CB8CE}"/>
    <cellStyle name="Normal 4 2 2 4 2 2 7" xfId="4730" xr:uid="{00000000-0005-0000-0000-0000A6120000}"/>
    <cellStyle name="Normal 4 2 2 4 2 2 7 2" xfId="13159" xr:uid="{7F5CBE42-C6FE-4BC9-BAC0-716C9C7688AC}"/>
    <cellStyle name="Normal 4 2 2 4 2 2 8" xfId="8941" xr:uid="{B76DEB35-AA5A-4009-90B6-0CF9BF3CEF51}"/>
    <cellStyle name="Normal 4 2 2 4 2 3" xfId="826" xr:uid="{00000000-0005-0000-0000-0000A7120000}"/>
    <cellStyle name="Normal 4 2 2 4 2 3 2" xfId="3063" xr:uid="{00000000-0005-0000-0000-0000A8120000}"/>
    <cellStyle name="Normal 4 2 2 4 2 3 2 2" xfId="7287" xr:uid="{00000000-0005-0000-0000-0000A9120000}"/>
    <cellStyle name="Normal 4 2 2 4 2 3 2 2 2" xfId="15716" xr:uid="{2C7E6A41-3B9E-4BC2-A6DF-638AD04C97DE}"/>
    <cellStyle name="Normal 4 2 2 4 2 3 2 3" xfId="11498" xr:uid="{F72993C1-0811-4A1D-B703-C47942D75861}"/>
    <cellStyle name="Normal 4 2 2 4 2 3 3" xfId="5142" xr:uid="{00000000-0005-0000-0000-0000AA120000}"/>
    <cellStyle name="Normal 4 2 2 4 2 3 3 2" xfId="13571" xr:uid="{43D2A86D-9EB3-4175-8ED8-06A6C16481C8}"/>
    <cellStyle name="Normal 4 2 2 4 2 3 4" xfId="9353" xr:uid="{42656F6E-D446-44C9-850B-E172964F59DB}"/>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2 2 2" xfId="16129" xr:uid="{1B15768C-CAB4-4D47-A90A-12BD71B43CCC}"/>
    <cellStyle name="Normal 4 2 2 4 2 4 2 3" xfId="11911" xr:uid="{EF824B1F-EB89-4797-A47C-73579E89F282}"/>
    <cellStyle name="Normal 4 2 2 4 2 4 3" xfId="5555" xr:uid="{00000000-0005-0000-0000-0000AE120000}"/>
    <cellStyle name="Normal 4 2 2 4 2 4 3 2" xfId="13984" xr:uid="{B7CE40C8-BB45-482C-AB9E-BE7BBC781D6F}"/>
    <cellStyle name="Normal 4 2 2 4 2 4 4" xfId="9766" xr:uid="{8AD2627F-DD96-400D-8F54-A301EB1073DF}"/>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2 2 2" xfId="16542" xr:uid="{9DA9EA9B-1842-482D-827D-B1255FB533A7}"/>
    <cellStyle name="Normal 4 2 2 4 2 5 2 3" xfId="12324" xr:uid="{D845C3F0-EAF8-4C68-8DAE-69858C383F8A}"/>
    <cellStyle name="Normal 4 2 2 4 2 5 3" xfId="5968" xr:uid="{00000000-0005-0000-0000-0000B2120000}"/>
    <cellStyle name="Normal 4 2 2 4 2 5 3 2" xfId="14397" xr:uid="{508B8884-8DA5-4739-A2AF-AB8D330DCB2A}"/>
    <cellStyle name="Normal 4 2 2 4 2 5 4" xfId="10179" xr:uid="{6C65FE57-A9C7-47CC-AE24-5385C90AB60E}"/>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2 2 2" xfId="16955" xr:uid="{2977B142-E07E-4CA7-B7A5-7590AA72CF15}"/>
    <cellStyle name="Normal 4 2 2 4 2 6 2 3" xfId="12737" xr:uid="{9905EDAB-09BF-4873-8B06-DD1144A8C110}"/>
    <cellStyle name="Normal 4 2 2 4 2 6 3" xfId="6381" xr:uid="{00000000-0005-0000-0000-0000B6120000}"/>
    <cellStyle name="Normal 4 2 2 4 2 6 3 2" xfId="14810" xr:uid="{FBA81537-BCEB-415D-9085-37DACB071CE1}"/>
    <cellStyle name="Normal 4 2 2 4 2 6 4" xfId="10592" xr:uid="{FFA1047F-7ADD-4F8D-B5F3-4969DD5F7D51}"/>
    <cellStyle name="Normal 4 2 2 4 2 7" xfId="2509" xr:uid="{00000000-0005-0000-0000-0000B7120000}"/>
    <cellStyle name="Normal 4 2 2 4 2 7 2" xfId="6794" xr:uid="{00000000-0005-0000-0000-0000B8120000}"/>
    <cellStyle name="Normal 4 2 2 4 2 7 2 2" xfId="15223" xr:uid="{22CDD94B-C00A-43FB-B9D8-9E29AC2A2438}"/>
    <cellStyle name="Normal 4 2 2 4 2 7 3" xfId="11005" xr:uid="{7AAE5534-4891-4CFB-85F5-FFFBD2D9FEE9}"/>
    <cellStyle name="Normal 4 2 2 4 2 8" xfId="4729" xr:uid="{00000000-0005-0000-0000-0000B9120000}"/>
    <cellStyle name="Normal 4 2 2 4 2 8 2" xfId="13158" xr:uid="{280CF9A5-4F0E-44AA-852B-6852623FA477}"/>
    <cellStyle name="Normal 4 2 2 4 2 9" xfId="8940" xr:uid="{38F50CF1-CB02-452E-B048-616AB22BDADC}"/>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2 2 2" xfId="15718" xr:uid="{DAAAFEBC-5CB0-4231-BFC5-E6482808E9D3}"/>
    <cellStyle name="Normal 4 2 2 4 3 2 2 3" xfId="11500" xr:uid="{FDA11384-6A4A-4CC9-B981-4587A1DF5E48}"/>
    <cellStyle name="Normal 4 2 2 4 3 2 3" xfId="5144" xr:uid="{00000000-0005-0000-0000-0000BE120000}"/>
    <cellStyle name="Normal 4 2 2 4 3 2 3 2" xfId="13573" xr:uid="{83E71A53-D1CC-4320-A5EA-9A3A87AA24DE}"/>
    <cellStyle name="Normal 4 2 2 4 3 2 4" xfId="9355" xr:uid="{705836D5-995A-4FAD-9626-A6C62B39577E}"/>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2 2 2" xfId="16131" xr:uid="{8807AF0D-62F7-4E0E-8652-151386CE40EF}"/>
    <cellStyle name="Normal 4 2 2 4 3 3 2 3" xfId="11913" xr:uid="{5070E3DB-1F2E-4C99-BD01-F127DD7817F7}"/>
    <cellStyle name="Normal 4 2 2 4 3 3 3" xfId="5557" xr:uid="{00000000-0005-0000-0000-0000C2120000}"/>
    <cellStyle name="Normal 4 2 2 4 3 3 3 2" xfId="13986" xr:uid="{EF25AEB9-7D45-40E7-9336-1583921CCEDE}"/>
    <cellStyle name="Normal 4 2 2 4 3 3 4" xfId="9768" xr:uid="{67292191-9765-4C51-84A0-A26405B17F02}"/>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2 2 2" xfId="16544" xr:uid="{E5231933-9B73-4D80-8FA3-C071B0AAFBD0}"/>
    <cellStyle name="Normal 4 2 2 4 3 4 2 3" xfId="12326" xr:uid="{62DC6382-EEA5-4E15-BC60-875D0CC7EC08}"/>
    <cellStyle name="Normal 4 2 2 4 3 4 3" xfId="5970" xr:uid="{00000000-0005-0000-0000-0000C6120000}"/>
    <cellStyle name="Normal 4 2 2 4 3 4 3 2" xfId="14399" xr:uid="{68A7342F-09A3-477E-9054-0575384752EC}"/>
    <cellStyle name="Normal 4 2 2 4 3 4 4" xfId="10181" xr:uid="{0D99B631-9E9D-4C58-AFBC-5C4DE5AB7DCF}"/>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2 2 2" xfId="16957" xr:uid="{380EF7E6-D81D-40CE-80E7-0D15DC63313A}"/>
    <cellStyle name="Normal 4 2 2 4 3 5 2 3" xfId="12739" xr:uid="{684B4E7F-3A68-4DA7-8570-9A61A2498D94}"/>
    <cellStyle name="Normal 4 2 2 4 3 5 3" xfId="6383" xr:uid="{00000000-0005-0000-0000-0000CA120000}"/>
    <cellStyle name="Normal 4 2 2 4 3 5 3 2" xfId="14812" xr:uid="{ACB01150-9F02-4293-B3B5-B2F1EF14505D}"/>
    <cellStyle name="Normal 4 2 2 4 3 5 4" xfId="10594" xr:uid="{C4AC7D97-792F-40CF-B240-984BC89A28DB}"/>
    <cellStyle name="Normal 4 2 2 4 3 6" xfId="2511" xr:uid="{00000000-0005-0000-0000-0000CB120000}"/>
    <cellStyle name="Normal 4 2 2 4 3 6 2" xfId="6796" xr:uid="{00000000-0005-0000-0000-0000CC120000}"/>
    <cellStyle name="Normal 4 2 2 4 3 6 2 2" xfId="15225" xr:uid="{2CD496AE-0017-43B4-8564-FC0FFFAE3BA6}"/>
    <cellStyle name="Normal 4 2 2 4 3 6 3" xfId="11007" xr:uid="{456CECF5-A2EE-4A6B-BC52-21A34B4D412A}"/>
    <cellStyle name="Normal 4 2 2 4 3 7" xfId="4731" xr:uid="{00000000-0005-0000-0000-0000CD120000}"/>
    <cellStyle name="Normal 4 2 2 4 3 7 2" xfId="13160" xr:uid="{661D2D02-CFD5-47E5-B578-A8579D600765}"/>
    <cellStyle name="Normal 4 2 2 4 3 8" xfId="8942" xr:uid="{5BFA0A00-EA99-4137-8323-DBC45FF780F0}"/>
    <cellStyle name="Normal 4 2 2 4 4" xfId="825" xr:uid="{00000000-0005-0000-0000-0000CE120000}"/>
    <cellStyle name="Normal 4 2 2 4 4 2" xfId="3062" xr:uid="{00000000-0005-0000-0000-0000CF120000}"/>
    <cellStyle name="Normal 4 2 2 4 4 2 2" xfId="7286" xr:uid="{00000000-0005-0000-0000-0000D0120000}"/>
    <cellStyle name="Normal 4 2 2 4 4 2 2 2" xfId="15715" xr:uid="{969D0AD6-1124-420A-A022-9F114064FBB1}"/>
    <cellStyle name="Normal 4 2 2 4 4 2 3" xfId="11497" xr:uid="{FDF52180-43D9-4A50-8883-486D13D4B151}"/>
    <cellStyle name="Normal 4 2 2 4 4 3" xfId="5141" xr:uid="{00000000-0005-0000-0000-0000D1120000}"/>
    <cellStyle name="Normal 4 2 2 4 4 3 2" xfId="13570" xr:uid="{26CFF257-90E5-460C-B17F-F3DB27E28E1C}"/>
    <cellStyle name="Normal 4 2 2 4 4 4" xfId="9352" xr:uid="{6B7056EB-2D17-4B23-BC5D-70902354577B}"/>
    <cellStyle name="Normal 4 2 2 4 5" xfId="1245" xr:uid="{00000000-0005-0000-0000-0000D2120000}"/>
    <cellStyle name="Normal 4 2 2 4 5 2" xfId="3475" xr:uid="{00000000-0005-0000-0000-0000D3120000}"/>
    <cellStyle name="Normal 4 2 2 4 5 2 2" xfId="7699" xr:uid="{00000000-0005-0000-0000-0000D4120000}"/>
    <cellStyle name="Normal 4 2 2 4 5 2 2 2" xfId="16128" xr:uid="{5A1A98A4-CD4B-44F0-9EDE-10E6A56D4142}"/>
    <cellStyle name="Normal 4 2 2 4 5 2 3" xfId="11910" xr:uid="{C1AEB2DF-4367-401E-865E-4A98A1544B8A}"/>
    <cellStyle name="Normal 4 2 2 4 5 3" xfId="5554" xr:uid="{00000000-0005-0000-0000-0000D5120000}"/>
    <cellStyle name="Normal 4 2 2 4 5 3 2" xfId="13983" xr:uid="{EC9102E0-DDF6-458C-902C-D6C9EE2A33DA}"/>
    <cellStyle name="Normal 4 2 2 4 5 4" xfId="9765" xr:uid="{A68063BF-3470-43B8-89D8-D7C68DD6510E}"/>
    <cellStyle name="Normal 4 2 2 4 6" xfId="1658" xr:uid="{00000000-0005-0000-0000-0000D6120000}"/>
    <cellStyle name="Normal 4 2 2 4 6 2" xfId="3888" xr:uid="{00000000-0005-0000-0000-0000D7120000}"/>
    <cellStyle name="Normal 4 2 2 4 6 2 2" xfId="8112" xr:uid="{00000000-0005-0000-0000-0000D8120000}"/>
    <cellStyle name="Normal 4 2 2 4 6 2 2 2" xfId="16541" xr:uid="{4C7240C3-94C5-4AE9-9F40-D30197B22C00}"/>
    <cellStyle name="Normal 4 2 2 4 6 2 3" xfId="12323" xr:uid="{9E28F81B-F2E4-4B55-8A75-C79FD0396331}"/>
    <cellStyle name="Normal 4 2 2 4 6 3" xfId="5967" xr:uid="{00000000-0005-0000-0000-0000D9120000}"/>
    <cellStyle name="Normal 4 2 2 4 6 3 2" xfId="14396" xr:uid="{D5BB1F95-27F6-482A-B8C5-37958A112CA3}"/>
    <cellStyle name="Normal 4 2 2 4 6 4" xfId="10178" xr:uid="{1B919385-440B-4AD2-BA24-9D11556ADE43}"/>
    <cellStyle name="Normal 4 2 2 4 7" xfId="2072" xr:uid="{00000000-0005-0000-0000-0000DA120000}"/>
    <cellStyle name="Normal 4 2 2 4 7 2" xfId="4301" xr:uid="{00000000-0005-0000-0000-0000DB120000}"/>
    <cellStyle name="Normal 4 2 2 4 7 2 2" xfId="8525" xr:uid="{00000000-0005-0000-0000-0000DC120000}"/>
    <cellStyle name="Normal 4 2 2 4 7 2 2 2" xfId="16954" xr:uid="{800F45CF-B1F8-4FBC-B92B-06AED28ED28B}"/>
    <cellStyle name="Normal 4 2 2 4 7 2 3" xfId="12736" xr:uid="{CE64C970-FF9E-4FAF-8506-53573BF18A0F}"/>
    <cellStyle name="Normal 4 2 2 4 7 3" xfId="6380" xr:uid="{00000000-0005-0000-0000-0000DD120000}"/>
    <cellStyle name="Normal 4 2 2 4 7 3 2" xfId="14809" xr:uid="{2B35CF8F-53E3-4932-8551-5B80E8E120AD}"/>
    <cellStyle name="Normal 4 2 2 4 7 4" xfId="10591" xr:uid="{B0910C4D-A921-4052-9906-8EBD1EE22319}"/>
    <cellStyle name="Normal 4 2 2 4 8" xfId="2508" xr:uid="{00000000-0005-0000-0000-0000DE120000}"/>
    <cellStyle name="Normal 4 2 2 4 8 2" xfId="6793" xr:uid="{00000000-0005-0000-0000-0000DF120000}"/>
    <cellStyle name="Normal 4 2 2 4 8 2 2" xfId="15222" xr:uid="{52823A4B-A8F5-422E-B866-F539B2C4FB2A}"/>
    <cellStyle name="Normal 4 2 2 4 8 3" xfId="11004" xr:uid="{75D978A1-35B4-4BF2-B1D0-E974478494F7}"/>
    <cellStyle name="Normal 4 2 2 4 9" xfId="4728" xr:uid="{00000000-0005-0000-0000-0000E0120000}"/>
    <cellStyle name="Normal 4 2 2 4 9 2" xfId="13157" xr:uid="{F7F9AD54-0D8F-4102-8B7A-D891BC98B2A3}"/>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2 2 2" xfId="15720" xr:uid="{E19A73DB-F399-4758-8F02-5A14C3904CFC}"/>
    <cellStyle name="Normal 4 2 2 5 2 2 2 3" xfId="11502" xr:uid="{94D12DBB-A78C-44B9-B337-1B665103FEA5}"/>
    <cellStyle name="Normal 4 2 2 5 2 2 3" xfId="5146" xr:uid="{00000000-0005-0000-0000-0000E6120000}"/>
    <cellStyle name="Normal 4 2 2 5 2 2 3 2" xfId="13575" xr:uid="{A2B923C5-168D-4793-8ABC-9D6B43E23442}"/>
    <cellStyle name="Normal 4 2 2 5 2 2 4" xfId="9357" xr:uid="{862A2A47-B2EC-41E4-92F5-AFCB0CD7C59B}"/>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2 2 2" xfId="16133" xr:uid="{DCA7C18A-6221-42C8-A276-CC46A906EB32}"/>
    <cellStyle name="Normal 4 2 2 5 2 3 2 3" xfId="11915" xr:uid="{D8F90ED4-191F-4934-9AFE-0269260044A7}"/>
    <cellStyle name="Normal 4 2 2 5 2 3 3" xfId="5559" xr:uid="{00000000-0005-0000-0000-0000EA120000}"/>
    <cellStyle name="Normal 4 2 2 5 2 3 3 2" xfId="13988" xr:uid="{768A9046-CC2B-40EB-8782-79B8CCD763E3}"/>
    <cellStyle name="Normal 4 2 2 5 2 3 4" xfId="9770" xr:uid="{A5D5F1DD-119F-415E-A366-AF8697C83216}"/>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2 2 2" xfId="16546" xr:uid="{598203E1-E3DE-44CD-BE2C-D6C7652AE47C}"/>
    <cellStyle name="Normal 4 2 2 5 2 4 2 3" xfId="12328" xr:uid="{793632CB-D0D1-440F-8FDD-AFE04A47CC35}"/>
    <cellStyle name="Normal 4 2 2 5 2 4 3" xfId="5972" xr:uid="{00000000-0005-0000-0000-0000EE120000}"/>
    <cellStyle name="Normal 4 2 2 5 2 4 3 2" xfId="14401" xr:uid="{C5DF9A37-4465-47CC-9510-957AB8D37FF7}"/>
    <cellStyle name="Normal 4 2 2 5 2 4 4" xfId="10183" xr:uid="{1AA64034-4232-47D1-B112-4A5A84C71DCC}"/>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2 2 2" xfId="16959" xr:uid="{0B23A03F-B229-40C3-9438-3231F4A23283}"/>
    <cellStyle name="Normal 4 2 2 5 2 5 2 3" xfId="12741" xr:uid="{2104CAD3-35BE-4E1D-B697-3363DAC3571F}"/>
    <cellStyle name="Normal 4 2 2 5 2 5 3" xfId="6385" xr:uid="{00000000-0005-0000-0000-0000F2120000}"/>
    <cellStyle name="Normal 4 2 2 5 2 5 3 2" xfId="14814" xr:uid="{236CECFE-368E-43E7-8B7A-B57727463AC0}"/>
    <cellStyle name="Normal 4 2 2 5 2 5 4" xfId="10596" xr:uid="{14CD9C38-8842-4A16-83EE-87A70964C2DA}"/>
    <cellStyle name="Normal 4 2 2 5 2 6" xfId="2513" xr:uid="{00000000-0005-0000-0000-0000F3120000}"/>
    <cellStyle name="Normal 4 2 2 5 2 6 2" xfId="6798" xr:uid="{00000000-0005-0000-0000-0000F4120000}"/>
    <cellStyle name="Normal 4 2 2 5 2 6 2 2" xfId="15227" xr:uid="{B1266EDC-F11C-49FA-A665-5647600E2CA0}"/>
    <cellStyle name="Normal 4 2 2 5 2 6 3" xfId="11009" xr:uid="{F5A57020-103B-4783-B8D7-2F868A1B4381}"/>
    <cellStyle name="Normal 4 2 2 5 2 7" xfId="4733" xr:uid="{00000000-0005-0000-0000-0000F5120000}"/>
    <cellStyle name="Normal 4 2 2 5 2 7 2" xfId="13162" xr:uid="{D1553CC7-2C05-48B3-A338-DE4F74B2BF76}"/>
    <cellStyle name="Normal 4 2 2 5 2 8" xfId="8944" xr:uid="{0934473E-582F-4697-BFE6-A80245186C42}"/>
    <cellStyle name="Normal 4 2 2 5 3" xfId="829" xr:uid="{00000000-0005-0000-0000-0000F6120000}"/>
    <cellStyle name="Normal 4 2 2 5 3 2" xfId="3066" xr:uid="{00000000-0005-0000-0000-0000F7120000}"/>
    <cellStyle name="Normal 4 2 2 5 3 2 2" xfId="7290" xr:uid="{00000000-0005-0000-0000-0000F8120000}"/>
    <cellStyle name="Normal 4 2 2 5 3 2 2 2" xfId="15719" xr:uid="{60F9EC5E-9C98-4555-9C64-832D63FAB16D}"/>
    <cellStyle name="Normal 4 2 2 5 3 2 3" xfId="11501" xr:uid="{19AF88BE-5F08-4C2B-B9D8-315E4B7E2A16}"/>
    <cellStyle name="Normal 4 2 2 5 3 3" xfId="5145" xr:uid="{00000000-0005-0000-0000-0000F9120000}"/>
    <cellStyle name="Normal 4 2 2 5 3 3 2" xfId="13574" xr:uid="{553A7C83-9B33-4A1F-AEFC-AFD5875F62F0}"/>
    <cellStyle name="Normal 4 2 2 5 3 4" xfId="9356" xr:uid="{D5D2FA29-C168-4318-A368-A5FC2F5A2D27}"/>
    <cellStyle name="Normal 4 2 2 5 4" xfId="1249" xr:uid="{00000000-0005-0000-0000-0000FA120000}"/>
    <cellStyle name="Normal 4 2 2 5 4 2" xfId="3479" xr:uid="{00000000-0005-0000-0000-0000FB120000}"/>
    <cellStyle name="Normal 4 2 2 5 4 2 2" xfId="7703" xr:uid="{00000000-0005-0000-0000-0000FC120000}"/>
    <cellStyle name="Normal 4 2 2 5 4 2 2 2" xfId="16132" xr:uid="{0BB73A22-F902-42A8-BBB1-CDE940A7B3AF}"/>
    <cellStyle name="Normal 4 2 2 5 4 2 3" xfId="11914" xr:uid="{94838C14-9CF7-4347-9506-08ACA2B8F2A0}"/>
    <cellStyle name="Normal 4 2 2 5 4 3" xfId="5558" xr:uid="{00000000-0005-0000-0000-0000FD120000}"/>
    <cellStyle name="Normal 4 2 2 5 4 3 2" xfId="13987" xr:uid="{6FD842EB-E414-4FF6-9F61-018132E60495}"/>
    <cellStyle name="Normal 4 2 2 5 4 4" xfId="9769" xr:uid="{D295CC71-92ED-4B34-AEFF-4FFD27A8019F}"/>
    <cellStyle name="Normal 4 2 2 5 5" xfId="1662" xr:uid="{00000000-0005-0000-0000-0000FE120000}"/>
    <cellStyle name="Normal 4 2 2 5 5 2" xfId="3892" xr:uid="{00000000-0005-0000-0000-0000FF120000}"/>
    <cellStyle name="Normal 4 2 2 5 5 2 2" xfId="8116" xr:uid="{00000000-0005-0000-0000-000000130000}"/>
    <cellStyle name="Normal 4 2 2 5 5 2 2 2" xfId="16545" xr:uid="{FEAD42CC-0251-47AF-96E6-F1448DF4D51F}"/>
    <cellStyle name="Normal 4 2 2 5 5 2 3" xfId="12327" xr:uid="{C2C35E51-BBA4-4403-9BEC-910FD92FB5FC}"/>
    <cellStyle name="Normal 4 2 2 5 5 3" xfId="5971" xr:uid="{00000000-0005-0000-0000-000001130000}"/>
    <cellStyle name="Normal 4 2 2 5 5 3 2" xfId="14400" xr:uid="{AE627B02-F495-46F9-919A-EFF3AFF20FCD}"/>
    <cellStyle name="Normal 4 2 2 5 5 4" xfId="10182" xr:uid="{F65D753D-1DFF-4C26-83EA-F3749056BB85}"/>
    <cellStyle name="Normal 4 2 2 5 6" xfId="2076" xr:uid="{00000000-0005-0000-0000-000002130000}"/>
    <cellStyle name="Normal 4 2 2 5 6 2" xfId="4305" xr:uid="{00000000-0005-0000-0000-000003130000}"/>
    <cellStyle name="Normal 4 2 2 5 6 2 2" xfId="8529" xr:uid="{00000000-0005-0000-0000-000004130000}"/>
    <cellStyle name="Normal 4 2 2 5 6 2 2 2" xfId="16958" xr:uid="{63EC3B2F-80BE-4BDE-9EF4-205455DB3B8C}"/>
    <cellStyle name="Normal 4 2 2 5 6 2 3" xfId="12740" xr:uid="{57492459-C5B1-488F-9FDF-4B7D6F6BAC2B}"/>
    <cellStyle name="Normal 4 2 2 5 6 3" xfId="6384" xr:uid="{00000000-0005-0000-0000-000005130000}"/>
    <cellStyle name="Normal 4 2 2 5 6 3 2" xfId="14813" xr:uid="{427118CE-FE57-46F6-AF52-12C8421A65F2}"/>
    <cellStyle name="Normal 4 2 2 5 6 4" xfId="10595" xr:uid="{07B25BAB-25D2-428C-9CCA-14EA4C63499E}"/>
    <cellStyle name="Normal 4 2 2 5 7" xfId="2512" xr:uid="{00000000-0005-0000-0000-000006130000}"/>
    <cellStyle name="Normal 4 2 2 5 7 2" xfId="6797" xr:uid="{00000000-0005-0000-0000-000007130000}"/>
    <cellStyle name="Normal 4 2 2 5 7 2 2" xfId="15226" xr:uid="{3EA91BF2-1023-4688-AAED-9BCF13E6C550}"/>
    <cellStyle name="Normal 4 2 2 5 7 3" xfId="11008" xr:uid="{DD7A7381-7CDD-4799-856A-D1A2D05EB9D4}"/>
    <cellStyle name="Normal 4 2 2 5 8" xfId="4732" xr:uid="{00000000-0005-0000-0000-000008130000}"/>
    <cellStyle name="Normal 4 2 2 5 8 2" xfId="13161" xr:uid="{8EFA0A72-677E-4085-9AD2-E5FF43FB1CAD}"/>
    <cellStyle name="Normal 4 2 2 5 9" xfId="8943" xr:uid="{4B156CD6-F277-47AD-8B02-971E7A5625CA}"/>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2 2 2" xfId="15721" xr:uid="{7E80A784-1126-4AC8-A5DB-26DDE9E798A1}"/>
    <cellStyle name="Normal 4 2 2 6 2 2 3" xfId="11503" xr:uid="{F04C80EB-D1A8-45A0-8365-CDCC02CF8E5D}"/>
    <cellStyle name="Normal 4 2 2 6 2 3" xfId="5147" xr:uid="{00000000-0005-0000-0000-00000D130000}"/>
    <cellStyle name="Normal 4 2 2 6 2 3 2" xfId="13576" xr:uid="{97513F0E-DB21-4959-BB7B-518F6800CB5E}"/>
    <cellStyle name="Normal 4 2 2 6 2 4" xfId="9358" xr:uid="{B079A85E-4210-49FB-9ADF-2C0FB027598B}"/>
    <cellStyle name="Normal 4 2 2 6 3" xfId="1251" xr:uid="{00000000-0005-0000-0000-00000E130000}"/>
    <cellStyle name="Normal 4 2 2 6 3 2" xfId="3481" xr:uid="{00000000-0005-0000-0000-00000F130000}"/>
    <cellStyle name="Normal 4 2 2 6 3 2 2" xfId="7705" xr:uid="{00000000-0005-0000-0000-000010130000}"/>
    <cellStyle name="Normal 4 2 2 6 3 2 2 2" xfId="16134" xr:uid="{45E8954F-ABE0-4CC8-8198-192E4589DF73}"/>
    <cellStyle name="Normal 4 2 2 6 3 2 3" xfId="11916" xr:uid="{BF65CFB8-254A-47A2-A8A6-9CEBE450B76E}"/>
    <cellStyle name="Normal 4 2 2 6 3 3" xfId="5560" xr:uid="{00000000-0005-0000-0000-000011130000}"/>
    <cellStyle name="Normal 4 2 2 6 3 3 2" xfId="13989" xr:uid="{C39397E7-1D55-4857-8BF1-EBBC64FFD954}"/>
    <cellStyle name="Normal 4 2 2 6 3 4" xfId="9771" xr:uid="{CFD28717-C478-4BDA-B49C-F58E660A8EE1}"/>
    <cellStyle name="Normal 4 2 2 6 4" xfId="1664" xr:uid="{00000000-0005-0000-0000-000012130000}"/>
    <cellStyle name="Normal 4 2 2 6 4 2" xfId="3894" xr:uid="{00000000-0005-0000-0000-000013130000}"/>
    <cellStyle name="Normal 4 2 2 6 4 2 2" xfId="8118" xr:uid="{00000000-0005-0000-0000-000014130000}"/>
    <cellStyle name="Normal 4 2 2 6 4 2 2 2" xfId="16547" xr:uid="{78D6E8BA-7925-4E11-B15B-99A06E0DBF92}"/>
    <cellStyle name="Normal 4 2 2 6 4 2 3" xfId="12329" xr:uid="{43E0EE42-A25E-4264-B45A-6FC7860E9D99}"/>
    <cellStyle name="Normal 4 2 2 6 4 3" xfId="5973" xr:uid="{00000000-0005-0000-0000-000015130000}"/>
    <cellStyle name="Normal 4 2 2 6 4 3 2" xfId="14402" xr:uid="{5A325E0A-91F9-4CCC-B83A-2A508C9312B9}"/>
    <cellStyle name="Normal 4 2 2 6 4 4" xfId="10184" xr:uid="{93C92400-3F01-46C9-82DC-1B33749A223D}"/>
    <cellStyle name="Normal 4 2 2 6 5" xfId="2078" xr:uid="{00000000-0005-0000-0000-000016130000}"/>
    <cellStyle name="Normal 4 2 2 6 5 2" xfId="4307" xr:uid="{00000000-0005-0000-0000-000017130000}"/>
    <cellStyle name="Normal 4 2 2 6 5 2 2" xfId="8531" xr:uid="{00000000-0005-0000-0000-000018130000}"/>
    <cellStyle name="Normal 4 2 2 6 5 2 2 2" xfId="16960" xr:uid="{0C30FAF3-6A5C-4C8E-86CF-B3147D4BCE05}"/>
    <cellStyle name="Normal 4 2 2 6 5 2 3" xfId="12742" xr:uid="{6B66DC64-00EE-441C-ADB4-80387615A04A}"/>
    <cellStyle name="Normal 4 2 2 6 5 3" xfId="6386" xr:uid="{00000000-0005-0000-0000-000019130000}"/>
    <cellStyle name="Normal 4 2 2 6 5 3 2" xfId="14815" xr:uid="{34D99A37-6F11-4062-A3CD-552CDD3923DE}"/>
    <cellStyle name="Normal 4 2 2 6 5 4" xfId="10597" xr:uid="{97221B3D-634A-44D0-A4C9-84F5693ED4A6}"/>
    <cellStyle name="Normal 4 2 2 6 6" xfId="2514" xr:uid="{00000000-0005-0000-0000-00001A130000}"/>
    <cellStyle name="Normal 4 2 2 6 6 2" xfId="6799" xr:uid="{00000000-0005-0000-0000-00001B130000}"/>
    <cellStyle name="Normal 4 2 2 6 6 2 2" xfId="15228" xr:uid="{EB327286-AB73-4C14-8924-79CBAF497D3C}"/>
    <cellStyle name="Normal 4 2 2 6 6 3" xfId="11010" xr:uid="{2CCCC0BA-1DC9-4D1B-990E-9FBF9C6C82D7}"/>
    <cellStyle name="Normal 4 2 2 6 7" xfId="4734" xr:uid="{00000000-0005-0000-0000-00001C130000}"/>
    <cellStyle name="Normal 4 2 2 6 7 2" xfId="13163" xr:uid="{D8AFECCB-8845-4C6D-A783-DB71E2E04298}"/>
    <cellStyle name="Normal 4 2 2 6 8" xfId="8945" xr:uid="{6ECCDA04-4F56-472C-A29E-28AEA1C8EB6D}"/>
    <cellStyle name="Normal 4 2 2 7" xfId="816" xr:uid="{00000000-0005-0000-0000-00001D130000}"/>
    <cellStyle name="Normal 4 2 2 7 2" xfId="3053" xr:uid="{00000000-0005-0000-0000-00001E130000}"/>
    <cellStyle name="Normal 4 2 2 7 2 2" xfId="7277" xr:uid="{00000000-0005-0000-0000-00001F130000}"/>
    <cellStyle name="Normal 4 2 2 7 2 2 2" xfId="15706" xr:uid="{70241F33-3100-4807-98A0-B7837981B214}"/>
    <cellStyle name="Normal 4 2 2 7 2 3" xfId="11488" xr:uid="{C553DE94-ECAD-4B4A-8576-7AFD0E613652}"/>
    <cellStyle name="Normal 4 2 2 7 3" xfId="5132" xr:uid="{00000000-0005-0000-0000-000020130000}"/>
    <cellStyle name="Normal 4 2 2 7 3 2" xfId="13561" xr:uid="{4E483100-D809-4B1B-8C11-99B07A22B625}"/>
    <cellStyle name="Normal 4 2 2 7 4" xfId="9343" xr:uid="{EFABB70F-3919-4B4F-A5DA-1BABA1D0255A}"/>
    <cellStyle name="Normal 4 2 2 8" xfId="1236" xr:uid="{00000000-0005-0000-0000-000021130000}"/>
    <cellStyle name="Normal 4 2 2 8 2" xfId="3466" xr:uid="{00000000-0005-0000-0000-000022130000}"/>
    <cellStyle name="Normal 4 2 2 8 2 2" xfId="7690" xr:uid="{00000000-0005-0000-0000-000023130000}"/>
    <cellStyle name="Normal 4 2 2 8 2 2 2" xfId="16119" xr:uid="{5B01B768-1399-45E0-9E1A-EB01ECF12A19}"/>
    <cellStyle name="Normal 4 2 2 8 2 3" xfId="11901" xr:uid="{EA720846-E4B8-42AB-B687-33C9EF5BC8C5}"/>
    <cellStyle name="Normal 4 2 2 8 3" xfId="5545" xr:uid="{00000000-0005-0000-0000-000024130000}"/>
    <cellStyle name="Normal 4 2 2 8 3 2" xfId="13974" xr:uid="{A2B1DF86-925D-404F-AC24-2C0FB940F224}"/>
    <cellStyle name="Normal 4 2 2 8 4" xfId="9756" xr:uid="{FAD477B9-B404-44E3-83AB-F5157AF3297C}"/>
    <cellStyle name="Normal 4 2 2 9" xfId="1649" xr:uid="{00000000-0005-0000-0000-000025130000}"/>
    <cellStyle name="Normal 4 2 2 9 2" xfId="3879" xr:uid="{00000000-0005-0000-0000-000026130000}"/>
    <cellStyle name="Normal 4 2 2 9 2 2" xfId="8103" xr:uid="{00000000-0005-0000-0000-000027130000}"/>
    <cellStyle name="Normal 4 2 2 9 2 2 2" xfId="16532" xr:uid="{2D6F187D-DE67-4F11-9FDF-6692B6BC7C37}"/>
    <cellStyle name="Normal 4 2 2 9 2 3" xfId="12314" xr:uid="{79DE398C-5DA5-4974-92A2-164166C6C3DA}"/>
    <cellStyle name="Normal 4 2 2 9 3" xfId="5958" xr:uid="{00000000-0005-0000-0000-000028130000}"/>
    <cellStyle name="Normal 4 2 2 9 3 2" xfId="14387" xr:uid="{80664B72-31BE-47E9-9A83-D1ACE66B2AC5}"/>
    <cellStyle name="Normal 4 2 2 9 4" xfId="10169" xr:uid="{36832BB4-9582-48F2-9ABE-2963DEDF4590}"/>
    <cellStyle name="Normal 4 2 3" xfId="354" xr:uid="{00000000-0005-0000-0000-000029130000}"/>
    <cellStyle name="Normal 4 2 4" xfId="355" xr:uid="{00000000-0005-0000-0000-00002A130000}"/>
    <cellStyle name="Normal 4 2 4 10" xfId="4735" xr:uid="{00000000-0005-0000-0000-00002B130000}"/>
    <cellStyle name="Normal 4 2 4 10 2" xfId="13164" xr:uid="{5B6BCB72-0DE7-48CC-88F5-2A6DD3D0ECB9}"/>
    <cellStyle name="Normal 4 2 4 11" xfId="8946" xr:uid="{B1F97121-585A-4B4C-A263-F3FA6C4E0FAD}"/>
    <cellStyle name="Normal 4 2 4 2" xfId="356" xr:uid="{00000000-0005-0000-0000-00002C130000}"/>
    <cellStyle name="Normal 4 2 4 2 10" xfId="8947" xr:uid="{9AE56BF2-9CAB-4301-ABEE-41E2F4000FAD}"/>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2 2 2" xfId="15725" xr:uid="{4F6EFC9D-A5A4-4E41-9CE9-04A8AD96445B}"/>
    <cellStyle name="Normal 4 2 4 2 2 2 2 2 3" xfId="11507" xr:uid="{C32B7477-05E5-43AA-AAC7-D37C69FBE3F6}"/>
    <cellStyle name="Normal 4 2 4 2 2 2 2 3" xfId="5151" xr:uid="{00000000-0005-0000-0000-000032130000}"/>
    <cellStyle name="Normal 4 2 4 2 2 2 2 3 2" xfId="13580" xr:uid="{57BA6D62-C5EE-45CB-83ED-84DA3454D7B7}"/>
    <cellStyle name="Normal 4 2 4 2 2 2 2 4" xfId="9362" xr:uid="{4BF23F03-4B1C-4F22-8DFD-8A29CF975AB5}"/>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2 2 2" xfId="16138" xr:uid="{20BB6D3C-2DE8-425E-8F7C-C68D0637574E}"/>
    <cellStyle name="Normal 4 2 4 2 2 2 3 2 3" xfId="11920" xr:uid="{71A5225B-1E84-496D-87C2-72D9C7FF89E4}"/>
    <cellStyle name="Normal 4 2 4 2 2 2 3 3" xfId="5564" xr:uid="{00000000-0005-0000-0000-000036130000}"/>
    <cellStyle name="Normal 4 2 4 2 2 2 3 3 2" xfId="13993" xr:uid="{9166C014-D75D-4C27-8EA4-8D2676624566}"/>
    <cellStyle name="Normal 4 2 4 2 2 2 3 4" xfId="9775" xr:uid="{C81B4356-7FB8-4BC2-92B5-D12B89C4799F}"/>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2 2 2" xfId="16551" xr:uid="{57D0AEBD-EDD1-48DA-B2DB-2BAF45BAAEB9}"/>
    <cellStyle name="Normal 4 2 4 2 2 2 4 2 3" xfId="12333" xr:uid="{A1E4C059-C19F-4761-958F-DE957CC083BB}"/>
    <cellStyle name="Normal 4 2 4 2 2 2 4 3" xfId="5977" xr:uid="{00000000-0005-0000-0000-00003A130000}"/>
    <cellStyle name="Normal 4 2 4 2 2 2 4 3 2" xfId="14406" xr:uid="{BAF210CC-85D4-4150-9299-BC007ACBD894}"/>
    <cellStyle name="Normal 4 2 4 2 2 2 4 4" xfId="10188" xr:uid="{74618034-C1B7-4E9B-A95D-556FB8390B54}"/>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2 2 2" xfId="16964" xr:uid="{F47F5E3A-791D-4D86-9766-0256D821F760}"/>
    <cellStyle name="Normal 4 2 4 2 2 2 5 2 3" xfId="12746" xr:uid="{C913B027-76A3-477F-B764-8ED8604FA06F}"/>
    <cellStyle name="Normal 4 2 4 2 2 2 5 3" xfId="6390" xr:uid="{00000000-0005-0000-0000-00003E130000}"/>
    <cellStyle name="Normal 4 2 4 2 2 2 5 3 2" xfId="14819" xr:uid="{E5F85560-CC76-4EA3-B589-3BFAF1D0BAC6}"/>
    <cellStyle name="Normal 4 2 4 2 2 2 5 4" xfId="10601" xr:uid="{E72B2A33-DBCB-438D-857A-F418D118C7DE}"/>
    <cellStyle name="Normal 4 2 4 2 2 2 6" xfId="2518" xr:uid="{00000000-0005-0000-0000-00003F130000}"/>
    <cellStyle name="Normal 4 2 4 2 2 2 6 2" xfId="6803" xr:uid="{00000000-0005-0000-0000-000040130000}"/>
    <cellStyle name="Normal 4 2 4 2 2 2 6 2 2" xfId="15232" xr:uid="{3BA9B82D-ACF7-4893-B4E8-BE4EA9D878B4}"/>
    <cellStyle name="Normal 4 2 4 2 2 2 6 3" xfId="11014" xr:uid="{3D7E8F4D-E664-4B60-8B50-0F1937B46F9C}"/>
    <cellStyle name="Normal 4 2 4 2 2 2 7" xfId="4738" xr:uid="{00000000-0005-0000-0000-000041130000}"/>
    <cellStyle name="Normal 4 2 4 2 2 2 7 2" xfId="13167" xr:uid="{DAE92615-F1BE-4496-83A5-A7F933FF173E}"/>
    <cellStyle name="Normal 4 2 4 2 2 2 8" xfId="8949" xr:uid="{A12BD235-96A5-4D27-B7E7-8AF213BD00CD}"/>
    <cellStyle name="Normal 4 2 4 2 2 3" xfId="834" xr:uid="{00000000-0005-0000-0000-000042130000}"/>
    <cellStyle name="Normal 4 2 4 2 2 3 2" xfId="3071" xr:uid="{00000000-0005-0000-0000-000043130000}"/>
    <cellStyle name="Normal 4 2 4 2 2 3 2 2" xfId="7295" xr:uid="{00000000-0005-0000-0000-000044130000}"/>
    <cellStyle name="Normal 4 2 4 2 2 3 2 2 2" xfId="15724" xr:uid="{515C5071-D485-4E58-80F9-364097E50A1D}"/>
    <cellStyle name="Normal 4 2 4 2 2 3 2 3" xfId="11506" xr:uid="{4847A0D6-C2AD-4A76-A925-5AD58B8B907E}"/>
    <cellStyle name="Normal 4 2 4 2 2 3 3" xfId="5150" xr:uid="{00000000-0005-0000-0000-000045130000}"/>
    <cellStyle name="Normal 4 2 4 2 2 3 3 2" xfId="13579" xr:uid="{C17DDD65-5C35-4660-8AD5-26466534A1CD}"/>
    <cellStyle name="Normal 4 2 4 2 2 3 4" xfId="9361" xr:uid="{17AA21A9-F25E-4B75-BC33-9F5835A9DBFE}"/>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2 2 2" xfId="16137" xr:uid="{8B8054D6-A6F4-441E-AA33-B88F4C8CC51C}"/>
    <cellStyle name="Normal 4 2 4 2 2 4 2 3" xfId="11919" xr:uid="{48091FE5-A6BA-41A6-B22C-9D78DB416F22}"/>
    <cellStyle name="Normal 4 2 4 2 2 4 3" xfId="5563" xr:uid="{00000000-0005-0000-0000-000049130000}"/>
    <cellStyle name="Normal 4 2 4 2 2 4 3 2" xfId="13992" xr:uid="{86CE1F34-EF53-40A1-A003-1B7074696472}"/>
    <cellStyle name="Normal 4 2 4 2 2 4 4" xfId="9774" xr:uid="{3BC59BC0-3D26-4DA2-BA9A-82CEC98EC5F3}"/>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2 2 2" xfId="16550" xr:uid="{05DD48E1-44BE-4AAB-A9EE-61330B0B4A86}"/>
    <cellStyle name="Normal 4 2 4 2 2 5 2 3" xfId="12332" xr:uid="{89BE9AC1-90AE-4AC1-9156-F000C7DF7B2C}"/>
    <cellStyle name="Normal 4 2 4 2 2 5 3" xfId="5976" xr:uid="{00000000-0005-0000-0000-00004D130000}"/>
    <cellStyle name="Normal 4 2 4 2 2 5 3 2" xfId="14405" xr:uid="{3E51B34A-2291-4B0F-819E-45778B16486A}"/>
    <cellStyle name="Normal 4 2 4 2 2 5 4" xfId="10187" xr:uid="{97DEA6D8-1828-40CB-A93E-89C9D2A83EC3}"/>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2 2 2" xfId="16963" xr:uid="{848A7FC3-8A85-4451-8689-D5F3033E211B}"/>
    <cellStyle name="Normal 4 2 4 2 2 6 2 3" xfId="12745" xr:uid="{CCB2B7B1-65B2-4023-8582-97EDB715E222}"/>
    <cellStyle name="Normal 4 2 4 2 2 6 3" xfId="6389" xr:uid="{00000000-0005-0000-0000-000051130000}"/>
    <cellStyle name="Normal 4 2 4 2 2 6 3 2" xfId="14818" xr:uid="{DAA3873F-C330-497B-9549-0B7749957C13}"/>
    <cellStyle name="Normal 4 2 4 2 2 6 4" xfId="10600" xr:uid="{AA849486-2C2B-4CCF-B170-BEA194272F64}"/>
    <cellStyle name="Normal 4 2 4 2 2 7" xfId="2517" xr:uid="{00000000-0005-0000-0000-000052130000}"/>
    <cellStyle name="Normal 4 2 4 2 2 7 2" xfId="6802" xr:uid="{00000000-0005-0000-0000-000053130000}"/>
    <cellStyle name="Normal 4 2 4 2 2 7 2 2" xfId="15231" xr:uid="{31425BB0-D7D1-4072-9C42-C8D0476B4356}"/>
    <cellStyle name="Normal 4 2 4 2 2 7 3" xfId="11013" xr:uid="{B5FB9159-4E57-4BA9-B2A7-F00DD1725267}"/>
    <cellStyle name="Normal 4 2 4 2 2 8" xfId="4737" xr:uid="{00000000-0005-0000-0000-000054130000}"/>
    <cellStyle name="Normal 4 2 4 2 2 8 2" xfId="13166" xr:uid="{3F11B197-F4D3-4AFD-B96C-EAD06C8D35AB}"/>
    <cellStyle name="Normal 4 2 4 2 2 9" xfId="8948" xr:uid="{FE746A41-9668-49EF-BDA2-CBB9BA33F5EB}"/>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2 2 2" xfId="15726" xr:uid="{85B15876-96FD-4AE5-A3B4-92B41F7D7CC5}"/>
    <cellStyle name="Normal 4 2 4 2 3 2 2 3" xfId="11508" xr:uid="{E5FB5333-D590-4FB8-9190-AC9C2F322357}"/>
    <cellStyle name="Normal 4 2 4 2 3 2 3" xfId="5152" xr:uid="{00000000-0005-0000-0000-000059130000}"/>
    <cellStyle name="Normal 4 2 4 2 3 2 3 2" xfId="13581" xr:uid="{71044009-A6E4-4CD8-8102-B945A06224E3}"/>
    <cellStyle name="Normal 4 2 4 2 3 2 4" xfId="9363" xr:uid="{16F7D427-6C7A-4A79-8BE8-CAAF02D12BD3}"/>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2 2 2" xfId="16139" xr:uid="{E36D3FD8-8245-4CC1-9907-EAEA3B5DE238}"/>
    <cellStyle name="Normal 4 2 4 2 3 3 2 3" xfId="11921" xr:uid="{4F64464E-A731-4873-86B7-51C61F0E324F}"/>
    <cellStyle name="Normal 4 2 4 2 3 3 3" xfId="5565" xr:uid="{00000000-0005-0000-0000-00005D130000}"/>
    <cellStyle name="Normal 4 2 4 2 3 3 3 2" xfId="13994" xr:uid="{FCADD89E-5951-4E41-A563-20A88C760161}"/>
    <cellStyle name="Normal 4 2 4 2 3 3 4" xfId="9776" xr:uid="{C3B87FB7-6485-429B-9ED8-BBE7F660EA01}"/>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2 2 2" xfId="16552" xr:uid="{115A0535-29FC-4C6C-B0EC-82E1BFDED671}"/>
    <cellStyle name="Normal 4 2 4 2 3 4 2 3" xfId="12334" xr:uid="{9ECD7435-E2A9-456D-8C89-033832D4AA60}"/>
    <cellStyle name="Normal 4 2 4 2 3 4 3" xfId="5978" xr:uid="{00000000-0005-0000-0000-000061130000}"/>
    <cellStyle name="Normal 4 2 4 2 3 4 3 2" xfId="14407" xr:uid="{A42690BC-FED5-4AC0-8F02-2D37900A8FBB}"/>
    <cellStyle name="Normal 4 2 4 2 3 4 4" xfId="10189" xr:uid="{B0723E52-9716-4B47-8281-CC4C5E99A4D8}"/>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2 2 2" xfId="16965" xr:uid="{58EB54A2-D331-4FCD-BB6B-2BC141EBD39A}"/>
    <cellStyle name="Normal 4 2 4 2 3 5 2 3" xfId="12747" xr:uid="{A0BA5DB4-5DC3-4325-A6E1-9BA5965AB070}"/>
    <cellStyle name="Normal 4 2 4 2 3 5 3" xfId="6391" xr:uid="{00000000-0005-0000-0000-000065130000}"/>
    <cellStyle name="Normal 4 2 4 2 3 5 3 2" xfId="14820" xr:uid="{76047C7A-59B2-4C7F-B028-49A77E5B1D96}"/>
    <cellStyle name="Normal 4 2 4 2 3 5 4" xfId="10602" xr:uid="{C0B558CC-9041-400B-B2B3-D9A4166E7401}"/>
    <cellStyle name="Normal 4 2 4 2 3 6" xfId="2519" xr:uid="{00000000-0005-0000-0000-000066130000}"/>
    <cellStyle name="Normal 4 2 4 2 3 6 2" xfId="6804" xr:uid="{00000000-0005-0000-0000-000067130000}"/>
    <cellStyle name="Normal 4 2 4 2 3 6 2 2" xfId="15233" xr:uid="{40F3265C-8220-45AB-8EB6-2359B2B3A48F}"/>
    <cellStyle name="Normal 4 2 4 2 3 6 3" xfId="11015" xr:uid="{91C24B3A-AA22-4A3F-84F0-A86C9C2DCC5C}"/>
    <cellStyle name="Normal 4 2 4 2 3 7" xfId="4739" xr:uid="{00000000-0005-0000-0000-000068130000}"/>
    <cellStyle name="Normal 4 2 4 2 3 7 2" xfId="13168" xr:uid="{3BA06DB2-41F9-4534-A481-444609EE5A3A}"/>
    <cellStyle name="Normal 4 2 4 2 3 8" xfId="8950" xr:uid="{2C4EEB15-1CC0-4965-9D00-D0A6F7ECBC2B}"/>
    <cellStyle name="Normal 4 2 4 2 4" xfId="833" xr:uid="{00000000-0005-0000-0000-000069130000}"/>
    <cellStyle name="Normal 4 2 4 2 4 2" xfId="3070" xr:uid="{00000000-0005-0000-0000-00006A130000}"/>
    <cellStyle name="Normal 4 2 4 2 4 2 2" xfId="7294" xr:uid="{00000000-0005-0000-0000-00006B130000}"/>
    <cellStyle name="Normal 4 2 4 2 4 2 2 2" xfId="15723" xr:uid="{D5251781-F085-4BAD-A915-3BEB1D9A1A6C}"/>
    <cellStyle name="Normal 4 2 4 2 4 2 3" xfId="11505" xr:uid="{9448878E-FD97-47FB-8F17-D4FA38329D4D}"/>
    <cellStyle name="Normal 4 2 4 2 4 3" xfId="5149" xr:uid="{00000000-0005-0000-0000-00006C130000}"/>
    <cellStyle name="Normal 4 2 4 2 4 3 2" xfId="13578" xr:uid="{6F5AFBFC-FFD5-44EE-A29D-720FF8C35CD7}"/>
    <cellStyle name="Normal 4 2 4 2 4 4" xfId="9360" xr:uid="{AA78CA3D-0B1C-4C95-8B44-CDC036930071}"/>
    <cellStyle name="Normal 4 2 4 2 5" xfId="1253" xr:uid="{00000000-0005-0000-0000-00006D130000}"/>
    <cellStyle name="Normal 4 2 4 2 5 2" xfId="3483" xr:uid="{00000000-0005-0000-0000-00006E130000}"/>
    <cellStyle name="Normal 4 2 4 2 5 2 2" xfId="7707" xr:uid="{00000000-0005-0000-0000-00006F130000}"/>
    <cellStyle name="Normal 4 2 4 2 5 2 2 2" xfId="16136" xr:uid="{5D7A73C2-9BAF-444C-A05E-C980D8A1E8ED}"/>
    <cellStyle name="Normal 4 2 4 2 5 2 3" xfId="11918" xr:uid="{565118E6-0B06-4AD1-902B-94E99D70BB12}"/>
    <cellStyle name="Normal 4 2 4 2 5 3" xfId="5562" xr:uid="{00000000-0005-0000-0000-000070130000}"/>
    <cellStyle name="Normal 4 2 4 2 5 3 2" xfId="13991" xr:uid="{1BA42FC0-F4C4-4725-A078-25724D2BE3AC}"/>
    <cellStyle name="Normal 4 2 4 2 5 4" xfId="9773" xr:uid="{3F6A1875-D995-4BDC-B6C2-3B820D990E00}"/>
    <cellStyle name="Normal 4 2 4 2 6" xfId="1666" xr:uid="{00000000-0005-0000-0000-000071130000}"/>
    <cellStyle name="Normal 4 2 4 2 6 2" xfId="3896" xr:uid="{00000000-0005-0000-0000-000072130000}"/>
    <cellStyle name="Normal 4 2 4 2 6 2 2" xfId="8120" xr:uid="{00000000-0005-0000-0000-000073130000}"/>
    <cellStyle name="Normal 4 2 4 2 6 2 2 2" xfId="16549" xr:uid="{F9448E7D-789E-4DDA-8C2F-82D0480282A8}"/>
    <cellStyle name="Normal 4 2 4 2 6 2 3" xfId="12331" xr:uid="{725AE36C-CF86-40DB-AF99-4E44F6A6DDB7}"/>
    <cellStyle name="Normal 4 2 4 2 6 3" xfId="5975" xr:uid="{00000000-0005-0000-0000-000074130000}"/>
    <cellStyle name="Normal 4 2 4 2 6 3 2" xfId="14404" xr:uid="{E04746E5-F202-40A6-BBF7-93CC5AF011B2}"/>
    <cellStyle name="Normal 4 2 4 2 6 4" xfId="10186" xr:uid="{5763DEBD-CF2F-4987-8275-0745B867CC98}"/>
    <cellStyle name="Normal 4 2 4 2 7" xfId="2080" xr:uid="{00000000-0005-0000-0000-000075130000}"/>
    <cellStyle name="Normal 4 2 4 2 7 2" xfId="4309" xr:uid="{00000000-0005-0000-0000-000076130000}"/>
    <cellStyle name="Normal 4 2 4 2 7 2 2" xfId="8533" xr:uid="{00000000-0005-0000-0000-000077130000}"/>
    <cellStyle name="Normal 4 2 4 2 7 2 2 2" xfId="16962" xr:uid="{8579C208-998F-4E92-9714-294AE3519DAF}"/>
    <cellStyle name="Normal 4 2 4 2 7 2 3" xfId="12744" xr:uid="{F0526478-6C55-404E-BD55-0EFD37641EB1}"/>
    <cellStyle name="Normal 4 2 4 2 7 3" xfId="6388" xr:uid="{00000000-0005-0000-0000-000078130000}"/>
    <cellStyle name="Normal 4 2 4 2 7 3 2" xfId="14817" xr:uid="{497D7EBF-699A-4700-9C88-CC2576734494}"/>
    <cellStyle name="Normal 4 2 4 2 7 4" xfId="10599" xr:uid="{6DB5A630-C45F-4D62-8EBE-DEC3EC069B5E}"/>
    <cellStyle name="Normal 4 2 4 2 8" xfId="2516" xr:uid="{00000000-0005-0000-0000-000079130000}"/>
    <cellStyle name="Normal 4 2 4 2 8 2" xfId="6801" xr:uid="{00000000-0005-0000-0000-00007A130000}"/>
    <cellStyle name="Normal 4 2 4 2 8 2 2" xfId="15230" xr:uid="{F2EE9502-F5DF-405A-9E16-18FC00BCE512}"/>
    <cellStyle name="Normal 4 2 4 2 8 3" xfId="11012" xr:uid="{9BC05833-EA7C-4AEC-AB4D-50DD7F73E62A}"/>
    <cellStyle name="Normal 4 2 4 2 9" xfId="4736" xr:uid="{00000000-0005-0000-0000-00007B130000}"/>
    <cellStyle name="Normal 4 2 4 2 9 2" xfId="13165" xr:uid="{421D9B9A-46DE-4CC3-9D14-C9D4345D75CA}"/>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2 2 2" xfId="15728" xr:uid="{360767A3-7394-46F0-80D8-9FEAFA4CFCE3}"/>
    <cellStyle name="Normal 4 2 4 3 2 2 2 3" xfId="11510" xr:uid="{DD90DD1A-698F-4224-9FE8-6067DF0F906B}"/>
    <cellStyle name="Normal 4 2 4 3 2 2 3" xfId="5154" xr:uid="{00000000-0005-0000-0000-000081130000}"/>
    <cellStyle name="Normal 4 2 4 3 2 2 3 2" xfId="13583" xr:uid="{131F40CC-1035-4955-8B30-1B35A8113FD9}"/>
    <cellStyle name="Normal 4 2 4 3 2 2 4" xfId="9365" xr:uid="{327EC660-F0B4-47D4-8FC8-DE9FDFE05417}"/>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2 2 2" xfId="16141" xr:uid="{E41E9D1A-2698-4FC7-83E7-9FD4EC8C4D2F}"/>
    <cellStyle name="Normal 4 2 4 3 2 3 2 3" xfId="11923" xr:uid="{7F032216-8519-4026-99F0-A1CC8BB11058}"/>
    <cellStyle name="Normal 4 2 4 3 2 3 3" xfId="5567" xr:uid="{00000000-0005-0000-0000-000085130000}"/>
    <cellStyle name="Normal 4 2 4 3 2 3 3 2" xfId="13996" xr:uid="{967E5871-DDBE-4631-A35E-A6C9E87E1C3F}"/>
    <cellStyle name="Normal 4 2 4 3 2 3 4" xfId="9778" xr:uid="{9DEC2B8E-96B8-4F91-BA6F-76A63B091AE6}"/>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2 2 2" xfId="16554" xr:uid="{E80037D0-0884-4272-BDC2-B9CCED42D4EC}"/>
    <cellStyle name="Normal 4 2 4 3 2 4 2 3" xfId="12336" xr:uid="{DCE72B98-D080-4DE0-8EFA-F662857BEA85}"/>
    <cellStyle name="Normal 4 2 4 3 2 4 3" xfId="5980" xr:uid="{00000000-0005-0000-0000-000089130000}"/>
    <cellStyle name="Normal 4 2 4 3 2 4 3 2" xfId="14409" xr:uid="{93DBDD6B-451F-4A68-9814-2C98F5DF348A}"/>
    <cellStyle name="Normal 4 2 4 3 2 4 4" xfId="10191" xr:uid="{FBB0DB66-156A-458E-B33F-1E34DD4B0677}"/>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2 2 2" xfId="16967" xr:uid="{CBDA35EC-3E4C-435C-A297-DA989C95A9FB}"/>
    <cellStyle name="Normal 4 2 4 3 2 5 2 3" xfId="12749" xr:uid="{1F44F357-C2F7-4F6A-9846-627CC75CE8F2}"/>
    <cellStyle name="Normal 4 2 4 3 2 5 3" xfId="6393" xr:uid="{00000000-0005-0000-0000-00008D130000}"/>
    <cellStyle name="Normal 4 2 4 3 2 5 3 2" xfId="14822" xr:uid="{50808A0A-39EC-4D47-9F03-CEEFEC9D26DA}"/>
    <cellStyle name="Normal 4 2 4 3 2 5 4" xfId="10604" xr:uid="{1E8D7215-D31F-4ADF-AB29-BC6086734B5F}"/>
    <cellStyle name="Normal 4 2 4 3 2 6" xfId="2521" xr:uid="{00000000-0005-0000-0000-00008E130000}"/>
    <cellStyle name="Normal 4 2 4 3 2 6 2" xfId="6806" xr:uid="{00000000-0005-0000-0000-00008F130000}"/>
    <cellStyle name="Normal 4 2 4 3 2 6 2 2" xfId="15235" xr:uid="{DF17B4E4-F30E-42A2-88A4-F5A2AF6F8025}"/>
    <cellStyle name="Normal 4 2 4 3 2 6 3" xfId="11017" xr:uid="{126A717B-7D32-40D2-B1DC-406DB685AF60}"/>
    <cellStyle name="Normal 4 2 4 3 2 7" xfId="4741" xr:uid="{00000000-0005-0000-0000-000090130000}"/>
    <cellStyle name="Normal 4 2 4 3 2 7 2" xfId="13170" xr:uid="{1D21B4D4-3DCD-4E55-8F22-A05B0949830D}"/>
    <cellStyle name="Normal 4 2 4 3 2 8" xfId="8952" xr:uid="{6B03221A-F0C7-4E3D-BD6D-DB0640F2BB4F}"/>
    <cellStyle name="Normal 4 2 4 3 3" xfId="837" xr:uid="{00000000-0005-0000-0000-000091130000}"/>
    <cellStyle name="Normal 4 2 4 3 3 2" xfId="3074" xr:uid="{00000000-0005-0000-0000-000092130000}"/>
    <cellStyle name="Normal 4 2 4 3 3 2 2" xfId="7298" xr:uid="{00000000-0005-0000-0000-000093130000}"/>
    <cellStyle name="Normal 4 2 4 3 3 2 2 2" xfId="15727" xr:uid="{4D87A83F-C346-49B9-BF40-592391F935BC}"/>
    <cellStyle name="Normal 4 2 4 3 3 2 3" xfId="11509" xr:uid="{13441F13-0C07-4D24-95A4-388CAA5AE9B6}"/>
    <cellStyle name="Normal 4 2 4 3 3 3" xfId="5153" xr:uid="{00000000-0005-0000-0000-000094130000}"/>
    <cellStyle name="Normal 4 2 4 3 3 3 2" xfId="13582" xr:uid="{411538B2-B173-4214-AC03-7160BA4BBCFB}"/>
    <cellStyle name="Normal 4 2 4 3 3 4" xfId="9364" xr:uid="{6BA1CB27-FA22-4D23-A25C-B59A7FA2398A}"/>
    <cellStyle name="Normal 4 2 4 3 4" xfId="1257" xr:uid="{00000000-0005-0000-0000-000095130000}"/>
    <cellStyle name="Normal 4 2 4 3 4 2" xfId="3487" xr:uid="{00000000-0005-0000-0000-000096130000}"/>
    <cellStyle name="Normal 4 2 4 3 4 2 2" xfId="7711" xr:uid="{00000000-0005-0000-0000-000097130000}"/>
    <cellStyle name="Normal 4 2 4 3 4 2 2 2" xfId="16140" xr:uid="{7AE2C31A-FC49-45F1-95A9-6701679F5E8C}"/>
    <cellStyle name="Normal 4 2 4 3 4 2 3" xfId="11922" xr:uid="{C541646C-4E8D-4615-BAFD-E2EB37C0C1E9}"/>
    <cellStyle name="Normal 4 2 4 3 4 3" xfId="5566" xr:uid="{00000000-0005-0000-0000-000098130000}"/>
    <cellStyle name="Normal 4 2 4 3 4 3 2" xfId="13995" xr:uid="{EF222F68-4213-42BA-BF1C-006EBA6560E9}"/>
    <cellStyle name="Normal 4 2 4 3 4 4" xfId="9777" xr:uid="{B9C9DA78-FBE1-4300-9E77-08310BB82C16}"/>
    <cellStyle name="Normal 4 2 4 3 5" xfId="1670" xr:uid="{00000000-0005-0000-0000-000099130000}"/>
    <cellStyle name="Normal 4 2 4 3 5 2" xfId="3900" xr:uid="{00000000-0005-0000-0000-00009A130000}"/>
    <cellStyle name="Normal 4 2 4 3 5 2 2" xfId="8124" xr:uid="{00000000-0005-0000-0000-00009B130000}"/>
    <cellStyle name="Normal 4 2 4 3 5 2 2 2" xfId="16553" xr:uid="{EE218EDA-1294-494A-A53D-CF33AC44469C}"/>
    <cellStyle name="Normal 4 2 4 3 5 2 3" xfId="12335" xr:uid="{619EB082-1724-4B9B-AB7C-1C5211EB31CA}"/>
    <cellStyle name="Normal 4 2 4 3 5 3" xfId="5979" xr:uid="{00000000-0005-0000-0000-00009C130000}"/>
    <cellStyle name="Normal 4 2 4 3 5 3 2" xfId="14408" xr:uid="{F576730D-A10D-4407-970B-FEFF5472F9EE}"/>
    <cellStyle name="Normal 4 2 4 3 5 4" xfId="10190" xr:uid="{719786D4-B9B9-414E-A6AB-1AF74C3D5B8A}"/>
    <cellStyle name="Normal 4 2 4 3 6" xfId="2084" xr:uid="{00000000-0005-0000-0000-00009D130000}"/>
    <cellStyle name="Normal 4 2 4 3 6 2" xfId="4313" xr:uid="{00000000-0005-0000-0000-00009E130000}"/>
    <cellStyle name="Normal 4 2 4 3 6 2 2" xfId="8537" xr:uid="{00000000-0005-0000-0000-00009F130000}"/>
    <cellStyle name="Normal 4 2 4 3 6 2 2 2" xfId="16966" xr:uid="{61370D75-32CB-4322-BAE9-A5B45DD68BC7}"/>
    <cellStyle name="Normal 4 2 4 3 6 2 3" xfId="12748" xr:uid="{AEB504D4-BB30-4A86-9128-CC8147E55BBB}"/>
    <cellStyle name="Normal 4 2 4 3 6 3" xfId="6392" xr:uid="{00000000-0005-0000-0000-0000A0130000}"/>
    <cellStyle name="Normal 4 2 4 3 6 3 2" xfId="14821" xr:uid="{F057992E-1E70-44C1-9D6E-7CFD2DD23F0C}"/>
    <cellStyle name="Normal 4 2 4 3 6 4" xfId="10603" xr:uid="{74DC33E0-6B04-4017-A7EF-D91DEA780DFB}"/>
    <cellStyle name="Normal 4 2 4 3 7" xfId="2520" xr:uid="{00000000-0005-0000-0000-0000A1130000}"/>
    <cellStyle name="Normal 4 2 4 3 7 2" xfId="6805" xr:uid="{00000000-0005-0000-0000-0000A2130000}"/>
    <cellStyle name="Normal 4 2 4 3 7 2 2" xfId="15234" xr:uid="{5069493C-4AF2-437E-AEDF-4F2F1A7B2813}"/>
    <cellStyle name="Normal 4 2 4 3 7 3" xfId="11016" xr:uid="{2DBC3B2D-ED50-4B10-8806-D681979BC5CB}"/>
    <cellStyle name="Normal 4 2 4 3 8" xfId="4740" xr:uid="{00000000-0005-0000-0000-0000A3130000}"/>
    <cellStyle name="Normal 4 2 4 3 8 2" xfId="13169" xr:uid="{C8BC883A-33C3-4015-A400-02B70803C051}"/>
    <cellStyle name="Normal 4 2 4 3 9" xfId="8951" xr:uid="{84778CE3-EB92-46B5-87F6-E3A9E3492638}"/>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2 2 2" xfId="15729" xr:uid="{2BAB525E-8F89-4CC1-AD3C-C9E4EFFDC664}"/>
    <cellStyle name="Normal 4 2 4 4 2 2 3" xfId="11511" xr:uid="{1CB09264-047F-4AB2-A048-6C20115611C8}"/>
    <cellStyle name="Normal 4 2 4 4 2 3" xfId="5155" xr:uid="{00000000-0005-0000-0000-0000A8130000}"/>
    <cellStyle name="Normal 4 2 4 4 2 3 2" xfId="13584" xr:uid="{8F147A91-6DCF-4649-9D4F-85A93C5F317D}"/>
    <cellStyle name="Normal 4 2 4 4 2 4" xfId="9366" xr:uid="{423A92F7-DA02-4DA2-8E41-2176E8E4B366}"/>
    <cellStyle name="Normal 4 2 4 4 3" xfId="1259" xr:uid="{00000000-0005-0000-0000-0000A9130000}"/>
    <cellStyle name="Normal 4 2 4 4 3 2" xfId="3489" xr:uid="{00000000-0005-0000-0000-0000AA130000}"/>
    <cellStyle name="Normal 4 2 4 4 3 2 2" xfId="7713" xr:uid="{00000000-0005-0000-0000-0000AB130000}"/>
    <cellStyle name="Normal 4 2 4 4 3 2 2 2" xfId="16142" xr:uid="{93806DFD-7E2E-4D39-A2C4-D9270DCCA823}"/>
    <cellStyle name="Normal 4 2 4 4 3 2 3" xfId="11924" xr:uid="{0F7621A5-242E-4ECE-A5F6-AD8FD91DE601}"/>
    <cellStyle name="Normal 4 2 4 4 3 3" xfId="5568" xr:uid="{00000000-0005-0000-0000-0000AC130000}"/>
    <cellStyle name="Normal 4 2 4 4 3 3 2" xfId="13997" xr:uid="{ADF1D1B3-A482-46C2-BD02-698CED15DB32}"/>
    <cellStyle name="Normal 4 2 4 4 3 4" xfId="9779" xr:uid="{0F8603C9-0555-4A4D-87A0-C636BB9D6B29}"/>
    <cellStyle name="Normal 4 2 4 4 4" xfId="1672" xr:uid="{00000000-0005-0000-0000-0000AD130000}"/>
    <cellStyle name="Normal 4 2 4 4 4 2" xfId="3902" xr:uid="{00000000-0005-0000-0000-0000AE130000}"/>
    <cellStyle name="Normal 4 2 4 4 4 2 2" xfId="8126" xr:uid="{00000000-0005-0000-0000-0000AF130000}"/>
    <cellStyle name="Normal 4 2 4 4 4 2 2 2" xfId="16555" xr:uid="{3FA5105A-6B51-40DF-86F1-A4152EA25532}"/>
    <cellStyle name="Normal 4 2 4 4 4 2 3" xfId="12337" xr:uid="{99F55F89-1A55-42DD-9C7F-DA907A0BAD14}"/>
    <cellStyle name="Normal 4 2 4 4 4 3" xfId="5981" xr:uid="{00000000-0005-0000-0000-0000B0130000}"/>
    <cellStyle name="Normal 4 2 4 4 4 3 2" xfId="14410" xr:uid="{A4EE991A-9E81-4716-95C2-DD10421137C5}"/>
    <cellStyle name="Normal 4 2 4 4 4 4" xfId="10192" xr:uid="{BD399F57-E63A-4036-835C-D47B4E6F15CC}"/>
    <cellStyle name="Normal 4 2 4 4 5" xfId="2086" xr:uid="{00000000-0005-0000-0000-0000B1130000}"/>
    <cellStyle name="Normal 4 2 4 4 5 2" xfId="4315" xr:uid="{00000000-0005-0000-0000-0000B2130000}"/>
    <cellStyle name="Normal 4 2 4 4 5 2 2" xfId="8539" xr:uid="{00000000-0005-0000-0000-0000B3130000}"/>
    <cellStyle name="Normal 4 2 4 4 5 2 2 2" xfId="16968" xr:uid="{7364CA32-796D-4935-82EB-57988A23A66C}"/>
    <cellStyle name="Normal 4 2 4 4 5 2 3" xfId="12750" xr:uid="{4F682F88-98F3-4BDF-8907-16209696C2E6}"/>
    <cellStyle name="Normal 4 2 4 4 5 3" xfId="6394" xr:uid="{00000000-0005-0000-0000-0000B4130000}"/>
    <cellStyle name="Normal 4 2 4 4 5 3 2" xfId="14823" xr:uid="{C370ED6E-CE24-4896-811E-236CF7E3533B}"/>
    <cellStyle name="Normal 4 2 4 4 5 4" xfId="10605" xr:uid="{731CB913-A60E-42D8-9E5A-00F650715C21}"/>
    <cellStyle name="Normal 4 2 4 4 6" xfId="2522" xr:uid="{00000000-0005-0000-0000-0000B5130000}"/>
    <cellStyle name="Normal 4 2 4 4 6 2" xfId="6807" xr:uid="{00000000-0005-0000-0000-0000B6130000}"/>
    <cellStyle name="Normal 4 2 4 4 6 2 2" xfId="15236" xr:uid="{69A0EC0C-50D6-47BD-B847-945FCD5D1E02}"/>
    <cellStyle name="Normal 4 2 4 4 6 3" xfId="11018" xr:uid="{6797CC88-E20B-4FAC-B119-2F1448F19D9C}"/>
    <cellStyle name="Normal 4 2 4 4 7" xfId="4742" xr:uid="{00000000-0005-0000-0000-0000B7130000}"/>
    <cellStyle name="Normal 4 2 4 4 7 2" xfId="13171" xr:uid="{5C76B9BE-9B0C-4414-A090-1212CB911057}"/>
    <cellStyle name="Normal 4 2 4 4 8" xfId="8953" xr:uid="{15B3E363-4530-40C8-B7C4-588C554C84F5}"/>
    <cellStyle name="Normal 4 2 4 5" xfId="832" xr:uid="{00000000-0005-0000-0000-0000B8130000}"/>
    <cellStyle name="Normal 4 2 4 5 2" xfId="3069" xr:uid="{00000000-0005-0000-0000-0000B9130000}"/>
    <cellStyle name="Normal 4 2 4 5 2 2" xfId="7293" xr:uid="{00000000-0005-0000-0000-0000BA130000}"/>
    <cellStyle name="Normal 4 2 4 5 2 2 2" xfId="15722" xr:uid="{F90ED11D-E6C6-4FCB-9BE4-1911450AA145}"/>
    <cellStyle name="Normal 4 2 4 5 2 3" xfId="11504" xr:uid="{FFB8B7E6-1251-4BE7-B9C8-8740208DCB42}"/>
    <cellStyle name="Normal 4 2 4 5 3" xfId="5148" xr:uid="{00000000-0005-0000-0000-0000BB130000}"/>
    <cellStyle name="Normal 4 2 4 5 3 2" xfId="13577" xr:uid="{9DD2C44F-7D56-4C1D-BBF6-999A5095C4A9}"/>
    <cellStyle name="Normal 4 2 4 5 4" xfId="9359" xr:uid="{12869B6E-57E3-4B77-A132-38C2A9700460}"/>
    <cellStyle name="Normal 4 2 4 6" xfId="1252" xr:uid="{00000000-0005-0000-0000-0000BC130000}"/>
    <cellStyle name="Normal 4 2 4 6 2" xfId="3482" xr:uid="{00000000-0005-0000-0000-0000BD130000}"/>
    <cellStyle name="Normal 4 2 4 6 2 2" xfId="7706" xr:uid="{00000000-0005-0000-0000-0000BE130000}"/>
    <cellStyle name="Normal 4 2 4 6 2 2 2" xfId="16135" xr:uid="{654F0089-DB58-4A95-8943-F281A578EEF3}"/>
    <cellStyle name="Normal 4 2 4 6 2 3" xfId="11917" xr:uid="{DB2FD825-C637-4C47-BACB-825A674CCEB2}"/>
    <cellStyle name="Normal 4 2 4 6 3" xfId="5561" xr:uid="{00000000-0005-0000-0000-0000BF130000}"/>
    <cellStyle name="Normal 4 2 4 6 3 2" xfId="13990" xr:uid="{617227E3-A572-4303-8A4F-2024F8E6EF66}"/>
    <cellStyle name="Normal 4 2 4 6 4" xfId="9772" xr:uid="{FB0319BF-E70B-4F7B-A9C4-16079E8A625E}"/>
    <cellStyle name="Normal 4 2 4 7" xfId="1665" xr:uid="{00000000-0005-0000-0000-0000C0130000}"/>
    <cellStyle name="Normal 4 2 4 7 2" xfId="3895" xr:uid="{00000000-0005-0000-0000-0000C1130000}"/>
    <cellStyle name="Normal 4 2 4 7 2 2" xfId="8119" xr:uid="{00000000-0005-0000-0000-0000C2130000}"/>
    <cellStyle name="Normal 4 2 4 7 2 2 2" xfId="16548" xr:uid="{D5610910-000D-478F-9633-BEF1F47E4A2B}"/>
    <cellStyle name="Normal 4 2 4 7 2 3" xfId="12330" xr:uid="{41744B19-51C0-432D-8C4F-2F9A020BFCAE}"/>
    <cellStyle name="Normal 4 2 4 7 3" xfId="5974" xr:uid="{00000000-0005-0000-0000-0000C3130000}"/>
    <cellStyle name="Normal 4 2 4 7 3 2" xfId="14403" xr:uid="{85CA2E83-D112-4DA0-B1D6-191EF5B69C9A}"/>
    <cellStyle name="Normal 4 2 4 7 4" xfId="10185" xr:uid="{073CB047-DC6D-4BFD-9D3C-34872EF62298}"/>
    <cellStyle name="Normal 4 2 4 8" xfId="2079" xr:uid="{00000000-0005-0000-0000-0000C4130000}"/>
    <cellStyle name="Normal 4 2 4 8 2" xfId="4308" xr:uid="{00000000-0005-0000-0000-0000C5130000}"/>
    <cellStyle name="Normal 4 2 4 8 2 2" xfId="8532" xr:uid="{00000000-0005-0000-0000-0000C6130000}"/>
    <cellStyle name="Normal 4 2 4 8 2 2 2" xfId="16961" xr:uid="{087F1DC7-8BD2-49B3-8390-518A69358A6A}"/>
    <cellStyle name="Normal 4 2 4 8 2 3" xfId="12743" xr:uid="{D1ED1E05-3E03-4C98-954B-A9187264E8DD}"/>
    <cellStyle name="Normal 4 2 4 8 3" xfId="6387" xr:uid="{00000000-0005-0000-0000-0000C7130000}"/>
    <cellStyle name="Normal 4 2 4 8 3 2" xfId="14816" xr:uid="{571E14EC-2B3A-4320-9E2F-B46A5914B166}"/>
    <cellStyle name="Normal 4 2 4 8 4" xfId="10598" xr:uid="{DE98245B-21BD-419F-93C3-893F160DDA45}"/>
    <cellStyle name="Normal 4 2 4 9" xfId="2515" xr:uid="{00000000-0005-0000-0000-0000C8130000}"/>
    <cellStyle name="Normal 4 2 4 9 2" xfId="6800" xr:uid="{00000000-0005-0000-0000-0000C9130000}"/>
    <cellStyle name="Normal 4 2 4 9 2 2" xfId="15229" xr:uid="{CE823F2C-EE86-4A2B-BE22-66F763E0707C}"/>
    <cellStyle name="Normal 4 2 4 9 3" xfId="11011" xr:uid="{2662141F-ED2F-46F6-917C-CA3341A7ACA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2 2 2" xfId="15731" xr:uid="{5D46810E-F7A0-4262-AE83-54A5ED748354}"/>
    <cellStyle name="Normal 4 2 5 2 2 2 3" xfId="11513" xr:uid="{5A027261-6585-4007-B653-8A58FB16568D}"/>
    <cellStyle name="Normal 4 2 5 2 2 3" xfId="5157" xr:uid="{00000000-0005-0000-0000-0000CF130000}"/>
    <cellStyle name="Normal 4 2 5 2 2 3 2" xfId="13586" xr:uid="{BAE4F920-6A0E-4A5E-AD14-8AB87F40524E}"/>
    <cellStyle name="Normal 4 2 5 2 2 4" xfId="9368" xr:uid="{08A8DBBA-5EC2-4109-B816-0BECA2DC7142}"/>
    <cellStyle name="Normal 4 2 5 2 3" xfId="1261" xr:uid="{00000000-0005-0000-0000-0000D0130000}"/>
    <cellStyle name="Normal 4 2 5 2 3 2" xfId="3491" xr:uid="{00000000-0005-0000-0000-0000D1130000}"/>
    <cellStyle name="Normal 4 2 5 2 3 2 2" xfId="7715" xr:uid="{00000000-0005-0000-0000-0000D2130000}"/>
    <cellStyle name="Normal 4 2 5 2 3 2 2 2" xfId="16144" xr:uid="{0483B3E4-6587-4069-949B-2E012012BBD3}"/>
    <cellStyle name="Normal 4 2 5 2 3 2 3" xfId="11926" xr:uid="{7D6F4F16-1EEB-4B90-A4A4-8D971B649665}"/>
    <cellStyle name="Normal 4 2 5 2 3 3" xfId="5570" xr:uid="{00000000-0005-0000-0000-0000D3130000}"/>
    <cellStyle name="Normal 4 2 5 2 3 3 2" xfId="13999" xr:uid="{CF9B449E-0D02-4365-A4A7-A32A6C8238E1}"/>
    <cellStyle name="Normal 4 2 5 2 3 4" xfId="9781" xr:uid="{859EB1DD-4F28-4D98-9BCF-46D2C160BCB3}"/>
    <cellStyle name="Normal 4 2 5 2 4" xfId="1674" xr:uid="{00000000-0005-0000-0000-0000D4130000}"/>
    <cellStyle name="Normal 4 2 5 2 4 2" xfId="3904" xr:uid="{00000000-0005-0000-0000-0000D5130000}"/>
    <cellStyle name="Normal 4 2 5 2 4 2 2" xfId="8128" xr:uid="{00000000-0005-0000-0000-0000D6130000}"/>
    <cellStyle name="Normal 4 2 5 2 4 2 2 2" xfId="16557" xr:uid="{FD0C0DFC-5786-440D-9EFA-63B005914BD6}"/>
    <cellStyle name="Normal 4 2 5 2 4 2 3" xfId="12339" xr:uid="{B64CC242-2EAE-47FE-90FD-C6F7C5DDF267}"/>
    <cellStyle name="Normal 4 2 5 2 4 3" xfId="5983" xr:uid="{00000000-0005-0000-0000-0000D7130000}"/>
    <cellStyle name="Normal 4 2 5 2 4 3 2" xfId="14412" xr:uid="{B6C03371-E11C-4751-99FF-CDC5D14943F1}"/>
    <cellStyle name="Normal 4 2 5 2 4 4" xfId="10194" xr:uid="{862E56CC-B7F6-49EA-846C-B38F0E003689}"/>
    <cellStyle name="Normal 4 2 5 2 5" xfId="2088" xr:uid="{00000000-0005-0000-0000-0000D8130000}"/>
    <cellStyle name="Normal 4 2 5 2 5 2" xfId="4317" xr:uid="{00000000-0005-0000-0000-0000D9130000}"/>
    <cellStyle name="Normal 4 2 5 2 5 2 2" xfId="8541" xr:uid="{00000000-0005-0000-0000-0000DA130000}"/>
    <cellStyle name="Normal 4 2 5 2 5 2 2 2" xfId="16970" xr:uid="{93DE8A69-E9F5-4618-8FFF-7D69FEB15943}"/>
    <cellStyle name="Normal 4 2 5 2 5 2 3" xfId="12752" xr:uid="{2F7A2CB9-D1B4-449D-A0BC-610EE0E44791}"/>
    <cellStyle name="Normal 4 2 5 2 5 3" xfId="6396" xr:uid="{00000000-0005-0000-0000-0000DB130000}"/>
    <cellStyle name="Normal 4 2 5 2 5 3 2" xfId="14825" xr:uid="{F55F31D9-7CC0-47B4-8A2D-E0983E5A2D68}"/>
    <cellStyle name="Normal 4 2 5 2 5 4" xfId="10607" xr:uid="{22A7C2DC-64F5-459B-84A5-E2D8895A0FB6}"/>
    <cellStyle name="Normal 4 2 5 2 6" xfId="2524" xr:uid="{00000000-0005-0000-0000-0000DC130000}"/>
    <cellStyle name="Normal 4 2 5 2 6 2" xfId="6809" xr:uid="{00000000-0005-0000-0000-0000DD130000}"/>
    <cellStyle name="Normal 4 2 5 2 6 2 2" xfId="15238" xr:uid="{CD0684D2-2958-4D48-93C7-EA36236A4549}"/>
    <cellStyle name="Normal 4 2 5 2 6 3" xfId="11020" xr:uid="{2261BFCB-899D-4117-A209-D1621010BDB3}"/>
    <cellStyle name="Normal 4 2 5 2 7" xfId="4744" xr:uid="{00000000-0005-0000-0000-0000DE130000}"/>
    <cellStyle name="Normal 4 2 5 2 7 2" xfId="13173" xr:uid="{5EE7CD95-5B15-4461-9910-A2D41B6EE8C0}"/>
    <cellStyle name="Normal 4 2 5 2 8" xfId="8955" xr:uid="{D9F236B2-AC6D-403B-9F3A-1EDCF709F1CD}"/>
    <cellStyle name="Normal 4 2 5 3" xfId="840" xr:uid="{00000000-0005-0000-0000-0000DF130000}"/>
    <cellStyle name="Normal 4 2 5 3 2" xfId="3077" xr:uid="{00000000-0005-0000-0000-0000E0130000}"/>
    <cellStyle name="Normal 4 2 5 3 2 2" xfId="7301" xr:uid="{00000000-0005-0000-0000-0000E1130000}"/>
    <cellStyle name="Normal 4 2 5 3 2 2 2" xfId="15730" xr:uid="{2B2644EB-E7AF-4B27-B96B-98949FF10E6B}"/>
    <cellStyle name="Normal 4 2 5 3 2 3" xfId="11512" xr:uid="{A225B52D-39B0-4570-95E0-3F1323EC6623}"/>
    <cellStyle name="Normal 4 2 5 3 3" xfId="5156" xr:uid="{00000000-0005-0000-0000-0000E2130000}"/>
    <cellStyle name="Normal 4 2 5 3 3 2" xfId="13585" xr:uid="{08A7FF7F-1FF2-486F-836F-0EA8E9B48523}"/>
    <cellStyle name="Normal 4 2 5 3 4" xfId="9367" xr:uid="{25D0E1DA-ECE0-43DD-99C8-8E7B7B0BA25B}"/>
    <cellStyle name="Normal 4 2 5 4" xfId="1260" xr:uid="{00000000-0005-0000-0000-0000E3130000}"/>
    <cellStyle name="Normal 4 2 5 4 2" xfId="3490" xr:uid="{00000000-0005-0000-0000-0000E4130000}"/>
    <cellStyle name="Normal 4 2 5 4 2 2" xfId="7714" xr:uid="{00000000-0005-0000-0000-0000E5130000}"/>
    <cellStyle name="Normal 4 2 5 4 2 2 2" xfId="16143" xr:uid="{BF9F0510-248D-4161-B2E9-8A61CC3C406E}"/>
    <cellStyle name="Normal 4 2 5 4 2 3" xfId="11925" xr:uid="{DB3F723E-D2E4-4015-A3C5-95F3F6B05FFF}"/>
    <cellStyle name="Normal 4 2 5 4 3" xfId="5569" xr:uid="{00000000-0005-0000-0000-0000E6130000}"/>
    <cellStyle name="Normal 4 2 5 4 3 2" xfId="13998" xr:uid="{7A1D705A-95BB-405E-B6B9-5D7973F769BF}"/>
    <cellStyle name="Normal 4 2 5 4 4" xfId="9780" xr:uid="{443FAA0E-F10D-404F-B0AA-FE8C6ED5B3F3}"/>
    <cellStyle name="Normal 4 2 5 5" xfId="1673" xr:uid="{00000000-0005-0000-0000-0000E7130000}"/>
    <cellStyle name="Normal 4 2 5 5 2" xfId="3903" xr:uid="{00000000-0005-0000-0000-0000E8130000}"/>
    <cellStyle name="Normal 4 2 5 5 2 2" xfId="8127" xr:uid="{00000000-0005-0000-0000-0000E9130000}"/>
    <cellStyle name="Normal 4 2 5 5 2 2 2" xfId="16556" xr:uid="{399966B3-2DD9-4665-B1CE-216A3F795949}"/>
    <cellStyle name="Normal 4 2 5 5 2 3" xfId="12338" xr:uid="{5026931D-AF44-4813-ABAF-1B15A3A15456}"/>
    <cellStyle name="Normal 4 2 5 5 3" xfId="5982" xr:uid="{00000000-0005-0000-0000-0000EA130000}"/>
    <cellStyle name="Normal 4 2 5 5 3 2" xfId="14411" xr:uid="{7025F49B-7C7F-4D4F-A2A3-66C1C9ACE40B}"/>
    <cellStyle name="Normal 4 2 5 5 4" xfId="10193" xr:uid="{E6829AE9-969C-4A23-8991-0B0580A7A042}"/>
    <cellStyle name="Normal 4 2 5 6" xfId="2087" xr:uid="{00000000-0005-0000-0000-0000EB130000}"/>
    <cellStyle name="Normal 4 2 5 6 2" xfId="4316" xr:uid="{00000000-0005-0000-0000-0000EC130000}"/>
    <cellStyle name="Normal 4 2 5 6 2 2" xfId="8540" xr:uid="{00000000-0005-0000-0000-0000ED130000}"/>
    <cellStyle name="Normal 4 2 5 6 2 2 2" xfId="16969" xr:uid="{6FF7CF30-2FBB-48AA-8947-68FA0DBE966A}"/>
    <cellStyle name="Normal 4 2 5 6 2 3" xfId="12751" xr:uid="{51F3679E-0A6D-4463-BBCD-69875FCB9D5E}"/>
    <cellStyle name="Normal 4 2 5 6 3" xfId="6395" xr:uid="{00000000-0005-0000-0000-0000EE130000}"/>
    <cellStyle name="Normal 4 2 5 6 3 2" xfId="14824" xr:uid="{CA9B058F-F87E-4F78-A496-33669D0EADDB}"/>
    <cellStyle name="Normal 4 2 5 6 4" xfId="10606" xr:uid="{690B8783-1230-4DAD-B027-4C4251544498}"/>
    <cellStyle name="Normal 4 2 5 7" xfId="2523" xr:uid="{00000000-0005-0000-0000-0000EF130000}"/>
    <cellStyle name="Normal 4 2 5 7 2" xfId="6808" xr:uid="{00000000-0005-0000-0000-0000F0130000}"/>
    <cellStyle name="Normal 4 2 5 7 2 2" xfId="15237" xr:uid="{72C6A703-1A2E-4DA8-B6E7-897E27EEE9A7}"/>
    <cellStyle name="Normal 4 2 5 7 3" xfId="11019" xr:uid="{23D59397-89C6-4B37-84B5-60115379B182}"/>
    <cellStyle name="Normal 4 2 5 8" xfId="4743" xr:uid="{00000000-0005-0000-0000-0000F1130000}"/>
    <cellStyle name="Normal 4 2 5 8 2" xfId="13172" xr:uid="{FDF728E0-A0E2-49FC-A21C-9E3B4D866798}"/>
    <cellStyle name="Normal 4 2 5 9" xfId="8954" xr:uid="{7DE7B831-5863-4A1D-AB42-ECAEDC4BFC08}"/>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2 2 2" xfId="15732" xr:uid="{AA54823F-B837-47B4-8AB6-D61CAA4EF7BC}"/>
    <cellStyle name="Normal 4 2 6 2 2 3" xfId="11514" xr:uid="{05AFC409-F9C6-42E7-AF7A-8F00A5707DAF}"/>
    <cellStyle name="Normal 4 2 6 2 3" xfId="5158" xr:uid="{00000000-0005-0000-0000-0000F6130000}"/>
    <cellStyle name="Normal 4 2 6 2 3 2" xfId="13587" xr:uid="{C102BB07-22E7-4F08-965D-C4B0AC647BB7}"/>
    <cellStyle name="Normal 4 2 6 2 4" xfId="9369" xr:uid="{156F81EC-7508-43E7-A6C5-A89C4F1E1276}"/>
    <cellStyle name="Normal 4 2 6 3" xfId="1262" xr:uid="{00000000-0005-0000-0000-0000F7130000}"/>
    <cellStyle name="Normal 4 2 6 3 2" xfId="3492" xr:uid="{00000000-0005-0000-0000-0000F8130000}"/>
    <cellStyle name="Normal 4 2 6 3 2 2" xfId="7716" xr:uid="{00000000-0005-0000-0000-0000F9130000}"/>
    <cellStyle name="Normal 4 2 6 3 2 2 2" xfId="16145" xr:uid="{0C6D498E-7FDC-4D0B-A0A2-C48197EBB323}"/>
    <cellStyle name="Normal 4 2 6 3 2 3" xfId="11927" xr:uid="{1A850244-C87C-4B89-BF61-14433C5B24B4}"/>
    <cellStyle name="Normal 4 2 6 3 3" xfId="5571" xr:uid="{00000000-0005-0000-0000-0000FA130000}"/>
    <cellStyle name="Normal 4 2 6 3 3 2" xfId="14000" xr:uid="{12DF72F7-4FA9-42E1-AC6F-24C053299CD2}"/>
    <cellStyle name="Normal 4 2 6 3 4" xfId="9782" xr:uid="{50B84074-290F-40C6-A809-4B02E9441EF9}"/>
    <cellStyle name="Normal 4 2 6 4" xfId="1675" xr:uid="{00000000-0005-0000-0000-0000FB130000}"/>
    <cellStyle name="Normal 4 2 6 4 2" xfId="3905" xr:uid="{00000000-0005-0000-0000-0000FC130000}"/>
    <cellStyle name="Normal 4 2 6 4 2 2" xfId="8129" xr:uid="{00000000-0005-0000-0000-0000FD130000}"/>
    <cellStyle name="Normal 4 2 6 4 2 2 2" xfId="16558" xr:uid="{3BA31DE5-F25F-4671-AEBA-BC96660F3B80}"/>
    <cellStyle name="Normal 4 2 6 4 2 3" xfId="12340" xr:uid="{0C225853-61A2-4A50-8A7B-E51F69B7E87A}"/>
    <cellStyle name="Normal 4 2 6 4 3" xfId="5984" xr:uid="{00000000-0005-0000-0000-0000FE130000}"/>
    <cellStyle name="Normal 4 2 6 4 3 2" xfId="14413" xr:uid="{43CD249E-8F9C-4829-88F0-13B72AD2F66D}"/>
    <cellStyle name="Normal 4 2 6 4 4" xfId="10195" xr:uid="{F4241F24-547A-4097-96D5-C7EA714F6836}"/>
    <cellStyle name="Normal 4 2 6 5" xfId="2089" xr:uid="{00000000-0005-0000-0000-0000FF130000}"/>
    <cellStyle name="Normal 4 2 6 5 2" xfId="4318" xr:uid="{00000000-0005-0000-0000-000000140000}"/>
    <cellStyle name="Normal 4 2 6 5 2 2" xfId="8542" xr:uid="{00000000-0005-0000-0000-000001140000}"/>
    <cellStyle name="Normal 4 2 6 5 2 2 2" xfId="16971" xr:uid="{DC845B17-5933-433A-96D6-3C192A718509}"/>
    <cellStyle name="Normal 4 2 6 5 2 3" xfId="12753" xr:uid="{5F9D3781-B1C7-485E-9550-B8BF090852A1}"/>
    <cellStyle name="Normal 4 2 6 5 3" xfId="6397" xr:uid="{00000000-0005-0000-0000-000002140000}"/>
    <cellStyle name="Normal 4 2 6 5 3 2" xfId="14826" xr:uid="{4CFE65C6-0573-4208-9757-28A681EF8205}"/>
    <cellStyle name="Normal 4 2 6 5 4" xfId="10608" xr:uid="{A0A75470-8943-4425-B8D9-5F5686CC57B2}"/>
    <cellStyle name="Normal 4 2 6 6" xfId="2525" xr:uid="{00000000-0005-0000-0000-000003140000}"/>
    <cellStyle name="Normal 4 2 6 6 2" xfId="6810" xr:uid="{00000000-0005-0000-0000-000004140000}"/>
    <cellStyle name="Normal 4 2 6 6 2 2" xfId="15239" xr:uid="{1386CE0E-6147-411A-B675-38CDC95F4803}"/>
    <cellStyle name="Normal 4 2 6 6 3" xfId="11021" xr:uid="{4232B694-55DA-49D3-B31F-71A17320CBEE}"/>
    <cellStyle name="Normal 4 2 6 7" xfId="4745" xr:uid="{00000000-0005-0000-0000-000005140000}"/>
    <cellStyle name="Normal 4 2 6 7 2" xfId="13174" xr:uid="{43EAEAEA-BA67-4C5B-8C06-9FED25307B65}"/>
    <cellStyle name="Normal 4 2 6 8" xfId="8956" xr:uid="{5C4C01DB-0E49-4DCF-A016-EF16688FCA50}"/>
    <cellStyle name="Normal 4 3" xfId="366" xr:uid="{00000000-0005-0000-0000-000006140000}"/>
    <cellStyle name="Normal 4 3 10" xfId="8957" xr:uid="{D4C33F2D-7DED-4430-8393-9F83741BEAF3}"/>
    <cellStyle name="Normal 4 3 2" xfId="367" xr:uid="{00000000-0005-0000-0000-000007140000}"/>
    <cellStyle name="Normal 4 3 2 2" xfId="368" xr:uid="{00000000-0005-0000-0000-000008140000}"/>
    <cellStyle name="Normal 4 3 2 2 2" xfId="369" xr:uid="{00000000-0005-0000-0000-000009140000}"/>
    <cellStyle name="Normal 4 3 2 2 2 10" xfId="8958" xr:uid="{642D2E1B-6FB2-4777-88AC-0ECB4562311B}"/>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2 2 2" xfId="15736" xr:uid="{CF4DA8E3-36C8-4E7C-AD91-DCDF8AF633C8}"/>
    <cellStyle name="Normal 4 3 2 2 2 2 2 2 2 3" xfId="11518" xr:uid="{883748C5-0A4B-4296-99BC-41D3EE48C7E7}"/>
    <cellStyle name="Normal 4 3 2 2 2 2 2 2 3" xfId="5162" xr:uid="{00000000-0005-0000-0000-00000F140000}"/>
    <cellStyle name="Normal 4 3 2 2 2 2 2 2 3 2" xfId="13591" xr:uid="{213696BD-59B9-4B2C-828B-99C7ADEA9A2D}"/>
    <cellStyle name="Normal 4 3 2 2 2 2 2 2 4" xfId="9373" xr:uid="{A8327B36-066C-44C4-BC3D-89AC74461C2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2 2 2" xfId="16149" xr:uid="{0E6C05F4-4648-41EE-8C86-C4B9DD1131B3}"/>
    <cellStyle name="Normal 4 3 2 2 2 2 2 3 2 3" xfId="11931" xr:uid="{72FDE533-C513-4200-9DE9-2DC39A817EA8}"/>
    <cellStyle name="Normal 4 3 2 2 2 2 2 3 3" xfId="5575" xr:uid="{00000000-0005-0000-0000-000013140000}"/>
    <cellStyle name="Normal 4 3 2 2 2 2 2 3 3 2" xfId="14004" xr:uid="{A3914C66-7DBC-48C7-8171-61662E434308}"/>
    <cellStyle name="Normal 4 3 2 2 2 2 2 3 4" xfId="9786" xr:uid="{FD5280FA-5688-4BBB-ADB3-8CB067B7E3B3}"/>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2 2 2" xfId="16562" xr:uid="{91CFD408-A3B9-497F-96BF-F27D2945629D}"/>
    <cellStyle name="Normal 4 3 2 2 2 2 2 4 2 3" xfId="12344" xr:uid="{386EA251-B816-4CDC-9498-E710300DFA49}"/>
    <cellStyle name="Normal 4 3 2 2 2 2 2 4 3" xfId="5988" xr:uid="{00000000-0005-0000-0000-000017140000}"/>
    <cellStyle name="Normal 4 3 2 2 2 2 2 4 3 2" xfId="14417" xr:uid="{52732D80-1B7A-4263-8E5C-DD6C7046F267}"/>
    <cellStyle name="Normal 4 3 2 2 2 2 2 4 4" xfId="10199" xr:uid="{3578A0D2-2E02-4DAA-B8FB-7E9DB989394E}"/>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2 2 2" xfId="16975" xr:uid="{1813FCF1-42EB-4A00-9D92-DEB90DC9BCEF}"/>
    <cellStyle name="Normal 4 3 2 2 2 2 2 5 2 3" xfId="12757" xr:uid="{83875534-F293-4507-9C43-484B8962507F}"/>
    <cellStyle name="Normal 4 3 2 2 2 2 2 5 3" xfId="6401" xr:uid="{00000000-0005-0000-0000-00001B140000}"/>
    <cellStyle name="Normal 4 3 2 2 2 2 2 5 3 2" xfId="14830" xr:uid="{9A718FFF-C328-4E31-9532-D4E1E7DECE49}"/>
    <cellStyle name="Normal 4 3 2 2 2 2 2 5 4" xfId="10612" xr:uid="{D96154CD-F0D0-47BC-8385-D08F1F4812A8}"/>
    <cellStyle name="Normal 4 3 2 2 2 2 2 6" xfId="2529" xr:uid="{00000000-0005-0000-0000-00001C140000}"/>
    <cellStyle name="Normal 4 3 2 2 2 2 2 6 2" xfId="6814" xr:uid="{00000000-0005-0000-0000-00001D140000}"/>
    <cellStyle name="Normal 4 3 2 2 2 2 2 6 2 2" xfId="15243" xr:uid="{3997347B-474A-4C02-B6A7-BA10A48670B9}"/>
    <cellStyle name="Normal 4 3 2 2 2 2 2 6 3" xfId="11025" xr:uid="{3EF10C48-E034-4F10-AE27-6DE528EAB298}"/>
    <cellStyle name="Normal 4 3 2 2 2 2 2 7" xfId="4749" xr:uid="{00000000-0005-0000-0000-00001E140000}"/>
    <cellStyle name="Normal 4 3 2 2 2 2 2 7 2" xfId="13178" xr:uid="{6CAD5003-4BE4-40BF-8FF7-4B93E9A69A8F}"/>
    <cellStyle name="Normal 4 3 2 2 2 2 2 8" xfId="8960" xr:uid="{9F8E7E52-51D4-46E0-8177-4ABB5A3CCA19}"/>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2 2 2" xfId="15735" xr:uid="{66541E48-F36E-4C79-9304-66F710E7624F}"/>
    <cellStyle name="Normal 4 3 2 2 2 2 3 2 3" xfId="11517" xr:uid="{DEAC3E98-515B-48BC-8401-AC4D3B7C87F4}"/>
    <cellStyle name="Normal 4 3 2 2 2 2 3 3" xfId="5161" xr:uid="{00000000-0005-0000-0000-000022140000}"/>
    <cellStyle name="Normal 4 3 2 2 2 2 3 3 2" xfId="13590" xr:uid="{C9782809-F2FE-4022-A85C-1ACDEDA7BAF9}"/>
    <cellStyle name="Normal 4 3 2 2 2 2 3 4" xfId="9372" xr:uid="{41BBC337-5535-452B-BA71-8EEAAAE230F9}"/>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2 2 2" xfId="16148" xr:uid="{243A789B-1E8D-4DCF-AEDE-1F996F64836D}"/>
    <cellStyle name="Normal 4 3 2 2 2 2 4 2 3" xfId="11930" xr:uid="{AA7A46C9-1F3C-4670-949D-AEE3C7CFE8EA}"/>
    <cellStyle name="Normal 4 3 2 2 2 2 4 3" xfId="5574" xr:uid="{00000000-0005-0000-0000-000026140000}"/>
    <cellStyle name="Normal 4 3 2 2 2 2 4 3 2" xfId="14003" xr:uid="{2C8FB6FE-6DED-4836-913D-3BA2F9277F05}"/>
    <cellStyle name="Normal 4 3 2 2 2 2 4 4" xfId="9785" xr:uid="{9B5DA579-0413-4673-9CD1-14D0FA5A9FEA}"/>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2 2 2" xfId="16561" xr:uid="{539CAEA9-E84A-41FE-BA4E-73F1CBFB0AC5}"/>
    <cellStyle name="Normal 4 3 2 2 2 2 5 2 3" xfId="12343" xr:uid="{267CE2DB-9032-4022-BA81-4A33F4D500D2}"/>
    <cellStyle name="Normal 4 3 2 2 2 2 5 3" xfId="5987" xr:uid="{00000000-0005-0000-0000-00002A140000}"/>
    <cellStyle name="Normal 4 3 2 2 2 2 5 3 2" xfId="14416" xr:uid="{318E87B5-FD65-4970-9CD1-6CCE3827EF5D}"/>
    <cellStyle name="Normal 4 3 2 2 2 2 5 4" xfId="10198" xr:uid="{2FB0F05D-1978-48BE-9550-F27A76AA8014}"/>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2 2 2" xfId="16974" xr:uid="{74BBD632-EB0B-488B-A35C-C79F2C7EBA06}"/>
    <cellStyle name="Normal 4 3 2 2 2 2 6 2 3" xfId="12756" xr:uid="{527C9070-5D31-465F-A0C5-F82A4781335A}"/>
    <cellStyle name="Normal 4 3 2 2 2 2 6 3" xfId="6400" xr:uid="{00000000-0005-0000-0000-00002E140000}"/>
    <cellStyle name="Normal 4 3 2 2 2 2 6 3 2" xfId="14829" xr:uid="{9B3FE581-7104-4E4B-B9D0-5EDF23112863}"/>
    <cellStyle name="Normal 4 3 2 2 2 2 6 4" xfId="10611" xr:uid="{4A2D3250-B3AA-4B53-BFB0-21642105EA9A}"/>
    <cellStyle name="Normal 4 3 2 2 2 2 7" xfId="2528" xr:uid="{00000000-0005-0000-0000-00002F140000}"/>
    <cellStyle name="Normal 4 3 2 2 2 2 7 2" xfId="6813" xr:uid="{00000000-0005-0000-0000-000030140000}"/>
    <cellStyle name="Normal 4 3 2 2 2 2 7 2 2" xfId="15242" xr:uid="{736B2725-2C25-4846-9D4B-51FEEE8C40DB}"/>
    <cellStyle name="Normal 4 3 2 2 2 2 7 3" xfId="11024" xr:uid="{7C0E6A22-2CF2-4082-8B43-4C81F014475A}"/>
    <cellStyle name="Normal 4 3 2 2 2 2 8" xfId="4748" xr:uid="{00000000-0005-0000-0000-000031140000}"/>
    <cellStyle name="Normal 4 3 2 2 2 2 8 2" xfId="13177" xr:uid="{059ACABB-2EC2-47F2-91E1-C7BC796C73A7}"/>
    <cellStyle name="Normal 4 3 2 2 2 2 9" xfId="8959" xr:uid="{5EF8BA36-8FA7-45E9-81B5-858B2E136A24}"/>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2 2 2" xfId="15737" xr:uid="{5D71E41B-F1B5-45A2-BBA2-C7E293421CAA}"/>
    <cellStyle name="Normal 4 3 2 2 2 3 2 2 3" xfId="11519" xr:uid="{BB085546-9982-4A91-8C62-3AC26E06CBFD}"/>
    <cellStyle name="Normal 4 3 2 2 2 3 2 3" xfId="5163" xr:uid="{00000000-0005-0000-0000-000036140000}"/>
    <cellStyle name="Normal 4 3 2 2 2 3 2 3 2" xfId="13592" xr:uid="{E3CA6B9E-4599-401C-8BF4-E575D5B204CC}"/>
    <cellStyle name="Normal 4 3 2 2 2 3 2 4" xfId="9374" xr:uid="{536AF402-600D-453F-AC0A-1A32FF2A6E78}"/>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2 2 2" xfId="16150" xr:uid="{F013617A-9A33-42A1-AAD6-4B2F794C3EF5}"/>
    <cellStyle name="Normal 4 3 2 2 2 3 3 2 3" xfId="11932" xr:uid="{36F96330-8FE1-4876-A83F-6A78374177D1}"/>
    <cellStyle name="Normal 4 3 2 2 2 3 3 3" xfId="5576" xr:uid="{00000000-0005-0000-0000-00003A140000}"/>
    <cellStyle name="Normal 4 3 2 2 2 3 3 3 2" xfId="14005" xr:uid="{407F1E20-1739-4064-8A61-85D98A1E8447}"/>
    <cellStyle name="Normal 4 3 2 2 2 3 3 4" xfId="9787" xr:uid="{9E4F6ABF-2C9C-4DF5-9CB2-8EE41E9302A8}"/>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2 2 2" xfId="16563" xr:uid="{8408C82F-C9DA-4CD9-B285-468BEB9236F2}"/>
    <cellStyle name="Normal 4 3 2 2 2 3 4 2 3" xfId="12345" xr:uid="{FF62D73B-7A7F-47D0-B1A7-02F9D6C1813C}"/>
    <cellStyle name="Normal 4 3 2 2 2 3 4 3" xfId="5989" xr:uid="{00000000-0005-0000-0000-00003E140000}"/>
    <cellStyle name="Normal 4 3 2 2 2 3 4 3 2" xfId="14418" xr:uid="{B7372B66-995D-45F8-8EAC-9428C62BFDE9}"/>
    <cellStyle name="Normal 4 3 2 2 2 3 4 4" xfId="10200" xr:uid="{AF05D7E6-40DA-4E20-B549-EDC96480A14C}"/>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2 2 2" xfId="16976" xr:uid="{FE8D1486-4104-4692-86ED-16BCA8D2C318}"/>
    <cellStyle name="Normal 4 3 2 2 2 3 5 2 3" xfId="12758" xr:uid="{3DE6F784-766F-427F-BFE2-573241833B65}"/>
    <cellStyle name="Normal 4 3 2 2 2 3 5 3" xfId="6402" xr:uid="{00000000-0005-0000-0000-000042140000}"/>
    <cellStyle name="Normal 4 3 2 2 2 3 5 3 2" xfId="14831" xr:uid="{0944DF67-1B5C-4822-B20D-CB79BFB9DABD}"/>
    <cellStyle name="Normal 4 3 2 2 2 3 5 4" xfId="10613" xr:uid="{9F41D1D0-8515-448B-A65D-FA510C19D9AC}"/>
    <cellStyle name="Normal 4 3 2 2 2 3 6" xfId="2530" xr:uid="{00000000-0005-0000-0000-000043140000}"/>
    <cellStyle name="Normal 4 3 2 2 2 3 6 2" xfId="6815" xr:uid="{00000000-0005-0000-0000-000044140000}"/>
    <cellStyle name="Normal 4 3 2 2 2 3 6 2 2" xfId="15244" xr:uid="{D8BCD1E8-4CE3-4F0B-B164-CDCA9B936331}"/>
    <cellStyle name="Normal 4 3 2 2 2 3 6 3" xfId="11026" xr:uid="{86FFCFF6-1306-4208-883D-89AE4962005F}"/>
    <cellStyle name="Normal 4 3 2 2 2 3 7" xfId="4750" xr:uid="{00000000-0005-0000-0000-000045140000}"/>
    <cellStyle name="Normal 4 3 2 2 2 3 7 2" xfId="13179" xr:uid="{ADE2F706-1FF5-484C-8F75-1E65979E927A}"/>
    <cellStyle name="Normal 4 3 2 2 2 3 8" xfId="8961" xr:uid="{538E71E1-3B27-45B6-A4C2-690A167407E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2 2 2" xfId="15734" xr:uid="{48248AC3-43C9-4533-A3FD-0F3FADD02C2A}"/>
    <cellStyle name="Normal 4 3 2 2 2 4 2 3" xfId="11516" xr:uid="{5B6FC6F2-539E-43A2-8E8F-FE5402CFA350}"/>
    <cellStyle name="Normal 4 3 2 2 2 4 3" xfId="5160" xr:uid="{00000000-0005-0000-0000-000049140000}"/>
    <cellStyle name="Normal 4 3 2 2 2 4 3 2" xfId="13589" xr:uid="{72A24C00-35F2-49B3-8FEF-15CA39AFDB8A}"/>
    <cellStyle name="Normal 4 3 2 2 2 4 4" xfId="9371" xr:uid="{1623E410-5BF8-43D7-B855-6E70784E8391}"/>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2 2 2" xfId="16147" xr:uid="{6E405563-8252-4DCD-A64A-FD6840467557}"/>
    <cellStyle name="Normal 4 3 2 2 2 5 2 3" xfId="11929" xr:uid="{84B702F9-0DE8-4626-BB00-512CC9145ABE}"/>
    <cellStyle name="Normal 4 3 2 2 2 5 3" xfId="5573" xr:uid="{00000000-0005-0000-0000-00004D140000}"/>
    <cellStyle name="Normal 4 3 2 2 2 5 3 2" xfId="14002" xr:uid="{15756B47-F85A-4EAC-BECA-5EE642976387}"/>
    <cellStyle name="Normal 4 3 2 2 2 5 4" xfId="9784" xr:uid="{A9FB664C-314B-470D-9E9E-B1F5AE5EF201}"/>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2 2 2" xfId="16560" xr:uid="{58F9CE41-EDA3-4D05-9CD0-40D5810DE8C5}"/>
    <cellStyle name="Normal 4 3 2 2 2 6 2 3" xfId="12342" xr:uid="{E154271F-FC94-4E7C-8B62-9A14E3F542BA}"/>
    <cellStyle name="Normal 4 3 2 2 2 6 3" xfId="5986" xr:uid="{00000000-0005-0000-0000-000051140000}"/>
    <cellStyle name="Normal 4 3 2 2 2 6 3 2" xfId="14415" xr:uid="{09033F8B-E90D-47F6-8E38-B152469C7CFC}"/>
    <cellStyle name="Normal 4 3 2 2 2 6 4" xfId="10197" xr:uid="{F9F09CAD-039D-4972-87A1-5EB8C5B9CCAA}"/>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2 2 2" xfId="16973" xr:uid="{CC6A4801-EEF3-4792-B053-137432FAFA60}"/>
    <cellStyle name="Normal 4 3 2 2 2 7 2 3" xfId="12755" xr:uid="{A47CD288-FA82-4B28-96C9-AF03E01D6657}"/>
    <cellStyle name="Normal 4 3 2 2 2 7 3" xfId="6399" xr:uid="{00000000-0005-0000-0000-000055140000}"/>
    <cellStyle name="Normal 4 3 2 2 2 7 3 2" xfId="14828" xr:uid="{68BB9CAE-1E5C-4021-8F42-64674939E9F2}"/>
    <cellStyle name="Normal 4 3 2 2 2 7 4" xfId="10610" xr:uid="{4C42D3CE-D406-41B7-9043-012DAD9A3D0D}"/>
    <cellStyle name="Normal 4 3 2 2 2 8" xfId="2527" xr:uid="{00000000-0005-0000-0000-000056140000}"/>
    <cellStyle name="Normal 4 3 2 2 2 8 2" xfId="6812" xr:uid="{00000000-0005-0000-0000-000057140000}"/>
    <cellStyle name="Normal 4 3 2 2 2 8 2 2" xfId="15241" xr:uid="{7F13F66D-017A-48EE-B197-A65CD792E006}"/>
    <cellStyle name="Normal 4 3 2 2 2 8 3" xfId="11023" xr:uid="{B533AD21-466E-421C-8800-2A4007A62F8E}"/>
    <cellStyle name="Normal 4 3 2 2 2 9" xfId="4747" xr:uid="{00000000-0005-0000-0000-000058140000}"/>
    <cellStyle name="Normal 4 3 2 2 2 9 2" xfId="13176" xr:uid="{C27100CE-962B-4ECD-B436-E1F58B434763}"/>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10" xfId="8962" xr:uid="{19C76757-846C-46A8-90FF-BE58678FA8B6}"/>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2 2 2" xfId="15740" xr:uid="{F13162B1-4C2D-4778-B3BF-7FABF4A70701}"/>
    <cellStyle name="Normal 4 3 3 2 2 2 2 3" xfId="11522" xr:uid="{054E0D1B-C8BE-4548-8893-0630FAA9EAD2}"/>
    <cellStyle name="Normal 4 3 3 2 2 2 3" xfId="5166" xr:uid="{00000000-0005-0000-0000-000062140000}"/>
    <cellStyle name="Normal 4 3 3 2 2 2 3 2" xfId="13595" xr:uid="{E4E47C05-B3C5-424B-B3E8-A9385076E9CE}"/>
    <cellStyle name="Normal 4 3 3 2 2 2 4" xfId="9377" xr:uid="{9DC8DBBC-43DE-4E51-A835-2C81C3F59E8F}"/>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2 2 2" xfId="16153" xr:uid="{D1C405A7-B726-49ED-8554-05E255536A15}"/>
    <cellStyle name="Normal 4 3 3 2 2 3 2 3" xfId="11935" xr:uid="{861A718D-CBDC-4614-ABE8-ADCF1C98C718}"/>
    <cellStyle name="Normal 4 3 3 2 2 3 3" xfId="5579" xr:uid="{00000000-0005-0000-0000-000066140000}"/>
    <cellStyle name="Normal 4 3 3 2 2 3 3 2" xfId="14008" xr:uid="{5696E68D-678F-4957-9492-3BEE92AE4EC2}"/>
    <cellStyle name="Normal 4 3 3 2 2 3 4" xfId="9790" xr:uid="{EE3A7763-DC63-4760-871D-AC84B59602EF}"/>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2 2 2" xfId="16566" xr:uid="{00771A59-F9C0-4C39-BFBF-65C71B09E548}"/>
    <cellStyle name="Normal 4 3 3 2 2 4 2 3" xfId="12348" xr:uid="{0713627B-5092-4B3E-8640-591DF1DC43A5}"/>
    <cellStyle name="Normal 4 3 3 2 2 4 3" xfId="5992" xr:uid="{00000000-0005-0000-0000-00006A140000}"/>
    <cellStyle name="Normal 4 3 3 2 2 4 3 2" xfId="14421" xr:uid="{1A7910A4-5ADF-4110-8B50-C895CD651190}"/>
    <cellStyle name="Normal 4 3 3 2 2 4 4" xfId="10203" xr:uid="{DB0C5E66-B16F-4D20-BFB7-19BC363BD028}"/>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2 2 2" xfId="16979" xr:uid="{D5AB2CE0-870E-4872-98C5-8646D28DC74B}"/>
    <cellStyle name="Normal 4 3 3 2 2 5 2 3" xfId="12761" xr:uid="{CAC08579-38C4-483E-9CD2-0383CF35DF65}"/>
    <cellStyle name="Normal 4 3 3 2 2 5 3" xfId="6405" xr:uid="{00000000-0005-0000-0000-00006E140000}"/>
    <cellStyle name="Normal 4 3 3 2 2 5 3 2" xfId="14834" xr:uid="{7AFA5F86-9C3D-4380-982E-F3053C8235CE}"/>
    <cellStyle name="Normal 4 3 3 2 2 5 4" xfId="10616" xr:uid="{62AF3A4D-0578-4DEA-8FB3-0B26D61C3A80}"/>
    <cellStyle name="Normal 4 3 3 2 2 6" xfId="2533" xr:uid="{00000000-0005-0000-0000-00006F140000}"/>
    <cellStyle name="Normal 4 3 3 2 2 6 2" xfId="6818" xr:uid="{00000000-0005-0000-0000-000070140000}"/>
    <cellStyle name="Normal 4 3 3 2 2 6 2 2" xfId="15247" xr:uid="{56B50669-E42B-4D8E-8A45-B702145EF027}"/>
    <cellStyle name="Normal 4 3 3 2 2 6 3" xfId="11029" xr:uid="{C22C93FB-DC31-4921-AB15-640026FB76A2}"/>
    <cellStyle name="Normal 4 3 3 2 2 7" xfId="4753" xr:uid="{00000000-0005-0000-0000-000071140000}"/>
    <cellStyle name="Normal 4 3 3 2 2 7 2" xfId="13182" xr:uid="{F5262BD0-7A9C-499D-9E49-D157C1C87C63}"/>
    <cellStyle name="Normal 4 3 3 2 2 8" xfId="8964" xr:uid="{EBE8F2BF-C1DD-4DCD-BCA2-9E1CBCAB9AB5}"/>
    <cellStyle name="Normal 4 3 3 2 3" xfId="851" xr:uid="{00000000-0005-0000-0000-000072140000}"/>
    <cellStyle name="Normal 4 3 3 2 3 2" xfId="3086" xr:uid="{00000000-0005-0000-0000-000073140000}"/>
    <cellStyle name="Normal 4 3 3 2 3 2 2" xfId="7310" xr:uid="{00000000-0005-0000-0000-000074140000}"/>
    <cellStyle name="Normal 4 3 3 2 3 2 2 2" xfId="15739" xr:uid="{64106404-5180-433E-A4E7-A44FE8DD1770}"/>
    <cellStyle name="Normal 4 3 3 2 3 2 3" xfId="11521" xr:uid="{A71A53A6-13AC-42DA-8680-16EE662E7AB5}"/>
    <cellStyle name="Normal 4 3 3 2 3 3" xfId="5165" xr:uid="{00000000-0005-0000-0000-000075140000}"/>
    <cellStyle name="Normal 4 3 3 2 3 3 2" xfId="13594" xr:uid="{793ABABD-88A5-4A4C-98CB-B17F61E3B7EF}"/>
    <cellStyle name="Normal 4 3 3 2 3 4" xfId="9376" xr:uid="{8F70F7CC-346A-4683-8FF2-B238A2D70268}"/>
    <cellStyle name="Normal 4 3 3 2 4" xfId="1269" xr:uid="{00000000-0005-0000-0000-000076140000}"/>
    <cellStyle name="Normal 4 3 3 2 4 2" xfId="3499" xr:uid="{00000000-0005-0000-0000-000077140000}"/>
    <cellStyle name="Normal 4 3 3 2 4 2 2" xfId="7723" xr:uid="{00000000-0005-0000-0000-000078140000}"/>
    <cellStyle name="Normal 4 3 3 2 4 2 2 2" xfId="16152" xr:uid="{D159E09C-4F2B-4629-8DF5-47083283A870}"/>
    <cellStyle name="Normal 4 3 3 2 4 2 3" xfId="11934" xr:uid="{BCDD24D3-A3A9-418B-AAED-2ED6CE185907}"/>
    <cellStyle name="Normal 4 3 3 2 4 3" xfId="5578" xr:uid="{00000000-0005-0000-0000-000079140000}"/>
    <cellStyle name="Normal 4 3 3 2 4 3 2" xfId="14007" xr:uid="{3A47FDCA-8F3A-480A-B10C-584D646B9060}"/>
    <cellStyle name="Normal 4 3 3 2 4 4" xfId="9789" xr:uid="{FF6DD52B-20BD-4E39-BA8D-85FE91381420}"/>
    <cellStyle name="Normal 4 3 3 2 5" xfId="1682" xr:uid="{00000000-0005-0000-0000-00007A140000}"/>
    <cellStyle name="Normal 4 3 3 2 5 2" xfId="3912" xr:uid="{00000000-0005-0000-0000-00007B140000}"/>
    <cellStyle name="Normal 4 3 3 2 5 2 2" xfId="8136" xr:uid="{00000000-0005-0000-0000-00007C140000}"/>
    <cellStyle name="Normal 4 3 3 2 5 2 2 2" xfId="16565" xr:uid="{851ECF51-D6C3-4AD8-AAD4-D1FE569D1386}"/>
    <cellStyle name="Normal 4 3 3 2 5 2 3" xfId="12347" xr:uid="{4DFB5031-BC4F-4202-BFE4-C45291C3B947}"/>
    <cellStyle name="Normal 4 3 3 2 5 3" xfId="5991" xr:uid="{00000000-0005-0000-0000-00007D140000}"/>
    <cellStyle name="Normal 4 3 3 2 5 3 2" xfId="14420" xr:uid="{76D3E1A4-4A23-4A5F-A2FF-7FBA56332BDC}"/>
    <cellStyle name="Normal 4 3 3 2 5 4" xfId="10202" xr:uid="{DD8C765F-43F2-4A6E-B51D-1512C4C470A1}"/>
    <cellStyle name="Normal 4 3 3 2 6" xfId="2096" xr:uid="{00000000-0005-0000-0000-00007E140000}"/>
    <cellStyle name="Normal 4 3 3 2 6 2" xfId="4325" xr:uid="{00000000-0005-0000-0000-00007F140000}"/>
    <cellStyle name="Normal 4 3 3 2 6 2 2" xfId="8549" xr:uid="{00000000-0005-0000-0000-000080140000}"/>
    <cellStyle name="Normal 4 3 3 2 6 2 2 2" xfId="16978" xr:uid="{F0C3BD08-D185-44D6-8D89-D75934A5BFEB}"/>
    <cellStyle name="Normal 4 3 3 2 6 2 3" xfId="12760" xr:uid="{8415FAFE-4D49-4B9B-931A-58431F4F65E7}"/>
    <cellStyle name="Normal 4 3 3 2 6 3" xfId="6404" xr:uid="{00000000-0005-0000-0000-000081140000}"/>
    <cellStyle name="Normal 4 3 3 2 6 3 2" xfId="14833" xr:uid="{5D2479EF-B600-454F-88EF-83AB34990EEE}"/>
    <cellStyle name="Normal 4 3 3 2 6 4" xfId="10615" xr:uid="{803FC2CA-DF90-4436-ADE6-6F12FA15669C}"/>
    <cellStyle name="Normal 4 3 3 2 7" xfId="2532" xr:uid="{00000000-0005-0000-0000-000082140000}"/>
    <cellStyle name="Normal 4 3 3 2 7 2" xfId="6817" xr:uid="{00000000-0005-0000-0000-000083140000}"/>
    <cellStyle name="Normal 4 3 3 2 7 2 2" xfId="15246" xr:uid="{11373C67-5B54-45E2-BBED-85B76F6CE31F}"/>
    <cellStyle name="Normal 4 3 3 2 7 3" xfId="11028" xr:uid="{B9708AA4-3D6A-4197-88BE-2F70C250EA56}"/>
    <cellStyle name="Normal 4 3 3 2 8" xfId="4752" xr:uid="{00000000-0005-0000-0000-000084140000}"/>
    <cellStyle name="Normal 4 3 3 2 8 2" xfId="13181" xr:uid="{083CED76-74A2-4984-8367-8D29F020A344}"/>
    <cellStyle name="Normal 4 3 3 2 9" xfId="8963" xr:uid="{517257C8-89EC-46B2-A4E1-44DAC29772E9}"/>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2 2 2" xfId="15741" xr:uid="{7BE87E8C-8E5E-49AD-9E91-EEBA69314105}"/>
    <cellStyle name="Normal 4 3 3 3 2 2 3" xfId="11523" xr:uid="{CA6315D5-3C36-4EFA-B732-9B55DC46616E}"/>
    <cellStyle name="Normal 4 3 3 3 2 3" xfId="5167" xr:uid="{00000000-0005-0000-0000-000089140000}"/>
    <cellStyle name="Normal 4 3 3 3 2 3 2" xfId="13596" xr:uid="{D6079820-5D72-4D87-8F53-C5F84772F71C}"/>
    <cellStyle name="Normal 4 3 3 3 2 4" xfId="9378" xr:uid="{8354279B-7471-475B-8B9E-B9EA06584C9D}"/>
    <cellStyle name="Normal 4 3 3 3 3" xfId="1271" xr:uid="{00000000-0005-0000-0000-00008A140000}"/>
    <cellStyle name="Normal 4 3 3 3 3 2" xfId="3501" xr:uid="{00000000-0005-0000-0000-00008B140000}"/>
    <cellStyle name="Normal 4 3 3 3 3 2 2" xfId="7725" xr:uid="{00000000-0005-0000-0000-00008C140000}"/>
    <cellStyle name="Normal 4 3 3 3 3 2 2 2" xfId="16154" xr:uid="{AC0E5243-04CD-4ADA-BB4D-2DFD8685EE4E}"/>
    <cellStyle name="Normal 4 3 3 3 3 2 3" xfId="11936" xr:uid="{0F2965FD-736C-4C3E-B352-4F811997E4B3}"/>
    <cellStyle name="Normal 4 3 3 3 3 3" xfId="5580" xr:uid="{00000000-0005-0000-0000-00008D140000}"/>
    <cellStyle name="Normal 4 3 3 3 3 3 2" xfId="14009" xr:uid="{161A1CEF-0A66-4A81-9350-4300F561C91B}"/>
    <cellStyle name="Normal 4 3 3 3 3 4" xfId="9791" xr:uid="{671FDB93-C1BE-4F78-8DA2-62904239B009}"/>
    <cellStyle name="Normal 4 3 3 3 4" xfId="1684" xr:uid="{00000000-0005-0000-0000-00008E140000}"/>
    <cellStyle name="Normal 4 3 3 3 4 2" xfId="3914" xr:uid="{00000000-0005-0000-0000-00008F140000}"/>
    <cellStyle name="Normal 4 3 3 3 4 2 2" xfId="8138" xr:uid="{00000000-0005-0000-0000-000090140000}"/>
    <cellStyle name="Normal 4 3 3 3 4 2 2 2" xfId="16567" xr:uid="{2238C797-6870-4F0D-B1AD-540F43751BAF}"/>
    <cellStyle name="Normal 4 3 3 3 4 2 3" xfId="12349" xr:uid="{9DC25212-5C69-49B3-BB28-8EAA13EA2F34}"/>
    <cellStyle name="Normal 4 3 3 3 4 3" xfId="5993" xr:uid="{00000000-0005-0000-0000-000091140000}"/>
    <cellStyle name="Normal 4 3 3 3 4 3 2" xfId="14422" xr:uid="{D6F10E2D-3773-4261-A80A-9C6241C5C937}"/>
    <cellStyle name="Normal 4 3 3 3 4 4" xfId="10204" xr:uid="{8241DCB2-EB86-41C6-A8DE-1901FE6BA0E1}"/>
    <cellStyle name="Normal 4 3 3 3 5" xfId="2098" xr:uid="{00000000-0005-0000-0000-000092140000}"/>
    <cellStyle name="Normal 4 3 3 3 5 2" xfId="4327" xr:uid="{00000000-0005-0000-0000-000093140000}"/>
    <cellStyle name="Normal 4 3 3 3 5 2 2" xfId="8551" xr:uid="{00000000-0005-0000-0000-000094140000}"/>
    <cellStyle name="Normal 4 3 3 3 5 2 2 2" xfId="16980" xr:uid="{6E772F58-2C7B-4C9A-B6BB-BD9C56AA69D2}"/>
    <cellStyle name="Normal 4 3 3 3 5 2 3" xfId="12762" xr:uid="{0C0687EF-670A-4135-9C45-CB0B80273581}"/>
    <cellStyle name="Normal 4 3 3 3 5 3" xfId="6406" xr:uid="{00000000-0005-0000-0000-000095140000}"/>
    <cellStyle name="Normal 4 3 3 3 5 3 2" xfId="14835" xr:uid="{DFC205CE-21ED-45BF-812D-C0E94E790D39}"/>
    <cellStyle name="Normal 4 3 3 3 5 4" xfId="10617" xr:uid="{DEBECC59-D49D-4ADD-B472-7E4E578D02A7}"/>
    <cellStyle name="Normal 4 3 3 3 6" xfId="2534" xr:uid="{00000000-0005-0000-0000-000096140000}"/>
    <cellStyle name="Normal 4 3 3 3 6 2" xfId="6819" xr:uid="{00000000-0005-0000-0000-000097140000}"/>
    <cellStyle name="Normal 4 3 3 3 6 2 2" xfId="15248" xr:uid="{7B15529A-FF1B-4089-A8FB-2C61E9313980}"/>
    <cellStyle name="Normal 4 3 3 3 6 3" xfId="11030" xr:uid="{E0DED2C2-9DFB-4566-88E6-52D9F60C6065}"/>
    <cellStyle name="Normal 4 3 3 3 7" xfId="4754" xr:uid="{00000000-0005-0000-0000-000098140000}"/>
    <cellStyle name="Normal 4 3 3 3 7 2" xfId="13183" xr:uid="{17AC3B90-FDE1-4775-8798-A05AD71518A9}"/>
    <cellStyle name="Normal 4 3 3 3 8" xfId="8965" xr:uid="{39B31ADD-9B5E-4F02-9351-71128B279246}"/>
    <cellStyle name="Normal 4 3 3 4" xfId="850" xr:uid="{00000000-0005-0000-0000-000099140000}"/>
    <cellStyle name="Normal 4 3 3 4 2" xfId="3085" xr:uid="{00000000-0005-0000-0000-00009A140000}"/>
    <cellStyle name="Normal 4 3 3 4 2 2" xfId="7309" xr:uid="{00000000-0005-0000-0000-00009B140000}"/>
    <cellStyle name="Normal 4 3 3 4 2 2 2" xfId="15738" xr:uid="{AD4BB121-6C8F-42F0-9373-23A2A8805AAD}"/>
    <cellStyle name="Normal 4 3 3 4 2 3" xfId="11520" xr:uid="{E9EB4839-ADA6-4BB1-8CAD-67261F983389}"/>
    <cellStyle name="Normal 4 3 3 4 3" xfId="5164" xr:uid="{00000000-0005-0000-0000-00009C140000}"/>
    <cellStyle name="Normal 4 3 3 4 3 2" xfId="13593" xr:uid="{A61F9557-E9A2-4E2D-896F-CEB4437BF612}"/>
    <cellStyle name="Normal 4 3 3 4 4" xfId="9375" xr:uid="{18F61D20-795C-4E28-93F8-7C8838F0FA23}"/>
    <cellStyle name="Normal 4 3 3 5" xfId="1268" xr:uid="{00000000-0005-0000-0000-00009D140000}"/>
    <cellStyle name="Normal 4 3 3 5 2" xfId="3498" xr:uid="{00000000-0005-0000-0000-00009E140000}"/>
    <cellStyle name="Normal 4 3 3 5 2 2" xfId="7722" xr:uid="{00000000-0005-0000-0000-00009F140000}"/>
    <cellStyle name="Normal 4 3 3 5 2 2 2" xfId="16151" xr:uid="{31AC1E42-FBB7-46AF-8712-E7431C919DFC}"/>
    <cellStyle name="Normal 4 3 3 5 2 3" xfId="11933" xr:uid="{7480DF6B-2C63-4ED4-90D8-B6F5AD3307C8}"/>
    <cellStyle name="Normal 4 3 3 5 3" xfId="5577" xr:uid="{00000000-0005-0000-0000-0000A0140000}"/>
    <cellStyle name="Normal 4 3 3 5 3 2" xfId="14006" xr:uid="{AC11E49C-F0BB-4161-A3F9-203C825728EE}"/>
    <cellStyle name="Normal 4 3 3 5 4" xfId="9788" xr:uid="{DAEA5BB1-FE2E-4805-9C14-21DBE7F95851}"/>
    <cellStyle name="Normal 4 3 3 6" xfId="1681" xr:uid="{00000000-0005-0000-0000-0000A1140000}"/>
    <cellStyle name="Normal 4 3 3 6 2" xfId="3911" xr:uid="{00000000-0005-0000-0000-0000A2140000}"/>
    <cellStyle name="Normal 4 3 3 6 2 2" xfId="8135" xr:uid="{00000000-0005-0000-0000-0000A3140000}"/>
    <cellStyle name="Normal 4 3 3 6 2 2 2" xfId="16564" xr:uid="{878FABB4-ABD2-4A34-BE3A-B03BB1AA41DF}"/>
    <cellStyle name="Normal 4 3 3 6 2 3" xfId="12346" xr:uid="{545FA2EA-CFA5-4F34-8CAF-4D4D6B28700F}"/>
    <cellStyle name="Normal 4 3 3 6 3" xfId="5990" xr:uid="{00000000-0005-0000-0000-0000A4140000}"/>
    <cellStyle name="Normal 4 3 3 6 3 2" xfId="14419" xr:uid="{ABCF769D-3829-4956-9213-0DD10AA26834}"/>
    <cellStyle name="Normal 4 3 3 6 4" xfId="10201" xr:uid="{83DDBAD0-7582-4D14-8884-C339C56EC8E9}"/>
    <cellStyle name="Normal 4 3 3 7" xfId="2095" xr:uid="{00000000-0005-0000-0000-0000A5140000}"/>
    <cellStyle name="Normal 4 3 3 7 2" xfId="4324" xr:uid="{00000000-0005-0000-0000-0000A6140000}"/>
    <cellStyle name="Normal 4 3 3 7 2 2" xfId="8548" xr:uid="{00000000-0005-0000-0000-0000A7140000}"/>
    <cellStyle name="Normal 4 3 3 7 2 2 2" xfId="16977" xr:uid="{E32C3D8B-F8C4-4981-AF00-5B05506972A8}"/>
    <cellStyle name="Normal 4 3 3 7 2 3" xfId="12759" xr:uid="{2949D786-6AE5-4CE0-9DC8-994A9E7D42D4}"/>
    <cellStyle name="Normal 4 3 3 7 3" xfId="6403" xr:uid="{00000000-0005-0000-0000-0000A8140000}"/>
    <cellStyle name="Normal 4 3 3 7 3 2" xfId="14832" xr:uid="{761C482E-BA26-4A64-B3FE-A1229880F03B}"/>
    <cellStyle name="Normal 4 3 3 7 4" xfId="10614" xr:uid="{FABDF0F8-8C53-49D5-B00A-07F6320BA1B9}"/>
    <cellStyle name="Normal 4 3 3 8" xfId="2531" xr:uid="{00000000-0005-0000-0000-0000A9140000}"/>
    <cellStyle name="Normal 4 3 3 8 2" xfId="6816" xr:uid="{00000000-0005-0000-0000-0000AA140000}"/>
    <cellStyle name="Normal 4 3 3 8 2 2" xfId="15245" xr:uid="{19FFC6BE-F0DB-4AFC-8305-9C6234032C3D}"/>
    <cellStyle name="Normal 4 3 3 8 3" xfId="11027" xr:uid="{D6C6DE88-CBF5-47DE-95A7-E71D608F173D}"/>
    <cellStyle name="Normal 4 3 3 9" xfId="4751" xr:uid="{00000000-0005-0000-0000-0000AB140000}"/>
    <cellStyle name="Normal 4 3 3 9 2" xfId="13180" xr:uid="{C8AB8A4E-A07E-4CEE-BAD4-DD4A98EFBB04}"/>
    <cellStyle name="Normal 4 3 4" xfId="843" xr:uid="{00000000-0005-0000-0000-0000AC140000}"/>
    <cellStyle name="Normal 4 3 4 2" xfId="3080" xr:uid="{00000000-0005-0000-0000-0000AD140000}"/>
    <cellStyle name="Normal 4 3 4 2 2" xfId="7304" xr:uid="{00000000-0005-0000-0000-0000AE140000}"/>
    <cellStyle name="Normal 4 3 4 2 2 2" xfId="15733" xr:uid="{F9B0F2CB-ECA3-47AA-9280-8A155B784B8B}"/>
    <cellStyle name="Normal 4 3 4 2 3" xfId="11515" xr:uid="{076DB743-E3CF-4021-9FC6-F926530205BA}"/>
    <cellStyle name="Normal 4 3 4 3" xfId="5159" xr:uid="{00000000-0005-0000-0000-0000AF140000}"/>
    <cellStyle name="Normal 4 3 4 3 2" xfId="13588" xr:uid="{2E8D314F-84F0-4472-93A6-E7B392E5229E}"/>
    <cellStyle name="Normal 4 3 4 4" xfId="9370" xr:uid="{390E2D98-EE20-42CE-8CD0-926F8DE501D8}"/>
    <cellStyle name="Normal 4 3 5" xfId="1263" xr:uid="{00000000-0005-0000-0000-0000B0140000}"/>
    <cellStyle name="Normal 4 3 5 2" xfId="3493" xr:uid="{00000000-0005-0000-0000-0000B1140000}"/>
    <cellStyle name="Normal 4 3 5 2 2" xfId="7717" xr:uid="{00000000-0005-0000-0000-0000B2140000}"/>
    <cellStyle name="Normal 4 3 5 2 2 2" xfId="16146" xr:uid="{04063C07-3D9A-4469-94D5-008C234E7E55}"/>
    <cellStyle name="Normal 4 3 5 2 3" xfId="11928" xr:uid="{C0E4DA57-F421-4E2D-9D6B-E90CAAA10D47}"/>
    <cellStyle name="Normal 4 3 5 3" xfId="5572" xr:uid="{00000000-0005-0000-0000-0000B3140000}"/>
    <cellStyle name="Normal 4 3 5 3 2" xfId="14001" xr:uid="{80C5DD0F-1C78-4786-A5E1-479A117FAAB4}"/>
    <cellStyle name="Normal 4 3 5 4" xfId="9783" xr:uid="{7A5CC1CC-AF7F-4B8E-8068-F311B3FA4371}"/>
    <cellStyle name="Normal 4 3 6" xfId="1676" xr:uid="{00000000-0005-0000-0000-0000B4140000}"/>
    <cellStyle name="Normal 4 3 6 2" xfId="3906" xr:uid="{00000000-0005-0000-0000-0000B5140000}"/>
    <cellStyle name="Normal 4 3 6 2 2" xfId="8130" xr:uid="{00000000-0005-0000-0000-0000B6140000}"/>
    <cellStyle name="Normal 4 3 6 2 2 2" xfId="16559" xr:uid="{200832BA-2AEB-45D8-A773-AE5F5291A0C9}"/>
    <cellStyle name="Normal 4 3 6 2 3" xfId="12341" xr:uid="{0B416EE7-2165-482D-A6B7-7EB2CB68B2DA}"/>
    <cellStyle name="Normal 4 3 6 3" xfId="5985" xr:uid="{00000000-0005-0000-0000-0000B7140000}"/>
    <cellStyle name="Normal 4 3 6 3 2" xfId="14414" xr:uid="{AF6D1764-EFA4-40D3-B16D-E1F0D5E8678F}"/>
    <cellStyle name="Normal 4 3 6 4" xfId="10196" xr:uid="{A3FCE776-D123-4BFE-8F0C-999DBE4B2C80}"/>
    <cellStyle name="Normal 4 3 7" xfId="2090" xr:uid="{00000000-0005-0000-0000-0000B8140000}"/>
    <cellStyle name="Normal 4 3 7 2" xfId="4319" xr:uid="{00000000-0005-0000-0000-0000B9140000}"/>
    <cellStyle name="Normal 4 3 7 2 2" xfId="8543" xr:uid="{00000000-0005-0000-0000-0000BA140000}"/>
    <cellStyle name="Normal 4 3 7 2 2 2" xfId="16972" xr:uid="{CCC50735-9F52-43A2-B719-FB132640C560}"/>
    <cellStyle name="Normal 4 3 7 2 3" xfId="12754" xr:uid="{48FD3619-2266-4AB9-A984-EA5A3E81781D}"/>
    <cellStyle name="Normal 4 3 7 3" xfId="6398" xr:uid="{00000000-0005-0000-0000-0000BB140000}"/>
    <cellStyle name="Normal 4 3 7 3 2" xfId="14827" xr:uid="{AA0F30DE-8FF6-442A-A826-9F689B5254EA}"/>
    <cellStyle name="Normal 4 3 7 4" xfId="10609" xr:uid="{98900040-2A86-414C-9497-98192474DF75}"/>
    <cellStyle name="Normal 4 3 8" xfId="2526" xr:uid="{00000000-0005-0000-0000-0000BC140000}"/>
    <cellStyle name="Normal 4 3 8 2" xfId="6811" xr:uid="{00000000-0005-0000-0000-0000BD140000}"/>
    <cellStyle name="Normal 4 3 8 2 2" xfId="15240" xr:uid="{26030601-10A7-4D00-A191-855A7CFD7E6A}"/>
    <cellStyle name="Normal 4 3 8 3" xfId="11022" xr:uid="{246FB47D-A96B-4ABD-9094-FE1344ED88C2}"/>
    <cellStyle name="Normal 4 3 9" xfId="4746" xr:uid="{00000000-0005-0000-0000-0000BE140000}"/>
    <cellStyle name="Normal 4 3 9 2" xfId="13175" xr:uid="{9C5E2EC9-0083-4EF0-B977-B5138613313B}"/>
    <cellStyle name="Normal 4 4" xfId="378" xr:uid="{00000000-0005-0000-0000-0000BF140000}"/>
    <cellStyle name="Normal 4 4 10" xfId="2535" xr:uid="{00000000-0005-0000-0000-0000C0140000}"/>
    <cellStyle name="Normal 4 4 10 2" xfId="6820" xr:uid="{00000000-0005-0000-0000-0000C1140000}"/>
    <cellStyle name="Normal 4 4 10 2 2" xfId="15249" xr:uid="{B52441C5-E820-4174-822C-FF7F45EDEDED}"/>
    <cellStyle name="Normal 4 4 10 3" xfId="11031" xr:uid="{4A3B2BFC-1D17-4879-9A4A-580631D6280F}"/>
    <cellStyle name="Normal 4 4 11" xfId="4755" xr:uid="{00000000-0005-0000-0000-0000C2140000}"/>
    <cellStyle name="Normal 4 4 11 2" xfId="13184" xr:uid="{C4009C24-4FE7-4710-93A7-428C3C61CFE3}"/>
    <cellStyle name="Normal 4 4 12" xfId="8966" xr:uid="{AB3A24ED-A240-4A92-8E02-2A6E8A81AE67}"/>
    <cellStyle name="Normal 4 4 2" xfId="379" xr:uid="{00000000-0005-0000-0000-0000C3140000}"/>
    <cellStyle name="Normal 4 4 2 10" xfId="4756" xr:uid="{00000000-0005-0000-0000-0000C4140000}"/>
    <cellStyle name="Normal 4 4 2 10 2" xfId="13185" xr:uid="{B43F8C6A-FB92-4B43-BE78-BC9471A8C354}"/>
    <cellStyle name="Normal 4 4 2 11" xfId="8967" xr:uid="{D8394CD5-981F-40AC-84E1-BE93BF4FAB08}"/>
    <cellStyle name="Normal 4 4 2 2" xfId="380" xr:uid="{00000000-0005-0000-0000-0000C5140000}"/>
    <cellStyle name="Normal 4 4 2 2 10" xfId="8968" xr:uid="{1A390D64-E5FE-41D1-8587-D4B4D366018C}"/>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2 2 2" xfId="15746" xr:uid="{8055C855-DA98-4EAC-A35D-A9660A0F0C7A}"/>
    <cellStyle name="Normal 4 4 2 2 2 2 2 2 3" xfId="11528" xr:uid="{ED6DB44D-7888-4529-B55A-59A1CBF0380A}"/>
    <cellStyle name="Normal 4 4 2 2 2 2 2 3" xfId="5172" xr:uid="{00000000-0005-0000-0000-0000CB140000}"/>
    <cellStyle name="Normal 4 4 2 2 2 2 2 3 2" xfId="13601" xr:uid="{E389C75D-013C-4805-8260-8E03DF0E5030}"/>
    <cellStyle name="Normal 4 4 2 2 2 2 2 4" xfId="9383" xr:uid="{71D8764E-BC8C-43C1-B013-452BA8179B01}"/>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2 2 2" xfId="16159" xr:uid="{15014DBC-06E2-4F9D-84CD-672DC22A14D2}"/>
    <cellStyle name="Normal 4 4 2 2 2 2 3 2 3" xfId="11941" xr:uid="{9CBD8CE7-8A1E-44ED-AC04-F3857DAC249C}"/>
    <cellStyle name="Normal 4 4 2 2 2 2 3 3" xfId="5585" xr:uid="{00000000-0005-0000-0000-0000CF140000}"/>
    <cellStyle name="Normal 4 4 2 2 2 2 3 3 2" xfId="14014" xr:uid="{A20FEFF6-AF69-4B89-9238-0C8110E1A760}"/>
    <cellStyle name="Normal 4 4 2 2 2 2 3 4" xfId="9796" xr:uid="{1A5DF9C4-DB9D-4341-8DB2-BA5815ACF408}"/>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2 2 2" xfId="16572" xr:uid="{DF08807C-1070-4EEE-8C45-2B64FCA589D4}"/>
    <cellStyle name="Normal 4 4 2 2 2 2 4 2 3" xfId="12354" xr:uid="{3B326777-0A72-40AF-B3A6-4A4847377077}"/>
    <cellStyle name="Normal 4 4 2 2 2 2 4 3" xfId="5998" xr:uid="{00000000-0005-0000-0000-0000D3140000}"/>
    <cellStyle name="Normal 4 4 2 2 2 2 4 3 2" xfId="14427" xr:uid="{DCA6F4B2-5BF1-48CF-B69E-601AFE833C62}"/>
    <cellStyle name="Normal 4 4 2 2 2 2 4 4" xfId="10209" xr:uid="{407319A8-B6C1-436F-A346-A4DC31A8A8C6}"/>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2 2 2" xfId="16985" xr:uid="{CB841116-67FC-4BDA-80E0-493E776A5272}"/>
    <cellStyle name="Normal 4 4 2 2 2 2 5 2 3" xfId="12767" xr:uid="{7DF3AED0-D141-4B17-B3D9-A1CC4E876DED}"/>
    <cellStyle name="Normal 4 4 2 2 2 2 5 3" xfId="6411" xr:uid="{00000000-0005-0000-0000-0000D7140000}"/>
    <cellStyle name="Normal 4 4 2 2 2 2 5 3 2" xfId="14840" xr:uid="{EA765AA6-137E-4EED-A2EB-10DA80DE0D88}"/>
    <cellStyle name="Normal 4 4 2 2 2 2 5 4" xfId="10622" xr:uid="{3258110F-1FBC-4494-93FE-A376660E5E62}"/>
    <cellStyle name="Normal 4 4 2 2 2 2 6" xfId="2539" xr:uid="{00000000-0005-0000-0000-0000D8140000}"/>
    <cellStyle name="Normal 4 4 2 2 2 2 6 2" xfId="6824" xr:uid="{00000000-0005-0000-0000-0000D9140000}"/>
    <cellStyle name="Normal 4 4 2 2 2 2 6 2 2" xfId="15253" xr:uid="{2B4E755A-B35C-4962-96FE-9B25CF1AA8D2}"/>
    <cellStyle name="Normal 4 4 2 2 2 2 6 3" xfId="11035" xr:uid="{48480AA0-EEFA-4C47-807D-CE6E0FE13DE4}"/>
    <cellStyle name="Normal 4 4 2 2 2 2 7" xfId="4759" xr:uid="{00000000-0005-0000-0000-0000DA140000}"/>
    <cellStyle name="Normal 4 4 2 2 2 2 7 2" xfId="13188" xr:uid="{8643D19A-927E-42F2-B296-F8E92A8E792F}"/>
    <cellStyle name="Normal 4 4 2 2 2 2 8" xfId="8970" xr:uid="{732458DA-43D1-480F-88B9-BE4BCD651887}"/>
    <cellStyle name="Normal 4 4 2 2 2 3" xfId="857" xr:uid="{00000000-0005-0000-0000-0000DB140000}"/>
    <cellStyle name="Normal 4 4 2 2 2 3 2" xfId="3092" xr:uid="{00000000-0005-0000-0000-0000DC140000}"/>
    <cellStyle name="Normal 4 4 2 2 2 3 2 2" xfId="7316" xr:uid="{00000000-0005-0000-0000-0000DD140000}"/>
    <cellStyle name="Normal 4 4 2 2 2 3 2 2 2" xfId="15745" xr:uid="{EE84CB94-7D2C-4D92-BCC9-E6395307F860}"/>
    <cellStyle name="Normal 4 4 2 2 2 3 2 3" xfId="11527" xr:uid="{DF38A926-B783-4E17-B97C-CAC98457B47D}"/>
    <cellStyle name="Normal 4 4 2 2 2 3 3" xfId="5171" xr:uid="{00000000-0005-0000-0000-0000DE140000}"/>
    <cellStyle name="Normal 4 4 2 2 2 3 3 2" xfId="13600" xr:uid="{38B7D635-C033-40ED-947B-103AF910F084}"/>
    <cellStyle name="Normal 4 4 2 2 2 3 4" xfId="9382" xr:uid="{6D59E9EE-846B-432B-BCBA-BA76228B2B9E}"/>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2 2 2" xfId="16158" xr:uid="{0A4F4872-5B14-4D59-8011-5B9F1B4C6D25}"/>
    <cellStyle name="Normal 4 4 2 2 2 4 2 3" xfId="11940" xr:uid="{D876DE1F-AD3C-4E19-A611-854448FE183B}"/>
    <cellStyle name="Normal 4 4 2 2 2 4 3" xfId="5584" xr:uid="{00000000-0005-0000-0000-0000E2140000}"/>
    <cellStyle name="Normal 4 4 2 2 2 4 3 2" xfId="14013" xr:uid="{D81CF871-3078-49C3-94E1-858212D0DC49}"/>
    <cellStyle name="Normal 4 4 2 2 2 4 4" xfId="9795" xr:uid="{FC90189D-B49F-4282-9126-564CF1C27551}"/>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2 2 2" xfId="16571" xr:uid="{8B73098F-66E2-4516-92CD-0DB9C613434D}"/>
    <cellStyle name="Normal 4 4 2 2 2 5 2 3" xfId="12353" xr:uid="{841C96F3-B74F-4CD7-BDFD-071D4354E232}"/>
    <cellStyle name="Normal 4 4 2 2 2 5 3" xfId="5997" xr:uid="{00000000-0005-0000-0000-0000E6140000}"/>
    <cellStyle name="Normal 4 4 2 2 2 5 3 2" xfId="14426" xr:uid="{B8DA6C22-F554-4A73-AC2D-6941889A01A0}"/>
    <cellStyle name="Normal 4 4 2 2 2 5 4" xfId="10208" xr:uid="{229E5ED8-868E-4EC7-B7EE-EC9710B414C5}"/>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2 2 2" xfId="16984" xr:uid="{973BB684-71CD-44F1-B2D7-105C02D773B1}"/>
    <cellStyle name="Normal 4 4 2 2 2 6 2 3" xfId="12766" xr:uid="{43530D03-69A3-4F4B-B667-C6E8C39F0189}"/>
    <cellStyle name="Normal 4 4 2 2 2 6 3" xfId="6410" xr:uid="{00000000-0005-0000-0000-0000EA140000}"/>
    <cellStyle name="Normal 4 4 2 2 2 6 3 2" xfId="14839" xr:uid="{D722434F-6068-4A58-9A2B-82E8FC8B0FEB}"/>
    <cellStyle name="Normal 4 4 2 2 2 6 4" xfId="10621" xr:uid="{BA7A12FC-1C5F-40E1-9918-9100D65C509C}"/>
    <cellStyle name="Normal 4 4 2 2 2 7" xfId="2538" xr:uid="{00000000-0005-0000-0000-0000EB140000}"/>
    <cellStyle name="Normal 4 4 2 2 2 7 2" xfId="6823" xr:uid="{00000000-0005-0000-0000-0000EC140000}"/>
    <cellStyle name="Normal 4 4 2 2 2 7 2 2" xfId="15252" xr:uid="{C816509D-8254-48EE-AB69-F8AB04E7A0A3}"/>
    <cellStyle name="Normal 4 4 2 2 2 7 3" xfId="11034" xr:uid="{213FCC2B-2365-4DB7-826B-30C9BD4B4CB1}"/>
    <cellStyle name="Normal 4 4 2 2 2 8" xfId="4758" xr:uid="{00000000-0005-0000-0000-0000ED140000}"/>
    <cellStyle name="Normal 4 4 2 2 2 8 2" xfId="13187" xr:uid="{A4E38640-E83D-44A0-80D5-6BE4530494AA}"/>
    <cellStyle name="Normal 4 4 2 2 2 9" xfId="8969" xr:uid="{B5667057-2FA4-4644-8289-57EEE543E73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2 2 2" xfId="15747" xr:uid="{AD8F68D7-F3B0-4AED-B1E4-DBC51D9FC661}"/>
    <cellStyle name="Normal 4 4 2 2 3 2 2 3" xfId="11529" xr:uid="{C18EF115-810B-4109-A71B-E12E9178C926}"/>
    <cellStyle name="Normal 4 4 2 2 3 2 3" xfId="5173" xr:uid="{00000000-0005-0000-0000-0000F2140000}"/>
    <cellStyle name="Normal 4 4 2 2 3 2 3 2" xfId="13602" xr:uid="{9707E2AA-DBEB-45B4-91B0-28C714C10B31}"/>
    <cellStyle name="Normal 4 4 2 2 3 2 4" xfId="9384" xr:uid="{38B272DC-BD47-4762-8714-FE45F8C1E0B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2 2 2" xfId="16160" xr:uid="{B69987C7-9466-4F51-A31B-7E1487C58E59}"/>
    <cellStyle name="Normal 4 4 2 2 3 3 2 3" xfId="11942" xr:uid="{D503D44B-C1EB-41B2-ABBD-C6BB72F4EF46}"/>
    <cellStyle name="Normal 4 4 2 2 3 3 3" xfId="5586" xr:uid="{00000000-0005-0000-0000-0000F6140000}"/>
    <cellStyle name="Normal 4 4 2 2 3 3 3 2" xfId="14015" xr:uid="{1AF3E257-97F9-48A0-BA3E-624ACCD92503}"/>
    <cellStyle name="Normal 4 4 2 2 3 3 4" xfId="9797" xr:uid="{F6930B22-5DED-42B2-9AB0-2E0AE483BE8B}"/>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2 2 2" xfId="16573" xr:uid="{1D75F346-473A-4B5B-83B6-F69E05902C93}"/>
    <cellStyle name="Normal 4 4 2 2 3 4 2 3" xfId="12355" xr:uid="{E3D13E58-DD7C-41D4-B3BD-CFBE1011F066}"/>
    <cellStyle name="Normal 4 4 2 2 3 4 3" xfId="5999" xr:uid="{00000000-0005-0000-0000-0000FA140000}"/>
    <cellStyle name="Normal 4 4 2 2 3 4 3 2" xfId="14428" xr:uid="{09958EB8-B032-4091-A443-ADC37CA1D328}"/>
    <cellStyle name="Normal 4 4 2 2 3 4 4" xfId="10210" xr:uid="{94AAACC9-167F-4A7D-9D04-8A9146F4A6B3}"/>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2 2 2" xfId="16986" xr:uid="{D12AFE4E-3A2E-42D9-A537-D5B307D7D389}"/>
    <cellStyle name="Normal 4 4 2 2 3 5 2 3" xfId="12768" xr:uid="{DC828B77-9DCB-43E2-A20C-F9E42C71688F}"/>
    <cellStyle name="Normal 4 4 2 2 3 5 3" xfId="6412" xr:uid="{00000000-0005-0000-0000-0000FE140000}"/>
    <cellStyle name="Normal 4 4 2 2 3 5 3 2" xfId="14841" xr:uid="{27D40249-10E0-4A27-940F-537E9787A736}"/>
    <cellStyle name="Normal 4 4 2 2 3 5 4" xfId="10623" xr:uid="{5B1ECF44-5FC1-44BA-81F8-ECAB73581D35}"/>
    <cellStyle name="Normal 4 4 2 2 3 6" xfId="2540" xr:uid="{00000000-0005-0000-0000-0000FF140000}"/>
    <cellStyle name="Normal 4 4 2 2 3 6 2" xfId="6825" xr:uid="{00000000-0005-0000-0000-000000150000}"/>
    <cellStyle name="Normal 4 4 2 2 3 6 2 2" xfId="15254" xr:uid="{913DA3E0-7181-4CC7-84B8-482BE558DDCC}"/>
    <cellStyle name="Normal 4 4 2 2 3 6 3" xfId="11036" xr:uid="{4786A765-C9FD-4C9C-8600-760017A41F30}"/>
    <cellStyle name="Normal 4 4 2 2 3 7" xfId="4760" xr:uid="{00000000-0005-0000-0000-000001150000}"/>
    <cellStyle name="Normal 4 4 2 2 3 7 2" xfId="13189" xr:uid="{D2B091F2-2116-492A-AB58-496F89F655B5}"/>
    <cellStyle name="Normal 4 4 2 2 3 8" xfId="8971" xr:uid="{3183B815-2A0C-4977-870A-1B8ADA0350FC}"/>
    <cellStyle name="Normal 4 4 2 2 4" xfId="856" xr:uid="{00000000-0005-0000-0000-000002150000}"/>
    <cellStyle name="Normal 4 4 2 2 4 2" xfId="3091" xr:uid="{00000000-0005-0000-0000-000003150000}"/>
    <cellStyle name="Normal 4 4 2 2 4 2 2" xfId="7315" xr:uid="{00000000-0005-0000-0000-000004150000}"/>
    <cellStyle name="Normal 4 4 2 2 4 2 2 2" xfId="15744" xr:uid="{69134537-B90F-4804-90FF-FFBB99B2393B}"/>
    <cellStyle name="Normal 4 4 2 2 4 2 3" xfId="11526" xr:uid="{D1984662-0699-4808-9092-80F19C0161FA}"/>
    <cellStyle name="Normal 4 4 2 2 4 3" xfId="5170" xr:uid="{00000000-0005-0000-0000-000005150000}"/>
    <cellStyle name="Normal 4 4 2 2 4 3 2" xfId="13599" xr:uid="{68197466-094E-4C64-B7D7-3F03ABF4136E}"/>
    <cellStyle name="Normal 4 4 2 2 4 4" xfId="9381" xr:uid="{E3AEA131-6553-4399-84DD-6E9033951BCE}"/>
    <cellStyle name="Normal 4 4 2 2 5" xfId="1274" xr:uid="{00000000-0005-0000-0000-000006150000}"/>
    <cellStyle name="Normal 4 4 2 2 5 2" xfId="3504" xr:uid="{00000000-0005-0000-0000-000007150000}"/>
    <cellStyle name="Normal 4 4 2 2 5 2 2" xfId="7728" xr:uid="{00000000-0005-0000-0000-000008150000}"/>
    <cellStyle name="Normal 4 4 2 2 5 2 2 2" xfId="16157" xr:uid="{AEA83DF7-C2B0-4393-828D-7FE23815AEE9}"/>
    <cellStyle name="Normal 4 4 2 2 5 2 3" xfId="11939" xr:uid="{D9A886DD-C2AE-4261-8622-3DAFD2CE7549}"/>
    <cellStyle name="Normal 4 4 2 2 5 3" xfId="5583" xr:uid="{00000000-0005-0000-0000-000009150000}"/>
    <cellStyle name="Normal 4 4 2 2 5 3 2" xfId="14012" xr:uid="{D25D9973-EA15-429F-88DB-DBED6C5A407A}"/>
    <cellStyle name="Normal 4 4 2 2 5 4" xfId="9794" xr:uid="{92D32481-D6FA-4DD8-8A69-52F77A9765B4}"/>
    <cellStyle name="Normal 4 4 2 2 6" xfId="1687" xr:uid="{00000000-0005-0000-0000-00000A150000}"/>
    <cellStyle name="Normal 4 4 2 2 6 2" xfId="3917" xr:uid="{00000000-0005-0000-0000-00000B150000}"/>
    <cellStyle name="Normal 4 4 2 2 6 2 2" xfId="8141" xr:uid="{00000000-0005-0000-0000-00000C150000}"/>
    <cellStyle name="Normal 4 4 2 2 6 2 2 2" xfId="16570" xr:uid="{3AC8305A-2E61-4339-8A68-5DDB9C7ECDDD}"/>
    <cellStyle name="Normal 4 4 2 2 6 2 3" xfId="12352" xr:uid="{CFE6045B-E351-48A0-8C07-A8AF86F62F5A}"/>
    <cellStyle name="Normal 4 4 2 2 6 3" xfId="5996" xr:uid="{00000000-0005-0000-0000-00000D150000}"/>
    <cellStyle name="Normal 4 4 2 2 6 3 2" xfId="14425" xr:uid="{5554FA31-27BE-493A-8E16-D2964D7EA9D7}"/>
    <cellStyle name="Normal 4 4 2 2 6 4" xfId="10207" xr:uid="{F513E773-A68D-4434-914F-01748421F420}"/>
    <cellStyle name="Normal 4 4 2 2 7" xfId="2101" xr:uid="{00000000-0005-0000-0000-00000E150000}"/>
    <cellStyle name="Normal 4 4 2 2 7 2" xfId="4330" xr:uid="{00000000-0005-0000-0000-00000F150000}"/>
    <cellStyle name="Normal 4 4 2 2 7 2 2" xfId="8554" xr:uid="{00000000-0005-0000-0000-000010150000}"/>
    <cellStyle name="Normal 4 4 2 2 7 2 2 2" xfId="16983" xr:uid="{D73087F7-631B-49B7-A854-60630EE29DFF}"/>
    <cellStyle name="Normal 4 4 2 2 7 2 3" xfId="12765" xr:uid="{E6CDC185-9F4D-4B83-B978-B209D17391A2}"/>
    <cellStyle name="Normal 4 4 2 2 7 3" xfId="6409" xr:uid="{00000000-0005-0000-0000-000011150000}"/>
    <cellStyle name="Normal 4 4 2 2 7 3 2" xfId="14838" xr:uid="{379FED74-F9F0-402A-8C0C-C423A3CE7FF3}"/>
    <cellStyle name="Normal 4 4 2 2 7 4" xfId="10620" xr:uid="{FC533E60-359F-4E9C-8D0D-D6F7EB849FA8}"/>
    <cellStyle name="Normal 4 4 2 2 8" xfId="2537" xr:uid="{00000000-0005-0000-0000-000012150000}"/>
    <cellStyle name="Normal 4 4 2 2 8 2" xfId="6822" xr:uid="{00000000-0005-0000-0000-000013150000}"/>
    <cellStyle name="Normal 4 4 2 2 8 2 2" xfId="15251" xr:uid="{47B89664-17F0-46D3-8CFC-3B3FABF4E648}"/>
    <cellStyle name="Normal 4 4 2 2 8 3" xfId="11033" xr:uid="{4526CE2A-87F3-42CB-B452-4B5B352E84B5}"/>
    <cellStyle name="Normal 4 4 2 2 9" xfId="4757" xr:uid="{00000000-0005-0000-0000-000014150000}"/>
    <cellStyle name="Normal 4 4 2 2 9 2" xfId="13186" xr:uid="{E819081F-6BB8-4602-89C3-8CC1CB607DF4}"/>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2 2 2" xfId="15749" xr:uid="{6F5CFED1-91FC-4C7E-AC99-4F0A0E821DAB}"/>
    <cellStyle name="Normal 4 4 2 3 2 2 2 3" xfId="11531" xr:uid="{1756AD98-C54F-4A6F-994A-E57D90D68D9F}"/>
    <cellStyle name="Normal 4 4 2 3 2 2 3" xfId="5175" xr:uid="{00000000-0005-0000-0000-00001A150000}"/>
    <cellStyle name="Normal 4 4 2 3 2 2 3 2" xfId="13604" xr:uid="{95E38D27-20EE-48D5-98EC-30AF1EAEADA8}"/>
    <cellStyle name="Normal 4 4 2 3 2 2 4" xfId="9386" xr:uid="{40D0DE7F-6F20-4D01-95F8-44100562A8B8}"/>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2 2 2" xfId="16162" xr:uid="{AD405036-A2CA-400E-A4FB-1DC6693B5FE1}"/>
    <cellStyle name="Normal 4 4 2 3 2 3 2 3" xfId="11944" xr:uid="{209A5782-C4BC-4F84-996E-50641987EFD3}"/>
    <cellStyle name="Normal 4 4 2 3 2 3 3" xfId="5588" xr:uid="{00000000-0005-0000-0000-00001E150000}"/>
    <cellStyle name="Normal 4 4 2 3 2 3 3 2" xfId="14017" xr:uid="{93BCBFBB-F5D8-498E-A8EA-8C3322FA0152}"/>
    <cellStyle name="Normal 4 4 2 3 2 3 4" xfId="9799" xr:uid="{2F2F44A9-F5B1-438B-B656-6C9F52EFE279}"/>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2 2 2" xfId="16575" xr:uid="{89BD63D3-3BA4-42B9-831E-8A69ACE4A17A}"/>
    <cellStyle name="Normal 4 4 2 3 2 4 2 3" xfId="12357" xr:uid="{DF4BC061-2CE4-4A0F-A3D6-2FFBDE192C0D}"/>
    <cellStyle name="Normal 4 4 2 3 2 4 3" xfId="6001" xr:uid="{00000000-0005-0000-0000-000022150000}"/>
    <cellStyle name="Normal 4 4 2 3 2 4 3 2" xfId="14430" xr:uid="{2F805148-70E0-456A-8F75-C36566844531}"/>
    <cellStyle name="Normal 4 4 2 3 2 4 4" xfId="10212" xr:uid="{BDCF0E48-276B-4D62-8EEC-FC62E8C98A02}"/>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2 2 2" xfId="16988" xr:uid="{2C850AEF-2D17-49B5-9A52-D30433CF1A0E}"/>
    <cellStyle name="Normal 4 4 2 3 2 5 2 3" xfId="12770" xr:uid="{F55183BC-975C-47A3-86E7-66D03C562F4A}"/>
    <cellStyle name="Normal 4 4 2 3 2 5 3" xfId="6414" xr:uid="{00000000-0005-0000-0000-000026150000}"/>
    <cellStyle name="Normal 4 4 2 3 2 5 3 2" xfId="14843" xr:uid="{142659F3-6904-4C8C-8C75-5F3BB6E06753}"/>
    <cellStyle name="Normal 4 4 2 3 2 5 4" xfId="10625" xr:uid="{A99845F4-BF26-43BA-AE2B-B1F446D23731}"/>
    <cellStyle name="Normal 4 4 2 3 2 6" xfId="2542" xr:uid="{00000000-0005-0000-0000-000027150000}"/>
    <cellStyle name="Normal 4 4 2 3 2 6 2" xfId="6827" xr:uid="{00000000-0005-0000-0000-000028150000}"/>
    <cellStyle name="Normal 4 4 2 3 2 6 2 2" xfId="15256" xr:uid="{6600AE89-E87D-4CFE-A58E-93286E31E0E5}"/>
    <cellStyle name="Normal 4 4 2 3 2 6 3" xfId="11038" xr:uid="{6B9D44B6-B36E-4C35-8FA5-CBF7A5B5B077}"/>
    <cellStyle name="Normal 4 4 2 3 2 7" xfId="4762" xr:uid="{00000000-0005-0000-0000-000029150000}"/>
    <cellStyle name="Normal 4 4 2 3 2 7 2" xfId="13191" xr:uid="{DFB04F33-1278-4BEB-BB1D-5618262D0791}"/>
    <cellStyle name="Normal 4 4 2 3 2 8" xfId="8973" xr:uid="{C168D2C2-75F3-415B-9616-FE7515035112}"/>
    <cellStyle name="Normal 4 4 2 3 3" xfId="860" xr:uid="{00000000-0005-0000-0000-00002A150000}"/>
    <cellStyle name="Normal 4 4 2 3 3 2" xfId="3095" xr:uid="{00000000-0005-0000-0000-00002B150000}"/>
    <cellStyle name="Normal 4 4 2 3 3 2 2" xfId="7319" xr:uid="{00000000-0005-0000-0000-00002C150000}"/>
    <cellStyle name="Normal 4 4 2 3 3 2 2 2" xfId="15748" xr:uid="{D17B664A-D37C-496D-A2A6-30DDB33C8F2A}"/>
    <cellStyle name="Normal 4 4 2 3 3 2 3" xfId="11530" xr:uid="{E5B90664-5F8A-44C7-995D-9B5F11BEEC14}"/>
    <cellStyle name="Normal 4 4 2 3 3 3" xfId="5174" xr:uid="{00000000-0005-0000-0000-00002D150000}"/>
    <cellStyle name="Normal 4 4 2 3 3 3 2" xfId="13603" xr:uid="{8DC28813-593A-4CA3-8835-D9754C39397B}"/>
    <cellStyle name="Normal 4 4 2 3 3 4" xfId="9385" xr:uid="{1168EE7D-5A44-4FEF-A5AC-E87B9BD6B0AD}"/>
    <cellStyle name="Normal 4 4 2 3 4" xfId="1278" xr:uid="{00000000-0005-0000-0000-00002E150000}"/>
    <cellStyle name="Normal 4 4 2 3 4 2" xfId="3508" xr:uid="{00000000-0005-0000-0000-00002F150000}"/>
    <cellStyle name="Normal 4 4 2 3 4 2 2" xfId="7732" xr:uid="{00000000-0005-0000-0000-000030150000}"/>
    <cellStyle name="Normal 4 4 2 3 4 2 2 2" xfId="16161" xr:uid="{02A73392-B90E-4D05-B6A2-A3AB401EA93E}"/>
    <cellStyle name="Normal 4 4 2 3 4 2 3" xfId="11943" xr:uid="{1CD136D9-A4BE-4C33-A5DB-791DF32B783E}"/>
    <cellStyle name="Normal 4 4 2 3 4 3" xfId="5587" xr:uid="{00000000-0005-0000-0000-000031150000}"/>
    <cellStyle name="Normal 4 4 2 3 4 3 2" xfId="14016" xr:uid="{6FD747EC-F987-4ABF-8AD9-2C78A70A6469}"/>
    <cellStyle name="Normal 4 4 2 3 4 4" xfId="9798" xr:uid="{CF557225-A77B-4D15-B550-9DB82E09B811}"/>
    <cellStyle name="Normal 4 4 2 3 5" xfId="1691" xr:uid="{00000000-0005-0000-0000-000032150000}"/>
    <cellStyle name="Normal 4 4 2 3 5 2" xfId="3921" xr:uid="{00000000-0005-0000-0000-000033150000}"/>
    <cellStyle name="Normal 4 4 2 3 5 2 2" xfId="8145" xr:uid="{00000000-0005-0000-0000-000034150000}"/>
    <cellStyle name="Normal 4 4 2 3 5 2 2 2" xfId="16574" xr:uid="{1B4755AB-04C6-49CB-8214-B8D7848CB271}"/>
    <cellStyle name="Normal 4 4 2 3 5 2 3" xfId="12356" xr:uid="{686828BF-070B-4FE1-941E-00261B5BF586}"/>
    <cellStyle name="Normal 4 4 2 3 5 3" xfId="6000" xr:uid="{00000000-0005-0000-0000-000035150000}"/>
    <cellStyle name="Normal 4 4 2 3 5 3 2" xfId="14429" xr:uid="{9466A7FA-4DDC-4338-9ACF-241F615295ED}"/>
    <cellStyle name="Normal 4 4 2 3 5 4" xfId="10211" xr:uid="{AF7A34A4-30CF-4770-9483-5985ECE84028}"/>
    <cellStyle name="Normal 4 4 2 3 6" xfId="2105" xr:uid="{00000000-0005-0000-0000-000036150000}"/>
    <cellStyle name="Normal 4 4 2 3 6 2" xfId="4334" xr:uid="{00000000-0005-0000-0000-000037150000}"/>
    <cellStyle name="Normal 4 4 2 3 6 2 2" xfId="8558" xr:uid="{00000000-0005-0000-0000-000038150000}"/>
    <cellStyle name="Normal 4 4 2 3 6 2 2 2" xfId="16987" xr:uid="{A8CE6B4A-E293-4862-93FC-5BE3D1AF4CD5}"/>
    <cellStyle name="Normal 4 4 2 3 6 2 3" xfId="12769" xr:uid="{6AF8ACB2-B1EB-4AD1-9ADA-093F52E065EC}"/>
    <cellStyle name="Normal 4 4 2 3 6 3" xfId="6413" xr:uid="{00000000-0005-0000-0000-000039150000}"/>
    <cellStyle name="Normal 4 4 2 3 6 3 2" xfId="14842" xr:uid="{AC1F2F2F-05E1-46DF-94B0-CA532D4AFA0F}"/>
    <cellStyle name="Normal 4 4 2 3 6 4" xfId="10624" xr:uid="{5F91FC12-E9A4-4682-BDE8-421872A8991B}"/>
    <cellStyle name="Normal 4 4 2 3 7" xfId="2541" xr:uid="{00000000-0005-0000-0000-00003A150000}"/>
    <cellStyle name="Normal 4 4 2 3 7 2" xfId="6826" xr:uid="{00000000-0005-0000-0000-00003B150000}"/>
    <cellStyle name="Normal 4 4 2 3 7 2 2" xfId="15255" xr:uid="{291E2CED-AC83-442B-A16E-F72510A43B5D}"/>
    <cellStyle name="Normal 4 4 2 3 7 3" xfId="11037" xr:uid="{C48D0D0E-93E7-4D9E-A3C0-EA5C620B8430}"/>
    <cellStyle name="Normal 4 4 2 3 8" xfId="4761" xr:uid="{00000000-0005-0000-0000-00003C150000}"/>
    <cellStyle name="Normal 4 4 2 3 8 2" xfId="13190" xr:uid="{31C796D2-2D32-4811-87DC-475388C4107E}"/>
    <cellStyle name="Normal 4 4 2 3 9" xfId="8972" xr:uid="{6D2456AF-1E3E-45F0-86F8-089A9E1ADBA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2 2 2" xfId="15750" xr:uid="{99E9E673-3C44-436B-BA49-97B054E264C0}"/>
    <cellStyle name="Normal 4 4 2 4 2 2 3" xfId="11532" xr:uid="{44371FBC-BC6F-47AE-BF01-39476EEAA000}"/>
    <cellStyle name="Normal 4 4 2 4 2 3" xfId="5176" xr:uid="{00000000-0005-0000-0000-000041150000}"/>
    <cellStyle name="Normal 4 4 2 4 2 3 2" xfId="13605" xr:uid="{F1C7D875-9339-4883-B932-A8349A19B737}"/>
    <cellStyle name="Normal 4 4 2 4 2 4" xfId="9387" xr:uid="{FC44DD05-5285-4295-8928-61A8B02C7C6E}"/>
    <cellStyle name="Normal 4 4 2 4 3" xfId="1280" xr:uid="{00000000-0005-0000-0000-000042150000}"/>
    <cellStyle name="Normal 4 4 2 4 3 2" xfId="3510" xr:uid="{00000000-0005-0000-0000-000043150000}"/>
    <cellStyle name="Normal 4 4 2 4 3 2 2" xfId="7734" xr:uid="{00000000-0005-0000-0000-000044150000}"/>
    <cellStyle name="Normal 4 4 2 4 3 2 2 2" xfId="16163" xr:uid="{C959FADB-32CE-42C1-B57B-5917F6FB8D61}"/>
    <cellStyle name="Normal 4 4 2 4 3 2 3" xfId="11945" xr:uid="{C1D26739-0E37-4D3F-AD52-A9DF50B95AD1}"/>
    <cellStyle name="Normal 4 4 2 4 3 3" xfId="5589" xr:uid="{00000000-0005-0000-0000-000045150000}"/>
    <cellStyle name="Normal 4 4 2 4 3 3 2" xfId="14018" xr:uid="{3A004684-19DD-4230-8883-4B8E608CB8BC}"/>
    <cellStyle name="Normal 4 4 2 4 3 4" xfId="9800" xr:uid="{DFF3880C-7087-4540-919B-EFA6A0E3769E}"/>
    <cellStyle name="Normal 4 4 2 4 4" xfId="1693" xr:uid="{00000000-0005-0000-0000-000046150000}"/>
    <cellStyle name="Normal 4 4 2 4 4 2" xfId="3923" xr:uid="{00000000-0005-0000-0000-000047150000}"/>
    <cellStyle name="Normal 4 4 2 4 4 2 2" xfId="8147" xr:uid="{00000000-0005-0000-0000-000048150000}"/>
    <cellStyle name="Normal 4 4 2 4 4 2 2 2" xfId="16576" xr:uid="{D9255827-8832-4148-9201-C0A8ABD4A9DC}"/>
    <cellStyle name="Normal 4 4 2 4 4 2 3" xfId="12358" xr:uid="{7A010468-65CB-4E6C-9A58-3B515B13BB1B}"/>
    <cellStyle name="Normal 4 4 2 4 4 3" xfId="6002" xr:uid="{00000000-0005-0000-0000-000049150000}"/>
    <cellStyle name="Normal 4 4 2 4 4 3 2" xfId="14431" xr:uid="{3BC04FF0-3118-4145-A1A5-8E0AD506476A}"/>
    <cellStyle name="Normal 4 4 2 4 4 4" xfId="10213" xr:uid="{6E4BE4CC-1872-4404-B3A7-F6B43737E721}"/>
    <cellStyle name="Normal 4 4 2 4 5" xfId="2107" xr:uid="{00000000-0005-0000-0000-00004A150000}"/>
    <cellStyle name="Normal 4 4 2 4 5 2" xfId="4336" xr:uid="{00000000-0005-0000-0000-00004B150000}"/>
    <cellStyle name="Normal 4 4 2 4 5 2 2" xfId="8560" xr:uid="{00000000-0005-0000-0000-00004C150000}"/>
    <cellStyle name="Normal 4 4 2 4 5 2 2 2" xfId="16989" xr:uid="{77B70D00-EE8E-4373-B5F0-422A8B76D45E}"/>
    <cellStyle name="Normal 4 4 2 4 5 2 3" xfId="12771" xr:uid="{B912A5A1-025A-47C0-BD51-0995FE53AAE5}"/>
    <cellStyle name="Normal 4 4 2 4 5 3" xfId="6415" xr:uid="{00000000-0005-0000-0000-00004D150000}"/>
    <cellStyle name="Normal 4 4 2 4 5 3 2" xfId="14844" xr:uid="{749CF23B-80FC-4CC8-BC96-B6AA4EABE298}"/>
    <cellStyle name="Normal 4 4 2 4 5 4" xfId="10626" xr:uid="{D14351D3-2086-4EF1-8FEF-7C046DD59D26}"/>
    <cellStyle name="Normal 4 4 2 4 6" xfId="2543" xr:uid="{00000000-0005-0000-0000-00004E150000}"/>
    <cellStyle name="Normal 4 4 2 4 6 2" xfId="6828" xr:uid="{00000000-0005-0000-0000-00004F150000}"/>
    <cellStyle name="Normal 4 4 2 4 6 2 2" xfId="15257" xr:uid="{41710BA6-7DDA-4111-8732-7AD310B05D55}"/>
    <cellStyle name="Normal 4 4 2 4 6 3" xfId="11039" xr:uid="{92F13F1B-8F62-4F5D-8460-BC3C95466363}"/>
    <cellStyle name="Normal 4 4 2 4 7" xfId="4763" xr:uid="{00000000-0005-0000-0000-000050150000}"/>
    <cellStyle name="Normal 4 4 2 4 7 2" xfId="13192" xr:uid="{5A575904-DD9B-4449-9C3F-FC2B8E29C49D}"/>
    <cellStyle name="Normal 4 4 2 4 8" xfId="8974" xr:uid="{43F99156-6006-4C4D-935F-038C7647754F}"/>
    <cellStyle name="Normal 4 4 2 5" xfId="855" xr:uid="{00000000-0005-0000-0000-000051150000}"/>
    <cellStyle name="Normal 4 4 2 5 2" xfId="3090" xr:uid="{00000000-0005-0000-0000-000052150000}"/>
    <cellStyle name="Normal 4 4 2 5 2 2" xfId="7314" xr:uid="{00000000-0005-0000-0000-000053150000}"/>
    <cellStyle name="Normal 4 4 2 5 2 2 2" xfId="15743" xr:uid="{A261F839-AAEA-428A-9CCF-8E2E94094F61}"/>
    <cellStyle name="Normal 4 4 2 5 2 3" xfId="11525" xr:uid="{D112D5DE-E1BC-4EFC-BB6A-4D99B40967D1}"/>
    <cellStyle name="Normal 4 4 2 5 3" xfId="5169" xr:uid="{00000000-0005-0000-0000-000054150000}"/>
    <cellStyle name="Normal 4 4 2 5 3 2" xfId="13598" xr:uid="{07FE6A45-6E28-4365-9521-07284F8899DB}"/>
    <cellStyle name="Normal 4 4 2 5 4" xfId="9380" xr:uid="{3B5874CA-A327-498D-9B58-368626A0C623}"/>
    <cellStyle name="Normal 4 4 2 6" xfId="1273" xr:uid="{00000000-0005-0000-0000-000055150000}"/>
    <cellStyle name="Normal 4 4 2 6 2" xfId="3503" xr:uid="{00000000-0005-0000-0000-000056150000}"/>
    <cellStyle name="Normal 4 4 2 6 2 2" xfId="7727" xr:uid="{00000000-0005-0000-0000-000057150000}"/>
    <cellStyle name="Normal 4 4 2 6 2 2 2" xfId="16156" xr:uid="{B13AEC2C-DF4A-4E4B-BC48-36BFEEF7F06E}"/>
    <cellStyle name="Normal 4 4 2 6 2 3" xfId="11938" xr:uid="{334ECC10-D99D-430C-A20D-606ADD95FC21}"/>
    <cellStyle name="Normal 4 4 2 6 3" xfId="5582" xr:uid="{00000000-0005-0000-0000-000058150000}"/>
    <cellStyle name="Normal 4 4 2 6 3 2" xfId="14011" xr:uid="{E069EA95-EB06-4C47-949A-3A44FBC43E26}"/>
    <cellStyle name="Normal 4 4 2 6 4" xfId="9793" xr:uid="{4336A013-C59D-4085-B6E0-ECDD410A8AE5}"/>
    <cellStyle name="Normal 4 4 2 7" xfId="1686" xr:uid="{00000000-0005-0000-0000-000059150000}"/>
    <cellStyle name="Normal 4 4 2 7 2" xfId="3916" xr:uid="{00000000-0005-0000-0000-00005A150000}"/>
    <cellStyle name="Normal 4 4 2 7 2 2" xfId="8140" xr:uid="{00000000-0005-0000-0000-00005B150000}"/>
    <cellStyle name="Normal 4 4 2 7 2 2 2" xfId="16569" xr:uid="{EC4BFF94-B90A-49E6-8F98-04F31424C0D9}"/>
    <cellStyle name="Normal 4 4 2 7 2 3" xfId="12351" xr:uid="{A1E479D1-6159-41AA-954A-DD21D8D8B847}"/>
    <cellStyle name="Normal 4 4 2 7 3" xfId="5995" xr:uid="{00000000-0005-0000-0000-00005C150000}"/>
    <cellStyle name="Normal 4 4 2 7 3 2" xfId="14424" xr:uid="{890BCBB5-5BFD-4B19-B6C3-F93F1FB64C83}"/>
    <cellStyle name="Normal 4 4 2 7 4" xfId="10206" xr:uid="{A2FBADDD-2D75-4E79-940E-E9C45BEF88C9}"/>
    <cellStyle name="Normal 4 4 2 8" xfId="2100" xr:uid="{00000000-0005-0000-0000-00005D150000}"/>
    <cellStyle name="Normal 4 4 2 8 2" xfId="4329" xr:uid="{00000000-0005-0000-0000-00005E150000}"/>
    <cellStyle name="Normal 4 4 2 8 2 2" xfId="8553" xr:uid="{00000000-0005-0000-0000-00005F150000}"/>
    <cellStyle name="Normal 4 4 2 8 2 2 2" xfId="16982" xr:uid="{5A5A5C34-9315-4E4D-8AD4-FDE66C935F8B}"/>
    <cellStyle name="Normal 4 4 2 8 2 3" xfId="12764" xr:uid="{9A333428-8CD0-46E3-9F54-51C7B191999D}"/>
    <cellStyle name="Normal 4 4 2 8 3" xfId="6408" xr:uid="{00000000-0005-0000-0000-000060150000}"/>
    <cellStyle name="Normal 4 4 2 8 3 2" xfId="14837" xr:uid="{E042657E-912D-4F72-AC44-A739678590D6}"/>
    <cellStyle name="Normal 4 4 2 8 4" xfId="10619" xr:uid="{E84A8454-8E9C-4D70-AFC1-3965431AE7D0}"/>
    <cellStyle name="Normal 4 4 2 9" xfId="2536" xr:uid="{00000000-0005-0000-0000-000061150000}"/>
    <cellStyle name="Normal 4 4 2 9 2" xfId="6821" xr:uid="{00000000-0005-0000-0000-000062150000}"/>
    <cellStyle name="Normal 4 4 2 9 2 2" xfId="15250" xr:uid="{4214AC6A-0374-420E-B0EC-ABC96A3C5E16}"/>
    <cellStyle name="Normal 4 4 2 9 3" xfId="11032" xr:uid="{B5FC04A2-F089-4DD9-B5B1-54014D450781}"/>
    <cellStyle name="Normal 4 4 3" xfId="387" xr:uid="{00000000-0005-0000-0000-000063150000}"/>
    <cellStyle name="Normal 4 4 3 10" xfId="8975" xr:uid="{B5D31C54-E982-4520-BDB0-8A78F6892EEB}"/>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2 2 2" xfId="15753" xr:uid="{A251159A-EED8-41DA-9C3F-6F7A52A916E3}"/>
    <cellStyle name="Normal 4 4 3 2 2 2 2 3" xfId="11535" xr:uid="{1C5DED33-5E99-4088-937F-A3A161B3C907}"/>
    <cellStyle name="Normal 4 4 3 2 2 2 3" xfId="5179" xr:uid="{00000000-0005-0000-0000-000069150000}"/>
    <cellStyle name="Normal 4 4 3 2 2 2 3 2" xfId="13608" xr:uid="{F4C25894-A7F4-471B-AFA4-4850429AEF84}"/>
    <cellStyle name="Normal 4 4 3 2 2 2 4" xfId="9390" xr:uid="{8FE292B0-2F48-4249-9183-5D55C82052EE}"/>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2 2 2" xfId="16166" xr:uid="{BB2364D7-78FD-4849-A19F-CD5043210346}"/>
    <cellStyle name="Normal 4 4 3 2 2 3 2 3" xfId="11948" xr:uid="{3847BFE4-567D-4860-8D33-A4D2BDD5A5B6}"/>
    <cellStyle name="Normal 4 4 3 2 2 3 3" xfId="5592" xr:uid="{00000000-0005-0000-0000-00006D150000}"/>
    <cellStyle name="Normal 4 4 3 2 2 3 3 2" xfId="14021" xr:uid="{13B6E12C-87E1-4680-B5DE-A95BBDC9F089}"/>
    <cellStyle name="Normal 4 4 3 2 2 3 4" xfId="9803" xr:uid="{9CED7107-5544-42DF-BCD6-DBE8A73C77D6}"/>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2 2 2" xfId="16579" xr:uid="{5BAC1E01-7789-4FEE-96D8-1B425C52BCDA}"/>
    <cellStyle name="Normal 4 4 3 2 2 4 2 3" xfId="12361" xr:uid="{6674CB5A-45F8-43D6-8B3B-C7C21D5AA1F1}"/>
    <cellStyle name="Normal 4 4 3 2 2 4 3" xfId="6005" xr:uid="{00000000-0005-0000-0000-000071150000}"/>
    <cellStyle name="Normal 4 4 3 2 2 4 3 2" xfId="14434" xr:uid="{41CFA73E-0846-4662-BFCA-5EB3FBE07B3E}"/>
    <cellStyle name="Normal 4 4 3 2 2 4 4" xfId="10216" xr:uid="{904E7421-0128-40EF-8979-66F16EF0AEB6}"/>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2 2 2" xfId="16992" xr:uid="{76455DB3-59E6-490D-A6A6-78A083DAE148}"/>
    <cellStyle name="Normal 4 4 3 2 2 5 2 3" xfId="12774" xr:uid="{76BE39CE-3BE3-413C-A0CE-AB1D80D22D0D}"/>
    <cellStyle name="Normal 4 4 3 2 2 5 3" xfId="6418" xr:uid="{00000000-0005-0000-0000-000075150000}"/>
    <cellStyle name="Normal 4 4 3 2 2 5 3 2" xfId="14847" xr:uid="{E9FEE0E3-27F4-47C3-98EF-4D7FA9736CF1}"/>
    <cellStyle name="Normal 4 4 3 2 2 5 4" xfId="10629" xr:uid="{7122DDAE-D464-41D3-B080-27C53902C808}"/>
    <cellStyle name="Normal 4 4 3 2 2 6" xfId="2546" xr:uid="{00000000-0005-0000-0000-000076150000}"/>
    <cellStyle name="Normal 4 4 3 2 2 6 2" xfId="6831" xr:uid="{00000000-0005-0000-0000-000077150000}"/>
    <cellStyle name="Normal 4 4 3 2 2 6 2 2" xfId="15260" xr:uid="{FE62911D-AB36-4FC9-9A4E-414C4BFD840E}"/>
    <cellStyle name="Normal 4 4 3 2 2 6 3" xfId="11042" xr:uid="{7E3B12AB-F495-4E5C-9344-2ECC24FCD295}"/>
    <cellStyle name="Normal 4 4 3 2 2 7" xfId="4766" xr:uid="{00000000-0005-0000-0000-000078150000}"/>
    <cellStyle name="Normal 4 4 3 2 2 7 2" xfId="13195" xr:uid="{2A413350-6F3C-44B5-A22A-914D2CD1AA45}"/>
    <cellStyle name="Normal 4 4 3 2 2 8" xfId="8977" xr:uid="{EC2036E7-E54F-4D29-9FEE-B3716D6E21A7}"/>
    <cellStyle name="Normal 4 4 3 2 3" xfId="864" xr:uid="{00000000-0005-0000-0000-000079150000}"/>
    <cellStyle name="Normal 4 4 3 2 3 2" xfId="3099" xr:uid="{00000000-0005-0000-0000-00007A150000}"/>
    <cellStyle name="Normal 4 4 3 2 3 2 2" xfId="7323" xr:uid="{00000000-0005-0000-0000-00007B150000}"/>
    <cellStyle name="Normal 4 4 3 2 3 2 2 2" xfId="15752" xr:uid="{2D4D2A4C-0152-4FC8-91F0-3D8207CFE6DC}"/>
    <cellStyle name="Normal 4 4 3 2 3 2 3" xfId="11534" xr:uid="{C016EF5E-0832-43B3-BA4A-B8DA45B55321}"/>
    <cellStyle name="Normal 4 4 3 2 3 3" xfId="5178" xr:uid="{00000000-0005-0000-0000-00007C150000}"/>
    <cellStyle name="Normal 4 4 3 2 3 3 2" xfId="13607" xr:uid="{A3101511-831F-463B-A3F1-D778E2961443}"/>
    <cellStyle name="Normal 4 4 3 2 3 4" xfId="9389" xr:uid="{C5A406A9-CBE3-4838-AE60-B161DDF9E754}"/>
    <cellStyle name="Normal 4 4 3 2 4" xfId="1282" xr:uid="{00000000-0005-0000-0000-00007D150000}"/>
    <cellStyle name="Normal 4 4 3 2 4 2" xfId="3512" xr:uid="{00000000-0005-0000-0000-00007E150000}"/>
    <cellStyle name="Normal 4 4 3 2 4 2 2" xfId="7736" xr:uid="{00000000-0005-0000-0000-00007F150000}"/>
    <cellStyle name="Normal 4 4 3 2 4 2 2 2" xfId="16165" xr:uid="{5EB988A1-9377-4F9D-B4ED-D1D84A89F50B}"/>
    <cellStyle name="Normal 4 4 3 2 4 2 3" xfId="11947" xr:uid="{AE4ADA46-C7EB-4A8F-95C1-18FF92082C5D}"/>
    <cellStyle name="Normal 4 4 3 2 4 3" xfId="5591" xr:uid="{00000000-0005-0000-0000-000080150000}"/>
    <cellStyle name="Normal 4 4 3 2 4 3 2" xfId="14020" xr:uid="{A8FE8EAB-EA74-42F4-B221-3B5625B76CB6}"/>
    <cellStyle name="Normal 4 4 3 2 4 4" xfId="9802" xr:uid="{E9203832-D5C0-429E-BEEF-C09D935D4D7D}"/>
    <cellStyle name="Normal 4 4 3 2 5" xfId="1695" xr:uid="{00000000-0005-0000-0000-000081150000}"/>
    <cellStyle name="Normal 4 4 3 2 5 2" xfId="3925" xr:uid="{00000000-0005-0000-0000-000082150000}"/>
    <cellStyle name="Normal 4 4 3 2 5 2 2" xfId="8149" xr:uid="{00000000-0005-0000-0000-000083150000}"/>
    <cellStyle name="Normal 4 4 3 2 5 2 2 2" xfId="16578" xr:uid="{22FF8210-8F96-461F-A5E2-A2F26E71995F}"/>
    <cellStyle name="Normal 4 4 3 2 5 2 3" xfId="12360" xr:uid="{B5E46DB4-67F8-4B08-8322-5660A220DBF1}"/>
    <cellStyle name="Normal 4 4 3 2 5 3" xfId="6004" xr:uid="{00000000-0005-0000-0000-000084150000}"/>
    <cellStyle name="Normal 4 4 3 2 5 3 2" xfId="14433" xr:uid="{14E32943-9396-473B-BE30-277FC96F633C}"/>
    <cellStyle name="Normal 4 4 3 2 5 4" xfId="10215" xr:uid="{73EAF37C-2ECC-4F93-893B-814B69A8AF0B}"/>
    <cellStyle name="Normal 4 4 3 2 6" xfId="2109" xr:uid="{00000000-0005-0000-0000-000085150000}"/>
    <cellStyle name="Normal 4 4 3 2 6 2" xfId="4338" xr:uid="{00000000-0005-0000-0000-000086150000}"/>
    <cellStyle name="Normal 4 4 3 2 6 2 2" xfId="8562" xr:uid="{00000000-0005-0000-0000-000087150000}"/>
    <cellStyle name="Normal 4 4 3 2 6 2 2 2" xfId="16991" xr:uid="{30D5E621-C556-427C-A78E-C9E8FA6540E3}"/>
    <cellStyle name="Normal 4 4 3 2 6 2 3" xfId="12773" xr:uid="{96E3AF8B-BEF2-47FB-8385-897E5BE6C0BE}"/>
    <cellStyle name="Normal 4 4 3 2 6 3" xfId="6417" xr:uid="{00000000-0005-0000-0000-000088150000}"/>
    <cellStyle name="Normal 4 4 3 2 6 3 2" xfId="14846" xr:uid="{51D5096F-3F8B-4D95-9D67-FFC16F28B205}"/>
    <cellStyle name="Normal 4 4 3 2 6 4" xfId="10628" xr:uid="{A2E78808-3307-4A8C-B2C7-3210D3442294}"/>
    <cellStyle name="Normal 4 4 3 2 7" xfId="2545" xr:uid="{00000000-0005-0000-0000-000089150000}"/>
    <cellStyle name="Normal 4 4 3 2 7 2" xfId="6830" xr:uid="{00000000-0005-0000-0000-00008A150000}"/>
    <cellStyle name="Normal 4 4 3 2 7 2 2" xfId="15259" xr:uid="{E86AEEB2-5BEE-4481-BAF9-AF73DD403DB0}"/>
    <cellStyle name="Normal 4 4 3 2 7 3" xfId="11041" xr:uid="{7B81E20E-EDEE-4117-A418-A3596BEFB1E0}"/>
    <cellStyle name="Normal 4 4 3 2 8" xfId="4765" xr:uid="{00000000-0005-0000-0000-00008B150000}"/>
    <cellStyle name="Normal 4 4 3 2 8 2" xfId="13194" xr:uid="{913BD276-B4F6-41E9-8264-D6E16548770D}"/>
    <cellStyle name="Normal 4 4 3 2 9" xfId="8976" xr:uid="{01BE2698-D74C-414B-8A2A-013B41B32307}"/>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2 2 2" xfId="15754" xr:uid="{93481F43-B294-48A0-ACF5-15DDCEFAE0CE}"/>
    <cellStyle name="Normal 4 4 3 3 2 2 3" xfId="11536" xr:uid="{8583FAE1-0C48-40B2-8729-2E6799ED68EC}"/>
    <cellStyle name="Normal 4 4 3 3 2 3" xfId="5180" xr:uid="{00000000-0005-0000-0000-000090150000}"/>
    <cellStyle name="Normal 4 4 3 3 2 3 2" xfId="13609" xr:uid="{0DEAA748-201F-4B01-A91B-CD8A6C8718E8}"/>
    <cellStyle name="Normal 4 4 3 3 2 4" xfId="9391" xr:uid="{5B5F76EE-AA26-4720-87DA-25453A9E9EAF}"/>
    <cellStyle name="Normal 4 4 3 3 3" xfId="1284" xr:uid="{00000000-0005-0000-0000-000091150000}"/>
    <cellStyle name="Normal 4 4 3 3 3 2" xfId="3514" xr:uid="{00000000-0005-0000-0000-000092150000}"/>
    <cellStyle name="Normal 4 4 3 3 3 2 2" xfId="7738" xr:uid="{00000000-0005-0000-0000-000093150000}"/>
    <cellStyle name="Normal 4 4 3 3 3 2 2 2" xfId="16167" xr:uid="{46ECE430-3CB5-4EBA-833A-C661B81A25CE}"/>
    <cellStyle name="Normal 4 4 3 3 3 2 3" xfId="11949" xr:uid="{7226BE9A-AA5C-4CBA-BA9D-34648135A03D}"/>
    <cellStyle name="Normal 4 4 3 3 3 3" xfId="5593" xr:uid="{00000000-0005-0000-0000-000094150000}"/>
    <cellStyle name="Normal 4 4 3 3 3 3 2" xfId="14022" xr:uid="{BE90EE94-CA33-4877-A4E9-E90DEB75497F}"/>
    <cellStyle name="Normal 4 4 3 3 3 4" xfId="9804" xr:uid="{EA1CB402-5470-46E6-9E20-8641A50E58B8}"/>
    <cellStyle name="Normal 4 4 3 3 4" xfId="1697" xr:uid="{00000000-0005-0000-0000-000095150000}"/>
    <cellStyle name="Normal 4 4 3 3 4 2" xfId="3927" xr:uid="{00000000-0005-0000-0000-000096150000}"/>
    <cellStyle name="Normal 4 4 3 3 4 2 2" xfId="8151" xr:uid="{00000000-0005-0000-0000-000097150000}"/>
    <cellStyle name="Normal 4 4 3 3 4 2 2 2" xfId="16580" xr:uid="{2D6DF922-DCB7-413F-AA1A-8AF06D364CB5}"/>
    <cellStyle name="Normal 4 4 3 3 4 2 3" xfId="12362" xr:uid="{64876C01-CAC4-47A8-83ED-A71EC2FEBAF1}"/>
    <cellStyle name="Normal 4 4 3 3 4 3" xfId="6006" xr:uid="{00000000-0005-0000-0000-000098150000}"/>
    <cellStyle name="Normal 4 4 3 3 4 3 2" xfId="14435" xr:uid="{623CD2C6-3733-4C1F-AA32-D949EE430288}"/>
    <cellStyle name="Normal 4 4 3 3 4 4" xfId="10217" xr:uid="{94E65C74-8E03-408F-A2C1-ABF700678839}"/>
    <cellStyle name="Normal 4 4 3 3 5" xfId="2111" xr:uid="{00000000-0005-0000-0000-000099150000}"/>
    <cellStyle name="Normal 4 4 3 3 5 2" xfId="4340" xr:uid="{00000000-0005-0000-0000-00009A150000}"/>
    <cellStyle name="Normal 4 4 3 3 5 2 2" xfId="8564" xr:uid="{00000000-0005-0000-0000-00009B150000}"/>
    <cellStyle name="Normal 4 4 3 3 5 2 2 2" xfId="16993" xr:uid="{3101CFD0-C2DC-47D2-9686-161CF5032355}"/>
    <cellStyle name="Normal 4 4 3 3 5 2 3" xfId="12775" xr:uid="{CE711E72-2BC6-4B2A-A825-76D0BA36AA13}"/>
    <cellStyle name="Normal 4 4 3 3 5 3" xfId="6419" xr:uid="{00000000-0005-0000-0000-00009C150000}"/>
    <cellStyle name="Normal 4 4 3 3 5 3 2" xfId="14848" xr:uid="{9C1983B0-9148-423D-8525-4111BC000E47}"/>
    <cellStyle name="Normal 4 4 3 3 5 4" xfId="10630" xr:uid="{96E0EF7C-3BEC-4019-801C-65902D053932}"/>
    <cellStyle name="Normal 4 4 3 3 6" xfId="2547" xr:uid="{00000000-0005-0000-0000-00009D150000}"/>
    <cellStyle name="Normal 4 4 3 3 6 2" xfId="6832" xr:uid="{00000000-0005-0000-0000-00009E150000}"/>
    <cellStyle name="Normal 4 4 3 3 6 2 2" xfId="15261" xr:uid="{FC887C97-7861-4634-9D1A-CDFF3C51E4C4}"/>
    <cellStyle name="Normal 4 4 3 3 6 3" xfId="11043" xr:uid="{0C9167E3-D185-4D1B-9215-DF5FE836D870}"/>
    <cellStyle name="Normal 4 4 3 3 7" xfId="4767" xr:uid="{00000000-0005-0000-0000-00009F150000}"/>
    <cellStyle name="Normal 4 4 3 3 7 2" xfId="13196" xr:uid="{34CD9E93-70A6-49F0-A568-9F2305B05198}"/>
    <cellStyle name="Normal 4 4 3 3 8" xfId="8978" xr:uid="{C2B69ED9-63DB-489A-B01D-6DD937183F45}"/>
    <cellStyle name="Normal 4 4 3 4" xfId="863" xr:uid="{00000000-0005-0000-0000-0000A0150000}"/>
    <cellStyle name="Normal 4 4 3 4 2" xfId="3098" xr:uid="{00000000-0005-0000-0000-0000A1150000}"/>
    <cellStyle name="Normal 4 4 3 4 2 2" xfId="7322" xr:uid="{00000000-0005-0000-0000-0000A2150000}"/>
    <cellStyle name="Normal 4 4 3 4 2 2 2" xfId="15751" xr:uid="{C68D5BED-A233-4C22-AC22-3B9CE2E3F33E}"/>
    <cellStyle name="Normal 4 4 3 4 2 3" xfId="11533" xr:uid="{F9C89E61-96F8-4204-9EB4-C0BD045EB45D}"/>
    <cellStyle name="Normal 4 4 3 4 3" xfId="5177" xr:uid="{00000000-0005-0000-0000-0000A3150000}"/>
    <cellStyle name="Normal 4 4 3 4 3 2" xfId="13606" xr:uid="{97B0A975-8FCC-4182-8FDD-EE76BE1B97F8}"/>
    <cellStyle name="Normal 4 4 3 4 4" xfId="9388" xr:uid="{50AF6918-1C10-4171-9B9F-67C45FBFAAD2}"/>
    <cellStyle name="Normal 4 4 3 5" xfId="1281" xr:uid="{00000000-0005-0000-0000-0000A4150000}"/>
    <cellStyle name="Normal 4 4 3 5 2" xfId="3511" xr:uid="{00000000-0005-0000-0000-0000A5150000}"/>
    <cellStyle name="Normal 4 4 3 5 2 2" xfId="7735" xr:uid="{00000000-0005-0000-0000-0000A6150000}"/>
    <cellStyle name="Normal 4 4 3 5 2 2 2" xfId="16164" xr:uid="{A3EF6D15-DD1B-437E-8DC4-D99DC6171E93}"/>
    <cellStyle name="Normal 4 4 3 5 2 3" xfId="11946" xr:uid="{3D41429A-9CDE-4DB7-89E7-568E0C41A918}"/>
    <cellStyle name="Normal 4 4 3 5 3" xfId="5590" xr:uid="{00000000-0005-0000-0000-0000A7150000}"/>
    <cellStyle name="Normal 4 4 3 5 3 2" xfId="14019" xr:uid="{CE2B3B8A-6D4F-46DF-81A0-42EACA427674}"/>
    <cellStyle name="Normal 4 4 3 5 4" xfId="9801" xr:uid="{AF4409E6-90DD-449E-983C-FF9C56125C87}"/>
    <cellStyle name="Normal 4 4 3 6" xfId="1694" xr:uid="{00000000-0005-0000-0000-0000A8150000}"/>
    <cellStyle name="Normal 4 4 3 6 2" xfId="3924" xr:uid="{00000000-0005-0000-0000-0000A9150000}"/>
    <cellStyle name="Normal 4 4 3 6 2 2" xfId="8148" xr:uid="{00000000-0005-0000-0000-0000AA150000}"/>
    <cellStyle name="Normal 4 4 3 6 2 2 2" xfId="16577" xr:uid="{61DD6A2C-0E88-4D3B-8911-796FB5E3D941}"/>
    <cellStyle name="Normal 4 4 3 6 2 3" xfId="12359" xr:uid="{EB9EEFEF-4B58-42CC-95BF-26ABF59E07B9}"/>
    <cellStyle name="Normal 4 4 3 6 3" xfId="6003" xr:uid="{00000000-0005-0000-0000-0000AB150000}"/>
    <cellStyle name="Normal 4 4 3 6 3 2" xfId="14432" xr:uid="{4DDE1275-5EF2-43F7-85B6-52AA35FF4002}"/>
    <cellStyle name="Normal 4 4 3 6 4" xfId="10214" xr:uid="{8EA6F861-4371-4111-B077-CBFD84017172}"/>
    <cellStyle name="Normal 4 4 3 7" xfId="2108" xr:uid="{00000000-0005-0000-0000-0000AC150000}"/>
    <cellStyle name="Normal 4 4 3 7 2" xfId="4337" xr:uid="{00000000-0005-0000-0000-0000AD150000}"/>
    <cellStyle name="Normal 4 4 3 7 2 2" xfId="8561" xr:uid="{00000000-0005-0000-0000-0000AE150000}"/>
    <cellStyle name="Normal 4 4 3 7 2 2 2" xfId="16990" xr:uid="{DDD74589-DD6A-4127-A8B4-6D8874FACEDA}"/>
    <cellStyle name="Normal 4 4 3 7 2 3" xfId="12772" xr:uid="{FD9ACCB2-F822-4659-9345-28DAC2C7622F}"/>
    <cellStyle name="Normal 4 4 3 7 3" xfId="6416" xr:uid="{00000000-0005-0000-0000-0000AF150000}"/>
    <cellStyle name="Normal 4 4 3 7 3 2" xfId="14845" xr:uid="{E83595F1-8621-41F3-B200-B6F9E987C20D}"/>
    <cellStyle name="Normal 4 4 3 7 4" xfId="10627" xr:uid="{945EBB90-D0F1-41DC-A245-67C2FF2F5710}"/>
    <cellStyle name="Normal 4 4 3 8" xfId="2544" xr:uid="{00000000-0005-0000-0000-0000B0150000}"/>
    <cellStyle name="Normal 4 4 3 8 2" xfId="6829" xr:uid="{00000000-0005-0000-0000-0000B1150000}"/>
    <cellStyle name="Normal 4 4 3 8 2 2" xfId="15258" xr:uid="{C84B2B63-A6E1-4DB9-B22F-FD60F9E4E0F9}"/>
    <cellStyle name="Normal 4 4 3 8 3" xfId="11040" xr:uid="{FED19EE5-17D9-4029-BC6D-03CAA5DFA327}"/>
    <cellStyle name="Normal 4 4 3 9" xfId="4764" xr:uid="{00000000-0005-0000-0000-0000B2150000}"/>
    <cellStyle name="Normal 4 4 3 9 2" xfId="13193" xr:uid="{A612FCB0-0D1B-429B-A38F-40F086F625CC}"/>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2 2 2" xfId="15756" xr:uid="{C99CE584-3B36-4C57-AD3E-5DCB9EFC97FE}"/>
    <cellStyle name="Normal 4 4 4 2 2 2 3" xfId="11538" xr:uid="{F4050E0F-EBE6-4BCE-8AF0-3F6B12D5CE39}"/>
    <cellStyle name="Normal 4 4 4 2 2 3" xfId="5182" xr:uid="{00000000-0005-0000-0000-0000B8150000}"/>
    <cellStyle name="Normal 4 4 4 2 2 3 2" xfId="13611" xr:uid="{E8ED1604-AED5-467F-90D4-58D3507E8080}"/>
    <cellStyle name="Normal 4 4 4 2 2 4" xfId="9393" xr:uid="{A8FA75F4-0E18-4C1E-A8CD-E1D21CAEE4DC}"/>
    <cellStyle name="Normal 4 4 4 2 3" xfId="1286" xr:uid="{00000000-0005-0000-0000-0000B9150000}"/>
    <cellStyle name="Normal 4 4 4 2 3 2" xfId="3516" xr:uid="{00000000-0005-0000-0000-0000BA150000}"/>
    <cellStyle name="Normal 4 4 4 2 3 2 2" xfId="7740" xr:uid="{00000000-0005-0000-0000-0000BB150000}"/>
    <cellStyle name="Normal 4 4 4 2 3 2 2 2" xfId="16169" xr:uid="{E85E17E1-D810-4F74-ABD8-045168F4A1D5}"/>
    <cellStyle name="Normal 4 4 4 2 3 2 3" xfId="11951" xr:uid="{7646690E-A9C9-4BCF-B8AD-C086712B612F}"/>
    <cellStyle name="Normal 4 4 4 2 3 3" xfId="5595" xr:uid="{00000000-0005-0000-0000-0000BC150000}"/>
    <cellStyle name="Normal 4 4 4 2 3 3 2" xfId="14024" xr:uid="{E98F4101-3673-4C7F-99D7-6697C3183080}"/>
    <cellStyle name="Normal 4 4 4 2 3 4" xfId="9806" xr:uid="{5F9077DB-765D-4EE1-843A-D6D3EAD77E0A}"/>
    <cellStyle name="Normal 4 4 4 2 4" xfId="1699" xr:uid="{00000000-0005-0000-0000-0000BD150000}"/>
    <cellStyle name="Normal 4 4 4 2 4 2" xfId="3929" xr:uid="{00000000-0005-0000-0000-0000BE150000}"/>
    <cellStyle name="Normal 4 4 4 2 4 2 2" xfId="8153" xr:uid="{00000000-0005-0000-0000-0000BF150000}"/>
    <cellStyle name="Normal 4 4 4 2 4 2 2 2" xfId="16582" xr:uid="{7D99B7D3-9CB3-4785-951F-73EEED89A494}"/>
    <cellStyle name="Normal 4 4 4 2 4 2 3" xfId="12364" xr:uid="{89297080-C3D5-40C8-BD16-5E843275E744}"/>
    <cellStyle name="Normal 4 4 4 2 4 3" xfId="6008" xr:uid="{00000000-0005-0000-0000-0000C0150000}"/>
    <cellStyle name="Normal 4 4 4 2 4 3 2" xfId="14437" xr:uid="{1928378E-40C2-4203-9010-AF40B41477A3}"/>
    <cellStyle name="Normal 4 4 4 2 4 4" xfId="10219" xr:uid="{D2A27231-E162-4A2C-B035-7C049608AB09}"/>
    <cellStyle name="Normal 4 4 4 2 5" xfId="2113" xr:uid="{00000000-0005-0000-0000-0000C1150000}"/>
    <cellStyle name="Normal 4 4 4 2 5 2" xfId="4342" xr:uid="{00000000-0005-0000-0000-0000C2150000}"/>
    <cellStyle name="Normal 4 4 4 2 5 2 2" xfId="8566" xr:uid="{00000000-0005-0000-0000-0000C3150000}"/>
    <cellStyle name="Normal 4 4 4 2 5 2 2 2" xfId="16995" xr:uid="{1D437882-55C9-4AEA-B061-353D02D99E53}"/>
    <cellStyle name="Normal 4 4 4 2 5 2 3" xfId="12777" xr:uid="{37C88F1D-65C8-4F29-AE81-4C4144325BEA}"/>
    <cellStyle name="Normal 4 4 4 2 5 3" xfId="6421" xr:uid="{00000000-0005-0000-0000-0000C4150000}"/>
    <cellStyle name="Normal 4 4 4 2 5 3 2" xfId="14850" xr:uid="{45A79984-1285-4ABE-AE2E-FE7909E6A144}"/>
    <cellStyle name="Normal 4 4 4 2 5 4" xfId="10632" xr:uid="{459ED8D4-6D74-4574-B4A1-B14879344513}"/>
    <cellStyle name="Normal 4 4 4 2 6" xfId="2549" xr:uid="{00000000-0005-0000-0000-0000C5150000}"/>
    <cellStyle name="Normal 4 4 4 2 6 2" xfId="6834" xr:uid="{00000000-0005-0000-0000-0000C6150000}"/>
    <cellStyle name="Normal 4 4 4 2 6 2 2" xfId="15263" xr:uid="{712BFEEA-8336-4896-ADC5-9D3ACDED0005}"/>
    <cellStyle name="Normal 4 4 4 2 6 3" xfId="11045" xr:uid="{84838ECA-E599-4215-8085-E01C39239213}"/>
    <cellStyle name="Normal 4 4 4 2 7" xfId="4769" xr:uid="{00000000-0005-0000-0000-0000C7150000}"/>
    <cellStyle name="Normal 4 4 4 2 7 2" xfId="13198" xr:uid="{C9B35A62-78B7-402A-B41D-FB2C26F703AB}"/>
    <cellStyle name="Normal 4 4 4 2 8" xfId="8980" xr:uid="{804FD89E-34AB-4895-9978-98619AF64CDF}"/>
    <cellStyle name="Normal 4 4 4 3" xfId="867" xr:uid="{00000000-0005-0000-0000-0000C8150000}"/>
    <cellStyle name="Normal 4 4 4 3 2" xfId="3102" xr:uid="{00000000-0005-0000-0000-0000C9150000}"/>
    <cellStyle name="Normal 4 4 4 3 2 2" xfId="7326" xr:uid="{00000000-0005-0000-0000-0000CA150000}"/>
    <cellStyle name="Normal 4 4 4 3 2 2 2" xfId="15755" xr:uid="{38A49D11-4EEE-4285-BAF8-0B5A9ECB0830}"/>
    <cellStyle name="Normal 4 4 4 3 2 3" xfId="11537" xr:uid="{ADD5B3BD-2619-4CBE-830F-160F9DABB9CF}"/>
    <cellStyle name="Normal 4 4 4 3 3" xfId="5181" xr:uid="{00000000-0005-0000-0000-0000CB150000}"/>
    <cellStyle name="Normal 4 4 4 3 3 2" xfId="13610" xr:uid="{87AA2706-16A6-4610-BDE9-DDAE332063F5}"/>
    <cellStyle name="Normal 4 4 4 3 4" xfId="9392" xr:uid="{D04AE4DB-A8AB-48F6-9361-18585636DE71}"/>
    <cellStyle name="Normal 4 4 4 4" xfId="1285" xr:uid="{00000000-0005-0000-0000-0000CC150000}"/>
    <cellStyle name="Normal 4 4 4 4 2" xfId="3515" xr:uid="{00000000-0005-0000-0000-0000CD150000}"/>
    <cellStyle name="Normal 4 4 4 4 2 2" xfId="7739" xr:uid="{00000000-0005-0000-0000-0000CE150000}"/>
    <cellStyle name="Normal 4 4 4 4 2 2 2" xfId="16168" xr:uid="{505A69CB-DF2E-4481-90B9-9A45E7D77FE3}"/>
    <cellStyle name="Normal 4 4 4 4 2 3" xfId="11950" xr:uid="{BDA09030-4378-4F84-A995-4FCA3E213862}"/>
    <cellStyle name="Normal 4 4 4 4 3" xfId="5594" xr:uid="{00000000-0005-0000-0000-0000CF150000}"/>
    <cellStyle name="Normal 4 4 4 4 3 2" xfId="14023" xr:uid="{C3245B87-03BA-4C3B-B0E0-02A6F12F1373}"/>
    <cellStyle name="Normal 4 4 4 4 4" xfId="9805" xr:uid="{8342209D-B462-4E1C-BA4D-9FAF513D63E4}"/>
    <cellStyle name="Normal 4 4 4 5" xfId="1698" xr:uid="{00000000-0005-0000-0000-0000D0150000}"/>
    <cellStyle name="Normal 4 4 4 5 2" xfId="3928" xr:uid="{00000000-0005-0000-0000-0000D1150000}"/>
    <cellStyle name="Normal 4 4 4 5 2 2" xfId="8152" xr:uid="{00000000-0005-0000-0000-0000D2150000}"/>
    <cellStyle name="Normal 4 4 4 5 2 2 2" xfId="16581" xr:uid="{D32EF513-B4B1-428D-A5E2-37E3CB537AEF}"/>
    <cellStyle name="Normal 4 4 4 5 2 3" xfId="12363" xr:uid="{A0E563AB-DBAE-4641-BEAE-C413DEA2FEC6}"/>
    <cellStyle name="Normal 4 4 4 5 3" xfId="6007" xr:uid="{00000000-0005-0000-0000-0000D3150000}"/>
    <cellStyle name="Normal 4 4 4 5 3 2" xfId="14436" xr:uid="{1D66C7F0-1124-4FD4-B7E4-43FB96EBACAB}"/>
    <cellStyle name="Normal 4 4 4 5 4" xfId="10218" xr:uid="{8FF958F9-DFBD-4919-BF4A-896B433950C3}"/>
    <cellStyle name="Normal 4 4 4 6" xfId="2112" xr:uid="{00000000-0005-0000-0000-0000D4150000}"/>
    <cellStyle name="Normal 4 4 4 6 2" xfId="4341" xr:uid="{00000000-0005-0000-0000-0000D5150000}"/>
    <cellStyle name="Normal 4 4 4 6 2 2" xfId="8565" xr:uid="{00000000-0005-0000-0000-0000D6150000}"/>
    <cellStyle name="Normal 4 4 4 6 2 2 2" xfId="16994" xr:uid="{CED09D3A-8853-4B92-8065-AD576AE9B62E}"/>
    <cellStyle name="Normal 4 4 4 6 2 3" xfId="12776" xr:uid="{11B6AC9A-BE8C-46D4-A3A5-431021B37817}"/>
    <cellStyle name="Normal 4 4 4 6 3" xfId="6420" xr:uid="{00000000-0005-0000-0000-0000D7150000}"/>
    <cellStyle name="Normal 4 4 4 6 3 2" xfId="14849" xr:uid="{A44E864C-16E0-404F-891E-D8D96CCC7108}"/>
    <cellStyle name="Normal 4 4 4 6 4" xfId="10631" xr:uid="{8B3A6475-3FD2-494B-9FD6-55B94D0887E4}"/>
    <cellStyle name="Normal 4 4 4 7" xfId="2548" xr:uid="{00000000-0005-0000-0000-0000D8150000}"/>
    <cellStyle name="Normal 4 4 4 7 2" xfId="6833" xr:uid="{00000000-0005-0000-0000-0000D9150000}"/>
    <cellStyle name="Normal 4 4 4 7 2 2" xfId="15262" xr:uid="{E43C7F63-E190-4D3A-885D-3DC9DB31C0E9}"/>
    <cellStyle name="Normal 4 4 4 7 3" xfId="11044" xr:uid="{ACD63C4B-B452-4B1F-8525-0FB0E31315CD}"/>
    <cellStyle name="Normal 4 4 4 8" xfId="4768" xr:uid="{00000000-0005-0000-0000-0000DA150000}"/>
    <cellStyle name="Normal 4 4 4 8 2" xfId="13197" xr:uid="{B602541F-2BD0-4217-A7E9-E69FBC502C66}"/>
    <cellStyle name="Normal 4 4 4 9" xfId="8979" xr:uid="{B2D716F5-B807-4668-8A6E-3AF3B5ECA4B8}"/>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2 2 2" xfId="15757" xr:uid="{834659A3-D3BC-4DCD-A29D-608EEFC11257}"/>
    <cellStyle name="Normal 4 4 5 2 2 3" xfId="11539" xr:uid="{A7AA3BC7-F798-415D-ADAA-2C18823E475F}"/>
    <cellStyle name="Normal 4 4 5 2 3" xfId="5183" xr:uid="{00000000-0005-0000-0000-0000DF150000}"/>
    <cellStyle name="Normal 4 4 5 2 3 2" xfId="13612" xr:uid="{CA72BAF3-F346-4E11-B21B-E7858B52496E}"/>
    <cellStyle name="Normal 4 4 5 2 4" xfId="9394" xr:uid="{2E85A2AD-2888-4A1E-8F7E-0C2A7757C3AA}"/>
    <cellStyle name="Normal 4 4 5 3" xfId="1287" xr:uid="{00000000-0005-0000-0000-0000E0150000}"/>
    <cellStyle name="Normal 4 4 5 3 2" xfId="3517" xr:uid="{00000000-0005-0000-0000-0000E1150000}"/>
    <cellStyle name="Normal 4 4 5 3 2 2" xfId="7741" xr:uid="{00000000-0005-0000-0000-0000E2150000}"/>
    <cellStyle name="Normal 4 4 5 3 2 2 2" xfId="16170" xr:uid="{1D49487B-1099-4257-8DE4-F9B3DDFAED9A}"/>
    <cellStyle name="Normal 4 4 5 3 2 3" xfId="11952" xr:uid="{11CB8D2D-8A63-4D36-B488-1D933C2AA34C}"/>
    <cellStyle name="Normal 4 4 5 3 3" xfId="5596" xr:uid="{00000000-0005-0000-0000-0000E3150000}"/>
    <cellStyle name="Normal 4 4 5 3 3 2" xfId="14025" xr:uid="{E52E6B84-0E3D-44E3-89C3-A60CA9589CEC}"/>
    <cellStyle name="Normal 4 4 5 3 4" xfId="9807" xr:uid="{EEFFF2A9-FCBE-4ED4-961A-121C265DAAD6}"/>
    <cellStyle name="Normal 4 4 5 4" xfId="1700" xr:uid="{00000000-0005-0000-0000-0000E4150000}"/>
    <cellStyle name="Normal 4 4 5 4 2" xfId="3930" xr:uid="{00000000-0005-0000-0000-0000E5150000}"/>
    <cellStyle name="Normal 4 4 5 4 2 2" xfId="8154" xr:uid="{00000000-0005-0000-0000-0000E6150000}"/>
    <cellStyle name="Normal 4 4 5 4 2 2 2" xfId="16583" xr:uid="{4221E98F-2AE9-4D1A-BD6B-A4358993B8F7}"/>
    <cellStyle name="Normal 4 4 5 4 2 3" xfId="12365" xr:uid="{7F609912-1288-405E-8934-044DC37D08B5}"/>
    <cellStyle name="Normal 4 4 5 4 3" xfId="6009" xr:uid="{00000000-0005-0000-0000-0000E7150000}"/>
    <cellStyle name="Normal 4 4 5 4 3 2" xfId="14438" xr:uid="{3C6FB156-289C-48C3-9F2D-CE21479569ED}"/>
    <cellStyle name="Normal 4 4 5 4 4" xfId="10220" xr:uid="{F644B31D-7808-437F-8A57-4F8D9B17540B}"/>
    <cellStyle name="Normal 4 4 5 5" xfId="2114" xr:uid="{00000000-0005-0000-0000-0000E8150000}"/>
    <cellStyle name="Normal 4 4 5 5 2" xfId="4343" xr:uid="{00000000-0005-0000-0000-0000E9150000}"/>
    <cellStyle name="Normal 4 4 5 5 2 2" xfId="8567" xr:uid="{00000000-0005-0000-0000-0000EA150000}"/>
    <cellStyle name="Normal 4 4 5 5 2 2 2" xfId="16996" xr:uid="{51730EED-8DF1-48EB-B197-C6CA50C2942C}"/>
    <cellStyle name="Normal 4 4 5 5 2 3" xfId="12778" xr:uid="{D069E577-CA6A-4D22-BDCB-766F22CF5FC7}"/>
    <cellStyle name="Normal 4 4 5 5 3" xfId="6422" xr:uid="{00000000-0005-0000-0000-0000EB150000}"/>
    <cellStyle name="Normal 4 4 5 5 3 2" xfId="14851" xr:uid="{F4D051B1-9FBA-4B53-8ED6-EBCDD19C7B34}"/>
    <cellStyle name="Normal 4 4 5 5 4" xfId="10633" xr:uid="{3C17A8C2-1C6C-4C47-AA3D-638E0BBD7571}"/>
    <cellStyle name="Normal 4 4 5 6" xfId="2550" xr:uid="{00000000-0005-0000-0000-0000EC150000}"/>
    <cellStyle name="Normal 4 4 5 6 2" xfId="6835" xr:uid="{00000000-0005-0000-0000-0000ED150000}"/>
    <cellStyle name="Normal 4 4 5 6 2 2" xfId="15264" xr:uid="{F074B3A0-51F0-4275-9F63-6AC5194E5F62}"/>
    <cellStyle name="Normal 4 4 5 6 3" xfId="11046" xr:uid="{0CBD3117-DF23-401C-A160-0F337515937E}"/>
    <cellStyle name="Normal 4 4 5 7" xfId="4770" xr:uid="{00000000-0005-0000-0000-0000EE150000}"/>
    <cellStyle name="Normal 4 4 5 7 2" xfId="13199" xr:uid="{1ECC149C-7B83-444F-90C8-D0F3DA6162C2}"/>
    <cellStyle name="Normal 4 4 5 8" xfId="8981" xr:uid="{20F89075-1B20-49B7-A0B1-F94B6D06A6E1}"/>
    <cellStyle name="Normal 4 4 6" xfId="854" xr:uid="{00000000-0005-0000-0000-0000EF150000}"/>
    <cellStyle name="Normal 4 4 6 2" xfId="3089" xr:uid="{00000000-0005-0000-0000-0000F0150000}"/>
    <cellStyle name="Normal 4 4 6 2 2" xfId="7313" xr:uid="{00000000-0005-0000-0000-0000F1150000}"/>
    <cellStyle name="Normal 4 4 6 2 2 2" xfId="15742" xr:uid="{17A47B84-1A83-444B-97E1-AF98C4E30618}"/>
    <cellStyle name="Normal 4 4 6 2 3" xfId="11524" xr:uid="{A21B0C92-D578-4312-9C81-49EA2BB1C3BC}"/>
    <cellStyle name="Normal 4 4 6 3" xfId="5168" xr:uid="{00000000-0005-0000-0000-0000F2150000}"/>
    <cellStyle name="Normal 4 4 6 3 2" xfId="13597" xr:uid="{50541E5B-F88D-4417-86FD-450B6DDF759D}"/>
    <cellStyle name="Normal 4 4 6 4" xfId="9379" xr:uid="{EA314CD9-51F2-4F59-A4F4-06FB730B79B0}"/>
    <cellStyle name="Normal 4 4 7" xfId="1272" xr:uid="{00000000-0005-0000-0000-0000F3150000}"/>
    <cellStyle name="Normal 4 4 7 2" xfId="3502" xr:uid="{00000000-0005-0000-0000-0000F4150000}"/>
    <cellStyle name="Normal 4 4 7 2 2" xfId="7726" xr:uid="{00000000-0005-0000-0000-0000F5150000}"/>
    <cellStyle name="Normal 4 4 7 2 2 2" xfId="16155" xr:uid="{1B5B10C3-E444-48F9-8625-D0088A2C24F6}"/>
    <cellStyle name="Normal 4 4 7 2 3" xfId="11937" xr:uid="{FD7273E0-A076-4C49-AE29-7832B00CB028}"/>
    <cellStyle name="Normal 4 4 7 3" xfId="5581" xr:uid="{00000000-0005-0000-0000-0000F6150000}"/>
    <cellStyle name="Normal 4 4 7 3 2" xfId="14010" xr:uid="{8DC9A78C-8533-40BB-8F5C-530CC355AEDE}"/>
    <cellStyle name="Normal 4 4 7 4" xfId="9792" xr:uid="{4CA953DD-5B9A-4BB2-A5FE-0A51E98C5D5B}"/>
    <cellStyle name="Normal 4 4 8" xfId="1685" xr:uid="{00000000-0005-0000-0000-0000F7150000}"/>
    <cellStyle name="Normal 4 4 8 2" xfId="3915" xr:uid="{00000000-0005-0000-0000-0000F8150000}"/>
    <cellStyle name="Normal 4 4 8 2 2" xfId="8139" xr:uid="{00000000-0005-0000-0000-0000F9150000}"/>
    <cellStyle name="Normal 4 4 8 2 2 2" xfId="16568" xr:uid="{51380158-1A35-4860-9395-B1FEFCA66091}"/>
    <cellStyle name="Normal 4 4 8 2 3" xfId="12350" xr:uid="{0B22F25B-5651-4AEC-97DB-347BF761A33B}"/>
    <cellStyle name="Normal 4 4 8 3" xfId="5994" xr:uid="{00000000-0005-0000-0000-0000FA150000}"/>
    <cellStyle name="Normal 4 4 8 3 2" xfId="14423" xr:uid="{00E2CF77-AD94-45BA-8B15-F0949CE70AA5}"/>
    <cellStyle name="Normal 4 4 8 4" xfId="10205" xr:uid="{D7A07B5D-414B-4FD9-B7C5-2D438F778EE0}"/>
    <cellStyle name="Normal 4 4 9" xfId="2099" xr:uid="{00000000-0005-0000-0000-0000FB150000}"/>
    <cellStyle name="Normal 4 4 9 2" xfId="4328" xr:uid="{00000000-0005-0000-0000-0000FC150000}"/>
    <cellStyle name="Normal 4 4 9 2 2" xfId="8552" xr:uid="{00000000-0005-0000-0000-0000FD150000}"/>
    <cellStyle name="Normal 4 4 9 2 2 2" xfId="16981" xr:uid="{4DF0BCA5-C46A-47A6-85A4-4408290B271C}"/>
    <cellStyle name="Normal 4 4 9 2 3" xfId="12763" xr:uid="{260C3069-175F-46F6-8038-8BEED6856052}"/>
    <cellStyle name="Normal 4 4 9 3" xfId="6407" xr:uid="{00000000-0005-0000-0000-0000FE150000}"/>
    <cellStyle name="Normal 4 4 9 3 2" xfId="14836" xr:uid="{534DFD0B-F139-4EBF-A92F-8E56DB2CF2AE}"/>
    <cellStyle name="Normal 4 4 9 4" xfId="10618" xr:uid="{E408D7F1-3AEB-4745-BBB2-F5A975E46903}"/>
    <cellStyle name="Normal 4 5" xfId="394" xr:uid="{00000000-0005-0000-0000-0000FF150000}"/>
    <cellStyle name="Normal 4 6" xfId="395" xr:uid="{00000000-0005-0000-0000-000000160000}"/>
    <cellStyle name="Normal 4 6 10" xfId="4771" xr:uid="{00000000-0005-0000-0000-000001160000}"/>
    <cellStyle name="Normal 4 6 10 2" xfId="13200" xr:uid="{13B020CE-3102-4EA7-9251-01A164D51CF4}"/>
    <cellStyle name="Normal 4 6 11" xfId="8982" xr:uid="{3160A684-AABF-4E65-9267-8801D25DC22E}"/>
    <cellStyle name="Normal 4 6 2" xfId="396" xr:uid="{00000000-0005-0000-0000-000002160000}"/>
    <cellStyle name="Normal 4 6 2 10" xfId="8983" xr:uid="{CF6734F8-D277-4150-83C7-30B8AFB49A8F}"/>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2 2 2" xfId="15761" xr:uid="{38119814-DFB4-4B36-AFFA-0E795F88006B}"/>
    <cellStyle name="Normal 4 6 2 2 2 2 2 3" xfId="11543" xr:uid="{3091B21F-F9F2-4F25-8D9D-6748495BA1B7}"/>
    <cellStyle name="Normal 4 6 2 2 2 2 3" xfId="5187" xr:uid="{00000000-0005-0000-0000-000008160000}"/>
    <cellStyle name="Normal 4 6 2 2 2 2 3 2" xfId="13616" xr:uid="{57FA76A5-1636-415D-BAA6-1829951C1EE7}"/>
    <cellStyle name="Normal 4 6 2 2 2 2 4" xfId="9398" xr:uid="{3F960FC0-D349-4409-8A66-333F9C709B21}"/>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2 2 2" xfId="16174" xr:uid="{69701940-B3B1-42D1-9012-2719DAC1632E}"/>
    <cellStyle name="Normal 4 6 2 2 2 3 2 3" xfId="11956" xr:uid="{0B5553EB-8BB5-4EFC-B432-29CBD992CBD0}"/>
    <cellStyle name="Normal 4 6 2 2 2 3 3" xfId="5600" xr:uid="{00000000-0005-0000-0000-00000C160000}"/>
    <cellStyle name="Normal 4 6 2 2 2 3 3 2" xfId="14029" xr:uid="{FE17B51F-FBDF-4638-A7C7-7905E752C9B8}"/>
    <cellStyle name="Normal 4 6 2 2 2 3 4" xfId="9811" xr:uid="{3F3E1978-C28F-4975-9033-BE945D83CE05}"/>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2 2 2" xfId="16587" xr:uid="{021BBD8C-AC94-486A-9AA6-4E8CBC1F36DE}"/>
    <cellStyle name="Normal 4 6 2 2 2 4 2 3" xfId="12369" xr:uid="{5EC772D8-B185-47A9-B298-D7C8F2980009}"/>
    <cellStyle name="Normal 4 6 2 2 2 4 3" xfId="6013" xr:uid="{00000000-0005-0000-0000-000010160000}"/>
    <cellStyle name="Normal 4 6 2 2 2 4 3 2" xfId="14442" xr:uid="{FC5F8194-2501-4AAC-B444-F94F65765DDB}"/>
    <cellStyle name="Normal 4 6 2 2 2 4 4" xfId="10224" xr:uid="{E257E10B-51A9-409D-8231-464DA72AD85D}"/>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2 2 2" xfId="17000" xr:uid="{06C553DA-8727-4C8A-99E7-09B288C83E91}"/>
    <cellStyle name="Normal 4 6 2 2 2 5 2 3" xfId="12782" xr:uid="{9BE87D93-D533-483D-9800-FF9AD9E8DCB0}"/>
    <cellStyle name="Normal 4 6 2 2 2 5 3" xfId="6426" xr:uid="{00000000-0005-0000-0000-000014160000}"/>
    <cellStyle name="Normal 4 6 2 2 2 5 3 2" xfId="14855" xr:uid="{2025A726-1A3C-4B95-983E-86941DCC46DF}"/>
    <cellStyle name="Normal 4 6 2 2 2 5 4" xfId="10637" xr:uid="{AD1EE562-BC68-4076-B4A8-F112149288C8}"/>
    <cellStyle name="Normal 4 6 2 2 2 6" xfId="2554" xr:uid="{00000000-0005-0000-0000-000015160000}"/>
    <cellStyle name="Normal 4 6 2 2 2 6 2" xfId="6839" xr:uid="{00000000-0005-0000-0000-000016160000}"/>
    <cellStyle name="Normal 4 6 2 2 2 6 2 2" xfId="15268" xr:uid="{65656B23-74B1-4A3A-9D9D-9FB75E2CE888}"/>
    <cellStyle name="Normal 4 6 2 2 2 6 3" xfId="11050" xr:uid="{2FC7AF6E-E6E6-4076-AD13-BA8B2B97A5BA}"/>
    <cellStyle name="Normal 4 6 2 2 2 7" xfId="4774" xr:uid="{00000000-0005-0000-0000-000017160000}"/>
    <cellStyle name="Normal 4 6 2 2 2 7 2" xfId="13203" xr:uid="{20B13CA3-FAFA-4A98-85E1-2491BE10F8FF}"/>
    <cellStyle name="Normal 4 6 2 2 2 8" xfId="8985" xr:uid="{F2CDA7C2-121E-4BF6-AAB1-C6680EE7B96F}"/>
    <cellStyle name="Normal 4 6 2 2 3" xfId="872" xr:uid="{00000000-0005-0000-0000-000018160000}"/>
    <cellStyle name="Normal 4 6 2 2 3 2" xfId="3107" xr:uid="{00000000-0005-0000-0000-000019160000}"/>
    <cellStyle name="Normal 4 6 2 2 3 2 2" xfId="7331" xr:uid="{00000000-0005-0000-0000-00001A160000}"/>
    <cellStyle name="Normal 4 6 2 2 3 2 2 2" xfId="15760" xr:uid="{91D32D71-65D4-40C2-AA40-BFCEA21EBC5B}"/>
    <cellStyle name="Normal 4 6 2 2 3 2 3" xfId="11542" xr:uid="{9906A151-B9A3-45FB-88FB-E8DEF4799036}"/>
    <cellStyle name="Normal 4 6 2 2 3 3" xfId="5186" xr:uid="{00000000-0005-0000-0000-00001B160000}"/>
    <cellStyle name="Normal 4 6 2 2 3 3 2" xfId="13615" xr:uid="{F81669D9-5F1F-4588-91D6-505874381AB0}"/>
    <cellStyle name="Normal 4 6 2 2 3 4" xfId="9397" xr:uid="{8DD1C291-7DAE-403B-8227-FA7C56A84A83}"/>
    <cellStyle name="Normal 4 6 2 2 4" xfId="1290" xr:uid="{00000000-0005-0000-0000-00001C160000}"/>
    <cellStyle name="Normal 4 6 2 2 4 2" xfId="3520" xr:uid="{00000000-0005-0000-0000-00001D160000}"/>
    <cellStyle name="Normal 4 6 2 2 4 2 2" xfId="7744" xr:uid="{00000000-0005-0000-0000-00001E160000}"/>
    <cellStyle name="Normal 4 6 2 2 4 2 2 2" xfId="16173" xr:uid="{38AA7A5F-28BD-4734-A2C4-D62BDA607CB1}"/>
    <cellStyle name="Normal 4 6 2 2 4 2 3" xfId="11955" xr:uid="{128213FB-AE58-4816-90B0-C6FF747D4D34}"/>
    <cellStyle name="Normal 4 6 2 2 4 3" xfId="5599" xr:uid="{00000000-0005-0000-0000-00001F160000}"/>
    <cellStyle name="Normal 4 6 2 2 4 3 2" xfId="14028" xr:uid="{CD4334F7-0BFE-416E-8305-0F1BCC516465}"/>
    <cellStyle name="Normal 4 6 2 2 4 4" xfId="9810" xr:uid="{B5693FB8-8A07-4C96-9FCF-F971C50522A7}"/>
    <cellStyle name="Normal 4 6 2 2 5" xfId="1703" xr:uid="{00000000-0005-0000-0000-000020160000}"/>
    <cellStyle name="Normal 4 6 2 2 5 2" xfId="3933" xr:uid="{00000000-0005-0000-0000-000021160000}"/>
    <cellStyle name="Normal 4 6 2 2 5 2 2" xfId="8157" xr:uid="{00000000-0005-0000-0000-000022160000}"/>
    <cellStyle name="Normal 4 6 2 2 5 2 2 2" xfId="16586" xr:uid="{B80F3569-1432-48AA-9513-672FA68AB2C9}"/>
    <cellStyle name="Normal 4 6 2 2 5 2 3" xfId="12368" xr:uid="{3D250D7F-1F53-4F2E-B25D-F311BBF60AEE}"/>
    <cellStyle name="Normal 4 6 2 2 5 3" xfId="6012" xr:uid="{00000000-0005-0000-0000-000023160000}"/>
    <cellStyle name="Normal 4 6 2 2 5 3 2" xfId="14441" xr:uid="{37C0042F-E47F-4108-B0DF-FADF2206A83D}"/>
    <cellStyle name="Normal 4 6 2 2 5 4" xfId="10223" xr:uid="{43B66AAC-FEE1-4F6B-84AB-93A0F8CE6633}"/>
    <cellStyle name="Normal 4 6 2 2 6" xfId="2117" xr:uid="{00000000-0005-0000-0000-000024160000}"/>
    <cellStyle name="Normal 4 6 2 2 6 2" xfId="4346" xr:uid="{00000000-0005-0000-0000-000025160000}"/>
    <cellStyle name="Normal 4 6 2 2 6 2 2" xfId="8570" xr:uid="{00000000-0005-0000-0000-000026160000}"/>
    <cellStyle name="Normal 4 6 2 2 6 2 2 2" xfId="16999" xr:uid="{E33E778C-9876-4804-844E-0A8C4C173C67}"/>
    <cellStyle name="Normal 4 6 2 2 6 2 3" xfId="12781" xr:uid="{E62BD4F5-CF80-4F6F-9825-117080B37390}"/>
    <cellStyle name="Normal 4 6 2 2 6 3" xfId="6425" xr:uid="{00000000-0005-0000-0000-000027160000}"/>
    <cellStyle name="Normal 4 6 2 2 6 3 2" xfId="14854" xr:uid="{F9A7C646-5B3A-4D02-BEB8-0055082C518B}"/>
    <cellStyle name="Normal 4 6 2 2 6 4" xfId="10636" xr:uid="{0727750A-7A5A-47E8-9D5F-48A9A3A4C97E}"/>
    <cellStyle name="Normal 4 6 2 2 7" xfId="2553" xr:uid="{00000000-0005-0000-0000-000028160000}"/>
    <cellStyle name="Normal 4 6 2 2 7 2" xfId="6838" xr:uid="{00000000-0005-0000-0000-000029160000}"/>
    <cellStyle name="Normal 4 6 2 2 7 2 2" xfId="15267" xr:uid="{3DCCBCBA-9E64-4712-81F6-A7B4AAEA6950}"/>
    <cellStyle name="Normal 4 6 2 2 7 3" xfId="11049" xr:uid="{1C5F874E-FB5D-421A-BC68-D2EF45BA989F}"/>
    <cellStyle name="Normal 4 6 2 2 8" xfId="4773" xr:uid="{00000000-0005-0000-0000-00002A160000}"/>
    <cellStyle name="Normal 4 6 2 2 8 2" xfId="13202" xr:uid="{DE2E0C4C-D8BD-4403-B519-BBDB415161FA}"/>
    <cellStyle name="Normal 4 6 2 2 9" xfId="8984" xr:uid="{E8A948C9-2C16-4C22-9C4B-2F9815363C8F}"/>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2 2 2" xfId="15762" xr:uid="{5965CD38-49C1-4896-BC71-F9BCDA7C99A6}"/>
    <cellStyle name="Normal 4 6 2 3 2 2 3" xfId="11544" xr:uid="{39374587-C803-43B9-8DA7-CAADB2366220}"/>
    <cellStyle name="Normal 4 6 2 3 2 3" xfId="5188" xr:uid="{00000000-0005-0000-0000-00002F160000}"/>
    <cellStyle name="Normal 4 6 2 3 2 3 2" xfId="13617" xr:uid="{420E455C-6FCB-41E5-BCB8-DECE13DC9008}"/>
    <cellStyle name="Normal 4 6 2 3 2 4" xfId="9399" xr:uid="{75B657E8-1E83-48AB-9FC5-72EA522DD646}"/>
    <cellStyle name="Normal 4 6 2 3 3" xfId="1292" xr:uid="{00000000-0005-0000-0000-000030160000}"/>
    <cellStyle name="Normal 4 6 2 3 3 2" xfId="3522" xr:uid="{00000000-0005-0000-0000-000031160000}"/>
    <cellStyle name="Normal 4 6 2 3 3 2 2" xfId="7746" xr:uid="{00000000-0005-0000-0000-000032160000}"/>
    <cellStyle name="Normal 4 6 2 3 3 2 2 2" xfId="16175" xr:uid="{51C988AF-D126-4169-ADA4-84AA7F3D12F1}"/>
    <cellStyle name="Normal 4 6 2 3 3 2 3" xfId="11957" xr:uid="{9E140171-140C-4C37-80AD-8B355C7F70AF}"/>
    <cellStyle name="Normal 4 6 2 3 3 3" xfId="5601" xr:uid="{00000000-0005-0000-0000-000033160000}"/>
    <cellStyle name="Normal 4 6 2 3 3 3 2" xfId="14030" xr:uid="{BA7E2AEC-0E9E-4436-B85F-1A68EB635CF7}"/>
    <cellStyle name="Normal 4 6 2 3 3 4" xfId="9812" xr:uid="{2EACEC68-A2EF-40C8-B028-DE1EA5FEA58C}"/>
    <cellStyle name="Normal 4 6 2 3 4" xfId="1705" xr:uid="{00000000-0005-0000-0000-000034160000}"/>
    <cellStyle name="Normal 4 6 2 3 4 2" xfId="3935" xr:uid="{00000000-0005-0000-0000-000035160000}"/>
    <cellStyle name="Normal 4 6 2 3 4 2 2" xfId="8159" xr:uid="{00000000-0005-0000-0000-000036160000}"/>
    <cellStyle name="Normal 4 6 2 3 4 2 2 2" xfId="16588" xr:uid="{C5A93C2B-9B8C-4DAB-8C8D-6C74010048CF}"/>
    <cellStyle name="Normal 4 6 2 3 4 2 3" xfId="12370" xr:uid="{71BC7A71-2171-479E-BA13-A932E095103E}"/>
    <cellStyle name="Normal 4 6 2 3 4 3" xfId="6014" xr:uid="{00000000-0005-0000-0000-000037160000}"/>
    <cellStyle name="Normal 4 6 2 3 4 3 2" xfId="14443" xr:uid="{CAC0DCFF-6370-4C23-B277-32293B436D61}"/>
    <cellStyle name="Normal 4 6 2 3 4 4" xfId="10225" xr:uid="{039A0A27-80BD-4D56-9348-E4511A0D71DC}"/>
    <cellStyle name="Normal 4 6 2 3 5" xfId="2119" xr:uid="{00000000-0005-0000-0000-000038160000}"/>
    <cellStyle name="Normal 4 6 2 3 5 2" xfId="4348" xr:uid="{00000000-0005-0000-0000-000039160000}"/>
    <cellStyle name="Normal 4 6 2 3 5 2 2" xfId="8572" xr:uid="{00000000-0005-0000-0000-00003A160000}"/>
    <cellStyle name="Normal 4 6 2 3 5 2 2 2" xfId="17001" xr:uid="{0E45D67E-3FCD-48F1-994A-96C81C5FBBB2}"/>
    <cellStyle name="Normal 4 6 2 3 5 2 3" xfId="12783" xr:uid="{9559C325-20CE-4A5C-A893-DB1A680A5014}"/>
    <cellStyle name="Normal 4 6 2 3 5 3" xfId="6427" xr:uid="{00000000-0005-0000-0000-00003B160000}"/>
    <cellStyle name="Normal 4 6 2 3 5 3 2" xfId="14856" xr:uid="{856B2DE3-3D13-463F-AEBD-356B56023AF8}"/>
    <cellStyle name="Normal 4 6 2 3 5 4" xfId="10638" xr:uid="{DFD85052-1C40-494F-B3C9-923766A34D80}"/>
    <cellStyle name="Normal 4 6 2 3 6" xfId="2555" xr:uid="{00000000-0005-0000-0000-00003C160000}"/>
    <cellStyle name="Normal 4 6 2 3 6 2" xfId="6840" xr:uid="{00000000-0005-0000-0000-00003D160000}"/>
    <cellStyle name="Normal 4 6 2 3 6 2 2" xfId="15269" xr:uid="{7AB0AADC-0B76-44AF-9AF7-348131F53F18}"/>
    <cellStyle name="Normal 4 6 2 3 6 3" xfId="11051" xr:uid="{1AE8D750-59EC-49A0-8C0C-1B99920EE8C0}"/>
    <cellStyle name="Normal 4 6 2 3 7" xfId="4775" xr:uid="{00000000-0005-0000-0000-00003E160000}"/>
    <cellStyle name="Normal 4 6 2 3 7 2" xfId="13204" xr:uid="{6CDFF1E6-439B-4CB3-A3CF-B72009B0E350}"/>
    <cellStyle name="Normal 4 6 2 3 8" xfId="8986" xr:uid="{5799C119-7CA2-4517-A1A1-EE012DE79FAF}"/>
    <cellStyle name="Normal 4 6 2 4" xfId="871" xr:uid="{00000000-0005-0000-0000-00003F160000}"/>
    <cellStyle name="Normal 4 6 2 4 2" xfId="3106" xr:uid="{00000000-0005-0000-0000-000040160000}"/>
    <cellStyle name="Normal 4 6 2 4 2 2" xfId="7330" xr:uid="{00000000-0005-0000-0000-000041160000}"/>
    <cellStyle name="Normal 4 6 2 4 2 2 2" xfId="15759" xr:uid="{CB1679E6-0CCB-46F6-8C88-953F205BA395}"/>
    <cellStyle name="Normal 4 6 2 4 2 3" xfId="11541" xr:uid="{2C0BC190-30E1-4FE7-9141-846BB9D3F76B}"/>
    <cellStyle name="Normal 4 6 2 4 3" xfId="5185" xr:uid="{00000000-0005-0000-0000-000042160000}"/>
    <cellStyle name="Normal 4 6 2 4 3 2" xfId="13614" xr:uid="{84DF3A81-C729-4B8C-8E62-8280ED92B8EF}"/>
    <cellStyle name="Normal 4 6 2 4 4" xfId="9396" xr:uid="{B857367A-7530-448D-BF4F-D16653896276}"/>
    <cellStyle name="Normal 4 6 2 5" xfId="1289" xr:uid="{00000000-0005-0000-0000-000043160000}"/>
    <cellStyle name="Normal 4 6 2 5 2" xfId="3519" xr:uid="{00000000-0005-0000-0000-000044160000}"/>
    <cellStyle name="Normal 4 6 2 5 2 2" xfId="7743" xr:uid="{00000000-0005-0000-0000-000045160000}"/>
    <cellStyle name="Normal 4 6 2 5 2 2 2" xfId="16172" xr:uid="{83329753-4EB7-4052-86C4-2A882CCE6BB1}"/>
    <cellStyle name="Normal 4 6 2 5 2 3" xfId="11954" xr:uid="{72BFA133-1103-4E15-99E3-21DD580FE19A}"/>
    <cellStyle name="Normal 4 6 2 5 3" xfId="5598" xr:uid="{00000000-0005-0000-0000-000046160000}"/>
    <cellStyle name="Normal 4 6 2 5 3 2" xfId="14027" xr:uid="{6AB170DA-843D-47C9-B49F-D79DED8F6D97}"/>
    <cellStyle name="Normal 4 6 2 5 4" xfId="9809" xr:uid="{D761FD9F-C972-46DC-BBEE-DAD6998674C2}"/>
    <cellStyle name="Normal 4 6 2 6" xfId="1702" xr:uid="{00000000-0005-0000-0000-000047160000}"/>
    <cellStyle name="Normal 4 6 2 6 2" xfId="3932" xr:uid="{00000000-0005-0000-0000-000048160000}"/>
    <cellStyle name="Normal 4 6 2 6 2 2" xfId="8156" xr:uid="{00000000-0005-0000-0000-000049160000}"/>
    <cellStyle name="Normal 4 6 2 6 2 2 2" xfId="16585" xr:uid="{7CC0C205-B1FE-4005-A936-1C18A5BEACD7}"/>
    <cellStyle name="Normal 4 6 2 6 2 3" xfId="12367" xr:uid="{595BD754-159B-434B-B3DC-C5E877EDCADF}"/>
    <cellStyle name="Normal 4 6 2 6 3" xfId="6011" xr:uid="{00000000-0005-0000-0000-00004A160000}"/>
    <cellStyle name="Normal 4 6 2 6 3 2" xfId="14440" xr:uid="{19840413-C66C-4FF0-9055-874F0FC2BF08}"/>
    <cellStyle name="Normal 4 6 2 6 4" xfId="10222" xr:uid="{B9C9DAA5-8774-4571-8A41-4141F989C1E1}"/>
    <cellStyle name="Normal 4 6 2 7" xfId="2116" xr:uid="{00000000-0005-0000-0000-00004B160000}"/>
    <cellStyle name="Normal 4 6 2 7 2" xfId="4345" xr:uid="{00000000-0005-0000-0000-00004C160000}"/>
    <cellStyle name="Normal 4 6 2 7 2 2" xfId="8569" xr:uid="{00000000-0005-0000-0000-00004D160000}"/>
    <cellStyle name="Normal 4 6 2 7 2 2 2" xfId="16998" xr:uid="{6FFB8D7B-8A1E-4EA0-A5A7-C9F4198DBE4D}"/>
    <cellStyle name="Normal 4 6 2 7 2 3" xfId="12780" xr:uid="{A9879646-9169-4850-AF44-CA2CD5A76331}"/>
    <cellStyle name="Normal 4 6 2 7 3" xfId="6424" xr:uid="{00000000-0005-0000-0000-00004E160000}"/>
    <cellStyle name="Normal 4 6 2 7 3 2" xfId="14853" xr:uid="{CCB76CB8-F9E0-4A00-9AA0-D2E739CC9CCE}"/>
    <cellStyle name="Normal 4 6 2 7 4" xfId="10635" xr:uid="{1C0E07ED-C1BF-4657-BABB-79947DB01C0A}"/>
    <cellStyle name="Normal 4 6 2 8" xfId="2552" xr:uid="{00000000-0005-0000-0000-00004F160000}"/>
    <cellStyle name="Normal 4 6 2 8 2" xfId="6837" xr:uid="{00000000-0005-0000-0000-000050160000}"/>
    <cellStyle name="Normal 4 6 2 8 2 2" xfId="15266" xr:uid="{64C663EE-27C9-4F21-8716-7D8B91604E81}"/>
    <cellStyle name="Normal 4 6 2 8 3" xfId="11048" xr:uid="{12CD5D8B-9143-4281-938F-C00923B8962C}"/>
    <cellStyle name="Normal 4 6 2 9" xfId="4772" xr:uid="{00000000-0005-0000-0000-000051160000}"/>
    <cellStyle name="Normal 4 6 2 9 2" xfId="13201" xr:uid="{643FB84C-4DC8-4B6A-B98D-5B884F087261}"/>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2 2 2" xfId="15764" xr:uid="{73551C88-C977-4185-88B9-372713A68B07}"/>
    <cellStyle name="Normal 4 6 3 2 2 2 3" xfId="11546" xr:uid="{43A482C1-EC15-42A8-86E3-4ECA13352DEB}"/>
    <cellStyle name="Normal 4 6 3 2 2 3" xfId="5190" xr:uid="{00000000-0005-0000-0000-000057160000}"/>
    <cellStyle name="Normal 4 6 3 2 2 3 2" xfId="13619" xr:uid="{940A8B45-F981-4DE8-8249-6E2156C9103F}"/>
    <cellStyle name="Normal 4 6 3 2 2 4" xfId="9401" xr:uid="{64ED233C-05D0-4C21-A4DC-040AA1D4BC59}"/>
    <cellStyle name="Normal 4 6 3 2 3" xfId="1294" xr:uid="{00000000-0005-0000-0000-000058160000}"/>
    <cellStyle name="Normal 4 6 3 2 3 2" xfId="3524" xr:uid="{00000000-0005-0000-0000-000059160000}"/>
    <cellStyle name="Normal 4 6 3 2 3 2 2" xfId="7748" xr:uid="{00000000-0005-0000-0000-00005A160000}"/>
    <cellStyle name="Normal 4 6 3 2 3 2 2 2" xfId="16177" xr:uid="{CAAC6BB2-565F-44FE-974A-3723F76E895B}"/>
    <cellStyle name="Normal 4 6 3 2 3 2 3" xfId="11959" xr:uid="{B9FC26B8-A1C1-4AB7-8D6D-F17A8C7CCA5F}"/>
    <cellStyle name="Normal 4 6 3 2 3 3" xfId="5603" xr:uid="{00000000-0005-0000-0000-00005B160000}"/>
    <cellStyle name="Normal 4 6 3 2 3 3 2" xfId="14032" xr:uid="{5E9E2B46-F6DA-42CA-BF50-76AC1BFAD813}"/>
    <cellStyle name="Normal 4 6 3 2 3 4" xfId="9814" xr:uid="{C393107C-D136-463F-BF1E-2F54BEBD97DF}"/>
    <cellStyle name="Normal 4 6 3 2 4" xfId="1707" xr:uid="{00000000-0005-0000-0000-00005C160000}"/>
    <cellStyle name="Normal 4 6 3 2 4 2" xfId="3937" xr:uid="{00000000-0005-0000-0000-00005D160000}"/>
    <cellStyle name="Normal 4 6 3 2 4 2 2" xfId="8161" xr:uid="{00000000-0005-0000-0000-00005E160000}"/>
    <cellStyle name="Normal 4 6 3 2 4 2 2 2" xfId="16590" xr:uid="{59161269-E48E-4041-9EA3-50546243D9D9}"/>
    <cellStyle name="Normal 4 6 3 2 4 2 3" xfId="12372" xr:uid="{6EEDA5E6-9186-4E96-95B5-6FDF34CB019A}"/>
    <cellStyle name="Normal 4 6 3 2 4 3" xfId="6016" xr:uid="{00000000-0005-0000-0000-00005F160000}"/>
    <cellStyle name="Normal 4 6 3 2 4 3 2" xfId="14445" xr:uid="{BFF6D090-ED44-43F1-9A83-098A95EA4099}"/>
    <cellStyle name="Normal 4 6 3 2 4 4" xfId="10227" xr:uid="{06910B50-9DCA-4780-B472-21879A3E8F05}"/>
    <cellStyle name="Normal 4 6 3 2 5" xfId="2121" xr:uid="{00000000-0005-0000-0000-000060160000}"/>
    <cellStyle name="Normal 4 6 3 2 5 2" xfId="4350" xr:uid="{00000000-0005-0000-0000-000061160000}"/>
    <cellStyle name="Normal 4 6 3 2 5 2 2" xfId="8574" xr:uid="{00000000-0005-0000-0000-000062160000}"/>
    <cellStyle name="Normal 4 6 3 2 5 2 2 2" xfId="17003" xr:uid="{0AB4E179-3498-44AA-AA39-54552732A246}"/>
    <cellStyle name="Normal 4 6 3 2 5 2 3" xfId="12785" xr:uid="{2A62AC07-2A60-4BCC-99BD-8E42733367FA}"/>
    <cellStyle name="Normal 4 6 3 2 5 3" xfId="6429" xr:uid="{00000000-0005-0000-0000-000063160000}"/>
    <cellStyle name="Normal 4 6 3 2 5 3 2" xfId="14858" xr:uid="{9D185B35-9467-445C-8FE9-5FFFC50A2990}"/>
    <cellStyle name="Normal 4 6 3 2 5 4" xfId="10640" xr:uid="{0CA190D7-C743-4573-B64E-1E79A8E8A3BB}"/>
    <cellStyle name="Normal 4 6 3 2 6" xfId="2557" xr:uid="{00000000-0005-0000-0000-000064160000}"/>
    <cellStyle name="Normal 4 6 3 2 6 2" xfId="6842" xr:uid="{00000000-0005-0000-0000-000065160000}"/>
    <cellStyle name="Normal 4 6 3 2 6 2 2" xfId="15271" xr:uid="{304BE66B-6B9D-4A0B-9938-60CD7F22BAE9}"/>
    <cellStyle name="Normal 4 6 3 2 6 3" xfId="11053" xr:uid="{CD1826B3-EF80-4F08-BF3F-B31439FD2DBF}"/>
    <cellStyle name="Normal 4 6 3 2 7" xfId="4777" xr:uid="{00000000-0005-0000-0000-000066160000}"/>
    <cellStyle name="Normal 4 6 3 2 7 2" xfId="13206" xr:uid="{D5532341-3FFE-4C46-8A1E-9778D1EF99C8}"/>
    <cellStyle name="Normal 4 6 3 2 8" xfId="8988" xr:uid="{00855024-8832-4077-A0BF-56C109F746EA}"/>
    <cellStyle name="Normal 4 6 3 3" xfId="875" xr:uid="{00000000-0005-0000-0000-000067160000}"/>
    <cellStyle name="Normal 4 6 3 3 2" xfId="3110" xr:uid="{00000000-0005-0000-0000-000068160000}"/>
    <cellStyle name="Normal 4 6 3 3 2 2" xfId="7334" xr:uid="{00000000-0005-0000-0000-000069160000}"/>
    <cellStyle name="Normal 4 6 3 3 2 2 2" xfId="15763" xr:uid="{A6E82391-1B20-4D09-A1D4-83619283320A}"/>
    <cellStyle name="Normal 4 6 3 3 2 3" xfId="11545" xr:uid="{63C4D064-42B5-49D5-BE7C-4F560FF7BC9C}"/>
    <cellStyle name="Normal 4 6 3 3 3" xfId="5189" xr:uid="{00000000-0005-0000-0000-00006A160000}"/>
    <cellStyle name="Normal 4 6 3 3 3 2" xfId="13618" xr:uid="{1FAE7C53-29C3-4792-B722-8C4E1C816919}"/>
    <cellStyle name="Normal 4 6 3 3 4" xfId="9400" xr:uid="{3EA3C4AC-917B-4A39-ABCA-53BD6C64241B}"/>
    <cellStyle name="Normal 4 6 3 4" xfId="1293" xr:uid="{00000000-0005-0000-0000-00006B160000}"/>
    <cellStyle name="Normal 4 6 3 4 2" xfId="3523" xr:uid="{00000000-0005-0000-0000-00006C160000}"/>
    <cellStyle name="Normal 4 6 3 4 2 2" xfId="7747" xr:uid="{00000000-0005-0000-0000-00006D160000}"/>
    <cellStyle name="Normal 4 6 3 4 2 2 2" xfId="16176" xr:uid="{FCFE18D0-EDE8-44FA-9534-F372EDF27E1D}"/>
    <cellStyle name="Normal 4 6 3 4 2 3" xfId="11958" xr:uid="{9CAE849F-8E18-424E-AAB1-80B67AAF3023}"/>
    <cellStyle name="Normal 4 6 3 4 3" xfId="5602" xr:uid="{00000000-0005-0000-0000-00006E160000}"/>
    <cellStyle name="Normal 4 6 3 4 3 2" xfId="14031" xr:uid="{95501DD0-2498-4692-81D7-9BD933E8ADF4}"/>
    <cellStyle name="Normal 4 6 3 4 4" xfId="9813" xr:uid="{F2A9B0B4-5844-4181-B22D-73D1BC40045A}"/>
    <cellStyle name="Normal 4 6 3 5" xfId="1706" xr:uid="{00000000-0005-0000-0000-00006F160000}"/>
    <cellStyle name="Normal 4 6 3 5 2" xfId="3936" xr:uid="{00000000-0005-0000-0000-000070160000}"/>
    <cellStyle name="Normal 4 6 3 5 2 2" xfId="8160" xr:uid="{00000000-0005-0000-0000-000071160000}"/>
    <cellStyle name="Normal 4 6 3 5 2 2 2" xfId="16589" xr:uid="{4338A7F2-E1A7-4D96-98B6-E1D3FF72593F}"/>
    <cellStyle name="Normal 4 6 3 5 2 3" xfId="12371" xr:uid="{D2C1FD66-6173-434B-A6CB-3AAC11A460C0}"/>
    <cellStyle name="Normal 4 6 3 5 3" xfId="6015" xr:uid="{00000000-0005-0000-0000-000072160000}"/>
    <cellStyle name="Normal 4 6 3 5 3 2" xfId="14444" xr:uid="{568D0A6E-6EDB-4C07-8E27-C76ECABA7EA6}"/>
    <cellStyle name="Normal 4 6 3 5 4" xfId="10226" xr:uid="{0C99C74D-9871-49BE-AD8C-DF15037FCEA9}"/>
    <cellStyle name="Normal 4 6 3 6" xfId="2120" xr:uid="{00000000-0005-0000-0000-000073160000}"/>
    <cellStyle name="Normal 4 6 3 6 2" xfId="4349" xr:uid="{00000000-0005-0000-0000-000074160000}"/>
    <cellStyle name="Normal 4 6 3 6 2 2" xfId="8573" xr:uid="{00000000-0005-0000-0000-000075160000}"/>
    <cellStyle name="Normal 4 6 3 6 2 2 2" xfId="17002" xr:uid="{843CEA8A-31DA-44C8-BEE9-955B915A4165}"/>
    <cellStyle name="Normal 4 6 3 6 2 3" xfId="12784" xr:uid="{4A95FED6-5ECD-49E0-A745-C50CA8628AA4}"/>
    <cellStyle name="Normal 4 6 3 6 3" xfId="6428" xr:uid="{00000000-0005-0000-0000-000076160000}"/>
    <cellStyle name="Normal 4 6 3 6 3 2" xfId="14857" xr:uid="{F841BECA-A95B-4612-A5B0-4CE7C14EE5BA}"/>
    <cellStyle name="Normal 4 6 3 6 4" xfId="10639" xr:uid="{51AFF29D-8D05-4A9C-9537-DF9C9FAE3146}"/>
    <cellStyle name="Normal 4 6 3 7" xfId="2556" xr:uid="{00000000-0005-0000-0000-000077160000}"/>
    <cellStyle name="Normal 4 6 3 7 2" xfId="6841" xr:uid="{00000000-0005-0000-0000-000078160000}"/>
    <cellStyle name="Normal 4 6 3 7 2 2" xfId="15270" xr:uid="{1468BFDB-0405-4B72-9129-9419248EC821}"/>
    <cellStyle name="Normal 4 6 3 7 3" xfId="11052" xr:uid="{6499EC7D-0BF6-46BB-8E96-877E2E6328E9}"/>
    <cellStyle name="Normal 4 6 3 8" xfId="4776" xr:uid="{00000000-0005-0000-0000-000079160000}"/>
    <cellStyle name="Normal 4 6 3 8 2" xfId="13205" xr:uid="{5B232D1F-C604-4C04-8D2A-4B1993A8BB92}"/>
    <cellStyle name="Normal 4 6 3 9" xfId="8987" xr:uid="{8FF86AE8-91B4-4D4E-B0A0-C8FE7327008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2 2 2" xfId="15765" xr:uid="{DB9FAF0A-74A9-42F4-A5A3-86D85583D774}"/>
    <cellStyle name="Normal 4 6 4 2 2 3" xfId="11547" xr:uid="{63F11072-9CA3-4431-9862-FD51E2771FB0}"/>
    <cellStyle name="Normal 4 6 4 2 3" xfId="5191" xr:uid="{00000000-0005-0000-0000-00007E160000}"/>
    <cellStyle name="Normal 4 6 4 2 3 2" xfId="13620" xr:uid="{E9210AEB-C4AC-4672-8275-F4FA36726D38}"/>
    <cellStyle name="Normal 4 6 4 2 4" xfId="9402" xr:uid="{FE02DF3F-3136-457F-91F0-2EFC33970E8C}"/>
    <cellStyle name="Normal 4 6 4 3" xfId="1295" xr:uid="{00000000-0005-0000-0000-00007F160000}"/>
    <cellStyle name="Normal 4 6 4 3 2" xfId="3525" xr:uid="{00000000-0005-0000-0000-000080160000}"/>
    <cellStyle name="Normal 4 6 4 3 2 2" xfId="7749" xr:uid="{00000000-0005-0000-0000-000081160000}"/>
    <cellStyle name="Normal 4 6 4 3 2 2 2" xfId="16178" xr:uid="{728E073D-5B14-4EBA-999B-7C0F9E9CF8BB}"/>
    <cellStyle name="Normal 4 6 4 3 2 3" xfId="11960" xr:uid="{C7D59AC7-7E42-46A9-971F-E17043C75E65}"/>
    <cellStyle name="Normal 4 6 4 3 3" xfId="5604" xr:uid="{00000000-0005-0000-0000-000082160000}"/>
    <cellStyle name="Normal 4 6 4 3 3 2" xfId="14033" xr:uid="{D6D307C9-8606-493B-BC8D-85438F80F49B}"/>
    <cellStyle name="Normal 4 6 4 3 4" xfId="9815" xr:uid="{98A8E7C0-0950-46E1-B2F6-679FCC707F60}"/>
    <cellStyle name="Normal 4 6 4 4" xfId="1708" xr:uid="{00000000-0005-0000-0000-000083160000}"/>
    <cellStyle name="Normal 4 6 4 4 2" xfId="3938" xr:uid="{00000000-0005-0000-0000-000084160000}"/>
    <cellStyle name="Normal 4 6 4 4 2 2" xfId="8162" xr:uid="{00000000-0005-0000-0000-000085160000}"/>
    <cellStyle name="Normal 4 6 4 4 2 2 2" xfId="16591" xr:uid="{629F02E7-E6D3-4494-A9FB-FAEF7DDF7530}"/>
    <cellStyle name="Normal 4 6 4 4 2 3" xfId="12373" xr:uid="{47D47DD0-05A6-47F7-B6A9-E52D7D0F6EB8}"/>
    <cellStyle name="Normal 4 6 4 4 3" xfId="6017" xr:uid="{00000000-0005-0000-0000-000086160000}"/>
    <cellStyle name="Normal 4 6 4 4 3 2" xfId="14446" xr:uid="{BBB9FB71-E8B1-407D-9F34-C6C842065B76}"/>
    <cellStyle name="Normal 4 6 4 4 4" xfId="10228" xr:uid="{0742BD9A-A84A-4414-8673-6CC97D74C582}"/>
    <cellStyle name="Normal 4 6 4 5" xfId="2122" xr:uid="{00000000-0005-0000-0000-000087160000}"/>
    <cellStyle name="Normal 4 6 4 5 2" xfId="4351" xr:uid="{00000000-0005-0000-0000-000088160000}"/>
    <cellStyle name="Normal 4 6 4 5 2 2" xfId="8575" xr:uid="{00000000-0005-0000-0000-000089160000}"/>
    <cellStyle name="Normal 4 6 4 5 2 2 2" xfId="17004" xr:uid="{E3077E59-CF91-4FE3-8DF1-CBF10737D57F}"/>
    <cellStyle name="Normal 4 6 4 5 2 3" xfId="12786" xr:uid="{0331C234-3D59-4343-9F22-90429008AE6C}"/>
    <cellStyle name="Normal 4 6 4 5 3" xfId="6430" xr:uid="{00000000-0005-0000-0000-00008A160000}"/>
    <cellStyle name="Normal 4 6 4 5 3 2" xfId="14859" xr:uid="{692787F1-2E68-40EE-8D88-B14B2FE70239}"/>
    <cellStyle name="Normal 4 6 4 5 4" xfId="10641" xr:uid="{055F80BA-DCA0-4EFB-8BD8-45D2E13BC2FB}"/>
    <cellStyle name="Normal 4 6 4 6" xfId="2558" xr:uid="{00000000-0005-0000-0000-00008B160000}"/>
    <cellStyle name="Normal 4 6 4 6 2" xfId="6843" xr:uid="{00000000-0005-0000-0000-00008C160000}"/>
    <cellStyle name="Normal 4 6 4 6 2 2" xfId="15272" xr:uid="{EDC9651E-5249-4AC5-A9F2-C24A07CE4250}"/>
    <cellStyle name="Normal 4 6 4 6 3" xfId="11054" xr:uid="{A2D5BAB9-99EF-46B2-8A18-C2BCD77EFE57}"/>
    <cellStyle name="Normal 4 6 4 7" xfId="4778" xr:uid="{00000000-0005-0000-0000-00008D160000}"/>
    <cellStyle name="Normal 4 6 4 7 2" xfId="13207" xr:uid="{A838C3AB-2584-4132-8BD9-3E91923D932D}"/>
    <cellStyle name="Normal 4 6 4 8" xfId="8989" xr:uid="{E1B12101-CCE5-4BDD-A4F9-48EEB206F1D0}"/>
    <cellStyle name="Normal 4 6 5" xfId="870" xr:uid="{00000000-0005-0000-0000-00008E160000}"/>
    <cellStyle name="Normal 4 6 5 2" xfId="3105" xr:uid="{00000000-0005-0000-0000-00008F160000}"/>
    <cellStyle name="Normal 4 6 5 2 2" xfId="7329" xr:uid="{00000000-0005-0000-0000-000090160000}"/>
    <cellStyle name="Normal 4 6 5 2 2 2" xfId="15758" xr:uid="{85992FD6-3425-4D48-BC7D-870DB74F0757}"/>
    <cellStyle name="Normal 4 6 5 2 3" xfId="11540" xr:uid="{C443D55D-921B-44FA-A8B1-C9CBC16DA5A9}"/>
    <cellStyle name="Normal 4 6 5 3" xfId="5184" xr:uid="{00000000-0005-0000-0000-000091160000}"/>
    <cellStyle name="Normal 4 6 5 3 2" xfId="13613" xr:uid="{F4BD2AD7-3BC0-4D86-8711-E40A0D20BA0E}"/>
    <cellStyle name="Normal 4 6 5 4" xfId="9395" xr:uid="{629A6676-1BDA-44CA-B2C9-05E71348A5C0}"/>
    <cellStyle name="Normal 4 6 6" xfId="1288" xr:uid="{00000000-0005-0000-0000-000092160000}"/>
    <cellStyle name="Normal 4 6 6 2" xfId="3518" xr:uid="{00000000-0005-0000-0000-000093160000}"/>
    <cellStyle name="Normal 4 6 6 2 2" xfId="7742" xr:uid="{00000000-0005-0000-0000-000094160000}"/>
    <cellStyle name="Normal 4 6 6 2 2 2" xfId="16171" xr:uid="{E7FE10E5-1CE8-47F3-94C9-73367254E35F}"/>
    <cellStyle name="Normal 4 6 6 2 3" xfId="11953" xr:uid="{7B7DF7F0-7F0A-4903-B14C-BF47BD730338}"/>
    <cellStyle name="Normal 4 6 6 3" xfId="5597" xr:uid="{00000000-0005-0000-0000-000095160000}"/>
    <cellStyle name="Normal 4 6 6 3 2" xfId="14026" xr:uid="{1EED991C-E0C0-4107-A8EB-D3228C03E72A}"/>
    <cellStyle name="Normal 4 6 6 4" xfId="9808" xr:uid="{83798B4E-1BA7-4B92-A61C-4CF6CCC119BC}"/>
    <cellStyle name="Normal 4 6 7" xfId="1701" xr:uid="{00000000-0005-0000-0000-000096160000}"/>
    <cellStyle name="Normal 4 6 7 2" xfId="3931" xr:uid="{00000000-0005-0000-0000-000097160000}"/>
    <cellStyle name="Normal 4 6 7 2 2" xfId="8155" xr:uid="{00000000-0005-0000-0000-000098160000}"/>
    <cellStyle name="Normal 4 6 7 2 2 2" xfId="16584" xr:uid="{663D0BA5-DCD2-41FD-AEE5-00CAB5E31D88}"/>
    <cellStyle name="Normal 4 6 7 2 3" xfId="12366" xr:uid="{5F2EFA1B-1B1D-403A-ABFD-582CF57823A6}"/>
    <cellStyle name="Normal 4 6 7 3" xfId="6010" xr:uid="{00000000-0005-0000-0000-000099160000}"/>
    <cellStyle name="Normal 4 6 7 3 2" xfId="14439" xr:uid="{38AA63CF-BB66-410C-84E7-46B036186E9B}"/>
    <cellStyle name="Normal 4 6 7 4" xfId="10221" xr:uid="{2712537E-87A6-4489-ACD7-0E354FE7D809}"/>
    <cellStyle name="Normal 4 6 8" xfId="2115" xr:uid="{00000000-0005-0000-0000-00009A160000}"/>
    <cellStyle name="Normal 4 6 8 2" xfId="4344" xr:uid="{00000000-0005-0000-0000-00009B160000}"/>
    <cellStyle name="Normal 4 6 8 2 2" xfId="8568" xr:uid="{00000000-0005-0000-0000-00009C160000}"/>
    <cellStyle name="Normal 4 6 8 2 2 2" xfId="16997" xr:uid="{2F03D2F5-B142-4C82-9EA6-C1D45F258D47}"/>
    <cellStyle name="Normal 4 6 8 2 3" xfId="12779" xr:uid="{41E8470E-9AEB-4D4C-B4CD-481341C9251E}"/>
    <cellStyle name="Normal 4 6 8 3" xfId="6423" xr:uid="{00000000-0005-0000-0000-00009D160000}"/>
    <cellStyle name="Normal 4 6 8 3 2" xfId="14852" xr:uid="{A96B27AF-3EC4-4796-B4C7-10F1CE9CD249}"/>
    <cellStyle name="Normal 4 6 8 4" xfId="10634" xr:uid="{2DAB0CC7-C36B-468D-A274-CBF9608BCD84}"/>
    <cellStyle name="Normal 4 6 9" xfId="2551" xr:uid="{00000000-0005-0000-0000-00009E160000}"/>
    <cellStyle name="Normal 4 6 9 2" xfId="6836" xr:uid="{00000000-0005-0000-0000-00009F160000}"/>
    <cellStyle name="Normal 4 6 9 2 2" xfId="15265" xr:uid="{A6EF5DFF-BE3B-4E75-83A1-FFD478EB0F7F}"/>
    <cellStyle name="Normal 4 6 9 3" xfId="11047" xr:uid="{17EC8824-D892-4F57-8DAD-23B594F6CFD4}"/>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2 2 2" xfId="15767" xr:uid="{092551EF-0FEA-48C1-8065-5D8ED0A6F688}"/>
    <cellStyle name="Normal 4 7 2 2 2 3" xfId="11549" xr:uid="{54069366-4AFB-4A90-883E-D8058526CF8D}"/>
    <cellStyle name="Normal 4 7 2 2 3" xfId="5193" xr:uid="{00000000-0005-0000-0000-0000A5160000}"/>
    <cellStyle name="Normal 4 7 2 2 3 2" xfId="13622" xr:uid="{03B4994F-76F0-4C8C-990E-3C284F667958}"/>
    <cellStyle name="Normal 4 7 2 2 4" xfId="9404" xr:uid="{C4B006C6-D3A5-417C-990A-F357806567A7}"/>
    <cellStyle name="Normal 4 7 2 3" xfId="1297" xr:uid="{00000000-0005-0000-0000-0000A6160000}"/>
    <cellStyle name="Normal 4 7 2 3 2" xfId="3527" xr:uid="{00000000-0005-0000-0000-0000A7160000}"/>
    <cellStyle name="Normal 4 7 2 3 2 2" xfId="7751" xr:uid="{00000000-0005-0000-0000-0000A8160000}"/>
    <cellStyle name="Normal 4 7 2 3 2 2 2" xfId="16180" xr:uid="{38057362-710D-4D65-B518-92BBA89432F3}"/>
    <cellStyle name="Normal 4 7 2 3 2 3" xfId="11962" xr:uid="{B6CF82AB-BDFE-4FA9-BBCB-15CB7668CD57}"/>
    <cellStyle name="Normal 4 7 2 3 3" xfId="5606" xr:uid="{00000000-0005-0000-0000-0000A9160000}"/>
    <cellStyle name="Normal 4 7 2 3 3 2" xfId="14035" xr:uid="{5B688138-8DA1-47DA-ABF8-8F316FCC45D8}"/>
    <cellStyle name="Normal 4 7 2 3 4" xfId="9817" xr:uid="{12C616C8-05E4-4F8B-846B-06BF4E2D1662}"/>
    <cellStyle name="Normal 4 7 2 4" xfId="1710" xr:uid="{00000000-0005-0000-0000-0000AA160000}"/>
    <cellStyle name="Normal 4 7 2 4 2" xfId="3940" xr:uid="{00000000-0005-0000-0000-0000AB160000}"/>
    <cellStyle name="Normal 4 7 2 4 2 2" xfId="8164" xr:uid="{00000000-0005-0000-0000-0000AC160000}"/>
    <cellStyle name="Normal 4 7 2 4 2 2 2" xfId="16593" xr:uid="{E525B826-F54A-4823-9F00-C03D65662923}"/>
    <cellStyle name="Normal 4 7 2 4 2 3" xfId="12375" xr:uid="{E39AB70E-F4D5-4A9B-ABF3-E4F344BB0601}"/>
    <cellStyle name="Normal 4 7 2 4 3" xfId="6019" xr:uid="{00000000-0005-0000-0000-0000AD160000}"/>
    <cellStyle name="Normal 4 7 2 4 3 2" xfId="14448" xr:uid="{F59C39FC-19C5-45D6-A18B-88CF89458668}"/>
    <cellStyle name="Normal 4 7 2 4 4" xfId="10230" xr:uid="{DB7CE721-C360-4A90-B25D-618D08F385A0}"/>
    <cellStyle name="Normal 4 7 2 5" xfId="2124" xr:uid="{00000000-0005-0000-0000-0000AE160000}"/>
    <cellStyle name="Normal 4 7 2 5 2" xfId="4353" xr:uid="{00000000-0005-0000-0000-0000AF160000}"/>
    <cellStyle name="Normal 4 7 2 5 2 2" xfId="8577" xr:uid="{00000000-0005-0000-0000-0000B0160000}"/>
    <cellStyle name="Normal 4 7 2 5 2 2 2" xfId="17006" xr:uid="{3BCC7039-A6D4-4097-A1A0-C69587425FD9}"/>
    <cellStyle name="Normal 4 7 2 5 2 3" xfId="12788" xr:uid="{5D6DF330-668B-429B-AAFC-7104F11F4FA7}"/>
    <cellStyle name="Normal 4 7 2 5 3" xfId="6432" xr:uid="{00000000-0005-0000-0000-0000B1160000}"/>
    <cellStyle name="Normal 4 7 2 5 3 2" xfId="14861" xr:uid="{556A0014-83E1-4B63-85B8-573AB6E0F4BD}"/>
    <cellStyle name="Normal 4 7 2 5 4" xfId="10643" xr:uid="{57DB2D78-D003-41A2-A493-610CCC693C38}"/>
    <cellStyle name="Normal 4 7 2 6" xfId="2560" xr:uid="{00000000-0005-0000-0000-0000B2160000}"/>
    <cellStyle name="Normal 4 7 2 6 2" xfId="6845" xr:uid="{00000000-0005-0000-0000-0000B3160000}"/>
    <cellStyle name="Normal 4 7 2 6 2 2" xfId="15274" xr:uid="{64ED7DB4-098A-43CE-9DD5-2C96EE2236F4}"/>
    <cellStyle name="Normal 4 7 2 6 3" xfId="11056" xr:uid="{59D3EB7F-0B04-4E90-B638-1CA2DF8FD9D6}"/>
    <cellStyle name="Normal 4 7 2 7" xfId="4780" xr:uid="{00000000-0005-0000-0000-0000B4160000}"/>
    <cellStyle name="Normal 4 7 2 7 2" xfId="13209" xr:uid="{D8C860AA-0664-45D4-A547-F6FD2475B741}"/>
    <cellStyle name="Normal 4 7 2 8" xfId="8991" xr:uid="{2E1E76F1-508C-4EFF-B186-0DE78B4021EC}"/>
    <cellStyle name="Normal 4 7 3" xfId="878" xr:uid="{00000000-0005-0000-0000-0000B5160000}"/>
    <cellStyle name="Normal 4 7 3 2" xfId="3113" xr:uid="{00000000-0005-0000-0000-0000B6160000}"/>
    <cellStyle name="Normal 4 7 3 2 2" xfId="7337" xr:uid="{00000000-0005-0000-0000-0000B7160000}"/>
    <cellStyle name="Normal 4 7 3 2 2 2" xfId="15766" xr:uid="{6696D592-DBFE-4E6D-A7C4-6BA95ACC123D}"/>
    <cellStyle name="Normal 4 7 3 2 3" xfId="11548" xr:uid="{F4A08546-1347-4638-92CD-1956B6295A16}"/>
    <cellStyle name="Normal 4 7 3 3" xfId="5192" xr:uid="{00000000-0005-0000-0000-0000B8160000}"/>
    <cellStyle name="Normal 4 7 3 3 2" xfId="13621" xr:uid="{962E18BA-A4F4-4CC1-ACD6-5558A3F721F4}"/>
    <cellStyle name="Normal 4 7 3 4" xfId="9403" xr:uid="{9CFBE48F-D24E-452D-B14A-F2C4E03DF2D8}"/>
    <cellStyle name="Normal 4 7 4" xfId="1296" xr:uid="{00000000-0005-0000-0000-0000B9160000}"/>
    <cellStyle name="Normal 4 7 4 2" xfId="3526" xr:uid="{00000000-0005-0000-0000-0000BA160000}"/>
    <cellStyle name="Normal 4 7 4 2 2" xfId="7750" xr:uid="{00000000-0005-0000-0000-0000BB160000}"/>
    <cellStyle name="Normal 4 7 4 2 2 2" xfId="16179" xr:uid="{514306EE-11A4-4D74-8126-58BD27371ED2}"/>
    <cellStyle name="Normal 4 7 4 2 3" xfId="11961" xr:uid="{AEB0094E-E22D-4A37-B9CB-4EF87D3A6EE3}"/>
    <cellStyle name="Normal 4 7 4 3" xfId="5605" xr:uid="{00000000-0005-0000-0000-0000BC160000}"/>
    <cellStyle name="Normal 4 7 4 3 2" xfId="14034" xr:uid="{41560A53-D5FE-4B19-B5C5-CBE1082A4D1A}"/>
    <cellStyle name="Normal 4 7 4 4" xfId="9816" xr:uid="{471D88B1-F18A-4CFE-AD3E-863B3B30E5DE}"/>
    <cellStyle name="Normal 4 7 5" xfId="1709" xr:uid="{00000000-0005-0000-0000-0000BD160000}"/>
    <cellStyle name="Normal 4 7 5 2" xfId="3939" xr:uid="{00000000-0005-0000-0000-0000BE160000}"/>
    <cellStyle name="Normal 4 7 5 2 2" xfId="8163" xr:uid="{00000000-0005-0000-0000-0000BF160000}"/>
    <cellStyle name="Normal 4 7 5 2 2 2" xfId="16592" xr:uid="{2C3EDAF4-E6CF-40D3-8552-E45216834EB0}"/>
    <cellStyle name="Normal 4 7 5 2 3" xfId="12374" xr:uid="{22E94CF8-32EA-4D6D-B0D9-AB5EB8F8DCE8}"/>
    <cellStyle name="Normal 4 7 5 3" xfId="6018" xr:uid="{00000000-0005-0000-0000-0000C0160000}"/>
    <cellStyle name="Normal 4 7 5 3 2" xfId="14447" xr:uid="{0CBF541B-4540-4640-988F-28FB51938F77}"/>
    <cellStyle name="Normal 4 7 5 4" xfId="10229" xr:uid="{F381E85A-3799-4971-A65C-3875FBD93BA3}"/>
    <cellStyle name="Normal 4 7 6" xfId="2123" xr:uid="{00000000-0005-0000-0000-0000C1160000}"/>
    <cellStyle name="Normal 4 7 6 2" xfId="4352" xr:uid="{00000000-0005-0000-0000-0000C2160000}"/>
    <cellStyle name="Normal 4 7 6 2 2" xfId="8576" xr:uid="{00000000-0005-0000-0000-0000C3160000}"/>
    <cellStyle name="Normal 4 7 6 2 2 2" xfId="17005" xr:uid="{9C0FA626-577A-4C1D-9BFB-259581F77A0C}"/>
    <cellStyle name="Normal 4 7 6 2 3" xfId="12787" xr:uid="{2A3B9647-FC9F-41FB-A77E-82CE7C0436F3}"/>
    <cellStyle name="Normal 4 7 6 3" xfId="6431" xr:uid="{00000000-0005-0000-0000-0000C4160000}"/>
    <cellStyle name="Normal 4 7 6 3 2" xfId="14860" xr:uid="{44A1B3E3-EB7E-4F03-A5F1-BEC00935DF41}"/>
    <cellStyle name="Normal 4 7 6 4" xfId="10642" xr:uid="{4C51AC9D-6B86-43E0-A94F-EB9B762C9C2D}"/>
    <cellStyle name="Normal 4 7 7" xfId="2559" xr:uid="{00000000-0005-0000-0000-0000C5160000}"/>
    <cellStyle name="Normal 4 7 7 2" xfId="6844" xr:uid="{00000000-0005-0000-0000-0000C6160000}"/>
    <cellStyle name="Normal 4 7 7 2 2" xfId="15273" xr:uid="{F8BB4895-BDD1-4A58-9116-46B867F9F274}"/>
    <cellStyle name="Normal 4 7 7 3" xfId="11055" xr:uid="{5279E7F5-93AD-4C76-A12F-467C6BA22C2D}"/>
    <cellStyle name="Normal 4 7 8" xfId="4779" xr:uid="{00000000-0005-0000-0000-0000C7160000}"/>
    <cellStyle name="Normal 4 7 8 2" xfId="13208" xr:uid="{96C82FEC-9CD4-4D2C-AB86-98F2CD2EFC43}"/>
    <cellStyle name="Normal 4 7 9" xfId="8990" xr:uid="{BC7C83C5-C171-496C-B544-110046F81995}"/>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2 2 2" xfId="15768" xr:uid="{4C3BF718-9D53-4491-87A8-B1CC02D5C840}"/>
    <cellStyle name="Normal 4 8 2 2 3" xfId="11550" xr:uid="{5BFFF947-A952-47CF-A68E-164801C3C2D7}"/>
    <cellStyle name="Normal 4 8 2 3" xfId="5194" xr:uid="{00000000-0005-0000-0000-0000CC160000}"/>
    <cellStyle name="Normal 4 8 2 3 2" xfId="13623" xr:uid="{1E3D6AA7-426C-46A3-A2B5-08E5A561E655}"/>
    <cellStyle name="Normal 4 8 2 4" xfId="9405" xr:uid="{7CFD045C-81B5-438E-9A6E-FB1D086F0E13}"/>
    <cellStyle name="Normal 4 8 3" xfId="1298" xr:uid="{00000000-0005-0000-0000-0000CD160000}"/>
    <cellStyle name="Normal 4 8 3 2" xfId="3528" xr:uid="{00000000-0005-0000-0000-0000CE160000}"/>
    <cellStyle name="Normal 4 8 3 2 2" xfId="7752" xr:uid="{00000000-0005-0000-0000-0000CF160000}"/>
    <cellStyle name="Normal 4 8 3 2 2 2" xfId="16181" xr:uid="{5CCEDFF8-57C6-4B46-903B-A4B35527DC93}"/>
    <cellStyle name="Normal 4 8 3 2 3" xfId="11963" xr:uid="{F580D807-EFE1-44D1-8F08-28515F4A5DE0}"/>
    <cellStyle name="Normal 4 8 3 3" xfId="5607" xr:uid="{00000000-0005-0000-0000-0000D0160000}"/>
    <cellStyle name="Normal 4 8 3 3 2" xfId="14036" xr:uid="{4F78F3A5-7C0A-41C8-AD8D-850AFA68D372}"/>
    <cellStyle name="Normal 4 8 3 4" xfId="9818" xr:uid="{A9DE4963-0B71-4421-A60B-35EC1D54941E}"/>
    <cellStyle name="Normal 4 8 4" xfId="1711" xr:uid="{00000000-0005-0000-0000-0000D1160000}"/>
    <cellStyle name="Normal 4 8 4 2" xfId="3941" xr:uid="{00000000-0005-0000-0000-0000D2160000}"/>
    <cellStyle name="Normal 4 8 4 2 2" xfId="8165" xr:uid="{00000000-0005-0000-0000-0000D3160000}"/>
    <cellStyle name="Normal 4 8 4 2 2 2" xfId="16594" xr:uid="{AA3DD4E4-023A-42CB-AFAE-85B05BBD37E0}"/>
    <cellStyle name="Normal 4 8 4 2 3" xfId="12376" xr:uid="{DD12668D-85D0-4594-A532-B8EF3C7924CF}"/>
    <cellStyle name="Normal 4 8 4 3" xfId="6020" xr:uid="{00000000-0005-0000-0000-0000D4160000}"/>
    <cellStyle name="Normal 4 8 4 3 2" xfId="14449" xr:uid="{2719B7AB-E89E-4CCD-9AB5-32C80DF341A1}"/>
    <cellStyle name="Normal 4 8 4 4" xfId="10231" xr:uid="{B98D58CB-67AC-4F43-B92F-3E4B65BBCC87}"/>
    <cellStyle name="Normal 4 8 5" xfId="2125" xr:uid="{00000000-0005-0000-0000-0000D5160000}"/>
    <cellStyle name="Normal 4 8 5 2" xfId="4354" xr:uid="{00000000-0005-0000-0000-0000D6160000}"/>
    <cellStyle name="Normal 4 8 5 2 2" xfId="8578" xr:uid="{00000000-0005-0000-0000-0000D7160000}"/>
    <cellStyle name="Normal 4 8 5 2 2 2" xfId="17007" xr:uid="{340B0FF6-F961-462D-89F9-FDE9995351CD}"/>
    <cellStyle name="Normal 4 8 5 2 3" xfId="12789" xr:uid="{5F038C0C-61D2-421B-B73E-F08831F94065}"/>
    <cellStyle name="Normal 4 8 5 3" xfId="6433" xr:uid="{00000000-0005-0000-0000-0000D8160000}"/>
    <cellStyle name="Normal 4 8 5 3 2" xfId="14862" xr:uid="{B579ECE3-EF21-4EF2-BD5B-15316B5C5948}"/>
    <cellStyle name="Normal 4 8 5 4" xfId="10644" xr:uid="{3A33EE5A-3594-457F-B995-C5D14F617E9F}"/>
    <cellStyle name="Normal 4 8 6" xfId="2561" xr:uid="{00000000-0005-0000-0000-0000D9160000}"/>
    <cellStyle name="Normal 4 8 6 2" xfId="6846" xr:uid="{00000000-0005-0000-0000-0000DA160000}"/>
    <cellStyle name="Normal 4 8 6 2 2" xfId="15275" xr:uid="{1BC424DC-ADA4-49C5-B507-FFF22F619B45}"/>
    <cellStyle name="Normal 4 8 6 3" xfId="11057" xr:uid="{40DAD8B4-9309-40E9-A20A-00A415ECCB49}"/>
    <cellStyle name="Normal 4 8 7" xfId="4781" xr:uid="{00000000-0005-0000-0000-0000DB160000}"/>
    <cellStyle name="Normal 4 8 7 2" xfId="13210" xr:uid="{D613697E-9524-4D33-9D0A-A42EDA128DAD}"/>
    <cellStyle name="Normal 4 8 8" xfId="8992" xr:uid="{C2357681-FF84-46FE-8F59-F1C0C2532ECD}"/>
    <cellStyle name="Normal 4 9" xfId="4718" xr:uid="{00000000-0005-0000-0000-0000DC160000}"/>
    <cellStyle name="Normal 4 9 2" xfId="13147" xr:uid="{B7589FD0-8A46-4D2A-8AFC-8AFF4303B86C}"/>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2 2 2" xfId="16595" xr:uid="{94063F96-9B91-4886-B8FD-F8B47AB642AF}"/>
    <cellStyle name="Normal 5 10 2 3" xfId="12377" xr:uid="{224205BB-D3DB-466B-8DD1-FA2C8B9C0C62}"/>
    <cellStyle name="Normal 5 10 3" xfId="6021" xr:uid="{00000000-0005-0000-0000-0000E1160000}"/>
    <cellStyle name="Normal 5 10 3 2" xfId="14450" xr:uid="{893B1D15-5CEE-4C53-B948-DCB6E8098504}"/>
    <cellStyle name="Normal 5 10 4" xfId="10232" xr:uid="{4080A32B-2B55-4821-9C04-8EEE4D8C577C}"/>
    <cellStyle name="Normal 5 11" xfId="2126" xr:uid="{00000000-0005-0000-0000-0000E2160000}"/>
    <cellStyle name="Normal 5 11 2" xfId="4355" xr:uid="{00000000-0005-0000-0000-0000E3160000}"/>
    <cellStyle name="Normal 5 11 2 2" xfId="8579" xr:uid="{00000000-0005-0000-0000-0000E4160000}"/>
    <cellStyle name="Normal 5 11 2 2 2" xfId="17008" xr:uid="{AA782648-8666-4222-ABC0-280E34B394ED}"/>
    <cellStyle name="Normal 5 11 2 3" xfId="12790" xr:uid="{A66DC0F2-27BA-4A90-832A-44FF27DC2CA5}"/>
    <cellStyle name="Normal 5 11 3" xfId="6434" xr:uid="{00000000-0005-0000-0000-0000E5160000}"/>
    <cellStyle name="Normal 5 11 3 2" xfId="14863" xr:uid="{86631DC7-F8DC-4953-9173-CAD67D593C23}"/>
    <cellStyle name="Normal 5 11 4" xfId="10645" xr:uid="{8EBC6275-3FEC-42E1-8C6D-1103A0D03E00}"/>
    <cellStyle name="Normal 5 12" xfId="2562" xr:uid="{00000000-0005-0000-0000-0000E6160000}"/>
    <cellStyle name="Normal 5 12 2" xfId="6847" xr:uid="{00000000-0005-0000-0000-0000E7160000}"/>
    <cellStyle name="Normal 5 12 2 2" xfId="15276" xr:uid="{5848BBD1-D366-4466-B348-34281C5C5223}"/>
    <cellStyle name="Normal 5 12 3" xfId="11058" xr:uid="{4176FD9F-508D-4345-9E1B-D3A8FF4DB76C}"/>
    <cellStyle name="Normal 5 13" xfId="4782" xr:uid="{00000000-0005-0000-0000-0000E8160000}"/>
    <cellStyle name="Normal 5 13 2" xfId="13211" xr:uid="{061E5C79-5FB9-4F23-9FDF-A171B9CB4B51}"/>
    <cellStyle name="Normal 5 14" xfId="8993" xr:uid="{38571443-823B-4E8D-995D-B87F812E94B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2 2 2" xfId="17009" xr:uid="{F5793B59-F741-428B-9220-4D7DDE3C7440}"/>
    <cellStyle name="Normal 5 2 10 2 3" xfId="12791" xr:uid="{D67DC298-121B-4AA4-B851-A86A5E1F3E89}"/>
    <cellStyle name="Normal 5 2 10 3" xfId="6435" xr:uid="{00000000-0005-0000-0000-0000ED160000}"/>
    <cellStyle name="Normal 5 2 10 3 2" xfId="14864" xr:uid="{06BCC26F-E674-437E-89EF-CD4CD9CD9E68}"/>
    <cellStyle name="Normal 5 2 10 4" xfId="10646" xr:uid="{5F831547-5939-4508-8E6F-CE8BDC357A0B}"/>
    <cellStyle name="Normal 5 2 11" xfId="2563" xr:uid="{00000000-0005-0000-0000-0000EE160000}"/>
    <cellStyle name="Normal 5 2 11 2" xfId="6848" xr:uid="{00000000-0005-0000-0000-0000EF160000}"/>
    <cellStyle name="Normal 5 2 11 2 2" xfId="15277" xr:uid="{2327598B-8446-4C6A-80F6-139C1ECAF14B}"/>
    <cellStyle name="Normal 5 2 11 3" xfId="11059" xr:uid="{E47AE858-8454-4573-8750-B6578CA9C55F}"/>
    <cellStyle name="Normal 5 2 12" xfId="4783" xr:uid="{00000000-0005-0000-0000-0000F0160000}"/>
    <cellStyle name="Normal 5 2 12 2" xfId="13212" xr:uid="{CD229538-B02E-4054-B0F3-127BF0F1D2CE}"/>
    <cellStyle name="Normal 5 2 13" xfId="8994" xr:uid="{4F03DCF1-ACD2-4CD2-B596-507D81D4D509}"/>
    <cellStyle name="Normal 5 2 2" xfId="408" xr:uid="{00000000-0005-0000-0000-0000F1160000}"/>
    <cellStyle name="Normal 5 2 2 10" xfId="2564" xr:uid="{00000000-0005-0000-0000-0000F2160000}"/>
    <cellStyle name="Normal 5 2 2 10 2" xfId="6849" xr:uid="{00000000-0005-0000-0000-0000F3160000}"/>
    <cellStyle name="Normal 5 2 2 10 2 2" xfId="15278" xr:uid="{AE24065F-4D54-4DA0-81A6-2E3C272803AD}"/>
    <cellStyle name="Normal 5 2 2 10 3" xfId="11060" xr:uid="{A25A1B0A-ABB2-4EAC-A3FC-478508200862}"/>
    <cellStyle name="Normal 5 2 2 11" xfId="4784" xr:uid="{00000000-0005-0000-0000-0000F4160000}"/>
    <cellStyle name="Normal 5 2 2 11 2" xfId="13213" xr:uid="{C732B25A-97F2-40E0-BC58-4177E67EED4F}"/>
    <cellStyle name="Normal 5 2 2 12" xfId="8995" xr:uid="{63370693-A75A-4EE3-9C34-ECA65C9AB564}"/>
    <cellStyle name="Normal 5 2 2 2" xfId="409" xr:uid="{00000000-0005-0000-0000-0000F5160000}"/>
    <cellStyle name="Normal 5 2 2 2 10" xfId="4785" xr:uid="{00000000-0005-0000-0000-0000F6160000}"/>
    <cellStyle name="Normal 5 2 2 2 10 2" xfId="13214" xr:uid="{3978AC71-CAAB-44C8-98A0-A034F14CD357}"/>
    <cellStyle name="Normal 5 2 2 2 11" xfId="8996" xr:uid="{29885541-AA52-4736-BF86-A40DD4C85658}"/>
    <cellStyle name="Normal 5 2 2 2 2" xfId="410" xr:uid="{00000000-0005-0000-0000-0000F7160000}"/>
    <cellStyle name="Normal 5 2 2 2 2 10" xfId="8997" xr:uid="{D5A9DDA0-8C6D-4EAE-B6DE-F38114BE5BE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2 2 2" xfId="15775" xr:uid="{BEEAFE59-AF7C-4640-91E0-AE5097C52C0D}"/>
    <cellStyle name="Normal 5 2 2 2 2 2 2 2 2 3" xfId="11557" xr:uid="{7870DE63-1DA5-44B6-8F60-A2491AF8449F}"/>
    <cellStyle name="Normal 5 2 2 2 2 2 2 2 3" xfId="5201" xr:uid="{00000000-0005-0000-0000-0000FD160000}"/>
    <cellStyle name="Normal 5 2 2 2 2 2 2 2 3 2" xfId="13630" xr:uid="{C980C072-571E-4570-B16D-0C05D74589C7}"/>
    <cellStyle name="Normal 5 2 2 2 2 2 2 2 4" xfId="9412" xr:uid="{DC2305F8-3BFF-44A7-B199-5AEE0DC58C46}"/>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2 2 2" xfId="16188" xr:uid="{27010314-5BA4-4970-A769-E2147F8B18BB}"/>
    <cellStyle name="Normal 5 2 2 2 2 2 2 3 2 3" xfId="11970" xr:uid="{63D116F7-AE0D-46C2-8163-83FD95C9F51D}"/>
    <cellStyle name="Normal 5 2 2 2 2 2 2 3 3" xfId="5614" xr:uid="{00000000-0005-0000-0000-000001170000}"/>
    <cellStyle name="Normal 5 2 2 2 2 2 2 3 3 2" xfId="14043" xr:uid="{05DD39EB-48CC-40C5-BE9C-561E2B7DCFEE}"/>
    <cellStyle name="Normal 5 2 2 2 2 2 2 3 4" xfId="9825" xr:uid="{A6991574-8760-4FB4-9755-12054B7F4A23}"/>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2 2 2" xfId="16601" xr:uid="{BC4E0446-7AED-4225-97C5-3FBE1F92EB76}"/>
    <cellStyle name="Normal 5 2 2 2 2 2 2 4 2 3" xfId="12383" xr:uid="{F3DDAD39-A6C8-4B9A-BEFA-13AAE24730B2}"/>
    <cellStyle name="Normal 5 2 2 2 2 2 2 4 3" xfId="6027" xr:uid="{00000000-0005-0000-0000-000005170000}"/>
    <cellStyle name="Normal 5 2 2 2 2 2 2 4 3 2" xfId="14456" xr:uid="{1D6ED52C-8101-4010-9D77-8F3092BB9206}"/>
    <cellStyle name="Normal 5 2 2 2 2 2 2 4 4" xfId="10238" xr:uid="{4F47CBA7-4F67-4193-9648-1D4A4A06F41F}"/>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2 2 2" xfId="17014" xr:uid="{67D5D38E-286A-4777-BAFD-AFD35C80A05A}"/>
    <cellStyle name="Normal 5 2 2 2 2 2 2 5 2 3" xfId="12796" xr:uid="{A0B64833-7FC8-4B95-82C2-DDFEF24627E8}"/>
    <cellStyle name="Normal 5 2 2 2 2 2 2 5 3" xfId="6440" xr:uid="{00000000-0005-0000-0000-000009170000}"/>
    <cellStyle name="Normal 5 2 2 2 2 2 2 5 3 2" xfId="14869" xr:uid="{5F4D1EBB-ACB5-449D-86A6-E8B24D024B90}"/>
    <cellStyle name="Normal 5 2 2 2 2 2 2 5 4" xfId="10651" xr:uid="{B089FF71-91BB-45C2-B779-97E34EB73B16}"/>
    <cellStyle name="Normal 5 2 2 2 2 2 2 6" xfId="2568" xr:uid="{00000000-0005-0000-0000-00000A170000}"/>
    <cellStyle name="Normal 5 2 2 2 2 2 2 6 2" xfId="6853" xr:uid="{00000000-0005-0000-0000-00000B170000}"/>
    <cellStyle name="Normal 5 2 2 2 2 2 2 6 2 2" xfId="15282" xr:uid="{4BA78335-3D1B-4E46-B35F-0F25E33F6B19}"/>
    <cellStyle name="Normal 5 2 2 2 2 2 2 6 3" xfId="11064" xr:uid="{201F8A69-89BC-4E77-8ABB-6A434260310E}"/>
    <cellStyle name="Normal 5 2 2 2 2 2 2 7" xfId="4788" xr:uid="{00000000-0005-0000-0000-00000C170000}"/>
    <cellStyle name="Normal 5 2 2 2 2 2 2 7 2" xfId="13217" xr:uid="{3161C816-CA88-40F2-8E9D-82809C4929EB}"/>
    <cellStyle name="Normal 5 2 2 2 2 2 2 8" xfId="8999" xr:uid="{CD3F590D-B980-49A9-9FC8-F4B75CAB0905}"/>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2 2 2" xfId="15774" xr:uid="{66AB431D-DF71-4AA2-94EA-6E2F68E84EAF}"/>
    <cellStyle name="Normal 5 2 2 2 2 2 3 2 3" xfId="11556" xr:uid="{8871A240-7601-470C-8472-F2154E52F0E4}"/>
    <cellStyle name="Normal 5 2 2 2 2 2 3 3" xfId="5200" xr:uid="{00000000-0005-0000-0000-000010170000}"/>
    <cellStyle name="Normal 5 2 2 2 2 2 3 3 2" xfId="13629" xr:uid="{D024A2EF-9AAF-4E71-8B5A-9C825A787CDA}"/>
    <cellStyle name="Normal 5 2 2 2 2 2 3 4" xfId="9411" xr:uid="{3724CCE2-429F-4725-A068-B4105B1D39BD}"/>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2 2 2" xfId="16187" xr:uid="{FA30B96A-9814-4D7A-B2E2-94ABD543FBF0}"/>
    <cellStyle name="Normal 5 2 2 2 2 2 4 2 3" xfId="11969" xr:uid="{7368977F-9927-4A0B-A9ED-3FAAC58DD3C5}"/>
    <cellStyle name="Normal 5 2 2 2 2 2 4 3" xfId="5613" xr:uid="{00000000-0005-0000-0000-000014170000}"/>
    <cellStyle name="Normal 5 2 2 2 2 2 4 3 2" xfId="14042" xr:uid="{26AF8464-F651-4F94-989D-AC1DD4547561}"/>
    <cellStyle name="Normal 5 2 2 2 2 2 4 4" xfId="9824" xr:uid="{F661C3EB-DED1-4AD6-B911-D2AFF5E0ED32}"/>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2 2 2" xfId="16600" xr:uid="{C72DD759-D2ED-49C1-8F69-4A539ABFD7AF}"/>
    <cellStyle name="Normal 5 2 2 2 2 2 5 2 3" xfId="12382" xr:uid="{A1F1F14C-2F7A-4FDF-80C9-948379773170}"/>
    <cellStyle name="Normal 5 2 2 2 2 2 5 3" xfId="6026" xr:uid="{00000000-0005-0000-0000-000018170000}"/>
    <cellStyle name="Normal 5 2 2 2 2 2 5 3 2" xfId="14455" xr:uid="{DC7753E1-E63B-4844-BF65-070D025E9475}"/>
    <cellStyle name="Normal 5 2 2 2 2 2 5 4" xfId="10237" xr:uid="{5489F77C-E03E-4C19-8850-D5D80B70D268}"/>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2 2 2" xfId="17013" xr:uid="{CDFDE063-718F-4B22-9D5F-848CAD05EE0E}"/>
    <cellStyle name="Normal 5 2 2 2 2 2 6 2 3" xfId="12795" xr:uid="{907AFB34-DC1C-4780-BE7B-F02A07C6B733}"/>
    <cellStyle name="Normal 5 2 2 2 2 2 6 3" xfId="6439" xr:uid="{00000000-0005-0000-0000-00001C170000}"/>
    <cellStyle name="Normal 5 2 2 2 2 2 6 3 2" xfId="14868" xr:uid="{4089C963-9B5D-4450-BE75-D11E0A50BB6A}"/>
    <cellStyle name="Normal 5 2 2 2 2 2 6 4" xfId="10650" xr:uid="{7B1C3137-54A0-4E4E-8A58-5D80C410B8BB}"/>
    <cellStyle name="Normal 5 2 2 2 2 2 7" xfId="2567" xr:uid="{00000000-0005-0000-0000-00001D170000}"/>
    <cellStyle name="Normal 5 2 2 2 2 2 7 2" xfId="6852" xr:uid="{00000000-0005-0000-0000-00001E170000}"/>
    <cellStyle name="Normal 5 2 2 2 2 2 7 2 2" xfId="15281" xr:uid="{9724AFC6-51CB-41E2-8D93-167F1026C672}"/>
    <cellStyle name="Normal 5 2 2 2 2 2 7 3" xfId="11063" xr:uid="{09DCEE68-9655-45A1-BCD1-72E8B5BE1627}"/>
    <cellStyle name="Normal 5 2 2 2 2 2 8" xfId="4787" xr:uid="{00000000-0005-0000-0000-00001F170000}"/>
    <cellStyle name="Normal 5 2 2 2 2 2 8 2" xfId="13216" xr:uid="{2EF8C25C-2EB8-43D1-A3D7-454D9E45D4CC}"/>
    <cellStyle name="Normal 5 2 2 2 2 2 9" xfId="8998" xr:uid="{281B2CE2-9446-4119-BD21-CCD31C496DF7}"/>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2 2 2" xfId="15776" xr:uid="{F67D1281-8DD6-48EA-9348-8BD7F7A95323}"/>
    <cellStyle name="Normal 5 2 2 2 2 3 2 2 3" xfId="11558" xr:uid="{ECBB0FFD-73CD-4BDF-A25F-FBF54EEACED7}"/>
    <cellStyle name="Normal 5 2 2 2 2 3 2 3" xfId="5202" xr:uid="{00000000-0005-0000-0000-000024170000}"/>
    <cellStyle name="Normal 5 2 2 2 2 3 2 3 2" xfId="13631" xr:uid="{1EE892FC-2E09-4E68-87AC-8A1615105E77}"/>
    <cellStyle name="Normal 5 2 2 2 2 3 2 4" xfId="9413" xr:uid="{FE85EAAC-DDF9-4231-8CC1-7C9BA2BEEFE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2 2 2" xfId="16189" xr:uid="{05EB44F3-D8B7-489C-91B2-53C9D1FE6715}"/>
    <cellStyle name="Normal 5 2 2 2 2 3 3 2 3" xfId="11971" xr:uid="{ED577A30-B5A8-40C7-8F39-7BEF1D51AC84}"/>
    <cellStyle name="Normal 5 2 2 2 2 3 3 3" xfId="5615" xr:uid="{00000000-0005-0000-0000-000028170000}"/>
    <cellStyle name="Normal 5 2 2 2 2 3 3 3 2" xfId="14044" xr:uid="{3865212B-C705-4545-A5DB-535364529E1A}"/>
    <cellStyle name="Normal 5 2 2 2 2 3 3 4" xfId="9826" xr:uid="{9052A4F9-3391-4520-9A8D-5E6BD4C3AA67}"/>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2 2 2" xfId="16602" xr:uid="{0D0EDF66-4D98-42E0-AAC8-4E9C71AE741C}"/>
    <cellStyle name="Normal 5 2 2 2 2 3 4 2 3" xfId="12384" xr:uid="{F5809EED-D70F-45A0-8EE1-1CF774761CFB}"/>
    <cellStyle name="Normal 5 2 2 2 2 3 4 3" xfId="6028" xr:uid="{00000000-0005-0000-0000-00002C170000}"/>
    <cellStyle name="Normal 5 2 2 2 2 3 4 3 2" xfId="14457" xr:uid="{EFD17519-1EAD-43F8-A958-BDD58A0FAD38}"/>
    <cellStyle name="Normal 5 2 2 2 2 3 4 4" xfId="10239" xr:uid="{E45B7B72-31A3-45BE-B934-1E4C41E8D6AA}"/>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2 2 2" xfId="17015" xr:uid="{D48A4B11-7DBE-4A35-8ED4-1DC65F01E225}"/>
    <cellStyle name="Normal 5 2 2 2 2 3 5 2 3" xfId="12797" xr:uid="{FD961187-6C7D-4C09-AEFA-3478A72069B6}"/>
    <cellStyle name="Normal 5 2 2 2 2 3 5 3" xfId="6441" xr:uid="{00000000-0005-0000-0000-000030170000}"/>
    <cellStyle name="Normal 5 2 2 2 2 3 5 3 2" xfId="14870" xr:uid="{0684792F-E649-4B00-9D7C-5848A250C7B7}"/>
    <cellStyle name="Normal 5 2 2 2 2 3 5 4" xfId="10652" xr:uid="{5AA0BE2B-3DAA-4696-B3DC-4AB83E234C5D}"/>
    <cellStyle name="Normal 5 2 2 2 2 3 6" xfId="2569" xr:uid="{00000000-0005-0000-0000-000031170000}"/>
    <cellStyle name="Normal 5 2 2 2 2 3 6 2" xfId="6854" xr:uid="{00000000-0005-0000-0000-000032170000}"/>
    <cellStyle name="Normal 5 2 2 2 2 3 6 2 2" xfId="15283" xr:uid="{CBC80AF6-7D01-4BD3-8DC2-0A3EBD46EC01}"/>
    <cellStyle name="Normal 5 2 2 2 2 3 6 3" xfId="11065" xr:uid="{2E319D81-4EDC-4974-93FD-35ADA573FFDD}"/>
    <cellStyle name="Normal 5 2 2 2 2 3 7" xfId="4789" xr:uid="{00000000-0005-0000-0000-000033170000}"/>
    <cellStyle name="Normal 5 2 2 2 2 3 7 2" xfId="13218" xr:uid="{D2F20BE4-B960-431A-9E71-ACED9132C9D6}"/>
    <cellStyle name="Normal 5 2 2 2 2 3 8" xfId="9000" xr:uid="{CA2CB8E7-2917-4BC7-B1C8-DED71C54E0C9}"/>
    <cellStyle name="Normal 5 2 2 2 2 4" xfId="885" xr:uid="{00000000-0005-0000-0000-000034170000}"/>
    <cellStyle name="Normal 5 2 2 2 2 4 2" xfId="3120" xr:uid="{00000000-0005-0000-0000-000035170000}"/>
    <cellStyle name="Normal 5 2 2 2 2 4 2 2" xfId="7344" xr:uid="{00000000-0005-0000-0000-000036170000}"/>
    <cellStyle name="Normal 5 2 2 2 2 4 2 2 2" xfId="15773" xr:uid="{5C16D7B7-E3A8-4A7F-8EFA-9DD7B5FE4DD9}"/>
    <cellStyle name="Normal 5 2 2 2 2 4 2 3" xfId="11555" xr:uid="{0CBF7A0B-77D8-40A2-9DF2-FAC0FF9B5091}"/>
    <cellStyle name="Normal 5 2 2 2 2 4 3" xfId="5199" xr:uid="{00000000-0005-0000-0000-000037170000}"/>
    <cellStyle name="Normal 5 2 2 2 2 4 3 2" xfId="13628" xr:uid="{97E033C2-CF80-40A8-A755-9098A6FD042D}"/>
    <cellStyle name="Normal 5 2 2 2 2 4 4" xfId="9410" xr:uid="{DD5C8AAA-E3CD-4DF8-8E08-4DC6177D7493}"/>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2 2 2" xfId="16186" xr:uid="{E7C29261-EC83-435E-AF0D-0BEA6EDC97C7}"/>
    <cellStyle name="Normal 5 2 2 2 2 5 2 3" xfId="11968" xr:uid="{AAD21F78-9D4B-4188-AE80-83E9EBA1FCB5}"/>
    <cellStyle name="Normal 5 2 2 2 2 5 3" xfId="5612" xr:uid="{00000000-0005-0000-0000-00003B170000}"/>
    <cellStyle name="Normal 5 2 2 2 2 5 3 2" xfId="14041" xr:uid="{A6FD9A16-1B00-48AD-AC64-4D7D4FE9FAC3}"/>
    <cellStyle name="Normal 5 2 2 2 2 5 4" xfId="9823" xr:uid="{B9D3BD2F-F2BE-4D5B-B4C6-E9287B742D37}"/>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2 2 2" xfId="16599" xr:uid="{150BA519-51AF-4C3E-AA66-68A63E32291B}"/>
    <cellStyle name="Normal 5 2 2 2 2 6 2 3" xfId="12381" xr:uid="{1926A11C-6EDB-4059-A117-5F27FD6F117E}"/>
    <cellStyle name="Normal 5 2 2 2 2 6 3" xfId="6025" xr:uid="{00000000-0005-0000-0000-00003F170000}"/>
    <cellStyle name="Normal 5 2 2 2 2 6 3 2" xfId="14454" xr:uid="{7F4D2397-2D4A-4E49-BE6D-A991B639124D}"/>
    <cellStyle name="Normal 5 2 2 2 2 6 4" xfId="10236" xr:uid="{D621DA48-65FB-42C8-92F7-2C0B2EA39BDC}"/>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2 2 2" xfId="17012" xr:uid="{6DB61653-5B04-4EAB-AC5A-A1C2545BAB70}"/>
    <cellStyle name="Normal 5 2 2 2 2 7 2 3" xfId="12794" xr:uid="{10E509E2-AA79-44AF-A095-D886901A7D27}"/>
    <cellStyle name="Normal 5 2 2 2 2 7 3" xfId="6438" xr:uid="{00000000-0005-0000-0000-000043170000}"/>
    <cellStyle name="Normal 5 2 2 2 2 7 3 2" xfId="14867" xr:uid="{0231BBF7-48F2-42BE-ABD5-87A36242C8F7}"/>
    <cellStyle name="Normal 5 2 2 2 2 7 4" xfId="10649" xr:uid="{A2AE9FE2-18DA-4B64-A0CD-A931558A34B9}"/>
    <cellStyle name="Normal 5 2 2 2 2 8" xfId="2566" xr:uid="{00000000-0005-0000-0000-000044170000}"/>
    <cellStyle name="Normal 5 2 2 2 2 8 2" xfId="6851" xr:uid="{00000000-0005-0000-0000-000045170000}"/>
    <cellStyle name="Normal 5 2 2 2 2 8 2 2" xfId="15280" xr:uid="{FA2ECB38-F0EA-4243-8506-2CF63C1C9623}"/>
    <cellStyle name="Normal 5 2 2 2 2 8 3" xfId="11062" xr:uid="{51173D7A-7172-4D0C-908F-92AE558D812C}"/>
    <cellStyle name="Normal 5 2 2 2 2 9" xfId="4786" xr:uid="{00000000-0005-0000-0000-000046170000}"/>
    <cellStyle name="Normal 5 2 2 2 2 9 2" xfId="13215" xr:uid="{FE398AB7-33C2-4EB2-B8C2-5DC981131CBB}"/>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2 2 2" xfId="15778" xr:uid="{0B1914AA-8266-48A6-B6E5-FEBC8FC3CFA9}"/>
    <cellStyle name="Normal 5 2 2 2 3 2 2 2 3" xfId="11560" xr:uid="{EB74BFE3-D6EA-4513-967A-1F67FF616A11}"/>
    <cellStyle name="Normal 5 2 2 2 3 2 2 3" xfId="5204" xr:uid="{00000000-0005-0000-0000-00004C170000}"/>
    <cellStyle name="Normal 5 2 2 2 3 2 2 3 2" xfId="13633" xr:uid="{BF790218-3547-4D18-B5A2-B7B176116887}"/>
    <cellStyle name="Normal 5 2 2 2 3 2 2 4" xfId="9415" xr:uid="{802FCF56-9CE6-43C6-97A3-FC35E7C63BB4}"/>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2 2 2" xfId="16191" xr:uid="{9C24AD47-162C-4C99-880B-BD81D5B0812F}"/>
    <cellStyle name="Normal 5 2 2 2 3 2 3 2 3" xfId="11973" xr:uid="{09BBB92E-2DAE-44D6-A6DE-30CFB1EADB7E}"/>
    <cellStyle name="Normal 5 2 2 2 3 2 3 3" xfId="5617" xr:uid="{00000000-0005-0000-0000-000050170000}"/>
    <cellStyle name="Normal 5 2 2 2 3 2 3 3 2" xfId="14046" xr:uid="{CC062D1E-6C45-4C67-B581-7D35EA99DF47}"/>
    <cellStyle name="Normal 5 2 2 2 3 2 3 4" xfId="9828" xr:uid="{6238D391-D840-40E1-A75E-4BE3952DBBA9}"/>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2 2 2" xfId="16604" xr:uid="{8C11077A-68CB-46AA-8BF0-50FE093F0CDA}"/>
    <cellStyle name="Normal 5 2 2 2 3 2 4 2 3" xfId="12386" xr:uid="{6D8A896C-6C1B-4A21-B1A8-6EC072DE4B2D}"/>
    <cellStyle name="Normal 5 2 2 2 3 2 4 3" xfId="6030" xr:uid="{00000000-0005-0000-0000-000054170000}"/>
    <cellStyle name="Normal 5 2 2 2 3 2 4 3 2" xfId="14459" xr:uid="{2013278A-FB36-44B4-9943-589279E4A53C}"/>
    <cellStyle name="Normal 5 2 2 2 3 2 4 4" xfId="10241" xr:uid="{74F55E62-7123-48E3-856D-6C7C5AA89958}"/>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2 2 2" xfId="17017" xr:uid="{F4BA4FC6-DA7D-4EDF-8FDD-A41D183E240E}"/>
    <cellStyle name="Normal 5 2 2 2 3 2 5 2 3" xfId="12799" xr:uid="{967E48BB-D229-4058-8DF9-5C63BF3DCDBA}"/>
    <cellStyle name="Normal 5 2 2 2 3 2 5 3" xfId="6443" xr:uid="{00000000-0005-0000-0000-000058170000}"/>
    <cellStyle name="Normal 5 2 2 2 3 2 5 3 2" xfId="14872" xr:uid="{407C664D-2AFB-415A-9479-37768F59359C}"/>
    <cellStyle name="Normal 5 2 2 2 3 2 5 4" xfId="10654" xr:uid="{69295CB0-253A-466A-BB14-7254ED5D1027}"/>
    <cellStyle name="Normal 5 2 2 2 3 2 6" xfId="2571" xr:uid="{00000000-0005-0000-0000-000059170000}"/>
    <cellStyle name="Normal 5 2 2 2 3 2 6 2" xfId="6856" xr:uid="{00000000-0005-0000-0000-00005A170000}"/>
    <cellStyle name="Normal 5 2 2 2 3 2 6 2 2" xfId="15285" xr:uid="{D1D67A3C-99DA-487F-B1D2-C30FD6747D6D}"/>
    <cellStyle name="Normal 5 2 2 2 3 2 6 3" xfId="11067" xr:uid="{71F64DCD-9587-4315-AF08-E074EFB4B4A8}"/>
    <cellStyle name="Normal 5 2 2 2 3 2 7" xfId="4791" xr:uid="{00000000-0005-0000-0000-00005B170000}"/>
    <cellStyle name="Normal 5 2 2 2 3 2 7 2" xfId="13220" xr:uid="{56E7E863-8559-4EB8-ACA6-1090C9CCA92C}"/>
    <cellStyle name="Normal 5 2 2 2 3 2 8" xfId="9002" xr:uid="{4B5F702D-736D-49D8-9C80-CB69F1579088}"/>
    <cellStyle name="Normal 5 2 2 2 3 3" xfId="889" xr:uid="{00000000-0005-0000-0000-00005C170000}"/>
    <cellStyle name="Normal 5 2 2 2 3 3 2" xfId="3124" xr:uid="{00000000-0005-0000-0000-00005D170000}"/>
    <cellStyle name="Normal 5 2 2 2 3 3 2 2" xfId="7348" xr:uid="{00000000-0005-0000-0000-00005E170000}"/>
    <cellStyle name="Normal 5 2 2 2 3 3 2 2 2" xfId="15777" xr:uid="{ED0EB33D-2B08-46B6-93E5-1CE26B5D3362}"/>
    <cellStyle name="Normal 5 2 2 2 3 3 2 3" xfId="11559" xr:uid="{E041801E-0497-4063-82EE-01CD888550E7}"/>
    <cellStyle name="Normal 5 2 2 2 3 3 3" xfId="5203" xr:uid="{00000000-0005-0000-0000-00005F170000}"/>
    <cellStyle name="Normal 5 2 2 2 3 3 3 2" xfId="13632" xr:uid="{E1A20E4C-94DA-4E6A-A508-38886379037C}"/>
    <cellStyle name="Normal 5 2 2 2 3 3 4" xfId="9414" xr:uid="{EA03E721-D4BD-49BE-AA5C-234D144E68BF}"/>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2 2 2" xfId="16190" xr:uid="{FE38DFFD-43DE-4B1C-B741-D6C97A9C4F31}"/>
    <cellStyle name="Normal 5 2 2 2 3 4 2 3" xfId="11972" xr:uid="{E105C607-3676-401D-8820-4A24DC593F1B}"/>
    <cellStyle name="Normal 5 2 2 2 3 4 3" xfId="5616" xr:uid="{00000000-0005-0000-0000-000063170000}"/>
    <cellStyle name="Normal 5 2 2 2 3 4 3 2" xfId="14045" xr:uid="{93889D3B-8E8D-42C5-8F1E-6665DC5F5B86}"/>
    <cellStyle name="Normal 5 2 2 2 3 4 4" xfId="9827" xr:uid="{9DFE0707-9BB3-4103-9C76-B81F3218E648}"/>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2 2 2" xfId="16603" xr:uid="{FCAFDFDD-CF45-40B1-BF99-7A82FBC108EB}"/>
    <cellStyle name="Normal 5 2 2 2 3 5 2 3" xfId="12385" xr:uid="{80DD7277-FAA1-475B-B302-AAC0E8DA733B}"/>
    <cellStyle name="Normal 5 2 2 2 3 5 3" xfId="6029" xr:uid="{00000000-0005-0000-0000-000067170000}"/>
    <cellStyle name="Normal 5 2 2 2 3 5 3 2" xfId="14458" xr:uid="{30FDE135-C562-4891-831E-372324CC9130}"/>
    <cellStyle name="Normal 5 2 2 2 3 5 4" xfId="10240" xr:uid="{4AE4DF39-5ACB-485C-B319-D4D72CB7EA38}"/>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2 2 2" xfId="17016" xr:uid="{C37ABE21-863F-4641-AEA1-B3F05EE27D12}"/>
    <cellStyle name="Normal 5 2 2 2 3 6 2 3" xfId="12798" xr:uid="{F4205FBD-DFCA-49B2-95D9-E99B0C00659F}"/>
    <cellStyle name="Normal 5 2 2 2 3 6 3" xfId="6442" xr:uid="{00000000-0005-0000-0000-00006B170000}"/>
    <cellStyle name="Normal 5 2 2 2 3 6 3 2" xfId="14871" xr:uid="{6DE5CB8C-85E8-428D-BBFD-8057ECE0DFAB}"/>
    <cellStyle name="Normal 5 2 2 2 3 6 4" xfId="10653" xr:uid="{31AD7243-5B27-4101-BB60-EB18FC091B2F}"/>
    <cellStyle name="Normal 5 2 2 2 3 7" xfId="2570" xr:uid="{00000000-0005-0000-0000-00006C170000}"/>
    <cellStyle name="Normal 5 2 2 2 3 7 2" xfId="6855" xr:uid="{00000000-0005-0000-0000-00006D170000}"/>
    <cellStyle name="Normal 5 2 2 2 3 7 2 2" xfId="15284" xr:uid="{6E331645-0091-4F63-A45C-C2DDEA22519D}"/>
    <cellStyle name="Normal 5 2 2 2 3 7 3" xfId="11066" xr:uid="{2D826DCA-0EF9-47BF-A37A-C14BD8732A74}"/>
    <cellStyle name="Normal 5 2 2 2 3 8" xfId="4790" xr:uid="{00000000-0005-0000-0000-00006E170000}"/>
    <cellStyle name="Normal 5 2 2 2 3 8 2" xfId="13219" xr:uid="{97042147-790E-4D08-A4EF-B846C1D5E666}"/>
    <cellStyle name="Normal 5 2 2 2 3 9" xfId="9001" xr:uid="{F25F47F0-4A00-4797-9A76-CF6BB160E575}"/>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2 2 2" xfId="15779" xr:uid="{4EA76A77-F67A-4785-BFD7-288C856861B7}"/>
    <cellStyle name="Normal 5 2 2 2 4 2 2 3" xfId="11561" xr:uid="{EE5CC1FE-6727-43F7-A8C9-D3A4823F102C}"/>
    <cellStyle name="Normal 5 2 2 2 4 2 3" xfId="5205" xr:uid="{00000000-0005-0000-0000-000073170000}"/>
    <cellStyle name="Normal 5 2 2 2 4 2 3 2" xfId="13634" xr:uid="{DFF57A78-5CA8-4B9B-A12D-E6E98B4A8784}"/>
    <cellStyle name="Normal 5 2 2 2 4 2 4" xfId="9416" xr:uid="{92F2D24B-3FC7-4141-BE08-7DE1C75FE0D4}"/>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2 2 2" xfId="16192" xr:uid="{AEBC9C19-C04B-4117-A259-1416F85946AE}"/>
    <cellStyle name="Normal 5 2 2 2 4 3 2 3" xfId="11974" xr:uid="{08AA3FB9-2E8C-442F-80FE-66EFD43F268E}"/>
    <cellStyle name="Normal 5 2 2 2 4 3 3" xfId="5618" xr:uid="{00000000-0005-0000-0000-000077170000}"/>
    <cellStyle name="Normal 5 2 2 2 4 3 3 2" xfId="14047" xr:uid="{DD82046C-0DFA-404C-9768-0FC9FAF0B93B}"/>
    <cellStyle name="Normal 5 2 2 2 4 3 4" xfId="9829" xr:uid="{C435F625-6114-4AE5-BE0F-26564DE95C09}"/>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2 2 2" xfId="16605" xr:uid="{937C7036-03FB-4F47-814D-464489694E0B}"/>
    <cellStyle name="Normal 5 2 2 2 4 4 2 3" xfId="12387" xr:uid="{EB833727-B931-4148-ACFC-822EC9DCE33B}"/>
    <cellStyle name="Normal 5 2 2 2 4 4 3" xfId="6031" xr:uid="{00000000-0005-0000-0000-00007B170000}"/>
    <cellStyle name="Normal 5 2 2 2 4 4 3 2" xfId="14460" xr:uid="{3688CA16-BF8C-4430-A356-BCF690DF6E80}"/>
    <cellStyle name="Normal 5 2 2 2 4 4 4" xfId="10242" xr:uid="{0B845E19-43C7-49A9-9D7C-C888A3C450BD}"/>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2 2 2" xfId="17018" xr:uid="{F8E17B3D-C2A5-42EA-8EC9-5EB85CABBAA8}"/>
    <cellStyle name="Normal 5 2 2 2 4 5 2 3" xfId="12800" xr:uid="{E2BE6CE7-C806-4420-9408-5E15E47517D9}"/>
    <cellStyle name="Normal 5 2 2 2 4 5 3" xfId="6444" xr:uid="{00000000-0005-0000-0000-00007F170000}"/>
    <cellStyle name="Normal 5 2 2 2 4 5 3 2" xfId="14873" xr:uid="{32F9BF87-0CDB-4D66-86B8-DFE7F3BCCE37}"/>
    <cellStyle name="Normal 5 2 2 2 4 5 4" xfId="10655" xr:uid="{DB4BC33A-00FC-4FCA-827B-935C2ABF7319}"/>
    <cellStyle name="Normal 5 2 2 2 4 6" xfId="2572" xr:uid="{00000000-0005-0000-0000-000080170000}"/>
    <cellStyle name="Normal 5 2 2 2 4 6 2" xfId="6857" xr:uid="{00000000-0005-0000-0000-000081170000}"/>
    <cellStyle name="Normal 5 2 2 2 4 6 2 2" xfId="15286" xr:uid="{D72FA9A7-0EB8-4767-B8FB-3C55E54CBD44}"/>
    <cellStyle name="Normal 5 2 2 2 4 6 3" xfId="11068" xr:uid="{5E4F09C8-3940-4395-80B8-1980ED54F5E1}"/>
    <cellStyle name="Normal 5 2 2 2 4 7" xfId="4792" xr:uid="{00000000-0005-0000-0000-000082170000}"/>
    <cellStyle name="Normal 5 2 2 2 4 7 2" xfId="13221" xr:uid="{774476A4-4A05-438C-BB48-B514204623E0}"/>
    <cellStyle name="Normal 5 2 2 2 4 8" xfId="9003" xr:uid="{CA099589-6DFB-4F0D-8933-921225CC17F0}"/>
    <cellStyle name="Normal 5 2 2 2 5" xfId="884" xr:uid="{00000000-0005-0000-0000-000083170000}"/>
    <cellStyle name="Normal 5 2 2 2 5 2" xfId="3119" xr:uid="{00000000-0005-0000-0000-000084170000}"/>
    <cellStyle name="Normal 5 2 2 2 5 2 2" xfId="7343" xr:uid="{00000000-0005-0000-0000-000085170000}"/>
    <cellStyle name="Normal 5 2 2 2 5 2 2 2" xfId="15772" xr:uid="{7B32864C-97DE-43FD-B4BD-CD8603B9E9B4}"/>
    <cellStyle name="Normal 5 2 2 2 5 2 3" xfId="11554" xr:uid="{52C8A18B-DE89-4FE4-ADF3-C51A7E066D52}"/>
    <cellStyle name="Normal 5 2 2 2 5 3" xfId="5198" xr:uid="{00000000-0005-0000-0000-000086170000}"/>
    <cellStyle name="Normal 5 2 2 2 5 3 2" xfId="13627" xr:uid="{FE2EB0C2-9D04-4EEA-AE4B-5C7557494ABA}"/>
    <cellStyle name="Normal 5 2 2 2 5 4" xfId="9409" xr:uid="{BBF7D4DD-3C4C-4977-A9F9-8A7742149017}"/>
    <cellStyle name="Normal 5 2 2 2 6" xfId="1302" xr:uid="{00000000-0005-0000-0000-000087170000}"/>
    <cellStyle name="Normal 5 2 2 2 6 2" xfId="3532" xr:uid="{00000000-0005-0000-0000-000088170000}"/>
    <cellStyle name="Normal 5 2 2 2 6 2 2" xfId="7756" xr:uid="{00000000-0005-0000-0000-000089170000}"/>
    <cellStyle name="Normal 5 2 2 2 6 2 2 2" xfId="16185" xr:uid="{B6075252-E5B1-41E5-B42A-CC0E316A5F6F}"/>
    <cellStyle name="Normal 5 2 2 2 6 2 3" xfId="11967" xr:uid="{A45342D7-A0F6-4522-AD52-3697F47D8C79}"/>
    <cellStyle name="Normal 5 2 2 2 6 3" xfId="5611" xr:uid="{00000000-0005-0000-0000-00008A170000}"/>
    <cellStyle name="Normal 5 2 2 2 6 3 2" xfId="14040" xr:uid="{3DE4D8FE-DEE4-4181-94AC-3B532B8B4968}"/>
    <cellStyle name="Normal 5 2 2 2 6 4" xfId="9822" xr:uid="{7A284900-3B83-4390-9A1B-6ADAFA13FC67}"/>
    <cellStyle name="Normal 5 2 2 2 7" xfId="1715" xr:uid="{00000000-0005-0000-0000-00008B170000}"/>
    <cellStyle name="Normal 5 2 2 2 7 2" xfId="3945" xr:uid="{00000000-0005-0000-0000-00008C170000}"/>
    <cellStyle name="Normal 5 2 2 2 7 2 2" xfId="8169" xr:uid="{00000000-0005-0000-0000-00008D170000}"/>
    <cellStyle name="Normal 5 2 2 2 7 2 2 2" xfId="16598" xr:uid="{9EF2EDD1-D3F7-4E9C-8269-3958B4EDFEC7}"/>
    <cellStyle name="Normal 5 2 2 2 7 2 3" xfId="12380" xr:uid="{61A7733B-1D43-4EB0-A52D-6806319E5879}"/>
    <cellStyle name="Normal 5 2 2 2 7 3" xfId="6024" xr:uid="{00000000-0005-0000-0000-00008E170000}"/>
    <cellStyle name="Normal 5 2 2 2 7 3 2" xfId="14453" xr:uid="{217A65A3-FB03-44BD-A4E5-38AFF62475FD}"/>
    <cellStyle name="Normal 5 2 2 2 7 4" xfId="10235" xr:uid="{47A2FFD5-D3E3-4272-A972-2231F56A72BE}"/>
    <cellStyle name="Normal 5 2 2 2 8" xfId="2129" xr:uid="{00000000-0005-0000-0000-00008F170000}"/>
    <cellStyle name="Normal 5 2 2 2 8 2" xfId="4358" xr:uid="{00000000-0005-0000-0000-000090170000}"/>
    <cellStyle name="Normal 5 2 2 2 8 2 2" xfId="8582" xr:uid="{00000000-0005-0000-0000-000091170000}"/>
    <cellStyle name="Normal 5 2 2 2 8 2 2 2" xfId="17011" xr:uid="{F00CAE3B-5859-4E29-AAE3-B2805B4B438C}"/>
    <cellStyle name="Normal 5 2 2 2 8 2 3" xfId="12793" xr:uid="{D4390F29-3C1D-431C-AF4C-0714CFC83682}"/>
    <cellStyle name="Normal 5 2 2 2 8 3" xfId="6437" xr:uid="{00000000-0005-0000-0000-000092170000}"/>
    <cellStyle name="Normal 5 2 2 2 8 3 2" xfId="14866" xr:uid="{4C640437-B802-4AE6-9E90-DEF484514286}"/>
    <cellStyle name="Normal 5 2 2 2 8 4" xfId="10648" xr:uid="{53390240-83C7-4952-8795-F3B38D13AD5E}"/>
    <cellStyle name="Normal 5 2 2 2 9" xfId="2565" xr:uid="{00000000-0005-0000-0000-000093170000}"/>
    <cellStyle name="Normal 5 2 2 2 9 2" xfId="6850" xr:uid="{00000000-0005-0000-0000-000094170000}"/>
    <cellStyle name="Normal 5 2 2 2 9 2 2" xfId="15279" xr:uid="{6C294784-02DC-49D9-BFDC-702547F5D739}"/>
    <cellStyle name="Normal 5 2 2 2 9 3" xfId="11061" xr:uid="{9175C37E-A640-4181-835C-0AA5DD8A95EE}"/>
    <cellStyle name="Normal 5 2 2 3" xfId="417" xr:uid="{00000000-0005-0000-0000-000095170000}"/>
    <cellStyle name="Normal 5 2 2 3 10" xfId="9004" xr:uid="{10AAF51D-CECB-4B77-B5B5-4B3FB9F233B6}"/>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2 2 2" xfId="15782" xr:uid="{64ACC001-1680-40E7-9902-FDA1548A76CD}"/>
    <cellStyle name="Normal 5 2 2 3 2 2 2 2 3" xfId="11564" xr:uid="{E5C5D923-A718-4C73-A298-DC735265DE02}"/>
    <cellStyle name="Normal 5 2 2 3 2 2 2 3" xfId="5208" xr:uid="{00000000-0005-0000-0000-00009B170000}"/>
    <cellStyle name="Normal 5 2 2 3 2 2 2 3 2" xfId="13637" xr:uid="{28B7CE89-1EEA-4ABD-BAE0-AF5FB9E607FE}"/>
    <cellStyle name="Normal 5 2 2 3 2 2 2 4" xfId="9419" xr:uid="{23245D00-3728-4035-9750-D2F89220A7CC}"/>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2 2 2" xfId="16195" xr:uid="{92C5010E-D4F9-432E-9316-57B232C5669B}"/>
    <cellStyle name="Normal 5 2 2 3 2 2 3 2 3" xfId="11977" xr:uid="{BFEB307D-2D78-4D9A-A8A9-3A9E31913755}"/>
    <cellStyle name="Normal 5 2 2 3 2 2 3 3" xfId="5621" xr:uid="{00000000-0005-0000-0000-00009F170000}"/>
    <cellStyle name="Normal 5 2 2 3 2 2 3 3 2" xfId="14050" xr:uid="{88C26081-B7FB-4C5B-91DF-EC8E8ED295F0}"/>
    <cellStyle name="Normal 5 2 2 3 2 2 3 4" xfId="9832" xr:uid="{61B96B6A-BF9A-4A08-BA8A-BD97809154E1}"/>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2 2 2" xfId="16608" xr:uid="{4F7FFDF9-B384-4A16-8400-1EF7FB0C5BCB}"/>
    <cellStyle name="Normal 5 2 2 3 2 2 4 2 3" xfId="12390" xr:uid="{379BBA3E-3E1D-458E-B481-6C97E7A88E40}"/>
    <cellStyle name="Normal 5 2 2 3 2 2 4 3" xfId="6034" xr:uid="{00000000-0005-0000-0000-0000A3170000}"/>
    <cellStyle name="Normal 5 2 2 3 2 2 4 3 2" xfId="14463" xr:uid="{D2E61558-D542-40B8-A888-C2DADDA09D5D}"/>
    <cellStyle name="Normal 5 2 2 3 2 2 4 4" xfId="10245" xr:uid="{25AD131A-DC74-4C30-ACC9-252EE1300348}"/>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2 2 2" xfId="17021" xr:uid="{57CC1EE0-4D37-468F-9A05-B746284E31E2}"/>
    <cellStyle name="Normal 5 2 2 3 2 2 5 2 3" xfId="12803" xr:uid="{5D9ACEA1-DC78-406A-A49A-3360898A408A}"/>
    <cellStyle name="Normal 5 2 2 3 2 2 5 3" xfId="6447" xr:uid="{00000000-0005-0000-0000-0000A7170000}"/>
    <cellStyle name="Normal 5 2 2 3 2 2 5 3 2" xfId="14876" xr:uid="{C81FBDDD-82E4-4E1A-9310-FAFEE4D2D636}"/>
    <cellStyle name="Normal 5 2 2 3 2 2 5 4" xfId="10658" xr:uid="{0B891F24-EA81-404C-8968-6C39CC1FEA5F}"/>
    <cellStyle name="Normal 5 2 2 3 2 2 6" xfId="2575" xr:uid="{00000000-0005-0000-0000-0000A8170000}"/>
    <cellStyle name="Normal 5 2 2 3 2 2 6 2" xfId="6860" xr:uid="{00000000-0005-0000-0000-0000A9170000}"/>
    <cellStyle name="Normal 5 2 2 3 2 2 6 2 2" xfId="15289" xr:uid="{6CB1BF55-E6DD-4004-B653-B1FB54ECD800}"/>
    <cellStyle name="Normal 5 2 2 3 2 2 6 3" xfId="11071" xr:uid="{4BF10EFA-1CAE-4C10-B745-15ED13CAEE9C}"/>
    <cellStyle name="Normal 5 2 2 3 2 2 7" xfId="4795" xr:uid="{00000000-0005-0000-0000-0000AA170000}"/>
    <cellStyle name="Normal 5 2 2 3 2 2 7 2" xfId="13224" xr:uid="{5F68232F-2CD5-4BB8-88EC-A223EB80B8BE}"/>
    <cellStyle name="Normal 5 2 2 3 2 2 8" xfId="9006" xr:uid="{A74E2540-A731-4645-A21F-66DFB5A966EB}"/>
    <cellStyle name="Normal 5 2 2 3 2 3" xfId="893" xr:uid="{00000000-0005-0000-0000-0000AB170000}"/>
    <cellStyle name="Normal 5 2 2 3 2 3 2" xfId="3128" xr:uid="{00000000-0005-0000-0000-0000AC170000}"/>
    <cellStyle name="Normal 5 2 2 3 2 3 2 2" xfId="7352" xr:uid="{00000000-0005-0000-0000-0000AD170000}"/>
    <cellStyle name="Normal 5 2 2 3 2 3 2 2 2" xfId="15781" xr:uid="{BF416732-D6C5-4C1F-BAA2-99DD497B871C}"/>
    <cellStyle name="Normal 5 2 2 3 2 3 2 3" xfId="11563" xr:uid="{D89134E0-0F45-4717-8710-110F4D319A76}"/>
    <cellStyle name="Normal 5 2 2 3 2 3 3" xfId="5207" xr:uid="{00000000-0005-0000-0000-0000AE170000}"/>
    <cellStyle name="Normal 5 2 2 3 2 3 3 2" xfId="13636" xr:uid="{CA8B771F-2396-4549-9741-E1D88EDC995C}"/>
    <cellStyle name="Normal 5 2 2 3 2 3 4" xfId="9418" xr:uid="{006C6181-89EF-494B-B69E-94F53C8EEE22}"/>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2 2 2" xfId="16194" xr:uid="{7DC9636E-79FA-46AE-97A2-6607714B9CC3}"/>
    <cellStyle name="Normal 5 2 2 3 2 4 2 3" xfId="11976" xr:uid="{708E2DD5-1986-4013-8B0F-282418E5F20B}"/>
    <cellStyle name="Normal 5 2 2 3 2 4 3" xfId="5620" xr:uid="{00000000-0005-0000-0000-0000B2170000}"/>
    <cellStyle name="Normal 5 2 2 3 2 4 3 2" xfId="14049" xr:uid="{383438BC-1358-4337-88A4-30BEFE6E65BE}"/>
    <cellStyle name="Normal 5 2 2 3 2 4 4" xfId="9831" xr:uid="{D52EB602-7D8A-46A8-9827-BE3EF5A872F1}"/>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2 2 2" xfId="16607" xr:uid="{54312267-B0E0-4D2F-AEF2-38FBAAC52F1E}"/>
    <cellStyle name="Normal 5 2 2 3 2 5 2 3" xfId="12389" xr:uid="{6201CB02-4724-4990-A829-1DD5FD8B9DE9}"/>
    <cellStyle name="Normal 5 2 2 3 2 5 3" xfId="6033" xr:uid="{00000000-0005-0000-0000-0000B6170000}"/>
    <cellStyle name="Normal 5 2 2 3 2 5 3 2" xfId="14462" xr:uid="{172CF55E-9606-401A-A924-EA07E7ED1CD2}"/>
    <cellStyle name="Normal 5 2 2 3 2 5 4" xfId="10244" xr:uid="{FFE9A578-DD69-4208-9715-195C85E180B1}"/>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2 2 2" xfId="17020" xr:uid="{4308B809-3D1E-4EB7-A0F7-340D461E5288}"/>
    <cellStyle name="Normal 5 2 2 3 2 6 2 3" xfId="12802" xr:uid="{49ADF110-1FC2-49D9-89A2-1A1E590CFFC5}"/>
    <cellStyle name="Normal 5 2 2 3 2 6 3" xfId="6446" xr:uid="{00000000-0005-0000-0000-0000BA170000}"/>
    <cellStyle name="Normal 5 2 2 3 2 6 3 2" xfId="14875" xr:uid="{EC59CCB8-39E4-47E4-9C31-947D5D89B8E8}"/>
    <cellStyle name="Normal 5 2 2 3 2 6 4" xfId="10657" xr:uid="{F4538A32-A139-43CF-A9D9-2F93B4E75B46}"/>
    <cellStyle name="Normal 5 2 2 3 2 7" xfId="2574" xr:uid="{00000000-0005-0000-0000-0000BB170000}"/>
    <cellStyle name="Normal 5 2 2 3 2 7 2" xfId="6859" xr:uid="{00000000-0005-0000-0000-0000BC170000}"/>
    <cellStyle name="Normal 5 2 2 3 2 7 2 2" xfId="15288" xr:uid="{AE2B031A-8ADF-45AB-B1A2-6F2AF420D350}"/>
    <cellStyle name="Normal 5 2 2 3 2 7 3" xfId="11070" xr:uid="{B73297B5-A08F-4DBD-BFF4-6E377A083FB5}"/>
    <cellStyle name="Normal 5 2 2 3 2 8" xfId="4794" xr:uid="{00000000-0005-0000-0000-0000BD170000}"/>
    <cellStyle name="Normal 5 2 2 3 2 8 2" xfId="13223" xr:uid="{BC761DBA-EBD7-4FB2-8B96-8E8B5F63ABD0}"/>
    <cellStyle name="Normal 5 2 2 3 2 9" xfId="9005" xr:uid="{F6B6CB3F-D96C-4B8D-92F4-23FB292B0BFC}"/>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2 2 2" xfId="15783" xr:uid="{C5A0A2AA-92D2-4919-AB45-84B4AD6E1338}"/>
    <cellStyle name="Normal 5 2 2 3 3 2 2 3" xfId="11565" xr:uid="{F71FB78B-C298-4E33-8EC0-8C932634F46A}"/>
    <cellStyle name="Normal 5 2 2 3 3 2 3" xfId="5209" xr:uid="{00000000-0005-0000-0000-0000C2170000}"/>
    <cellStyle name="Normal 5 2 2 3 3 2 3 2" xfId="13638" xr:uid="{B9736C66-C396-4DA3-88A8-5E03D35E1E64}"/>
    <cellStyle name="Normal 5 2 2 3 3 2 4" xfId="9420" xr:uid="{A16DE02D-4190-42AC-8AEF-5D803B23A398}"/>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2 2 2" xfId="16196" xr:uid="{0DE4AB8C-CC16-4FB6-9E1C-835CB7764DBA}"/>
    <cellStyle name="Normal 5 2 2 3 3 3 2 3" xfId="11978" xr:uid="{55D37CAB-5F93-40B8-8665-881CF3604E59}"/>
    <cellStyle name="Normal 5 2 2 3 3 3 3" xfId="5622" xr:uid="{00000000-0005-0000-0000-0000C6170000}"/>
    <cellStyle name="Normal 5 2 2 3 3 3 3 2" xfId="14051" xr:uid="{2DE53C57-3AE0-4BE6-9EAF-05686514FBBE}"/>
    <cellStyle name="Normal 5 2 2 3 3 3 4" xfId="9833" xr:uid="{561D09FC-8ED5-47DE-ADEA-55F251B1AA8A}"/>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2 2 2" xfId="16609" xr:uid="{236EF5F3-27B6-42D3-9BF2-756F552D9861}"/>
    <cellStyle name="Normal 5 2 2 3 3 4 2 3" xfId="12391" xr:uid="{8D334DEE-7AC9-4D33-BBBD-2A4A687C6B94}"/>
    <cellStyle name="Normal 5 2 2 3 3 4 3" xfId="6035" xr:uid="{00000000-0005-0000-0000-0000CA170000}"/>
    <cellStyle name="Normal 5 2 2 3 3 4 3 2" xfId="14464" xr:uid="{4BB919CB-4C6F-452A-8F3E-E6D09CDF1E8B}"/>
    <cellStyle name="Normal 5 2 2 3 3 4 4" xfId="10246" xr:uid="{88A4E13D-65F5-4DA2-8A6F-5C3EC075ECCF}"/>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2 2 2" xfId="17022" xr:uid="{D7208565-FC17-484E-92C6-B13C2CBF3AF1}"/>
    <cellStyle name="Normal 5 2 2 3 3 5 2 3" xfId="12804" xr:uid="{FD59DD10-6088-40DD-B8B2-B58FF4BFE76E}"/>
    <cellStyle name="Normal 5 2 2 3 3 5 3" xfId="6448" xr:uid="{00000000-0005-0000-0000-0000CE170000}"/>
    <cellStyle name="Normal 5 2 2 3 3 5 3 2" xfId="14877" xr:uid="{D510D2DD-057B-4036-8DC4-CFB3C29A8D45}"/>
    <cellStyle name="Normal 5 2 2 3 3 5 4" xfId="10659" xr:uid="{FCE38B22-AFB3-4755-815D-BCAD3654E197}"/>
    <cellStyle name="Normal 5 2 2 3 3 6" xfId="2576" xr:uid="{00000000-0005-0000-0000-0000CF170000}"/>
    <cellStyle name="Normal 5 2 2 3 3 6 2" xfId="6861" xr:uid="{00000000-0005-0000-0000-0000D0170000}"/>
    <cellStyle name="Normal 5 2 2 3 3 6 2 2" xfId="15290" xr:uid="{D5AB22FC-B692-478B-B434-65A36C984A08}"/>
    <cellStyle name="Normal 5 2 2 3 3 6 3" xfId="11072" xr:uid="{81B001C2-C4B2-4E02-90EE-1FF93F883052}"/>
    <cellStyle name="Normal 5 2 2 3 3 7" xfId="4796" xr:uid="{00000000-0005-0000-0000-0000D1170000}"/>
    <cellStyle name="Normal 5 2 2 3 3 7 2" xfId="13225" xr:uid="{BC6B367C-16FA-4372-A1FB-CDA174E5BE18}"/>
    <cellStyle name="Normal 5 2 2 3 3 8" xfId="9007" xr:uid="{70E5C1B0-8117-4F91-B419-010AB3213E34}"/>
    <cellStyle name="Normal 5 2 2 3 4" xfId="892" xr:uid="{00000000-0005-0000-0000-0000D2170000}"/>
    <cellStyle name="Normal 5 2 2 3 4 2" xfId="3127" xr:uid="{00000000-0005-0000-0000-0000D3170000}"/>
    <cellStyle name="Normal 5 2 2 3 4 2 2" xfId="7351" xr:uid="{00000000-0005-0000-0000-0000D4170000}"/>
    <cellStyle name="Normal 5 2 2 3 4 2 2 2" xfId="15780" xr:uid="{6155F7D1-9147-4A20-81D1-3C2196553528}"/>
    <cellStyle name="Normal 5 2 2 3 4 2 3" xfId="11562" xr:uid="{51BB0D32-21BF-4CBA-8F1B-E3DD59AA616E}"/>
    <cellStyle name="Normal 5 2 2 3 4 3" xfId="5206" xr:uid="{00000000-0005-0000-0000-0000D5170000}"/>
    <cellStyle name="Normal 5 2 2 3 4 3 2" xfId="13635" xr:uid="{9F52F34D-0EE7-4D27-9170-D0E0BBAB9518}"/>
    <cellStyle name="Normal 5 2 2 3 4 4" xfId="9417" xr:uid="{645B0375-98B7-4CEF-9334-9558654C7F14}"/>
    <cellStyle name="Normal 5 2 2 3 5" xfId="1310" xr:uid="{00000000-0005-0000-0000-0000D6170000}"/>
    <cellStyle name="Normal 5 2 2 3 5 2" xfId="3540" xr:uid="{00000000-0005-0000-0000-0000D7170000}"/>
    <cellStyle name="Normal 5 2 2 3 5 2 2" xfId="7764" xr:uid="{00000000-0005-0000-0000-0000D8170000}"/>
    <cellStyle name="Normal 5 2 2 3 5 2 2 2" xfId="16193" xr:uid="{ABD6B700-39B0-4B2B-B6F8-964FFD4CB9A2}"/>
    <cellStyle name="Normal 5 2 2 3 5 2 3" xfId="11975" xr:uid="{C7B27224-627E-4E57-ACD8-52A221A4F9B3}"/>
    <cellStyle name="Normal 5 2 2 3 5 3" xfId="5619" xr:uid="{00000000-0005-0000-0000-0000D9170000}"/>
    <cellStyle name="Normal 5 2 2 3 5 3 2" xfId="14048" xr:uid="{B18D3A89-B869-4976-8AFC-CFDA1C3DEAE1}"/>
    <cellStyle name="Normal 5 2 2 3 5 4" xfId="9830" xr:uid="{06DF9530-B341-4832-995B-6B77D85A818F}"/>
    <cellStyle name="Normal 5 2 2 3 6" xfId="1723" xr:uid="{00000000-0005-0000-0000-0000DA170000}"/>
    <cellStyle name="Normal 5 2 2 3 6 2" xfId="3953" xr:uid="{00000000-0005-0000-0000-0000DB170000}"/>
    <cellStyle name="Normal 5 2 2 3 6 2 2" xfId="8177" xr:uid="{00000000-0005-0000-0000-0000DC170000}"/>
    <cellStyle name="Normal 5 2 2 3 6 2 2 2" xfId="16606" xr:uid="{228B2FBF-EA49-4726-9029-92801636467B}"/>
    <cellStyle name="Normal 5 2 2 3 6 2 3" xfId="12388" xr:uid="{8BCD35F9-A252-4AE5-9A7D-B6A2A3A5677C}"/>
    <cellStyle name="Normal 5 2 2 3 6 3" xfId="6032" xr:uid="{00000000-0005-0000-0000-0000DD170000}"/>
    <cellStyle name="Normal 5 2 2 3 6 3 2" xfId="14461" xr:uid="{C5AC46AF-134C-4B53-B05A-2B2F2FBB4F58}"/>
    <cellStyle name="Normal 5 2 2 3 6 4" xfId="10243" xr:uid="{11416D79-811A-4BF9-8D98-6866B927A91F}"/>
    <cellStyle name="Normal 5 2 2 3 7" xfId="2137" xr:uid="{00000000-0005-0000-0000-0000DE170000}"/>
    <cellStyle name="Normal 5 2 2 3 7 2" xfId="4366" xr:uid="{00000000-0005-0000-0000-0000DF170000}"/>
    <cellStyle name="Normal 5 2 2 3 7 2 2" xfId="8590" xr:uid="{00000000-0005-0000-0000-0000E0170000}"/>
    <cellStyle name="Normal 5 2 2 3 7 2 2 2" xfId="17019" xr:uid="{0E7E547F-8A45-4480-9066-96575795AFC6}"/>
    <cellStyle name="Normal 5 2 2 3 7 2 3" xfId="12801" xr:uid="{65574620-211C-48B3-8835-5783AA6121C4}"/>
    <cellStyle name="Normal 5 2 2 3 7 3" xfId="6445" xr:uid="{00000000-0005-0000-0000-0000E1170000}"/>
    <cellStyle name="Normal 5 2 2 3 7 3 2" xfId="14874" xr:uid="{6992B94D-9279-4A3C-B43C-069590DE5C86}"/>
    <cellStyle name="Normal 5 2 2 3 7 4" xfId="10656" xr:uid="{5FFAC0EB-C9F6-4312-83F7-65AC72C391B2}"/>
    <cellStyle name="Normal 5 2 2 3 8" xfId="2573" xr:uid="{00000000-0005-0000-0000-0000E2170000}"/>
    <cellStyle name="Normal 5 2 2 3 8 2" xfId="6858" xr:uid="{00000000-0005-0000-0000-0000E3170000}"/>
    <cellStyle name="Normal 5 2 2 3 8 2 2" xfId="15287" xr:uid="{A3606BF0-4F4E-4C7F-AB87-61CFC4BFCA26}"/>
    <cellStyle name="Normal 5 2 2 3 8 3" xfId="11069" xr:uid="{26FF8B4F-9E39-48C5-9EF3-ADCDF9C048CB}"/>
    <cellStyle name="Normal 5 2 2 3 9" xfId="4793" xr:uid="{00000000-0005-0000-0000-0000E4170000}"/>
    <cellStyle name="Normal 5 2 2 3 9 2" xfId="13222" xr:uid="{A0090827-D5AC-40AD-83B3-DC6DAC6B967F}"/>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2 2 2" xfId="15785" xr:uid="{B3A94638-A19D-48D9-9B23-21EDFEB5431C}"/>
    <cellStyle name="Normal 5 2 2 4 2 2 2 3" xfId="11567" xr:uid="{2B5D4346-5948-4784-A4E3-363DA86FC9D9}"/>
    <cellStyle name="Normal 5 2 2 4 2 2 3" xfId="5211" xr:uid="{00000000-0005-0000-0000-0000EA170000}"/>
    <cellStyle name="Normal 5 2 2 4 2 2 3 2" xfId="13640" xr:uid="{8C163BEF-2CFD-498D-B88E-76D2EB2DE1D4}"/>
    <cellStyle name="Normal 5 2 2 4 2 2 4" xfId="9422" xr:uid="{7C098432-5743-42F1-90A9-9505402C6005}"/>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2 2 2" xfId="16198" xr:uid="{16AFF4F9-0DCE-4DBA-B125-7FDEBCCCDAA3}"/>
    <cellStyle name="Normal 5 2 2 4 2 3 2 3" xfId="11980" xr:uid="{BC9D9331-1E15-4876-A033-8FBFA5B25E58}"/>
    <cellStyle name="Normal 5 2 2 4 2 3 3" xfId="5624" xr:uid="{00000000-0005-0000-0000-0000EE170000}"/>
    <cellStyle name="Normal 5 2 2 4 2 3 3 2" xfId="14053" xr:uid="{6074C2AE-E837-45BE-B5E3-14C37639D00F}"/>
    <cellStyle name="Normal 5 2 2 4 2 3 4" xfId="9835" xr:uid="{A17B9ADC-83A5-4B6E-AE6A-8CA7C45F7FFC}"/>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2 2 2" xfId="16611" xr:uid="{0D7AE4EB-8686-4AD0-BA43-18E6DD89290B}"/>
    <cellStyle name="Normal 5 2 2 4 2 4 2 3" xfId="12393" xr:uid="{72046C6A-2F8B-42B0-90EB-B569E5B6C2D7}"/>
    <cellStyle name="Normal 5 2 2 4 2 4 3" xfId="6037" xr:uid="{00000000-0005-0000-0000-0000F2170000}"/>
    <cellStyle name="Normal 5 2 2 4 2 4 3 2" xfId="14466" xr:uid="{00B0EA84-EF10-4E29-8EC5-A206CA4FAE61}"/>
    <cellStyle name="Normal 5 2 2 4 2 4 4" xfId="10248" xr:uid="{D6174C25-BDBF-46D1-A5DA-B989C089F02B}"/>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2 2 2" xfId="17024" xr:uid="{BB415DF2-B92B-45A3-BD7B-EEDF6C174C50}"/>
    <cellStyle name="Normal 5 2 2 4 2 5 2 3" xfId="12806" xr:uid="{73CA0606-3149-4BCC-A68A-40F739818F22}"/>
    <cellStyle name="Normal 5 2 2 4 2 5 3" xfId="6450" xr:uid="{00000000-0005-0000-0000-0000F6170000}"/>
    <cellStyle name="Normal 5 2 2 4 2 5 3 2" xfId="14879" xr:uid="{4F56889F-1E1A-4150-95F6-4D276C21ABDC}"/>
    <cellStyle name="Normal 5 2 2 4 2 5 4" xfId="10661" xr:uid="{0036C784-67F8-453F-89F9-719067128436}"/>
    <cellStyle name="Normal 5 2 2 4 2 6" xfId="2578" xr:uid="{00000000-0005-0000-0000-0000F7170000}"/>
    <cellStyle name="Normal 5 2 2 4 2 6 2" xfId="6863" xr:uid="{00000000-0005-0000-0000-0000F8170000}"/>
    <cellStyle name="Normal 5 2 2 4 2 6 2 2" xfId="15292" xr:uid="{FBF5E564-7D23-4182-9175-549B139B0810}"/>
    <cellStyle name="Normal 5 2 2 4 2 6 3" xfId="11074" xr:uid="{16B891A2-12CE-4E67-93A6-72282A01FA72}"/>
    <cellStyle name="Normal 5 2 2 4 2 7" xfId="4798" xr:uid="{00000000-0005-0000-0000-0000F9170000}"/>
    <cellStyle name="Normal 5 2 2 4 2 7 2" xfId="13227" xr:uid="{12ED1856-99B4-46AB-9589-5C17C13C80F6}"/>
    <cellStyle name="Normal 5 2 2 4 2 8" xfId="9009" xr:uid="{4308AA23-01BB-457E-A690-AF466EECBF0B}"/>
    <cellStyle name="Normal 5 2 2 4 3" xfId="896" xr:uid="{00000000-0005-0000-0000-0000FA170000}"/>
    <cellStyle name="Normal 5 2 2 4 3 2" xfId="3131" xr:uid="{00000000-0005-0000-0000-0000FB170000}"/>
    <cellStyle name="Normal 5 2 2 4 3 2 2" xfId="7355" xr:uid="{00000000-0005-0000-0000-0000FC170000}"/>
    <cellStyle name="Normal 5 2 2 4 3 2 2 2" xfId="15784" xr:uid="{17C4F4B6-9E1D-4C34-B4FC-48AFCDD8D199}"/>
    <cellStyle name="Normal 5 2 2 4 3 2 3" xfId="11566" xr:uid="{AAC4711B-1F9D-43AA-B82D-2E0389F2F659}"/>
    <cellStyle name="Normal 5 2 2 4 3 3" xfId="5210" xr:uid="{00000000-0005-0000-0000-0000FD170000}"/>
    <cellStyle name="Normal 5 2 2 4 3 3 2" xfId="13639" xr:uid="{952B945F-60A9-4DCB-91FA-C4E59520B930}"/>
    <cellStyle name="Normal 5 2 2 4 3 4" xfId="9421" xr:uid="{76BA0876-FFC0-4E48-B87C-AB844A88F9EB}"/>
    <cellStyle name="Normal 5 2 2 4 4" xfId="1314" xr:uid="{00000000-0005-0000-0000-0000FE170000}"/>
    <cellStyle name="Normal 5 2 2 4 4 2" xfId="3544" xr:uid="{00000000-0005-0000-0000-0000FF170000}"/>
    <cellStyle name="Normal 5 2 2 4 4 2 2" xfId="7768" xr:uid="{00000000-0005-0000-0000-000000180000}"/>
    <cellStyle name="Normal 5 2 2 4 4 2 2 2" xfId="16197" xr:uid="{4A113585-5A3E-461F-B963-DAE3B23F8D9F}"/>
    <cellStyle name="Normal 5 2 2 4 4 2 3" xfId="11979" xr:uid="{06A582B9-0BDD-42BE-B6D0-17C7ECC09F6C}"/>
    <cellStyle name="Normal 5 2 2 4 4 3" xfId="5623" xr:uid="{00000000-0005-0000-0000-000001180000}"/>
    <cellStyle name="Normal 5 2 2 4 4 3 2" xfId="14052" xr:uid="{D7023F6A-D42B-4A23-994B-561CE2C4BE0B}"/>
    <cellStyle name="Normal 5 2 2 4 4 4" xfId="9834" xr:uid="{D6397150-398A-4F8E-9AA3-D88EBDA536BF}"/>
    <cellStyle name="Normal 5 2 2 4 5" xfId="1727" xr:uid="{00000000-0005-0000-0000-000002180000}"/>
    <cellStyle name="Normal 5 2 2 4 5 2" xfId="3957" xr:uid="{00000000-0005-0000-0000-000003180000}"/>
    <cellStyle name="Normal 5 2 2 4 5 2 2" xfId="8181" xr:uid="{00000000-0005-0000-0000-000004180000}"/>
    <cellStyle name="Normal 5 2 2 4 5 2 2 2" xfId="16610" xr:uid="{29A784BE-80C8-496C-877E-BC9110AA52F6}"/>
    <cellStyle name="Normal 5 2 2 4 5 2 3" xfId="12392" xr:uid="{A9ACD513-F94D-45FF-906E-E6D11E2C65CE}"/>
    <cellStyle name="Normal 5 2 2 4 5 3" xfId="6036" xr:uid="{00000000-0005-0000-0000-000005180000}"/>
    <cellStyle name="Normal 5 2 2 4 5 3 2" xfId="14465" xr:uid="{8423235C-E746-4E38-A133-CD2C3D027616}"/>
    <cellStyle name="Normal 5 2 2 4 5 4" xfId="10247" xr:uid="{00EF521E-F0BA-4657-804B-8C4B783DF37B}"/>
    <cellStyle name="Normal 5 2 2 4 6" xfId="2141" xr:uid="{00000000-0005-0000-0000-000006180000}"/>
    <cellStyle name="Normal 5 2 2 4 6 2" xfId="4370" xr:uid="{00000000-0005-0000-0000-000007180000}"/>
    <cellStyle name="Normal 5 2 2 4 6 2 2" xfId="8594" xr:uid="{00000000-0005-0000-0000-000008180000}"/>
    <cellStyle name="Normal 5 2 2 4 6 2 2 2" xfId="17023" xr:uid="{EF71437A-DD30-4C9D-B721-F90679FC9549}"/>
    <cellStyle name="Normal 5 2 2 4 6 2 3" xfId="12805" xr:uid="{BDA93A8C-E65A-47F0-B37A-B53B6828C268}"/>
    <cellStyle name="Normal 5 2 2 4 6 3" xfId="6449" xr:uid="{00000000-0005-0000-0000-000009180000}"/>
    <cellStyle name="Normal 5 2 2 4 6 3 2" xfId="14878" xr:uid="{2E5ACD06-6ED1-45A2-A56C-16B01C47D17E}"/>
    <cellStyle name="Normal 5 2 2 4 6 4" xfId="10660" xr:uid="{DE89DFB6-D013-4513-992F-6059AF1EC289}"/>
    <cellStyle name="Normal 5 2 2 4 7" xfId="2577" xr:uid="{00000000-0005-0000-0000-00000A180000}"/>
    <cellStyle name="Normal 5 2 2 4 7 2" xfId="6862" xr:uid="{00000000-0005-0000-0000-00000B180000}"/>
    <cellStyle name="Normal 5 2 2 4 7 2 2" xfId="15291" xr:uid="{664DB326-4A2F-45DF-8C66-B675AA9C2745}"/>
    <cellStyle name="Normal 5 2 2 4 7 3" xfId="11073" xr:uid="{BD704C57-6F08-417E-8C77-258294E4E751}"/>
    <cellStyle name="Normal 5 2 2 4 8" xfId="4797" xr:uid="{00000000-0005-0000-0000-00000C180000}"/>
    <cellStyle name="Normal 5 2 2 4 8 2" xfId="13226" xr:uid="{32C68C0A-3DDD-48BD-858B-ED6F0CA62BA0}"/>
    <cellStyle name="Normal 5 2 2 4 9" xfId="9008" xr:uid="{000BC868-19E2-482E-A294-8B44D220934D}"/>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2 2 2" xfId="15786" xr:uid="{6420405A-023A-468B-9EE9-7D2D90435FC0}"/>
    <cellStyle name="Normal 5 2 2 5 2 2 3" xfId="11568" xr:uid="{B0B2378C-C769-4464-81A3-B0DB9BE8B1F5}"/>
    <cellStyle name="Normal 5 2 2 5 2 3" xfId="5212" xr:uid="{00000000-0005-0000-0000-000011180000}"/>
    <cellStyle name="Normal 5 2 2 5 2 3 2" xfId="13641" xr:uid="{D93CDA13-CE93-4030-9840-136C196437FF}"/>
    <cellStyle name="Normal 5 2 2 5 2 4" xfId="9423" xr:uid="{0E4CC2FF-8817-43B6-9FE2-247E2146AF6B}"/>
    <cellStyle name="Normal 5 2 2 5 3" xfId="1316" xr:uid="{00000000-0005-0000-0000-000012180000}"/>
    <cellStyle name="Normal 5 2 2 5 3 2" xfId="3546" xr:uid="{00000000-0005-0000-0000-000013180000}"/>
    <cellStyle name="Normal 5 2 2 5 3 2 2" xfId="7770" xr:uid="{00000000-0005-0000-0000-000014180000}"/>
    <cellStyle name="Normal 5 2 2 5 3 2 2 2" xfId="16199" xr:uid="{455D32FF-1517-4B85-A04C-B2AFBBB64E4D}"/>
    <cellStyle name="Normal 5 2 2 5 3 2 3" xfId="11981" xr:uid="{B3A29FCF-76BD-436E-ABD2-84EF8E4F34C7}"/>
    <cellStyle name="Normal 5 2 2 5 3 3" xfId="5625" xr:uid="{00000000-0005-0000-0000-000015180000}"/>
    <cellStyle name="Normal 5 2 2 5 3 3 2" xfId="14054" xr:uid="{8CEB3B58-5591-4E16-BF07-70DA50635B5A}"/>
    <cellStyle name="Normal 5 2 2 5 3 4" xfId="9836" xr:uid="{DD00107A-8AEE-404A-878B-63B102633771}"/>
    <cellStyle name="Normal 5 2 2 5 4" xfId="1729" xr:uid="{00000000-0005-0000-0000-000016180000}"/>
    <cellStyle name="Normal 5 2 2 5 4 2" xfId="3959" xr:uid="{00000000-0005-0000-0000-000017180000}"/>
    <cellStyle name="Normal 5 2 2 5 4 2 2" xfId="8183" xr:uid="{00000000-0005-0000-0000-000018180000}"/>
    <cellStyle name="Normal 5 2 2 5 4 2 2 2" xfId="16612" xr:uid="{66FEEA10-689E-4D47-8991-61C33406F9FA}"/>
    <cellStyle name="Normal 5 2 2 5 4 2 3" xfId="12394" xr:uid="{158CEEBC-70E4-47BB-991B-B3FB96116C63}"/>
    <cellStyle name="Normal 5 2 2 5 4 3" xfId="6038" xr:uid="{00000000-0005-0000-0000-000019180000}"/>
    <cellStyle name="Normal 5 2 2 5 4 3 2" xfId="14467" xr:uid="{0FC7DCAE-7D60-439E-B2A5-C6D9866A40BD}"/>
    <cellStyle name="Normal 5 2 2 5 4 4" xfId="10249" xr:uid="{640C54A9-C16B-4E49-9331-439EA59B046B}"/>
    <cellStyle name="Normal 5 2 2 5 5" xfId="2143" xr:uid="{00000000-0005-0000-0000-00001A180000}"/>
    <cellStyle name="Normal 5 2 2 5 5 2" xfId="4372" xr:uid="{00000000-0005-0000-0000-00001B180000}"/>
    <cellStyle name="Normal 5 2 2 5 5 2 2" xfId="8596" xr:uid="{00000000-0005-0000-0000-00001C180000}"/>
    <cellStyle name="Normal 5 2 2 5 5 2 2 2" xfId="17025" xr:uid="{6A5EC9ED-0CE0-4916-8A00-E0CE2AE435AE}"/>
    <cellStyle name="Normal 5 2 2 5 5 2 3" xfId="12807" xr:uid="{E9159281-FDCB-4EF4-B041-824F1674D175}"/>
    <cellStyle name="Normal 5 2 2 5 5 3" xfId="6451" xr:uid="{00000000-0005-0000-0000-00001D180000}"/>
    <cellStyle name="Normal 5 2 2 5 5 3 2" xfId="14880" xr:uid="{CF842336-B59E-40ED-BBC1-1F6C7F2E4FE8}"/>
    <cellStyle name="Normal 5 2 2 5 5 4" xfId="10662" xr:uid="{029BCAD2-7DBA-4AFC-B2C4-81B9AD4436A2}"/>
    <cellStyle name="Normal 5 2 2 5 6" xfId="2579" xr:uid="{00000000-0005-0000-0000-00001E180000}"/>
    <cellStyle name="Normal 5 2 2 5 6 2" xfId="6864" xr:uid="{00000000-0005-0000-0000-00001F180000}"/>
    <cellStyle name="Normal 5 2 2 5 6 2 2" xfId="15293" xr:uid="{139794C1-D5D2-40A8-8FE4-603AC56E9211}"/>
    <cellStyle name="Normal 5 2 2 5 6 3" xfId="11075" xr:uid="{352AA976-932D-440B-9677-E467368D20F0}"/>
    <cellStyle name="Normal 5 2 2 5 7" xfId="4799" xr:uid="{00000000-0005-0000-0000-000020180000}"/>
    <cellStyle name="Normal 5 2 2 5 7 2" xfId="13228" xr:uid="{6253EFCF-9D6C-45D3-B452-72EFE94E77CB}"/>
    <cellStyle name="Normal 5 2 2 5 8" xfId="9010" xr:uid="{C388BF78-150E-41B2-BB16-393736F01372}"/>
    <cellStyle name="Normal 5 2 2 6" xfId="883" xr:uid="{00000000-0005-0000-0000-000021180000}"/>
    <cellStyle name="Normal 5 2 2 6 2" xfId="3118" xr:uid="{00000000-0005-0000-0000-000022180000}"/>
    <cellStyle name="Normal 5 2 2 6 2 2" xfId="7342" xr:uid="{00000000-0005-0000-0000-000023180000}"/>
    <cellStyle name="Normal 5 2 2 6 2 2 2" xfId="15771" xr:uid="{D5CB7954-4EE9-49F7-8F1E-8DDC453F7021}"/>
    <cellStyle name="Normal 5 2 2 6 2 3" xfId="11553" xr:uid="{D83639E2-AF2B-4A7E-AA3C-F1317C84EEA4}"/>
    <cellStyle name="Normal 5 2 2 6 3" xfId="5197" xr:uid="{00000000-0005-0000-0000-000024180000}"/>
    <cellStyle name="Normal 5 2 2 6 3 2" xfId="13626" xr:uid="{11A42CED-7885-4856-92A0-078769E707AA}"/>
    <cellStyle name="Normal 5 2 2 6 4" xfId="9408" xr:uid="{BE341BA6-16E3-40DA-9626-908F47E4CE84}"/>
    <cellStyle name="Normal 5 2 2 7" xfId="1301" xr:uid="{00000000-0005-0000-0000-000025180000}"/>
    <cellStyle name="Normal 5 2 2 7 2" xfId="3531" xr:uid="{00000000-0005-0000-0000-000026180000}"/>
    <cellStyle name="Normal 5 2 2 7 2 2" xfId="7755" xr:uid="{00000000-0005-0000-0000-000027180000}"/>
    <cellStyle name="Normal 5 2 2 7 2 2 2" xfId="16184" xr:uid="{19879774-4312-468F-ADBB-FFCACB819022}"/>
    <cellStyle name="Normal 5 2 2 7 2 3" xfId="11966" xr:uid="{CE40E6A6-C7A3-4688-A34C-3B4FA830517D}"/>
    <cellStyle name="Normal 5 2 2 7 3" xfId="5610" xr:uid="{00000000-0005-0000-0000-000028180000}"/>
    <cellStyle name="Normal 5 2 2 7 3 2" xfId="14039" xr:uid="{C31AB5D7-FBB7-4051-906A-1468E04CEBF2}"/>
    <cellStyle name="Normal 5 2 2 7 4" xfId="9821" xr:uid="{CBB8B68B-8146-43A9-BA7C-6A6AB5E18F76}"/>
    <cellStyle name="Normal 5 2 2 8" xfId="1714" xr:uid="{00000000-0005-0000-0000-000029180000}"/>
    <cellStyle name="Normal 5 2 2 8 2" xfId="3944" xr:uid="{00000000-0005-0000-0000-00002A180000}"/>
    <cellStyle name="Normal 5 2 2 8 2 2" xfId="8168" xr:uid="{00000000-0005-0000-0000-00002B180000}"/>
    <cellStyle name="Normal 5 2 2 8 2 2 2" xfId="16597" xr:uid="{067BD1DC-4E90-483E-AA06-EEAECD872393}"/>
    <cellStyle name="Normal 5 2 2 8 2 3" xfId="12379" xr:uid="{110A8488-2F24-4942-9F76-9E8A03D47CAA}"/>
    <cellStyle name="Normal 5 2 2 8 3" xfId="6023" xr:uid="{00000000-0005-0000-0000-00002C180000}"/>
    <cellStyle name="Normal 5 2 2 8 3 2" xfId="14452" xr:uid="{88F3A412-EBB6-4486-8B86-0AF5B4F26427}"/>
    <cellStyle name="Normal 5 2 2 8 4" xfId="10234" xr:uid="{227CA3D8-B9AB-4A71-8927-8E79EFD19485}"/>
    <cellStyle name="Normal 5 2 2 9" xfId="2128" xr:uid="{00000000-0005-0000-0000-00002D180000}"/>
    <cellStyle name="Normal 5 2 2 9 2" xfId="4357" xr:uid="{00000000-0005-0000-0000-00002E180000}"/>
    <cellStyle name="Normal 5 2 2 9 2 2" xfId="8581" xr:uid="{00000000-0005-0000-0000-00002F180000}"/>
    <cellStyle name="Normal 5 2 2 9 2 2 2" xfId="17010" xr:uid="{792A006E-2A93-4AB9-83C6-74F3BC30FF2D}"/>
    <cellStyle name="Normal 5 2 2 9 2 3" xfId="12792" xr:uid="{47AB823D-0017-4609-9685-55446F280BD7}"/>
    <cellStyle name="Normal 5 2 2 9 3" xfId="6436" xr:uid="{00000000-0005-0000-0000-000030180000}"/>
    <cellStyle name="Normal 5 2 2 9 3 2" xfId="14865" xr:uid="{44E62002-85FC-4B65-A57B-480A58ED4CBE}"/>
    <cellStyle name="Normal 5 2 2 9 4" xfId="10647" xr:uid="{FBE43E9E-A8BF-4430-B422-933D84143991}"/>
    <cellStyle name="Normal 5 2 3" xfId="424" xr:uid="{00000000-0005-0000-0000-000031180000}"/>
    <cellStyle name="Normal 5 2 3 10" xfId="4800" xr:uid="{00000000-0005-0000-0000-000032180000}"/>
    <cellStyle name="Normal 5 2 3 10 2" xfId="13229" xr:uid="{1319E529-9139-4CD8-9211-A09819A97554}"/>
    <cellStyle name="Normal 5 2 3 11" xfId="9011" xr:uid="{06E0AB9D-9970-451B-B2DF-E2CA6EA96C81}"/>
    <cellStyle name="Normal 5 2 3 2" xfId="425" xr:uid="{00000000-0005-0000-0000-000033180000}"/>
    <cellStyle name="Normal 5 2 3 2 10" xfId="9012" xr:uid="{6E383355-9CEA-4225-9CB1-8E69E17FF88B}"/>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2 2 2" xfId="15790" xr:uid="{13C913A9-D44D-41BF-9EF9-69A1E9A416C0}"/>
    <cellStyle name="Normal 5 2 3 2 2 2 2 2 3" xfId="11572" xr:uid="{87B14B7D-F4BD-416B-ADF2-E774B881E2A1}"/>
    <cellStyle name="Normal 5 2 3 2 2 2 2 3" xfId="5216" xr:uid="{00000000-0005-0000-0000-000039180000}"/>
    <cellStyle name="Normal 5 2 3 2 2 2 2 3 2" xfId="13645" xr:uid="{2D2FB49F-26C9-4BB0-A3B6-3B99EE35C26F}"/>
    <cellStyle name="Normal 5 2 3 2 2 2 2 4" xfId="9427" xr:uid="{14E3215D-CF49-418B-B4EA-0570FE1BA426}"/>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2 2 2" xfId="16203" xr:uid="{1921528E-6D37-4C24-A9AA-387EFC4CDBC7}"/>
    <cellStyle name="Normal 5 2 3 2 2 2 3 2 3" xfId="11985" xr:uid="{20A49C12-B9F1-4541-9C7E-B0011D86CB0E}"/>
    <cellStyle name="Normal 5 2 3 2 2 2 3 3" xfId="5629" xr:uid="{00000000-0005-0000-0000-00003D180000}"/>
    <cellStyle name="Normal 5 2 3 2 2 2 3 3 2" xfId="14058" xr:uid="{FED3F308-9114-4926-9373-5A3BC7F64112}"/>
    <cellStyle name="Normal 5 2 3 2 2 2 3 4" xfId="9840" xr:uid="{8F751C67-F794-4AB9-B6A0-6845BBEBFCAF}"/>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2 2 2" xfId="16616" xr:uid="{88081DF8-7F2B-4DDF-8175-918740E3A3C9}"/>
    <cellStyle name="Normal 5 2 3 2 2 2 4 2 3" xfId="12398" xr:uid="{5CA58077-A261-4013-8906-31207BC79C16}"/>
    <cellStyle name="Normal 5 2 3 2 2 2 4 3" xfId="6042" xr:uid="{00000000-0005-0000-0000-000041180000}"/>
    <cellStyle name="Normal 5 2 3 2 2 2 4 3 2" xfId="14471" xr:uid="{A5704F36-8523-47A0-9CB5-AF969DECB354}"/>
    <cellStyle name="Normal 5 2 3 2 2 2 4 4" xfId="10253" xr:uid="{331C0C50-068F-4423-9260-87BB62327C9D}"/>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2 2 2" xfId="17029" xr:uid="{F35D6FF6-B7C5-450C-98D5-E782776F86DD}"/>
    <cellStyle name="Normal 5 2 3 2 2 2 5 2 3" xfId="12811" xr:uid="{098C5235-7AA1-4792-B6F3-7DC223B8FE66}"/>
    <cellStyle name="Normal 5 2 3 2 2 2 5 3" xfId="6455" xr:uid="{00000000-0005-0000-0000-000045180000}"/>
    <cellStyle name="Normal 5 2 3 2 2 2 5 3 2" xfId="14884" xr:uid="{360C3D44-68BF-42BD-98FE-8C2AD98B55A5}"/>
    <cellStyle name="Normal 5 2 3 2 2 2 5 4" xfId="10666" xr:uid="{D66FAB91-1F39-4EDA-9F80-BB8BC5955FD7}"/>
    <cellStyle name="Normal 5 2 3 2 2 2 6" xfId="2583" xr:uid="{00000000-0005-0000-0000-000046180000}"/>
    <cellStyle name="Normal 5 2 3 2 2 2 6 2" xfId="6868" xr:uid="{00000000-0005-0000-0000-000047180000}"/>
    <cellStyle name="Normal 5 2 3 2 2 2 6 2 2" xfId="15297" xr:uid="{016E9234-7F58-449D-A406-448860E65742}"/>
    <cellStyle name="Normal 5 2 3 2 2 2 6 3" xfId="11079" xr:uid="{0B176143-73C6-4C59-A6D1-E00A925C36F1}"/>
    <cellStyle name="Normal 5 2 3 2 2 2 7" xfId="4803" xr:uid="{00000000-0005-0000-0000-000048180000}"/>
    <cellStyle name="Normal 5 2 3 2 2 2 7 2" xfId="13232" xr:uid="{4F25EE03-A69F-4C43-B315-E3D14E9FAC09}"/>
    <cellStyle name="Normal 5 2 3 2 2 2 8" xfId="9014" xr:uid="{983C5BC0-5276-4BAF-8D69-88684FE84F61}"/>
    <cellStyle name="Normal 5 2 3 2 2 3" xfId="901" xr:uid="{00000000-0005-0000-0000-000049180000}"/>
    <cellStyle name="Normal 5 2 3 2 2 3 2" xfId="3136" xr:uid="{00000000-0005-0000-0000-00004A180000}"/>
    <cellStyle name="Normal 5 2 3 2 2 3 2 2" xfId="7360" xr:uid="{00000000-0005-0000-0000-00004B180000}"/>
    <cellStyle name="Normal 5 2 3 2 2 3 2 2 2" xfId="15789" xr:uid="{BE5AB8F1-A3C9-4D63-9CDF-D641888FB9B2}"/>
    <cellStyle name="Normal 5 2 3 2 2 3 2 3" xfId="11571" xr:uid="{67536914-3540-4B42-A8E0-DB83CD9631E0}"/>
    <cellStyle name="Normal 5 2 3 2 2 3 3" xfId="5215" xr:uid="{00000000-0005-0000-0000-00004C180000}"/>
    <cellStyle name="Normal 5 2 3 2 2 3 3 2" xfId="13644" xr:uid="{30608037-C858-4277-8BF1-73C71C56CED1}"/>
    <cellStyle name="Normal 5 2 3 2 2 3 4" xfId="9426" xr:uid="{D984B51F-7530-4D30-9B87-84A1483D805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2 2 2" xfId="16202" xr:uid="{E9E369D2-C44D-4C19-AF9E-2383A1C531D5}"/>
    <cellStyle name="Normal 5 2 3 2 2 4 2 3" xfId="11984" xr:uid="{451D99C8-C65F-4603-A00F-7289D835E61E}"/>
    <cellStyle name="Normal 5 2 3 2 2 4 3" xfId="5628" xr:uid="{00000000-0005-0000-0000-000050180000}"/>
    <cellStyle name="Normal 5 2 3 2 2 4 3 2" xfId="14057" xr:uid="{8AC2080C-4DCE-4CFC-AD8C-B1B5DF121751}"/>
    <cellStyle name="Normal 5 2 3 2 2 4 4" xfId="9839" xr:uid="{2463DECA-0E28-45AA-8CA5-3DF372EE528C}"/>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2 2 2" xfId="16615" xr:uid="{D15ED035-6E17-4869-8923-A30291AB49A5}"/>
    <cellStyle name="Normal 5 2 3 2 2 5 2 3" xfId="12397" xr:uid="{200243B7-421D-4F8B-AECE-EA6AE3342267}"/>
    <cellStyle name="Normal 5 2 3 2 2 5 3" xfId="6041" xr:uid="{00000000-0005-0000-0000-000054180000}"/>
    <cellStyle name="Normal 5 2 3 2 2 5 3 2" xfId="14470" xr:uid="{0A37C732-3F83-4AD6-8B7B-B4784413A2AA}"/>
    <cellStyle name="Normal 5 2 3 2 2 5 4" xfId="10252" xr:uid="{BE17C926-32B4-4493-92D9-BD7F8E08E8CD}"/>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2 2 2" xfId="17028" xr:uid="{B19C03B0-7345-4570-AF31-C618BDE19304}"/>
    <cellStyle name="Normal 5 2 3 2 2 6 2 3" xfId="12810" xr:uid="{6E0EE0B3-9CBA-4B83-A292-6C385F15DB5D}"/>
    <cellStyle name="Normal 5 2 3 2 2 6 3" xfId="6454" xr:uid="{00000000-0005-0000-0000-000058180000}"/>
    <cellStyle name="Normal 5 2 3 2 2 6 3 2" xfId="14883" xr:uid="{FE59EE3A-5B56-4E7A-AA05-71B4319055D0}"/>
    <cellStyle name="Normal 5 2 3 2 2 6 4" xfId="10665" xr:uid="{445C5178-4AC9-4B83-BDBB-39ED6D8383B4}"/>
    <cellStyle name="Normal 5 2 3 2 2 7" xfId="2582" xr:uid="{00000000-0005-0000-0000-000059180000}"/>
    <cellStyle name="Normal 5 2 3 2 2 7 2" xfId="6867" xr:uid="{00000000-0005-0000-0000-00005A180000}"/>
    <cellStyle name="Normal 5 2 3 2 2 7 2 2" xfId="15296" xr:uid="{27E5D517-2B33-42F3-ADEE-DE803158E794}"/>
    <cellStyle name="Normal 5 2 3 2 2 7 3" xfId="11078" xr:uid="{69370D94-41F6-44A0-B343-5CACBA7743BA}"/>
    <cellStyle name="Normal 5 2 3 2 2 8" xfId="4802" xr:uid="{00000000-0005-0000-0000-00005B180000}"/>
    <cellStyle name="Normal 5 2 3 2 2 8 2" xfId="13231" xr:uid="{430C1384-A2DA-4BF5-85A2-7933920B92B7}"/>
    <cellStyle name="Normal 5 2 3 2 2 9" xfId="9013" xr:uid="{86B1DFCB-17E6-4A76-80FD-3A34F6EEEA9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2 2 2" xfId="15791" xr:uid="{1FD1A9B5-512D-4100-86B7-D7DFDF6D165B}"/>
    <cellStyle name="Normal 5 2 3 2 3 2 2 3" xfId="11573" xr:uid="{8BC2E19E-DB1B-452C-8583-BA035401AD9F}"/>
    <cellStyle name="Normal 5 2 3 2 3 2 3" xfId="5217" xr:uid="{00000000-0005-0000-0000-000060180000}"/>
    <cellStyle name="Normal 5 2 3 2 3 2 3 2" xfId="13646" xr:uid="{4363FDD1-6E04-402A-93B6-E45A85444876}"/>
    <cellStyle name="Normal 5 2 3 2 3 2 4" xfId="9428" xr:uid="{B98DDF58-574C-4F14-834F-73F6D47752E8}"/>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2 2 2" xfId="16204" xr:uid="{18914944-7D28-4B02-AC4D-9E4E08AC70D9}"/>
    <cellStyle name="Normal 5 2 3 2 3 3 2 3" xfId="11986" xr:uid="{95916B77-5545-4479-811F-5DC576EB1175}"/>
    <cellStyle name="Normal 5 2 3 2 3 3 3" xfId="5630" xr:uid="{00000000-0005-0000-0000-000064180000}"/>
    <cellStyle name="Normal 5 2 3 2 3 3 3 2" xfId="14059" xr:uid="{9000A622-3FCF-46FF-B3A2-2A940638D067}"/>
    <cellStyle name="Normal 5 2 3 2 3 3 4" xfId="9841" xr:uid="{B1253947-C315-4A05-B2C6-D49943C7FB5C}"/>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2 2 2" xfId="16617" xr:uid="{24A2017F-B8CE-460A-B481-02C6303DE512}"/>
    <cellStyle name="Normal 5 2 3 2 3 4 2 3" xfId="12399" xr:uid="{25E00886-7D48-430E-A3AB-440F4535B8D8}"/>
    <cellStyle name="Normal 5 2 3 2 3 4 3" xfId="6043" xr:uid="{00000000-0005-0000-0000-000068180000}"/>
    <cellStyle name="Normal 5 2 3 2 3 4 3 2" xfId="14472" xr:uid="{A268F4C9-EF8F-4D66-A12C-6554746C11C1}"/>
    <cellStyle name="Normal 5 2 3 2 3 4 4" xfId="10254" xr:uid="{E81C158C-2E18-451A-97E6-7CAEDCFDCFB9}"/>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2 2 2" xfId="17030" xr:uid="{50F500D4-2A66-4BD9-8C13-B255CFE37167}"/>
    <cellStyle name="Normal 5 2 3 2 3 5 2 3" xfId="12812" xr:uid="{66668AB1-2E6A-4F07-9EF1-4A4C68CC7194}"/>
    <cellStyle name="Normal 5 2 3 2 3 5 3" xfId="6456" xr:uid="{00000000-0005-0000-0000-00006C180000}"/>
    <cellStyle name="Normal 5 2 3 2 3 5 3 2" xfId="14885" xr:uid="{BD5C48AB-0E91-4E98-806D-ED64F57ED881}"/>
    <cellStyle name="Normal 5 2 3 2 3 5 4" xfId="10667" xr:uid="{124254DB-85B5-4977-8A47-88637344253B}"/>
    <cellStyle name="Normal 5 2 3 2 3 6" xfId="2584" xr:uid="{00000000-0005-0000-0000-00006D180000}"/>
    <cellStyle name="Normal 5 2 3 2 3 6 2" xfId="6869" xr:uid="{00000000-0005-0000-0000-00006E180000}"/>
    <cellStyle name="Normal 5 2 3 2 3 6 2 2" xfId="15298" xr:uid="{DE1A3C1A-9914-4FA6-B670-F1A38AADA67B}"/>
    <cellStyle name="Normal 5 2 3 2 3 6 3" xfId="11080" xr:uid="{80E585B2-CCB0-4E02-A3CA-A400003893C0}"/>
    <cellStyle name="Normal 5 2 3 2 3 7" xfId="4804" xr:uid="{00000000-0005-0000-0000-00006F180000}"/>
    <cellStyle name="Normal 5 2 3 2 3 7 2" xfId="13233" xr:uid="{A5FB2771-BE5D-44AD-A2F7-9A24C662D084}"/>
    <cellStyle name="Normal 5 2 3 2 3 8" xfId="9015" xr:uid="{2D572332-798E-45B9-B699-856DF340E320}"/>
    <cellStyle name="Normal 5 2 3 2 4" xfId="900" xr:uid="{00000000-0005-0000-0000-000070180000}"/>
    <cellStyle name="Normal 5 2 3 2 4 2" xfId="3135" xr:uid="{00000000-0005-0000-0000-000071180000}"/>
    <cellStyle name="Normal 5 2 3 2 4 2 2" xfId="7359" xr:uid="{00000000-0005-0000-0000-000072180000}"/>
    <cellStyle name="Normal 5 2 3 2 4 2 2 2" xfId="15788" xr:uid="{5AEB87C9-E5CC-4942-B94E-E3C5DE3F1AAB}"/>
    <cellStyle name="Normal 5 2 3 2 4 2 3" xfId="11570" xr:uid="{DB64B75B-6AA8-4975-81A9-C24BCB5E173E}"/>
    <cellStyle name="Normal 5 2 3 2 4 3" xfId="5214" xr:uid="{00000000-0005-0000-0000-000073180000}"/>
    <cellStyle name="Normal 5 2 3 2 4 3 2" xfId="13643" xr:uid="{23B50980-06C1-44E2-B37E-68CF9B9DEDC6}"/>
    <cellStyle name="Normal 5 2 3 2 4 4" xfId="9425" xr:uid="{F9560F44-0C4D-42C8-8350-303D6D94B853}"/>
    <cellStyle name="Normal 5 2 3 2 5" xfId="1318" xr:uid="{00000000-0005-0000-0000-000074180000}"/>
    <cellStyle name="Normal 5 2 3 2 5 2" xfId="3548" xr:uid="{00000000-0005-0000-0000-000075180000}"/>
    <cellStyle name="Normal 5 2 3 2 5 2 2" xfId="7772" xr:uid="{00000000-0005-0000-0000-000076180000}"/>
    <cellStyle name="Normal 5 2 3 2 5 2 2 2" xfId="16201" xr:uid="{393DACFD-8EDD-459F-8161-B471823695EC}"/>
    <cellStyle name="Normal 5 2 3 2 5 2 3" xfId="11983" xr:uid="{3DF9AC62-05B9-4BFD-A75C-18022E49E665}"/>
    <cellStyle name="Normal 5 2 3 2 5 3" xfId="5627" xr:uid="{00000000-0005-0000-0000-000077180000}"/>
    <cellStyle name="Normal 5 2 3 2 5 3 2" xfId="14056" xr:uid="{CE72A6F5-F57C-4885-AEE1-90E0089B5C10}"/>
    <cellStyle name="Normal 5 2 3 2 5 4" xfId="9838" xr:uid="{57C04EBF-12DC-40A6-9B96-1EAE2DE7EFDC}"/>
    <cellStyle name="Normal 5 2 3 2 6" xfId="1731" xr:uid="{00000000-0005-0000-0000-000078180000}"/>
    <cellStyle name="Normal 5 2 3 2 6 2" xfId="3961" xr:uid="{00000000-0005-0000-0000-000079180000}"/>
    <cellStyle name="Normal 5 2 3 2 6 2 2" xfId="8185" xr:uid="{00000000-0005-0000-0000-00007A180000}"/>
    <cellStyle name="Normal 5 2 3 2 6 2 2 2" xfId="16614" xr:uid="{0EFC5261-CAB9-44D9-956B-FDCB3C27D256}"/>
    <cellStyle name="Normal 5 2 3 2 6 2 3" xfId="12396" xr:uid="{052456B1-C063-498C-A784-9C377E8E7FFE}"/>
    <cellStyle name="Normal 5 2 3 2 6 3" xfId="6040" xr:uid="{00000000-0005-0000-0000-00007B180000}"/>
    <cellStyle name="Normal 5 2 3 2 6 3 2" xfId="14469" xr:uid="{B4A2602B-6FE2-4FDF-AEA4-5F1C1CA82F22}"/>
    <cellStyle name="Normal 5 2 3 2 6 4" xfId="10251" xr:uid="{50718242-12FE-4732-A948-877A32060EF6}"/>
    <cellStyle name="Normal 5 2 3 2 7" xfId="2145" xr:uid="{00000000-0005-0000-0000-00007C180000}"/>
    <cellStyle name="Normal 5 2 3 2 7 2" xfId="4374" xr:uid="{00000000-0005-0000-0000-00007D180000}"/>
    <cellStyle name="Normal 5 2 3 2 7 2 2" xfId="8598" xr:uid="{00000000-0005-0000-0000-00007E180000}"/>
    <cellStyle name="Normal 5 2 3 2 7 2 2 2" xfId="17027" xr:uid="{E4F45E91-2196-415B-A638-1CBDBB8A80C2}"/>
    <cellStyle name="Normal 5 2 3 2 7 2 3" xfId="12809" xr:uid="{B8A4ED68-522D-4439-8FD8-E01F0534AA5B}"/>
    <cellStyle name="Normal 5 2 3 2 7 3" xfId="6453" xr:uid="{00000000-0005-0000-0000-00007F180000}"/>
    <cellStyle name="Normal 5 2 3 2 7 3 2" xfId="14882" xr:uid="{958166C5-CEEE-4734-90B2-21B4734EB35D}"/>
    <cellStyle name="Normal 5 2 3 2 7 4" xfId="10664" xr:uid="{7424E100-7532-4946-9B9E-B4BCE9D389A8}"/>
    <cellStyle name="Normal 5 2 3 2 8" xfId="2581" xr:uid="{00000000-0005-0000-0000-000080180000}"/>
    <cellStyle name="Normal 5 2 3 2 8 2" xfId="6866" xr:uid="{00000000-0005-0000-0000-000081180000}"/>
    <cellStyle name="Normal 5 2 3 2 8 2 2" xfId="15295" xr:uid="{E4000152-E050-49FB-BD59-4A6212566C0F}"/>
    <cellStyle name="Normal 5 2 3 2 8 3" xfId="11077" xr:uid="{5D8FBBBA-C25A-4388-B168-9A4B28C10521}"/>
    <cellStyle name="Normal 5 2 3 2 9" xfId="4801" xr:uid="{00000000-0005-0000-0000-000082180000}"/>
    <cellStyle name="Normal 5 2 3 2 9 2" xfId="13230" xr:uid="{12D2DA92-9331-40C6-B3B8-471700C67665}"/>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2 2 2" xfId="15793" xr:uid="{1AEA9989-4B9D-4651-B044-D6FE82F4F955}"/>
    <cellStyle name="Normal 5 2 3 3 2 2 2 3" xfId="11575" xr:uid="{42E111D5-A4D2-4FFF-A3AF-43165644A2BA}"/>
    <cellStyle name="Normal 5 2 3 3 2 2 3" xfId="5219" xr:uid="{00000000-0005-0000-0000-000088180000}"/>
    <cellStyle name="Normal 5 2 3 3 2 2 3 2" xfId="13648" xr:uid="{E3CC91D6-AB9D-4B7C-A483-2AD889A2885D}"/>
    <cellStyle name="Normal 5 2 3 3 2 2 4" xfId="9430" xr:uid="{A865FAD0-1126-42F6-8DB0-04005E7326AE}"/>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2 2 2" xfId="16206" xr:uid="{B390EE58-421E-4210-8427-4580162F2AE7}"/>
    <cellStyle name="Normal 5 2 3 3 2 3 2 3" xfId="11988" xr:uid="{663909E4-D677-48AB-94E0-74CB167304E7}"/>
    <cellStyle name="Normal 5 2 3 3 2 3 3" xfId="5632" xr:uid="{00000000-0005-0000-0000-00008C180000}"/>
    <cellStyle name="Normal 5 2 3 3 2 3 3 2" xfId="14061" xr:uid="{B242349D-ADDF-4914-A870-713C1F80C94E}"/>
    <cellStyle name="Normal 5 2 3 3 2 3 4" xfId="9843" xr:uid="{2FD7AC4C-97F9-4974-BD73-A1964C930801}"/>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2 2 2" xfId="16619" xr:uid="{5E2DFEE3-212C-439B-B495-F6C1C354ABAB}"/>
    <cellStyle name="Normal 5 2 3 3 2 4 2 3" xfId="12401" xr:uid="{F232274F-D181-413A-B54C-522220042DDF}"/>
    <cellStyle name="Normal 5 2 3 3 2 4 3" xfId="6045" xr:uid="{00000000-0005-0000-0000-000090180000}"/>
    <cellStyle name="Normal 5 2 3 3 2 4 3 2" xfId="14474" xr:uid="{DFE38A23-1562-4D41-8D8B-9D39F777A862}"/>
    <cellStyle name="Normal 5 2 3 3 2 4 4" xfId="10256" xr:uid="{422F1359-B3E8-4E4C-A8F2-10F110945637}"/>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2 2 2" xfId="17032" xr:uid="{3CE062EE-6F75-4350-8B5A-A98972A3844B}"/>
    <cellStyle name="Normal 5 2 3 3 2 5 2 3" xfId="12814" xr:uid="{F8F55800-C5C6-4F9B-9D35-3499DF9CFD40}"/>
    <cellStyle name="Normal 5 2 3 3 2 5 3" xfId="6458" xr:uid="{00000000-0005-0000-0000-000094180000}"/>
    <cellStyle name="Normal 5 2 3 3 2 5 3 2" xfId="14887" xr:uid="{2FF975DA-EE3C-47DE-A546-40CCD8F9FD48}"/>
    <cellStyle name="Normal 5 2 3 3 2 5 4" xfId="10669" xr:uid="{BF716B90-FC7D-406F-B261-7FDEDB3E8EEF}"/>
    <cellStyle name="Normal 5 2 3 3 2 6" xfId="2586" xr:uid="{00000000-0005-0000-0000-000095180000}"/>
    <cellStyle name="Normal 5 2 3 3 2 6 2" xfId="6871" xr:uid="{00000000-0005-0000-0000-000096180000}"/>
    <cellStyle name="Normal 5 2 3 3 2 6 2 2" xfId="15300" xr:uid="{A39F04D1-449C-4154-8A7F-F51D2428EBE9}"/>
    <cellStyle name="Normal 5 2 3 3 2 6 3" xfId="11082" xr:uid="{E02798D2-E3AB-4AE5-B3CB-3A4F2C7448F2}"/>
    <cellStyle name="Normal 5 2 3 3 2 7" xfId="4806" xr:uid="{00000000-0005-0000-0000-000097180000}"/>
    <cellStyle name="Normal 5 2 3 3 2 7 2" xfId="13235" xr:uid="{8F8FF0F8-1A15-4F4C-980E-93B7545A45D4}"/>
    <cellStyle name="Normal 5 2 3 3 2 8" xfId="9017" xr:uid="{3FCAD53D-D432-4AD2-AC78-F94BF18E2A85}"/>
    <cellStyle name="Normal 5 2 3 3 3" xfId="904" xr:uid="{00000000-0005-0000-0000-000098180000}"/>
    <cellStyle name="Normal 5 2 3 3 3 2" xfId="3139" xr:uid="{00000000-0005-0000-0000-000099180000}"/>
    <cellStyle name="Normal 5 2 3 3 3 2 2" xfId="7363" xr:uid="{00000000-0005-0000-0000-00009A180000}"/>
    <cellStyle name="Normal 5 2 3 3 3 2 2 2" xfId="15792" xr:uid="{008A06E7-AD58-41BD-809D-1D4D2A89320C}"/>
    <cellStyle name="Normal 5 2 3 3 3 2 3" xfId="11574" xr:uid="{31006E2A-03B9-467A-96D9-D41EA89A273C}"/>
    <cellStyle name="Normal 5 2 3 3 3 3" xfId="5218" xr:uid="{00000000-0005-0000-0000-00009B180000}"/>
    <cellStyle name="Normal 5 2 3 3 3 3 2" xfId="13647" xr:uid="{CECC6CF7-A95A-430F-938A-5B425207225E}"/>
    <cellStyle name="Normal 5 2 3 3 3 4" xfId="9429" xr:uid="{D50793B4-7DDF-4BF2-94BB-E52CE57AB7C9}"/>
    <cellStyle name="Normal 5 2 3 3 4" xfId="1322" xr:uid="{00000000-0005-0000-0000-00009C180000}"/>
    <cellStyle name="Normal 5 2 3 3 4 2" xfId="3552" xr:uid="{00000000-0005-0000-0000-00009D180000}"/>
    <cellStyle name="Normal 5 2 3 3 4 2 2" xfId="7776" xr:uid="{00000000-0005-0000-0000-00009E180000}"/>
    <cellStyle name="Normal 5 2 3 3 4 2 2 2" xfId="16205" xr:uid="{DBF6AE34-9D21-4436-A2EB-9203BDA76EED}"/>
    <cellStyle name="Normal 5 2 3 3 4 2 3" xfId="11987" xr:uid="{AC5F1A1D-D19F-4B8C-B3E8-EF001D2105C8}"/>
    <cellStyle name="Normal 5 2 3 3 4 3" xfId="5631" xr:uid="{00000000-0005-0000-0000-00009F180000}"/>
    <cellStyle name="Normal 5 2 3 3 4 3 2" xfId="14060" xr:uid="{ABD593D4-FF0E-4A23-89A3-82F0067BCB9C}"/>
    <cellStyle name="Normal 5 2 3 3 4 4" xfId="9842" xr:uid="{BE143691-5313-42C7-A505-BD8A13A4FFBB}"/>
    <cellStyle name="Normal 5 2 3 3 5" xfId="1735" xr:uid="{00000000-0005-0000-0000-0000A0180000}"/>
    <cellStyle name="Normal 5 2 3 3 5 2" xfId="3965" xr:uid="{00000000-0005-0000-0000-0000A1180000}"/>
    <cellStyle name="Normal 5 2 3 3 5 2 2" xfId="8189" xr:uid="{00000000-0005-0000-0000-0000A2180000}"/>
    <cellStyle name="Normal 5 2 3 3 5 2 2 2" xfId="16618" xr:uid="{6D7C2B57-6F68-45C3-8867-A3F3065F3318}"/>
    <cellStyle name="Normal 5 2 3 3 5 2 3" xfId="12400" xr:uid="{6150414D-5D59-4F71-9D0D-DC75715FCCBC}"/>
    <cellStyle name="Normal 5 2 3 3 5 3" xfId="6044" xr:uid="{00000000-0005-0000-0000-0000A3180000}"/>
    <cellStyle name="Normal 5 2 3 3 5 3 2" xfId="14473" xr:uid="{E293B3C3-7139-4F73-B2DC-C1892EC82A8D}"/>
    <cellStyle name="Normal 5 2 3 3 5 4" xfId="10255" xr:uid="{F5478E94-FDAE-4CF3-9423-1E7EE8B396EC}"/>
    <cellStyle name="Normal 5 2 3 3 6" xfId="2149" xr:uid="{00000000-0005-0000-0000-0000A4180000}"/>
    <cellStyle name="Normal 5 2 3 3 6 2" xfId="4378" xr:uid="{00000000-0005-0000-0000-0000A5180000}"/>
    <cellStyle name="Normal 5 2 3 3 6 2 2" xfId="8602" xr:uid="{00000000-0005-0000-0000-0000A6180000}"/>
    <cellStyle name="Normal 5 2 3 3 6 2 2 2" xfId="17031" xr:uid="{4CB80204-6E81-4106-A32B-57E1C8E1ED96}"/>
    <cellStyle name="Normal 5 2 3 3 6 2 3" xfId="12813" xr:uid="{4F6EE6B3-AF4F-492E-BE1B-9C07F158686B}"/>
    <cellStyle name="Normal 5 2 3 3 6 3" xfId="6457" xr:uid="{00000000-0005-0000-0000-0000A7180000}"/>
    <cellStyle name="Normal 5 2 3 3 6 3 2" xfId="14886" xr:uid="{99055EA9-73CE-4489-A4BE-D3BF362C0BE0}"/>
    <cellStyle name="Normal 5 2 3 3 6 4" xfId="10668" xr:uid="{FFD373C4-C736-462B-9497-42A51A00ADD5}"/>
    <cellStyle name="Normal 5 2 3 3 7" xfId="2585" xr:uid="{00000000-0005-0000-0000-0000A8180000}"/>
    <cellStyle name="Normal 5 2 3 3 7 2" xfId="6870" xr:uid="{00000000-0005-0000-0000-0000A9180000}"/>
    <cellStyle name="Normal 5 2 3 3 7 2 2" xfId="15299" xr:uid="{7E2BD72A-2244-4822-BE91-57B6297B7F0C}"/>
    <cellStyle name="Normal 5 2 3 3 7 3" xfId="11081" xr:uid="{2CDF2AE1-33C0-43A2-A33A-583016F3CE58}"/>
    <cellStyle name="Normal 5 2 3 3 8" xfId="4805" xr:uid="{00000000-0005-0000-0000-0000AA180000}"/>
    <cellStyle name="Normal 5 2 3 3 8 2" xfId="13234" xr:uid="{1C24B2FE-82D0-4FA9-98F6-EC4CC5301E32}"/>
    <cellStyle name="Normal 5 2 3 3 9" xfId="9016" xr:uid="{9B6F9A73-A0BA-4013-8BD9-3C5E764DFE58}"/>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2 2 2" xfId="15794" xr:uid="{B059BEB7-DA74-480F-AE14-D932B376111E}"/>
    <cellStyle name="Normal 5 2 3 4 2 2 3" xfId="11576" xr:uid="{50C69A4A-6249-4FA8-8F6F-7AB7C82793EA}"/>
    <cellStyle name="Normal 5 2 3 4 2 3" xfId="5220" xr:uid="{00000000-0005-0000-0000-0000AF180000}"/>
    <cellStyle name="Normal 5 2 3 4 2 3 2" xfId="13649" xr:uid="{B8FF1200-3C2B-49EA-B85C-C415636FDCDB}"/>
    <cellStyle name="Normal 5 2 3 4 2 4" xfId="9431" xr:uid="{FDD6BD2E-C5A0-489A-9A3F-EA235D961357}"/>
    <cellStyle name="Normal 5 2 3 4 3" xfId="1324" xr:uid="{00000000-0005-0000-0000-0000B0180000}"/>
    <cellStyle name="Normal 5 2 3 4 3 2" xfId="3554" xr:uid="{00000000-0005-0000-0000-0000B1180000}"/>
    <cellStyle name="Normal 5 2 3 4 3 2 2" xfId="7778" xr:uid="{00000000-0005-0000-0000-0000B2180000}"/>
    <cellStyle name="Normal 5 2 3 4 3 2 2 2" xfId="16207" xr:uid="{3C53D355-A49B-45C9-AE17-F950691D6EBB}"/>
    <cellStyle name="Normal 5 2 3 4 3 2 3" xfId="11989" xr:uid="{68843C66-0BAD-41F7-BB00-AF715BD420EB}"/>
    <cellStyle name="Normal 5 2 3 4 3 3" xfId="5633" xr:uid="{00000000-0005-0000-0000-0000B3180000}"/>
    <cellStyle name="Normal 5 2 3 4 3 3 2" xfId="14062" xr:uid="{ED8DB307-A461-4142-B7E9-3B584E60E74B}"/>
    <cellStyle name="Normal 5 2 3 4 3 4" xfId="9844" xr:uid="{19D8C14B-2A01-4C77-9B2B-5575C82F133D}"/>
    <cellStyle name="Normal 5 2 3 4 4" xfId="1737" xr:uid="{00000000-0005-0000-0000-0000B4180000}"/>
    <cellStyle name="Normal 5 2 3 4 4 2" xfId="3967" xr:uid="{00000000-0005-0000-0000-0000B5180000}"/>
    <cellStyle name="Normal 5 2 3 4 4 2 2" xfId="8191" xr:uid="{00000000-0005-0000-0000-0000B6180000}"/>
    <cellStyle name="Normal 5 2 3 4 4 2 2 2" xfId="16620" xr:uid="{68EDF3F3-05B1-4B87-BAAE-8A27B6ED9028}"/>
    <cellStyle name="Normal 5 2 3 4 4 2 3" xfId="12402" xr:uid="{3A4B12ED-703A-40A9-8548-99DA73A8C59E}"/>
    <cellStyle name="Normal 5 2 3 4 4 3" xfId="6046" xr:uid="{00000000-0005-0000-0000-0000B7180000}"/>
    <cellStyle name="Normal 5 2 3 4 4 3 2" xfId="14475" xr:uid="{5E2C2F3F-DB48-447F-AD46-80C063F73206}"/>
    <cellStyle name="Normal 5 2 3 4 4 4" xfId="10257" xr:uid="{0B736EF9-4E27-4B05-92B5-561B83A4511F}"/>
    <cellStyle name="Normal 5 2 3 4 5" xfId="2151" xr:uid="{00000000-0005-0000-0000-0000B8180000}"/>
    <cellStyle name="Normal 5 2 3 4 5 2" xfId="4380" xr:uid="{00000000-0005-0000-0000-0000B9180000}"/>
    <cellStyle name="Normal 5 2 3 4 5 2 2" xfId="8604" xr:uid="{00000000-0005-0000-0000-0000BA180000}"/>
    <cellStyle name="Normal 5 2 3 4 5 2 2 2" xfId="17033" xr:uid="{F4477684-4F83-4230-8EBA-935BF121BA2C}"/>
    <cellStyle name="Normal 5 2 3 4 5 2 3" xfId="12815" xr:uid="{B36178F0-3892-409D-9704-308ADE321280}"/>
    <cellStyle name="Normal 5 2 3 4 5 3" xfId="6459" xr:uid="{00000000-0005-0000-0000-0000BB180000}"/>
    <cellStyle name="Normal 5 2 3 4 5 3 2" xfId="14888" xr:uid="{496BDF5C-EF67-4872-BB13-2DDFA5A8B5C1}"/>
    <cellStyle name="Normal 5 2 3 4 5 4" xfId="10670" xr:uid="{C8CDB310-F018-4923-9C70-17E17ED14C0A}"/>
    <cellStyle name="Normal 5 2 3 4 6" xfId="2587" xr:uid="{00000000-0005-0000-0000-0000BC180000}"/>
    <cellStyle name="Normal 5 2 3 4 6 2" xfId="6872" xr:uid="{00000000-0005-0000-0000-0000BD180000}"/>
    <cellStyle name="Normal 5 2 3 4 6 2 2" xfId="15301" xr:uid="{D17287E0-3A3F-43AC-932F-C0450C719F99}"/>
    <cellStyle name="Normal 5 2 3 4 6 3" xfId="11083" xr:uid="{5C1B8322-B55A-428D-873E-CFE9E5A80405}"/>
    <cellStyle name="Normal 5 2 3 4 7" xfId="4807" xr:uid="{00000000-0005-0000-0000-0000BE180000}"/>
    <cellStyle name="Normal 5 2 3 4 7 2" xfId="13236" xr:uid="{5587FDC7-90F7-4379-9530-A9C06856B564}"/>
    <cellStyle name="Normal 5 2 3 4 8" xfId="9018" xr:uid="{1E06BA11-DF29-4057-BDE8-B36AD77AA3F3}"/>
    <cellStyle name="Normal 5 2 3 5" xfId="899" xr:uid="{00000000-0005-0000-0000-0000BF180000}"/>
    <cellStyle name="Normal 5 2 3 5 2" xfId="3134" xr:uid="{00000000-0005-0000-0000-0000C0180000}"/>
    <cellStyle name="Normal 5 2 3 5 2 2" xfId="7358" xr:uid="{00000000-0005-0000-0000-0000C1180000}"/>
    <cellStyle name="Normal 5 2 3 5 2 2 2" xfId="15787" xr:uid="{11B154B0-35D0-4C18-BE63-B8F70115062B}"/>
    <cellStyle name="Normal 5 2 3 5 2 3" xfId="11569" xr:uid="{27E2C19C-701E-4258-817B-44A7F2D40D7A}"/>
    <cellStyle name="Normal 5 2 3 5 3" xfId="5213" xr:uid="{00000000-0005-0000-0000-0000C2180000}"/>
    <cellStyle name="Normal 5 2 3 5 3 2" xfId="13642" xr:uid="{F065EA99-82C6-4CFE-A7C4-BA7AE3C9DAAC}"/>
    <cellStyle name="Normal 5 2 3 5 4" xfId="9424" xr:uid="{6579CDA2-E927-4ADD-ABE4-F083B5F453AD}"/>
    <cellStyle name="Normal 5 2 3 6" xfId="1317" xr:uid="{00000000-0005-0000-0000-0000C3180000}"/>
    <cellStyle name="Normal 5 2 3 6 2" xfId="3547" xr:uid="{00000000-0005-0000-0000-0000C4180000}"/>
    <cellStyle name="Normal 5 2 3 6 2 2" xfId="7771" xr:uid="{00000000-0005-0000-0000-0000C5180000}"/>
    <cellStyle name="Normal 5 2 3 6 2 2 2" xfId="16200" xr:uid="{413C2066-3B41-459C-8766-9CC2E3B1A40E}"/>
    <cellStyle name="Normal 5 2 3 6 2 3" xfId="11982" xr:uid="{DAE50719-BD42-4B4C-AC45-306E02E64870}"/>
    <cellStyle name="Normal 5 2 3 6 3" xfId="5626" xr:uid="{00000000-0005-0000-0000-0000C6180000}"/>
    <cellStyle name="Normal 5 2 3 6 3 2" xfId="14055" xr:uid="{B561C5C9-CDF3-44BE-9DF1-B2C3698C241F}"/>
    <cellStyle name="Normal 5 2 3 6 4" xfId="9837" xr:uid="{6ECE02BC-C511-4A9F-B09F-2A7C88C9EDFE}"/>
    <cellStyle name="Normal 5 2 3 7" xfId="1730" xr:uid="{00000000-0005-0000-0000-0000C7180000}"/>
    <cellStyle name="Normal 5 2 3 7 2" xfId="3960" xr:uid="{00000000-0005-0000-0000-0000C8180000}"/>
    <cellStyle name="Normal 5 2 3 7 2 2" xfId="8184" xr:uid="{00000000-0005-0000-0000-0000C9180000}"/>
    <cellStyle name="Normal 5 2 3 7 2 2 2" xfId="16613" xr:uid="{73EB05EA-5655-400E-AA36-94395D360576}"/>
    <cellStyle name="Normal 5 2 3 7 2 3" xfId="12395" xr:uid="{6C6E1537-7925-4D0E-AB72-4F28F5E4F486}"/>
    <cellStyle name="Normal 5 2 3 7 3" xfId="6039" xr:uid="{00000000-0005-0000-0000-0000CA180000}"/>
    <cellStyle name="Normal 5 2 3 7 3 2" xfId="14468" xr:uid="{536F3E65-2A59-4952-A0BC-B5C469D661EF}"/>
    <cellStyle name="Normal 5 2 3 7 4" xfId="10250" xr:uid="{4A988859-E4C2-48E7-8C32-833D5B7FD549}"/>
    <cellStyle name="Normal 5 2 3 8" xfId="2144" xr:uid="{00000000-0005-0000-0000-0000CB180000}"/>
    <cellStyle name="Normal 5 2 3 8 2" xfId="4373" xr:uid="{00000000-0005-0000-0000-0000CC180000}"/>
    <cellStyle name="Normal 5 2 3 8 2 2" xfId="8597" xr:uid="{00000000-0005-0000-0000-0000CD180000}"/>
    <cellStyle name="Normal 5 2 3 8 2 2 2" xfId="17026" xr:uid="{D0C2C339-C283-4B5F-848A-0ECB328E4811}"/>
    <cellStyle name="Normal 5 2 3 8 2 3" xfId="12808" xr:uid="{2E54E439-0C4E-431D-BC9D-6B9ADD86A947}"/>
    <cellStyle name="Normal 5 2 3 8 3" xfId="6452" xr:uid="{00000000-0005-0000-0000-0000CE180000}"/>
    <cellStyle name="Normal 5 2 3 8 3 2" xfId="14881" xr:uid="{6395FA26-69ED-494B-95CB-13DFC2074A49}"/>
    <cellStyle name="Normal 5 2 3 8 4" xfId="10663" xr:uid="{764D194D-9E16-4948-8FBE-E9765168044A}"/>
    <cellStyle name="Normal 5 2 3 9" xfId="2580" xr:uid="{00000000-0005-0000-0000-0000CF180000}"/>
    <cellStyle name="Normal 5 2 3 9 2" xfId="6865" xr:uid="{00000000-0005-0000-0000-0000D0180000}"/>
    <cellStyle name="Normal 5 2 3 9 2 2" xfId="15294" xr:uid="{DB5C2897-4A50-4F02-BFCA-0460800B12E6}"/>
    <cellStyle name="Normal 5 2 3 9 3" xfId="11076" xr:uid="{037C374F-ADE3-455C-94F8-9BF082AEC968}"/>
    <cellStyle name="Normal 5 2 4" xfId="432" xr:uid="{00000000-0005-0000-0000-0000D1180000}"/>
    <cellStyle name="Normal 5 2 4 10" xfId="9019" xr:uid="{BD93D99E-2C42-4162-A153-F1FA7E3028FB}"/>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2 2 2" xfId="15797" xr:uid="{96915ADA-E6CA-4290-A3B6-1FA46CDB558F}"/>
    <cellStyle name="Normal 5 2 4 2 2 2 2 3" xfId="11579" xr:uid="{7D3DE4A2-24D7-4F5F-8A13-AF9ADD519BC9}"/>
    <cellStyle name="Normal 5 2 4 2 2 2 3" xfId="5223" xr:uid="{00000000-0005-0000-0000-0000D7180000}"/>
    <cellStyle name="Normal 5 2 4 2 2 2 3 2" xfId="13652" xr:uid="{83BFBBD6-CE0B-489D-A65B-273F8E294B14}"/>
    <cellStyle name="Normal 5 2 4 2 2 2 4" xfId="9434" xr:uid="{88C77FF6-49CB-4BA3-ACBA-B5126BC7DEFB}"/>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2 2 2" xfId="16210" xr:uid="{C2B5802F-BC52-4ADA-A33B-0C21D9839508}"/>
    <cellStyle name="Normal 5 2 4 2 2 3 2 3" xfId="11992" xr:uid="{AF8D0FB6-84FB-46E7-A097-5100F138A677}"/>
    <cellStyle name="Normal 5 2 4 2 2 3 3" xfId="5636" xr:uid="{00000000-0005-0000-0000-0000DB180000}"/>
    <cellStyle name="Normal 5 2 4 2 2 3 3 2" xfId="14065" xr:uid="{2C12A4D2-8D43-4755-8D8A-4641BF2807F1}"/>
    <cellStyle name="Normal 5 2 4 2 2 3 4" xfId="9847" xr:uid="{7662EF62-BEEE-47EE-8169-5EF5F4C09249}"/>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2 2 2" xfId="16623" xr:uid="{F15F0F51-E335-4C66-B45D-6A51FC45B4DF}"/>
    <cellStyle name="Normal 5 2 4 2 2 4 2 3" xfId="12405" xr:uid="{7FF9CBD0-8725-4941-8F5D-4A98B90DAE9A}"/>
    <cellStyle name="Normal 5 2 4 2 2 4 3" xfId="6049" xr:uid="{00000000-0005-0000-0000-0000DF180000}"/>
    <cellStyle name="Normal 5 2 4 2 2 4 3 2" xfId="14478" xr:uid="{C45E7D59-8125-4A8F-828C-72DD3BF14A03}"/>
    <cellStyle name="Normal 5 2 4 2 2 4 4" xfId="10260" xr:uid="{9D36D175-0A5C-4A37-A59B-665E2B05CF58}"/>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2 2 2" xfId="17036" xr:uid="{3D676A37-2F05-447B-A59E-C2E9F3B8FC99}"/>
    <cellStyle name="Normal 5 2 4 2 2 5 2 3" xfId="12818" xr:uid="{BB0E5F73-789B-436C-9A67-6C490E66DF92}"/>
    <cellStyle name="Normal 5 2 4 2 2 5 3" xfId="6462" xr:uid="{00000000-0005-0000-0000-0000E3180000}"/>
    <cellStyle name="Normal 5 2 4 2 2 5 3 2" xfId="14891" xr:uid="{35BB0492-313A-4B1D-811F-BE4AB787324E}"/>
    <cellStyle name="Normal 5 2 4 2 2 5 4" xfId="10673" xr:uid="{EBA242DA-90F0-487A-B4C4-D4287B483803}"/>
    <cellStyle name="Normal 5 2 4 2 2 6" xfId="2590" xr:uid="{00000000-0005-0000-0000-0000E4180000}"/>
    <cellStyle name="Normal 5 2 4 2 2 6 2" xfId="6875" xr:uid="{00000000-0005-0000-0000-0000E5180000}"/>
    <cellStyle name="Normal 5 2 4 2 2 6 2 2" xfId="15304" xr:uid="{90EDF2F8-C2CC-4E0D-9496-2BB578FBDE74}"/>
    <cellStyle name="Normal 5 2 4 2 2 6 3" xfId="11086" xr:uid="{BECF6436-F5F8-403F-B9AC-086F14AF2D44}"/>
    <cellStyle name="Normal 5 2 4 2 2 7" xfId="4810" xr:uid="{00000000-0005-0000-0000-0000E6180000}"/>
    <cellStyle name="Normal 5 2 4 2 2 7 2" xfId="13239" xr:uid="{7C236246-7B04-430D-9938-84AE78D72409}"/>
    <cellStyle name="Normal 5 2 4 2 2 8" xfId="9021" xr:uid="{A027F984-0EAE-43FC-A693-3FE65A7565F6}"/>
    <cellStyle name="Normal 5 2 4 2 3" xfId="908" xr:uid="{00000000-0005-0000-0000-0000E7180000}"/>
    <cellStyle name="Normal 5 2 4 2 3 2" xfId="3143" xr:uid="{00000000-0005-0000-0000-0000E8180000}"/>
    <cellStyle name="Normal 5 2 4 2 3 2 2" xfId="7367" xr:uid="{00000000-0005-0000-0000-0000E9180000}"/>
    <cellStyle name="Normal 5 2 4 2 3 2 2 2" xfId="15796" xr:uid="{8993B25C-F8B1-4F77-A426-4F3A2B84C147}"/>
    <cellStyle name="Normal 5 2 4 2 3 2 3" xfId="11578" xr:uid="{355CE499-4C93-4DE5-8A7B-5381D9AA1507}"/>
    <cellStyle name="Normal 5 2 4 2 3 3" xfId="5222" xr:uid="{00000000-0005-0000-0000-0000EA180000}"/>
    <cellStyle name="Normal 5 2 4 2 3 3 2" xfId="13651" xr:uid="{4C075B2D-3E95-4933-A938-3EE9B0937F09}"/>
    <cellStyle name="Normal 5 2 4 2 3 4" xfId="9433" xr:uid="{54EB9431-3591-4633-8D71-99AEAF002AEF}"/>
    <cellStyle name="Normal 5 2 4 2 4" xfId="1326" xr:uid="{00000000-0005-0000-0000-0000EB180000}"/>
    <cellStyle name="Normal 5 2 4 2 4 2" xfId="3556" xr:uid="{00000000-0005-0000-0000-0000EC180000}"/>
    <cellStyle name="Normal 5 2 4 2 4 2 2" xfId="7780" xr:uid="{00000000-0005-0000-0000-0000ED180000}"/>
    <cellStyle name="Normal 5 2 4 2 4 2 2 2" xfId="16209" xr:uid="{F94F03B9-9924-40AA-9487-D5DD255854FB}"/>
    <cellStyle name="Normal 5 2 4 2 4 2 3" xfId="11991" xr:uid="{E7552CDB-AF4E-4DF2-8E63-62072540A767}"/>
    <cellStyle name="Normal 5 2 4 2 4 3" xfId="5635" xr:uid="{00000000-0005-0000-0000-0000EE180000}"/>
    <cellStyle name="Normal 5 2 4 2 4 3 2" xfId="14064" xr:uid="{8D70AE91-E706-4D45-9F1B-A11FDCB11715}"/>
    <cellStyle name="Normal 5 2 4 2 4 4" xfId="9846" xr:uid="{DECA2E68-3154-4A7C-A56F-3CB917682267}"/>
    <cellStyle name="Normal 5 2 4 2 5" xfId="1739" xr:uid="{00000000-0005-0000-0000-0000EF180000}"/>
    <cellStyle name="Normal 5 2 4 2 5 2" xfId="3969" xr:uid="{00000000-0005-0000-0000-0000F0180000}"/>
    <cellStyle name="Normal 5 2 4 2 5 2 2" xfId="8193" xr:uid="{00000000-0005-0000-0000-0000F1180000}"/>
    <cellStyle name="Normal 5 2 4 2 5 2 2 2" xfId="16622" xr:uid="{A0ABEC97-A9AA-45FB-A455-4723F32EABE9}"/>
    <cellStyle name="Normal 5 2 4 2 5 2 3" xfId="12404" xr:uid="{3C38EC70-595D-4B52-AEE9-2EAD18C24830}"/>
    <cellStyle name="Normal 5 2 4 2 5 3" xfId="6048" xr:uid="{00000000-0005-0000-0000-0000F2180000}"/>
    <cellStyle name="Normal 5 2 4 2 5 3 2" xfId="14477" xr:uid="{D1E99363-25E1-4E0D-9634-5FC85795798F}"/>
    <cellStyle name="Normal 5 2 4 2 5 4" xfId="10259" xr:uid="{ECADE37F-517B-424F-9690-70FE1EF9AEF0}"/>
    <cellStyle name="Normal 5 2 4 2 6" xfId="2153" xr:uid="{00000000-0005-0000-0000-0000F3180000}"/>
    <cellStyle name="Normal 5 2 4 2 6 2" xfId="4382" xr:uid="{00000000-0005-0000-0000-0000F4180000}"/>
    <cellStyle name="Normal 5 2 4 2 6 2 2" xfId="8606" xr:uid="{00000000-0005-0000-0000-0000F5180000}"/>
    <cellStyle name="Normal 5 2 4 2 6 2 2 2" xfId="17035" xr:uid="{AA13567F-51A4-4A82-A30D-80297A47D7D2}"/>
    <cellStyle name="Normal 5 2 4 2 6 2 3" xfId="12817" xr:uid="{38DA55C3-D42E-4306-A1EA-3DCB55A60871}"/>
    <cellStyle name="Normal 5 2 4 2 6 3" xfId="6461" xr:uid="{00000000-0005-0000-0000-0000F6180000}"/>
    <cellStyle name="Normal 5 2 4 2 6 3 2" xfId="14890" xr:uid="{D4EA6544-550A-4786-A147-6308134506F5}"/>
    <cellStyle name="Normal 5 2 4 2 6 4" xfId="10672" xr:uid="{5501958D-4BFC-472B-95B9-7DD43A3C3390}"/>
    <cellStyle name="Normal 5 2 4 2 7" xfId="2589" xr:uid="{00000000-0005-0000-0000-0000F7180000}"/>
    <cellStyle name="Normal 5 2 4 2 7 2" xfId="6874" xr:uid="{00000000-0005-0000-0000-0000F8180000}"/>
    <cellStyle name="Normal 5 2 4 2 7 2 2" xfId="15303" xr:uid="{2ECE1F9F-9232-4720-AAA2-6DA14260F0F0}"/>
    <cellStyle name="Normal 5 2 4 2 7 3" xfId="11085" xr:uid="{5D973318-B0AC-4B46-8913-202BC10C4784}"/>
    <cellStyle name="Normal 5 2 4 2 8" xfId="4809" xr:uid="{00000000-0005-0000-0000-0000F9180000}"/>
    <cellStyle name="Normal 5 2 4 2 8 2" xfId="13238" xr:uid="{A25113E2-12D2-43C4-8168-7935866EB44B}"/>
    <cellStyle name="Normal 5 2 4 2 9" xfId="9020" xr:uid="{C22741EF-4D55-441E-B985-76B2514620A6}"/>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2 2 2" xfId="15798" xr:uid="{DE331F06-C5E4-42BF-93F7-9C887F474AFB}"/>
    <cellStyle name="Normal 5 2 4 3 2 2 3" xfId="11580" xr:uid="{FEF9A54E-5495-4A54-A754-7BA58F321992}"/>
    <cellStyle name="Normal 5 2 4 3 2 3" xfId="5224" xr:uid="{00000000-0005-0000-0000-0000FE180000}"/>
    <cellStyle name="Normal 5 2 4 3 2 3 2" xfId="13653" xr:uid="{DBFF55B6-AEC6-4AFE-8043-D4F0BD26EE28}"/>
    <cellStyle name="Normal 5 2 4 3 2 4" xfId="9435" xr:uid="{C4C8FFC3-7A5A-419A-A1B7-27670CB9BACF}"/>
    <cellStyle name="Normal 5 2 4 3 3" xfId="1328" xr:uid="{00000000-0005-0000-0000-0000FF180000}"/>
    <cellStyle name="Normal 5 2 4 3 3 2" xfId="3558" xr:uid="{00000000-0005-0000-0000-000000190000}"/>
    <cellStyle name="Normal 5 2 4 3 3 2 2" xfId="7782" xr:uid="{00000000-0005-0000-0000-000001190000}"/>
    <cellStyle name="Normal 5 2 4 3 3 2 2 2" xfId="16211" xr:uid="{CDD5E01E-A29D-44DD-9042-6D4552AF1581}"/>
    <cellStyle name="Normal 5 2 4 3 3 2 3" xfId="11993" xr:uid="{CC969560-B9BF-42E5-BF39-46DD3B468535}"/>
    <cellStyle name="Normal 5 2 4 3 3 3" xfId="5637" xr:uid="{00000000-0005-0000-0000-000002190000}"/>
    <cellStyle name="Normal 5 2 4 3 3 3 2" xfId="14066" xr:uid="{509AF0E5-9623-4A26-8D78-6608F10EBD32}"/>
    <cellStyle name="Normal 5 2 4 3 3 4" xfId="9848" xr:uid="{81E6CB96-70BA-4D16-A33E-A83F2193F3C8}"/>
    <cellStyle name="Normal 5 2 4 3 4" xfId="1741" xr:uid="{00000000-0005-0000-0000-000003190000}"/>
    <cellStyle name="Normal 5 2 4 3 4 2" xfId="3971" xr:uid="{00000000-0005-0000-0000-000004190000}"/>
    <cellStyle name="Normal 5 2 4 3 4 2 2" xfId="8195" xr:uid="{00000000-0005-0000-0000-000005190000}"/>
    <cellStyle name="Normal 5 2 4 3 4 2 2 2" xfId="16624" xr:uid="{EEA0A0E8-171D-4DB2-8E8E-A9399F486B07}"/>
    <cellStyle name="Normal 5 2 4 3 4 2 3" xfId="12406" xr:uid="{32A0EF72-538A-44AB-A09B-AC582C5956D5}"/>
    <cellStyle name="Normal 5 2 4 3 4 3" xfId="6050" xr:uid="{00000000-0005-0000-0000-000006190000}"/>
    <cellStyle name="Normal 5 2 4 3 4 3 2" xfId="14479" xr:uid="{128A2823-E82E-48E0-9953-DDABE1EAB6B0}"/>
    <cellStyle name="Normal 5 2 4 3 4 4" xfId="10261" xr:uid="{AA24D08B-EC98-4EB3-9C91-704A17FECEFD}"/>
    <cellStyle name="Normal 5 2 4 3 5" xfId="2155" xr:uid="{00000000-0005-0000-0000-000007190000}"/>
    <cellStyle name="Normal 5 2 4 3 5 2" xfId="4384" xr:uid="{00000000-0005-0000-0000-000008190000}"/>
    <cellStyle name="Normal 5 2 4 3 5 2 2" xfId="8608" xr:uid="{00000000-0005-0000-0000-000009190000}"/>
    <cellStyle name="Normal 5 2 4 3 5 2 2 2" xfId="17037" xr:uid="{E2C77BC8-A0C6-4891-BE46-B79E6AA1DF12}"/>
    <cellStyle name="Normal 5 2 4 3 5 2 3" xfId="12819" xr:uid="{1AB25565-47B8-4E66-91F9-0AE55475D808}"/>
    <cellStyle name="Normal 5 2 4 3 5 3" xfId="6463" xr:uid="{00000000-0005-0000-0000-00000A190000}"/>
    <cellStyle name="Normal 5 2 4 3 5 3 2" xfId="14892" xr:uid="{49324E5B-49BD-4D8E-8DDD-B2A8F7E4CC7C}"/>
    <cellStyle name="Normal 5 2 4 3 5 4" xfId="10674" xr:uid="{EC125D0B-63A3-467D-90AD-0FBE89D5A896}"/>
    <cellStyle name="Normal 5 2 4 3 6" xfId="2591" xr:uid="{00000000-0005-0000-0000-00000B190000}"/>
    <cellStyle name="Normal 5 2 4 3 6 2" xfId="6876" xr:uid="{00000000-0005-0000-0000-00000C190000}"/>
    <cellStyle name="Normal 5 2 4 3 6 2 2" xfId="15305" xr:uid="{69558CB4-6C94-4E89-91D0-517C67DEF570}"/>
    <cellStyle name="Normal 5 2 4 3 6 3" xfId="11087" xr:uid="{A5D2587B-366F-4356-A97B-65E0A76D78E5}"/>
    <cellStyle name="Normal 5 2 4 3 7" xfId="4811" xr:uid="{00000000-0005-0000-0000-00000D190000}"/>
    <cellStyle name="Normal 5 2 4 3 7 2" xfId="13240" xr:uid="{F06FD7C4-0503-4617-8AEF-6D6B29BA55D4}"/>
    <cellStyle name="Normal 5 2 4 3 8" xfId="9022" xr:uid="{02F96EC4-4C35-4F20-9A76-891F60F0D35A}"/>
    <cellStyle name="Normal 5 2 4 4" xfId="907" xr:uid="{00000000-0005-0000-0000-00000E190000}"/>
    <cellStyle name="Normal 5 2 4 4 2" xfId="3142" xr:uid="{00000000-0005-0000-0000-00000F190000}"/>
    <cellStyle name="Normal 5 2 4 4 2 2" xfId="7366" xr:uid="{00000000-0005-0000-0000-000010190000}"/>
    <cellStyle name="Normal 5 2 4 4 2 2 2" xfId="15795" xr:uid="{DE619105-A38C-4EAE-A9FC-50603EDB5833}"/>
    <cellStyle name="Normal 5 2 4 4 2 3" xfId="11577" xr:uid="{4AA26E3A-8B24-4873-8800-12070E6FA127}"/>
    <cellStyle name="Normal 5 2 4 4 3" xfId="5221" xr:uid="{00000000-0005-0000-0000-000011190000}"/>
    <cellStyle name="Normal 5 2 4 4 3 2" xfId="13650" xr:uid="{18967645-EFA4-41DE-9320-EC76F761C96B}"/>
    <cellStyle name="Normal 5 2 4 4 4" xfId="9432" xr:uid="{D29541F0-DE6A-4EEF-92CB-9C3BEBD07EB0}"/>
    <cellStyle name="Normal 5 2 4 5" xfId="1325" xr:uid="{00000000-0005-0000-0000-000012190000}"/>
    <cellStyle name="Normal 5 2 4 5 2" xfId="3555" xr:uid="{00000000-0005-0000-0000-000013190000}"/>
    <cellStyle name="Normal 5 2 4 5 2 2" xfId="7779" xr:uid="{00000000-0005-0000-0000-000014190000}"/>
    <cellStyle name="Normal 5 2 4 5 2 2 2" xfId="16208" xr:uid="{1AC3EBF0-C48C-4F25-9CA9-F04785072F21}"/>
    <cellStyle name="Normal 5 2 4 5 2 3" xfId="11990" xr:uid="{9735AD61-168F-4D68-989C-2862CCBC0CD0}"/>
    <cellStyle name="Normal 5 2 4 5 3" xfId="5634" xr:uid="{00000000-0005-0000-0000-000015190000}"/>
    <cellStyle name="Normal 5 2 4 5 3 2" xfId="14063" xr:uid="{C239C793-E7A1-4D6B-814B-54EE9B884053}"/>
    <cellStyle name="Normal 5 2 4 5 4" xfId="9845" xr:uid="{FF83AE57-CB85-4ED6-A564-B3792C200AC4}"/>
    <cellStyle name="Normal 5 2 4 6" xfId="1738" xr:uid="{00000000-0005-0000-0000-000016190000}"/>
    <cellStyle name="Normal 5 2 4 6 2" xfId="3968" xr:uid="{00000000-0005-0000-0000-000017190000}"/>
    <cellStyle name="Normal 5 2 4 6 2 2" xfId="8192" xr:uid="{00000000-0005-0000-0000-000018190000}"/>
    <cellStyle name="Normal 5 2 4 6 2 2 2" xfId="16621" xr:uid="{4985DA60-75A4-40D0-B24A-5D563F496BDD}"/>
    <cellStyle name="Normal 5 2 4 6 2 3" xfId="12403" xr:uid="{BAFE9B2F-143F-4434-A6E7-15133EBD86D7}"/>
    <cellStyle name="Normal 5 2 4 6 3" xfId="6047" xr:uid="{00000000-0005-0000-0000-000019190000}"/>
    <cellStyle name="Normal 5 2 4 6 3 2" xfId="14476" xr:uid="{A6A67863-1D7D-48C8-B7B1-2EA2F9E7A5F8}"/>
    <cellStyle name="Normal 5 2 4 6 4" xfId="10258" xr:uid="{5C06BCBD-871B-4B58-AD14-17252F0AF0AC}"/>
    <cellStyle name="Normal 5 2 4 7" xfId="2152" xr:uid="{00000000-0005-0000-0000-00001A190000}"/>
    <cellStyle name="Normal 5 2 4 7 2" xfId="4381" xr:uid="{00000000-0005-0000-0000-00001B190000}"/>
    <cellStyle name="Normal 5 2 4 7 2 2" xfId="8605" xr:uid="{00000000-0005-0000-0000-00001C190000}"/>
    <cellStyle name="Normal 5 2 4 7 2 2 2" xfId="17034" xr:uid="{BAFB1B03-00C8-407B-A60F-D2258D93D537}"/>
    <cellStyle name="Normal 5 2 4 7 2 3" xfId="12816" xr:uid="{06728B9F-C026-4BF0-ABB4-B8D14A4FBEC9}"/>
    <cellStyle name="Normal 5 2 4 7 3" xfId="6460" xr:uid="{00000000-0005-0000-0000-00001D190000}"/>
    <cellStyle name="Normal 5 2 4 7 3 2" xfId="14889" xr:uid="{77852FCB-5412-4DC6-AF33-86744A9356AE}"/>
    <cellStyle name="Normal 5 2 4 7 4" xfId="10671" xr:uid="{DF57AD3B-077D-4F9A-89C4-F4BBF2239260}"/>
    <cellStyle name="Normal 5 2 4 8" xfId="2588" xr:uid="{00000000-0005-0000-0000-00001E190000}"/>
    <cellStyle name="Normal 5 2 4 8 2" xfId="6873" xr:uid="{00000000-0005-0000-0000-00001F190000}"/>
    <cellStyle name="Normal 5 2 4 8 2 2" xfId="15302" xr:uid="{FC19236E-3987-4FA6-821F-3E1DC83B616D}"/>
    <cellStyle name="Normal 5 2 4 8 3" xfId="11084" xr:uid="{BECC4F45-86A8-4412-B1B8-A03380D3B90B}"/>
    <cellStyle name="Normal 5 2 4 9" xfId="4808" xr:uid="{00000000-0005-0000-0000-000020190000}"/>
    <cellStyle name="Normal 5 2 4 9 2" xfId="13237" xr:uid="{C693E41E-CC2B-4040-AC7D-1C4EF64BFE51}"/>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2 2 2" xfId="15800" xr:uid="{F469292D-B5F6-4097-92D6-58AB509D70BC}"/>
    <cellStyle name="Normal 5 2 5 2 2 2 3" xfId="11582" xr:uid="{12AD3DC8-5E21-493D-AC47-474252FF61F7}"/>
    <cellStyle name="Normal 5 2 5 2 2 3" xfId="5226" xr:uid="{00000000-0005-0000-0000-000026190000}"/>
    <cellStyle name="Normal 5 2 5 2 2 3 2" xfId="13655" xr:uid="{8BBDC64D-315D-42CC-9856-C1EB6403E251}"/>
    <cellStyle name="Normal 5 2 5 2 2 4" xfId="9437" xr:uid="{F1E5E0AB-EC47-46D1-9AB7-E5FF7B047445}"/>
    <cellStyle name="Normal 5 2 5 2 3" xfId="1330" xr:uid="{00000000-0005-0000-0000-000027190000}"/>
    <cellStyle name="Normal 5 2 5 2 3 2" xfId="3560" xr:uid="{00000000-0005-0000-0000-000028190000}"/>
    <cellStyle name="Normal 5 2 5 2 3 2 2" xfId="7784" xr:uid="{00000000-0005-0000-0000-000029190000}"/>
    <cellStyle name="Normal 5 2 5 2 3 2 2 2" xfId="16213" xr:uid="{32FE17D0-6B65-4498-9245-106DC4EE9C8C}"/>
    <cellStyle name="Normal 5 2 5 2 3 2 3" xfId="11995" xr:uid="{E64FE1F8-5D9B-4CAA-9A5B-C00366FB1BE0}"/>
    <cellStyle name="Normal 5 2 5 2 3 3" xfId="5639" xr:uid="{00000000-0005-0000-0000-00002A190000}"/>
    <cellStyle name="Normal 5 2 5 2 3 3 2" xfId="14068" xr:uid="{C1CBECC8-2D76-4CED-A143-146296B82715}"/>
    <cellStyle name="Normal 5 2 5 2 3 4" xfId="9850" xr:uid="{D2C1B11F-573C-4461-BFD2-CA92F7B1DCCF}"/>
    <cellStyle name="Normal 5 2 5 2 4" xfId="1743" xr:uid="{00000000-0005-0000-0000-00002B190000}"/>
    <cellStyle name="Normal 5 2 5 2 4 2" xfId="3973" xr:uid="{00000000-0005-0000-0000-00002C190000}"/>
    <cellStyle name="Normal 5 2 5 2 4 2 2" xfId="8197" xr:uid="{00000000-0005-0000-0000-00002D190000}"/>
    <cellStyle name="Normal 5 2 5 2 4 2 2 2" xfId="16626" xr:uid="{E56852EE-8312-49DD-B3DD-A79032709A6B}"/>
    <cellStyle name="Normal 5 2 5 2 4 2 3" xfId="12408" xr:uid="{32AE1ED8-0BE4-4A36-A93A-E6C676510358}"/>
    <cellStyle name="Normal 5 2 5 2 4 3" xfId="6052" xr:uid="{00000000-0005-0000-0000-00002E190000}"/>
    <cellStyle name="Normal 5 2 5 2 4 3 2" xfId="14481" xr:uid="{446C795F-A714-48FA-9A8B-126B79C9DA7A}"/>
    <cellStyle name="Normal 5 2 5 2 4 4" xfId="10263" xr:uid="{06D88A0A-FD2B-4E42-8B6F-4EF5630AD8C1}"/>
    <cellStyle name="Normal 5 2 5 2 5" xfId="2157" xr:uid="{00000000-0005-0000-0000-00002F190000}"/>
    <cellStyle name="Normal 5 2 5 2 5 2" xfId="4386" xr:uid="{00000000-0005-0000-0000-000030190000}"/>
    <cellStyle name="Normal 5 2 5 2 5 2 2" xfId="8610" xr:uid="{00000000-0005-0000-0000-000031190000}"/>
    <cellStyle name="Normal 5 2 5 2 5 2 2 2" xfId="17039" xr:uid="{104124F3-7E69-4F8F-8FD0-4C3229222ECB}"/>
    <cellStyle name="Normal 5 2 5 2 5 2 3" xfId="12821" xr:uid="{F8EB646C-EB3A-4A48-A459-4982100E8A17}"/>
    <cellStyle name="Normal 5 2 5 2 5 3" xfId="6465" xr:uid="{00000000-0005-0000-0000-000032190000}"/>
    <cellStyle name="Normal 5 2 5 2 5 3 2" xfId="14894" xr:uid="{FF0E7786-97A3-49F4-BB89-A86018EE6AE2}"/>
    <cellStyle name="Normal 5 2 5 2 5 4" xfId="10676" xr:uid="{823AB369-CDA2-42BD-9384-F5B293F89E2A}"/>
    <cellStyle name="Normal 5 2 5 2 6" xfId="2593" xr:uid="{00000000-0005-0000-0000-000033190000}"/>
    <cellStyle name="Normal 5 2 5 2 6 2" xfId="6878" xr:uid="{00000000-0005-0000-0000-000034190000}"/>
    <cellStyle name="Normal 5 2 5 2 6 2 2" xfId="15307" xr:uid="{FB1857F1-0A81-4037-A890-7934AC87C0E2}"/>
    <cellStyle name="Normal 5 2 5 2 6 3" xfId="11089" xr:uid="{85AD06EC-F5DB-4998-9FDF-2FEC6EAE3DCB}"/>
    <cellStyle name="Normal 5 2 5 2 7" xfId="4813" xr:uid="{00000000-0005-0000-0000-000035190000}"/>
    <cellStyle name="Normal 5 2 5 2 7 2" xfId="13242" xr:uid="{3ECDEFF6-E7BE-4AF6-A322-B0F66FF38855}"/>
    <cellStyle name="Normal 5 2 5 2 8" xfId="9024" xr:uid="{8A84998F-DCDA-44CA-B2DC-E93679B4A44B}"/>
    <cellStyle name="Normal 5 2 5 3" xfId="911" xr:uid="{00000000-0005-0000-0000-000036190000}"/>
    <cellStyle name="Normal 5 2 5 3 2" xfId="3146" xr:uid="{00000000-0005-0000-0000-000037190000}"/>
    <cellStyle name="Normal 5 2 5 3 2 2" xfId="7370" xr:uid="{00000000-0005-0000-0000-000038190000}"/>
    <cellStyle name="Normal 5 2 5 3 2 2 2" xfId="15799" xr:uid="{6CBABA69-2DE5-4BF7-820C-EB6BDF521A77}"/>
    <cellStyle name="Normal 5 2 5 3 2 3" xfId="11581" xr:uid="{ABAB03F7-6FE8-473D-830F-912082EE02E4}"/>
    <cellStyle name="Normal 5 2 5 3 3" xfId="5225" xr:uid="{00000000-0005-0000-0000-000039190000}"/>
    <cellStyle name="Normal 5 2 5 3 3 2" xfId="13654" xr:uid="{3AB3E870-05E2-4A15-BBCD-4BC4FFF0E60A}"/>
    <cellStyle name="Normal 5 2 5 3 4" xfId="9436" xr:uid="{C9CA16D2-620D-42C8-BC0F-440367CBBC1A}"/>
    <cellStyle name="Normal 5 2 5 4" xfId="1329" xr:uid="{00000000-0005-0000-0000-00003A190000}"/>
    <cellStyle name="Normal 5 2 5 4 2" xfId="3559" xr:uid="{00000000-0005-0000-0000-00003B190000}"/>
    <cellStyle name="Normal 5 2 5 4 2 2" xfId="7783" xr:uid="{00000000-0005-0000-0000-00003C190000}"/>
    <cellStyle name="Normal 5 2 5 4 2 2 2" xfId="16212" xr:uid="{12CA9A62-2019-46B6-9232-905683BAAE3D}"/>
    <cellStyle name="Normal 5 2 5 4 2 3" xfId="11994" xr:uid="{ABB7E432-408D-4071-BFC6-920A7EBA7A13}"/>
    <cellStyle name="Normal 5 2 5 4 3" xfId="5638" xr:uid="{00000000-0005-0000-0000-00003D190000}"/>
    <cellStyle name="Normal 5 2 5 4 3 2" xfId="14067" xr:uid="{9540E372-86B6-4E33-AD69-0990637AFFF3}"/>
    <cellStyle name="Normal 5 2 5 4 4" xfId="9849" xr:uid="{38F97E77-DECD-4AD7-A58A-76D14449556B}"/>
    <cellStyle name="Normal 5 2 5 5" xfId="1742" xr:uid="{00000000-0005-0000-0000-00003E190000}"/>
    <cellStyle name="Normal 5 2 5 5 2" xfId="3972" xr:uid="{00000000-0005-0000-0000-00003F190000}"/>
    <cellStyle name="Normal 5 2 5 5 2 2" xfId="8196" xr:uid="{00000000-0005-0000-0000-000040190000}"/>
    <cellStyle name="Normal 5 2 5 5 2 2 2" xfId="16625" xr:uid="{9369E0FB-705D-4B44-BBED-E707105D01DF}"/>
    <cellStyle name="Normal 5 2 5 5 2 3" xfId="12407" xr:uid="{57B14E4C-B8A0-44A7-BDB0-8158C57427EE}"/>
    <cellStyle name="Normal 5 2 5 5 3" xfId="6051" xr:uid="{00000000-0005-0000-0000-000041190000}"/>
    <cellStyle name="Normal 5 2 5 5 3 2" xfId="14480" xr:uid="{2F8F635B-9C37-4A38-AB4D-2CC8B9708BAF}"/>
    <cellStyle name="Normal 5 2 5 5 4" xfId="10262" xr:uid="{1F7ED848-C955-4F4F-886E-B66A4EC9CD4F}"/>
    <cellStyle name="Normal 5 2 5 6" xfId="2156" xr:uid="{00000000-0005-0000-0000-000042190000}"/>
    <cellStyle name="Normal 5 2 5 6 2" xfId="4385" xr:uid="{00000000-0005-0000-0000-000043190000}"/>
    <cellStyle name="Normal 5 2 5 6 2 2" xfId="8609" xr:uid="{00000000-0005-0000-0000-000044190000}"/>
    <cellStyle name="Normal 5 2 5 6 2 2 2" xfId="17038" xr:uid="{8E526CAB-62E8-499F-A3C0-47BF21911799}"/>
    <cellStyle name="Normal 5 2 5 6 2 3" xfId="12820" xr:uid="{10C1878B-10B7-45B3-9818-6A3B46A8591B}"/>
    <cellStyle name="Normal 5 2 5 6 3" xfId="6464" xr:uid="{00000000-0005-0000-0000-000045190000}"/>
    <cellStyle name="Normal 5 2 5 6 3 2" xfId="14893" xr:uid="{3D1A3616-DE83-4529-99A4-F3CAD511CE25}"/>
    <cellStyle name="Normal 5 2 5 6 4" xfId="10675" xr:uid="{3EE4FA4C-8AE9-4C98-AD26-3A730025A17A}"/>
    <cellStyle name="Normal 5 2 5 7" xfId="2592" xr:uid="{00000000-0005-0000-0000-000046190000}"/>
    <cellStyle name="Normal 5 2 5 7 2" xfId="6877" xr:uid="{00000000-0005-0000-0000-000047190000}"/>
    <cellStyle name="Normal 5 2 5 7 2 2" xfId="15306" xr:uid="{ED04F65A-9564-4883-AB9B-4F3623903210}"/>
    <cellStyle name="Normal 5 2 5 7 3" xfId="11088" xr:uid="{D13BF6C5-6902-4989-A84D-CC812FF4C7CD}"/>
    <cellStyle name="Normal 5 2 5 8" xfId="4812" xr:uid="{00000000-0005-0000-0000-000048190000}"/>
    <cellStyle name="Normal 5 2 5 8 2" xfId="13241" xr:uid="{29086F4A-3FD7-415C-9CDC-76968F9EF040}"/>
    <cellStyle name="Normal 5 2 5 9" xfId="9023" xr:uid="{460CA887-7156-4A97-A37D-10CB4D79D45E}"/>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2 2 2" xfId="15801" xr:uid="{75195735-5494-40C1-AF58-4F05C38A7936}"/>
    <cellStyle name="Normal 5 2 6 2 2 3" xfId="11583" xr:uid="{E5D52068-C554-4539-AB63-33C84E7D6435}"/>
    <cellStyle name="Normal 5 2 6 2 3" xfId="5227" xr:uid="{00000000-0005-0000-0000-00004D190000}"/>
    <cellStyle name="Normal 5 2 6 2 3 2" xfId="13656" xr:uid="{A83CCA61-06BE-48F9-8D04-9A12221C8F4F}"/>
    <cellStyle name="Normal 5 2 6 2 4" xfId="9438" xr:uid="{55C76E76-8DC6-4B45-BFA4-C40BB7C79D65}"/>
    <cellStyle name="Normal 5 2 6 3" xfId="1331" xr:uid="{00000000-0005-0000-0000-00004E190000}"/>
    <cellStyle name="Normal 5 2 6 3 2" xfId="3561" xr:uid="{00000000-0005-0000-0000-00004F190000}"/>
    <cellStyle name="Normal 5 2 6 3 2 2" xfId="7785" xr:uid="{00000000-0005-0000-0000-000050190000}"/>
    <cellStyle name="Normal 5 2 6 3 2 2 2" xfId="16214" xr:uid="{BC90DE00-A3D7-4054-8B8F-D8D7C51CBC4D}"/>
    <cellStyle name="Normal 5 2 6 3 2 3" xfId="11996" xr:uid="{C340E71C-C8ED-415F-939A-876E5DE5BA5F}"/>
    <cellStyle name="Normal 5 2 6 3 3" xfId="5640" xr:uid="{00000000-0005-0000-0000-000051190000}"/>
    <cellStyle name="Normal 5 2 6 3 3 2" xfId="14069" xr:uid="{EEFE0ADA-D0E9-4080-BDE2-10E3A0BA001A}"/>
    <cellStyle name="Normal 5 2 6 3 4" xfId="9851" xr:uid="{16B845AF-B962-4E4F-9FC2-E594E4F6566E}"/>
    <cellStyle name="Normal 5 2 6 4" xfId="1744" xr:uid="{00000000-0005-0000-0000-000052190000}"/>
    <cellStyle name="Normal 5 2 6 4 2" xfId="3974" xr:uid="{00000000-0005-0000-0000-000053190000}"/>
    <cellStyle name="Normal 5 2 6 4 2 2" xfId="8198" xr:uid="{00000000-0005-0000-0000-000054190000}"/>
    <cellStyle name="Normal 5 2 6 4 2 2 2" xfId="16627" xr:uid="{3806F435-F2BE-4D48-BA5E-33700F5D16D9}"/>
    <cellStyle name="Normal 5 2 6 4 2 3" xfId="12409" xr:uid="{9F67CFB6-B3A0-4C22-B5A0-2902377B078A}"/>
    <cellStyle name="Normal 5 2 6 4 3" xfId="6053" xr:uid="{00000000-0005-0000-0000-000055190000}"/>
    <cellStyle name="Normal 5 2 6 4 3 2" xfId="14482" xr:uid="{D0D17DBF-F436-45B5-B394-46C3F9CBF169}"/>
    <cellStyle name="Normal 5 2 6 4 4" xfId="10264" xr:uid="{6FEC5CAE-8B17-4066-894B-BF9E224E753D}"/>
    <cellStyle name="Normal 5 2 6 5" xfId="2158" xr:uid="{00000000-0005-0000-0000-000056190000}"/>
    <cellStyle name="Normal 5 2 6 5 2" xfId="4387" xr:uid="{00000000-0005-0000-0000-000057190000}"/>
    <cellStyle name="Normal 5 2 6 5 2 2" xfId="8611" xr:uid="{00000000-0005-0000-0000-000058190000}"/>
    <cellStyle name="Normal 5 2 6 5 2 2 2" xfId="17040" xr:uid="{B394748A-24EC-4B83-B434-250473EB46E1}"/>
    <cellStyle name="Normal 5 2 6 5 2 3" xfId="12822" xr:uid="{DEBFB9E6-314D-4C4D-9914-9A82BCC6170B}"/>
    <cellStyle name="Normal 5 2 6 5 3" xfId="6466" xr:uid="{00000000-0005-0000-0000-000059190000}"/>
    <cellStyle name="Normal 5 2 6 5 3 2" xfId="14895" xr:uid="{1EBA5798-FACB-484B-94AA-772EF66CA7A1}"/>
    <cellStyle name="Normal 5 2 6 5 4" xfId="10677" xr:uid="{D2A5E622-B294-444B-B8F7-CEF62FC2B64F}"/>
    <cellStyle name="Normal 5 2 6 6" xfId="2594" xr:uid="{00000000-0005-0000-0000-00005A190000}"/>
    <cellStyle name="Normal 5 2 6 6 2" xfId="6879" xr:uid="{00000000-0005-0000-0000-00005B190000}"/>
    <cellStyle name="Normal 5 2 6 6 2 2" xfId="15308" xr:uid="{894C35F4-B9A8-4D01-AA2A-C9B671147FDF}"/>
    <cellStyle name="Normal 5 2 6 6 3" xfId="11090" xr:uid="{2CD208C1-2B16-4DFA-AA3A-FCFB3D93592B}"/>
    <cellStyle name="Normal 5 2 6 7" xfId="4814" xr:uid="{00000000-0005-0000-0000-00005C190000}"/>
    <cellStyle name="Normal 5 2 6 7 2" xfId="13243" xr:uid="{B4AD3E4C-7383-4FD3-8A4B-77BF1B1F41D7}"/>
    <cellStyle name="Normal 5 2 6 8" xfId="9025" xr:uid="{FA9689CD-3662-4047-AF5D-6F115E91F964}"/>
    <cellStyle name="Normal 5 2 7" xfId="882" xr:uid="{00000000-0005-0000-0000-00005D190000}"/>
    <cellStyle name="Normal 5 2 7 2" xfId="3117" xr:uid="{00000000-0005-0000-0000-00005E190000}"/>
    <cellStyle name="Normal 5 2 7 2 2" xfId="7341" xr:uid="{00000000-0005-0000-0000-00005F190000}"/>
    <cellStyle name="Normal 5 2 7 2 2 2" xfId="15770" xr:uid="{139AF2AF-971A-42C6-94E0-E7E7BE630AA7}"/>
    <cellStyle name="Normal 5 2 7 2 3" xfId="11552" xr:uid="{49129120-CA2F-4DEE-85C2-DB0CF31FED47}"/>
    <cellStyle name="Normal 5 2 7 3" xfId="5196" xr:uid="{00000000-0005-0000-0000-000060190000}"/>
    <cellStyle name="Normal 5 2 7 3 2" xfId="13625" xr:uid="{BCED0099-E1FF-4B13-AA6E-539C4520CEFC}"/>
    <cellStyle name="Normal 5 2 7 4" xfId="9407" xr:uid="{8C757A91-FB00-4611-81FF-705E709F1885}"/>
    <cellStyle name="Normal 5 2 8" xfId="1300" xr:uid="{00000000-0005-0000-0000-000061190000}"/>
    <cellStyle name="Normal 5 2 8 2" xfId="3530" xr:uid="{00000000-0005-0000-0000-000062190000}"/>
    <cellStyle name="Normal 5 2 8 2 2" xfId="7754" xr:uid="{00000000-0005-0000-0000-000063190000}"/>
    <cellStyle name="Normal 5 2 8 2 2 2" xfId="16183" xr:uid="{ACC46E12-6921-49EF-9ADF-0C340D532F6E}"/>
    <cellStyle name="Normal 5 2 8 2 3" xfId="11965" xr:uid="{E0AB0741-86AE-4180-B1EA-6D0A6C4B0156}"/>
    <cellStyle name="Normal 5 2 8 3" xfId="5609" xr:uid="{00000000-0005-0000-0000-000064190000}"/>
    <cellStyle name="Normal 5 2 8 3 2" xfId="14038" xr:uid="{3C18C2AD-9D44-4F22-8346-CDCED377FD97}"/>
    <cellStyle name="Normal 5 2 8 4" xfId="9820" xr:uid="{918A8D66-29EE-4B3C-8F10-2248F534441E}"/>
    <cellStyle name="Normal 5 2 9" xfId="1713" xr:uid="{00000000-0005-0000-0000-000065190000}"/>
    <cellStyle name="Normal 5 2 9 2" xfId="3943" xr:uid="{00000000-0005-0000-0000-000066190000}"/>
    <cellStyle name="Normal 5 2 9 2 2" xfId="8167" xr:uid="{00000000-0005-0000-0000-000067190000}"/>
    <cellStyle name="Normal 5 2 9 2 2 2" xfId="16596" xr:uid="{6F6CC95F-7B9A-48A8-A377-2738CEC168B3}"/>
    <cellStyle name="Normal 5 2 9 2 3" xfId="12378" xr:uid="{A4DB197D-E0A6-4F49-9ED6-97B93359FA8F}"/>
    <cellStyle name="Normal 5 2 9 3" xfId="6022" xr:uid="{00000000-0005-0000-0000-000068190000}"/>
    <cellStyle name="Normal 5 2 9 3 2" xfId="14451" xr:uid="{C55677FA-978A-4B76-8016-1A1639C00BF0}"/>
    <cellStyle name="Normal 5 2 9 4" xfId="10233" xr:uid="{DE4AB658-C83E-4895-99F6-E9006D28F132}"/>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2 2 2" xfId="17041" xr:uid="{2A256361-1CF2-4D43-B6C8-DA26F998A811}"/>
    <cellStyle name="Normal 5 3 10 2 3" xfId="12823" xr:uid="{B1ABC979-FC81-4A2B-A639-564FBBDEDB36}"/>
    <cellStyle name="Normal 5 3 10 3" xfId="6467" xr:uid="{00000000-0005-0000-0000-00006D190000}"/>
    <cellStyle name="Normal 5 3 10 3 2" xfId="14896" xr:uid="{1F241E0A-A3A5-421E-BCA5-BC3ECE8C5B86}"/>
    <cellStyle name="Normal 5 3 10 4" xfId="10678" xr:uid="{4997DA3C-4FC3-468A-B90C-296520BA201F}"/>
    <cellStyle name="Normal 5 3 11" xfId="2595" xr:uid="{00000000-0005-0000-0000-00006E190000}"/>
    <cellStyle name="Normal 5 3 11 2" xfId="6880" xr:uid="{00000000-0005-0000-0000-00006F190000}"/>
    <cellStyle name="Normal 5 3 11 2 2" xfId="15309" xr:uid="{8AABA4F8-3DE4-455C-BFF9-649F4542ED97}"/>
    <cellStyle name="Normal 5 3 11 3" xfId="11091" xr:uid="{3A4EEC8B-581B-4149-B892-7BD0839E61EE}"/>
    <cellStyle name="Normal 5 3 12" xfId="4815" xr:uid="{00000000-0005-0000-0000-000070190000}"/>
    <cellStyle name="Normal 5 3 12 2" xfId="13244" xr:uid="{17FFCB38-D513-4282-9120-AF8012EA35CB}"/>
    <cellStyle name="Normal 5 3 13" xfId="9026" xr:uid="{49F99FA6-A997-43CD-929E-0D36C8EA7A28}"/>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10 2" xfId="13245" xr:uid="{231911D7-8C73-441A-AA9F-4C4D0450BE9B}"/>
    <cellStyle name="Normal 5 3 3 11" xfId="9027" xr:uid="{6D97F0FC-BED8-4B97-91ED-3A380C29EED3}"/>
    <cellStyle name="Normal 5 3 3 2" xfId="442" xr:uid="{00000000-0005-0000-0000-000075190000}"/>
    <cellStyle name="Normal 5 3 3 2 10" xfId="9028" xr:uid="{3DAA1746-C858-45B8-B434-D5AF3A67FC22}"/>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2 2 2" xfId="15806" xr:uid="{A8B41661-C8DC-4B6D-9E73-FA8A064B125F}"/>
    <cellStyle name="Normal 5 3 3 2 2 2 2 2 3" xfId="11588" xr:uid="{58124CD5-A457-4A88-9CAA-4109EC7F7997}"/>
    <cellStyle name="Normal 5 3 3 2 2 2 2 3" xfId="5232" xr:uid="{00000000-0005-0000-0000-00007B190000}"/>
    <cellStyle name="Normal 5 3 3 2 2 2 2 3 2" xfId="13661" xr:uid="{015AEB18-A7D1-4372-8062-669D2BC3B4EA}"/>
    <cellStyle name="Normal 5 3 3 2 2 2 2 4" xfId="9443" xr:uid="{0C99F84A-EC33-4F9E-88BA-C04771764215}"/>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2 2 2" xfId="16219" xr:uid="{1C80714B-E02A-46DF-8581-4DCE2204840E}"/>
    <cellStyle name="Normal 5 3 3 2 2 2 3 2 3" xfId="12001" xr:uid="{E0915FDA-12BD-4E11-AEE4-07E922190756}"/>
    <cellStyle name="Normal 5 3 3 2 2 2 3 3" xfId="5645" xr:uid="{00000000-0005-0000-0000-00007F190000}"/>
    <cellStyle name="Normal 5 3 3 2 2 2 3 3 2" xfId="14074" xr:uid="{D98A95EC-D75F-4A66-9DA0-74E170BEC4D5}"/>
    <cellStyle name="Normal 5 3 3 2 2 2 3 4" xfId="9856" xr:uid="{080B70F7-B012-49AE-986B-5B7FA51D9D74}"/>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2 2 2" xfId="16632" xr:uid="{8F6FE2BA-94DB-43EE-86F6-5490BD58C2D1}"/>
    <cellStyle name="Normal 5 3 3 2 2 2 4 2 3" xfId="12414" xr:uid="{C1DC5767-6D94-4A63-9692-D16F9F7D55F7}"/>
    <cellStyle name="Normal 5 3 3 2 2 2 4 3" xfId="6058" xr:uid="{00000000-0005-0000-0000-000083190000}"/>
    <cellStyle name="Normal 5 3 3 2 2 2 4 3 2" xfId="14487" xr:uid="{F80298F5-CD43-4853-8073-28CC21CFB392}"/>
    <cellStyle name="Normal 5 3 3 2 2 2 4 4" xfId="10269" xr:uid="{5DF97407-0988-482C-94B0-463732293ECC}"/>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2 2 2" xfId="17045" xr:uid="{C3E833D8-DCA7-4851-B175-DBEF37AB1FC8}"/>
    <cellStyle name="Normal 5 3 3 2 2 2 5 2 3" xfId="12827" xr:uid="{322F3667-BD6D-4F5A-8792-A26BA4FF5F53}"/>
    <cellStyle name="Normal 5 3 3 2 2 2 5 3" xfId="6471" xr:uid="{00000000-0005-0000-0000-000087190000}"/>
    <cellStyle name="Normal 5 3 3 2 2 2 5 3 2" xfId="14900" xr:uid="{5D885C65-3B51-4919-9B68-A00EB2373843}"/>
    <cellStyle name="Normal 5 3 3 2 2 2 5 4" xfId="10682" xr:uid="{0D8223E8-67EF-4627-9911-CEC2328F57B0}"/>
    <cellStyle name="Normal 5 3 3 2 2 2 6" xfId="2599" xr:uid="{00000000-0005-0000-0000-000088190000}"/>
    <cellStyle name="Normal 5 3 3 2 2 2 6 2" xfId="6884" xr:uid="{00000000-0005-0000-0000-000089190000}"/>
    <cellStyle name="Normal 5 3 3 2 2 2 6 2 2" xfId="15313" xr:uid="{5922479F-E752-46DE-A2C8-B2C392971A0A}"/>
    <cellStyle name="Normal 5 3 3 2 2 2 6 3" xfId="11095" xr:uid="{C53D9CBA-99C5-4B9D-94F6-5B12E45319E3}"/>
    <cellStyle name="Normal 5 3 3 2 2 2 7" xfId="4819" xr:uid="{00000000-0005-0000-0000-00008A190000}"/>
    <cellStyle name="Normal 5 3 3 2 2 2 7 2" xfId="13248" xr:uid="{307681D8-DCAA-492D-A617-25FF9F86FBF1}"/>
    <cellStyle name="Normal 5 3 3 2 2 2 8" xfId="9030" xr:uid="{74455B1B-E75F-4257-809F-4CBE792CFB0D}"/>
    <cellStyle name="Normal 5 3 3 2 2 3" xfId="918" xr:uid="{00000000-0005-0000-0000-00008B190000}"/>
    <cellStyle name="Normal 5 3 3 2 2 3 2" xfId="3152" xr:uid="{00000000-0005-0000-0000-00008C190000}"/>
    <cellStyle name="Normal 5 3 3 2 2 3 2 2" xfId="7376" xr:uid="{00000000-0005-0000-0000-00008D190000}"/>
    <cellStyle name="Normal 5 3 3 2 2 3 2 2 2" xfId="15805" xr:uid="{1EBD7CAB-3BF7-46F2-9F0E-DCE5A60BC9BD}"/>
    <cellStyle name="Normal 5 3 3 2 2 3 2 3" xfId="11587" xr:uid="{2F7812B9-9DE1-4FF5-BE29-2CB39D78FAE1}"/>
    <cellStyle name="Normal 5 3 3 2 2 3 3" xfId="5231" xr:uid="{00000000-0005-0000-0000-00008E190000}"/>
    <cellStyle name="Normal 5 3 3 2 2 3 3 2" xfId="13660" xr:uid="{C2A3F52F-9E28-468D-826E-DE4D732DB6F5}"/>
    <cellStyle name="Normal 5 3 3 2 2 3 4" xfId="9442" xr:uid="{CCBB04ED-8025-4BC4-BA26-C68B30BCAB5D}"/>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2 2 2" xfId="16218" xr:uid="{F90433B8-B38F-40E5-8884-77E39AE3E565}"/>
    <cellStyle name="Normal 5 3 3 2 2 4 2 3" xfId="12000" xr:uid="{46A387FB-7B92-4DC4-A805-6164B35115D2}"/>
    <cellStyle name="Normal 5 3 3 2 2 4 3" xfId="5644" xr:uid="{00000000-0005-0000-0000-000092190000}"/>
    <cellStyle name="Normal 5 3 3 2 2 4 3 2" xfId="14073" xr:uid="{449E7EC6-1823-42EE-945A-855EB4500C1E}"/>
    <cellStyle name="Normal 5 3 3 2 2 4 4" xfId="9855" xr:uid="{28250AB8-31ED-4BEC-9413-334DAA10E8DB}"/>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2 2 2" xfId="16631" xr:uid="{97DFABEA-BDC2-4CF0-B34F-EA563AE3EAD7}"/>
    <cellStyle name="Normal 5 3 3 2 2 5 2 3" xfId="12413" xr:uid="{4362C3BC-75EF-4DCD-B949-217FFD80A5A0}"/>
    <cellStyle name="Normal 5 3 3 2 2 5 3" xfId="6057" xr:uid="{00000000-0005-0000-0000-000096190000}"/>
    <cellStyle name="Normal 5 3 3 2 2 5 3 2" xfId="14486" xr:uid="{915E5BF8-0CF4-4C66-AA93-80897731268C}"/>
    <cellStyle name="Normal 5 3 3 2 2 5 4" xfId="10268" xr:uid="{101E11B4-3ACE-4608-9C62-44C4A41840EB}"/>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2 2 2" xfId="17044" xr:uid="{E92F29FE-F037-4DC3-BDC0-392BA0D7A6C8}"/>
    <cellStyle name="Normal 5 3 3 2 2 6 2 3" xfId="12826" xr:uid="{DEE9104C-ADFA-4451-A35E-7D1D448ADED7}"/>
    <cellStyle name="Normal 5 3 3 2 2 6 3" xfId="6470" xr:uid="{00000000-0005-0000-0000-00009A190000}"/>
    <cellStyle name="Normal 5 3 3 2 2 6 3 2" xfId="14899" xr:uid="{167B66C1-7832-46D5-8569-7AC017916523}"/>
    <cellStyle name="Normal 5 3 3 2 2 6 4" xfId="10681" xr:uid="{A04CD085-A80B-4527-BE47-589AA0512519}"/>
    <cellStyle name="Normal 5 3 3 2 2 7" xfId="2598" xr:uid="{00000000-0005-0000-0000-00009B190000}"/>
    <cellStyle name="Normal 5 3 3 2 2 7 2" xfId="6883" xr:uid="{00000000-0005-0000-0000-00009C190000}"/>
    <cellStyle name="Normal 5 3 3 2 2 7 2 2" xfId="15312" xr:uid="{9B169959-C84B-4C06-945A-D7F5745B1D91}"/>
    <cellStyle name="Normal 5 3 3 2 2 7 3" xfId="11094" xr:uid="{1BEAD29A-5A98-4278-A062-59A13419C5A4}"/>
    <cellStyle name="Normal 5 3 3 2 2 8" xfId="4818" xr:uid="{00000000-0005-0000-0000-00009D190000}"/>
    <cellStyle name="Normal 5 3 3 2 2 8 2" xfId="13247" xr:uid="{8018EA25-3A52-4406-AD0A-D6CA081948A0}"/>
    <cellStyle name="Normal 5 3 3 2 2 9" xfId="9029" xr:uid="{CC86895E-19FC-49C6-B32A-3F4F8EA91926}"/>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2 2 2" xfId="15807" xr:uid="{E407C829-2C6C-4B52-AD67-EF22569CDB90}"/>
    <cellStyle name="Normal 5 3 3 2 3 2 2 3" xfId="11589" xr:uid="{C9167A48-C260-47B7-A1CA-B5BAC80F9C32}"/>
    <cellStyle name="Normal 5 3 3 2 3 2 3" xfId="5233" xr:uid="{00000000-0005-0000-0000-0000A2190000}"/>
    <cellStyle name="Normal 5 3 3 2 3 2 3 2" xfId="13662" xr:uid="{75E7EB04-D1D3-4811-857C-3F8CA84CA1A5}"/>
    <cellStyle name="Normal 5 3 3 2 3 2 4" xfId="9444" xr:uid="{4E9093DE-CE6A-43A7-BA0F-CE70502F15D7}"/>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2 2 2" xfId="16220" xr:uid="{33193DD6-B54C-419E-A496-93E12972A334}"/>
    <cellStyle name="Normal 5 3 3 2 3 3 2 3" xfId="12002" xr:uid="{C696764B-013E-4BCF-9AF6-718D324777CE}"/>
    <cellStyle name="Normal 5 3 3 2 3 3 3" xfId="5646" xr:uid="{00000000-0005-0000-0000-0000A6190000}"/>
    <cellStyle name="Normal 5 3 3 2 3 3 3 2" xfId="14075" xr:uid="{128C6C6B-A731-4FC5-A7F4-709502BDBB57}"/>
    <cellStyle name="Normal 5 3 3 2 3 3 4" xfId="9857" xr:uid="{A1CB846D-0576-4254-B2D3-61AB6AFFDBE4}"/>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2 2 2" xfId="16633" xr:uid="{7F60AEB2-BF25-4A28-BB86-CAACC21611F3}"/>
    <cellStyle name="Normal 5 3 3 2 3 4 2 3" xfId="12415" xr:uid="{121D42B8-9003-45B1-B87F-D17B1EEF62C8}"/>
    <cellStyle name="Normal 5 3 3 2 3 4 3" xfId="6059" xr:uid="{00000000-0005-0000-0000-0000AA190000}"/>
    <cellStyle name="Normal 5 3 3 2 3 4 3 2" xfId="14488" xr:uid="{844D4D50-AADA-4F9F-9AE3-8C9D330AF481}"/>
    <cellStyle name="Normal 5 3 3 2 3 4 4" xfId="10270" xr:uid="{CB8A9A32-2348-4DC6-A951-C30769E86C6C}"/>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2 2 2" xfId="17046" xr:uid="{163DB7CA-1959-4ECB-B190-3ACCC0F5AB83}"/>
    <cellStyle name="Normal 5 3 3 2 3 5 2 3" xfId="12828" xr:uid="{C5B9239A-906A-49D3-A471-33836ACF0A09}"/>
    <cellStyle name="Normal 5 3 3 2 3 5 3" xfId="6472" xr:uid="{00000000-0005-0000-0000-0000AE190000}"/>
    <cellStyle name="Normal 5 3 3 2 3 5 3 2" xfId="14901" xr:uid="{AB4C0572-6046-4913-BC54-713BCC7959E8}"/>
    <cellStyle name="Normal 5 3 3 2 3 5 4" xfId="10683" xr:uid="{70E360CD-E2B7-41C2-8AC2-5DB35E9F4AC8}"/>
    <cellStyle name="Normal 5 3 3 2 3 6" xfId="2600" xr:uid="{00000000-0005-0000-0000-0000AF190000}"/>
    <cellStyle name="Normal 5 3 3 2 3 6 2" xfId="6885" xr:uid="{00000000-0005-0000-0000-0000B0190000}"/>
    <cellStyle name="Normal 5 3 3 2 3 6 2 2" xfId="15314" xr:uid="{829892D0-05C0-43AF-B3B2-08C9941003F1}"/>
    <cellStyle name="Normal 5 3 3 2 3 6 3" xfId="11096" xr:uid="{6BDC8CCB-6791-4CC1-B20B-C3113AB4C471}"/>
    <cellStyle name="Normal 5 3 3 2 3 7" xfId="4820" xr:uid="{00000000-0005-0000-0000-0000B1190000}"/>
    <cellStyle name="Normal 5 3 3 2 3 7 2" xfId="13249" xr:uid="{6BB84CDD-B73C-4A60-8DA2-354BDCF9BF48}"/>
    <cellStyle name="Normal 5 3 3 2 3 8" xfId="9031" xr:uid="{61BEE618-9B21-4A94-86C2-1A59F7C33C29}"/>
    <cellStyle name="Normal 5 3 3 2 4" xfId="917" xr:uid="{00000000-0005-0000-0000-0000B2190000}"/>
    <cellStyle name="Normal 5 3 3 2 4 2" xfId="3151" xr:uid="{00000000-0005-0000-0000-0000B3190000}"/>
    <cellStyle name="Normal 5 3 3 2 4 2 2" xfId="7375" xr:uid="{00000000-0005-0000-0000-0000B4190000}"/>
    <cellStyle name="Normal 5 3 3 2 4 2 2 2" xfId="15804" xr:uid="{3FF2970B-CD3A-46C5-B340-D27A5F39B9C1}"/>
    <cellStyle name="Normal 5 3 3 2 4 2 3" xfId="11586" xr:uid="{462E919B-E2C3-4B97-95E3-AD3D048D54ED}"/>
    <cellStyle name="Normal 5 3 3 2 4 3" xfId="5230" xr:uid="{00000000-0005-0000-0000-0000B5190000}"/>
    <cellStyle name="Normal 5 3 3 2 4 3 2" xfId="13659" xr:uid="{05953067-B79A-41C3-972A-1311C8C6F598}"/>
    <cellStyle name="Normal 5 3 3 2 4 4" xfId="9441" xr:uid="{D6253B75-FD5D-4A20-A190-ECCC1E95F2A1}"/>
    <cellStyle name="Normal 5 3 3 2 5" xfId="1334" xr:uid="{00000000-0005-0000-0000-0000B6190000}"/>
    <cellStyle name="Normal 5 3 3 2 5 2" xfId="3564" xr:uid="{00000000-0005-0000-0000-0000B7190000}"/>
    <cellStyle name="Normal 5 3 3 2 5 2 2" xfId="7788" xr:uid="{00000000-0005-0000-0000-0000B8190000}"/>
    <cellStyle name="Normal 5 3 3 2 5 2 2 2" xfId="16217" xr:uid="{39083F11-6624-4875-94DE-BFA04931BF56}"/>
    <cellStyle name="Normal 5 3 3 2 5 2 3" xfId="11999" xr:uid="{FF62D171-44DC-43C3-903E-F4338B460663}"/>
    <cellStyle name="Normal 5 3 3 2 5 3" xfId="5643" xr:uid="{00000000-0005-0000-0000-0000B9190000}"/>
    <cellStyle name="Normal 5 3 3 2 5 3 2" xfId="14072" xr:uid="{2A3C3BD7-80FB-4C3B-8B8B-C84D0F882D72}"/>
    <cellStyle name="Normal 5 3 3 2 5 4" xfId="9854" xr:uid="{AE902111-BB1E-4D6E-AC9E-B087E9164E8E}"/>
    <cellStyle name="Normal 5 3 3 2 6" xfId="1747" xr:uid="{00000000-0005-0000-0000-0000BA190000}"/>
    <cellStyle name="Normal 5 3 3 2 6 2" xfId="3977" xr:uid="{00000000-0005-0000-0000-0000BB190000}"/>
    <cellStyle name="Normal 5 3 3 2 6 2 2" xfId="8201" xr:uid="{00000000-0005-0000-0000-0000BC190000}"/>
    <cellStyle name="Normal 5 3 3 2 6 2 2 2" xfId="16630" xr:uid="{5C6AC7D4-48DF-4FAF-9159-217A328F0288}"/>
    <cellStyle name="Normal 5 3 3 2 6 2 3" xfId="12412" xr:uid="{B552F241-B092-458B-9331-9C4FA9792984}"/>
    <cellStyle name="Normal 5 3 3 2 6 3" xfId="6056" xr:uid="{00000000-0005-0000-0000-0000BD190000}"/>
    <cellStyle name="Normal 5 3 3 2 6 3 2" xfId="14485" xr:uid="{5ACDD98A-C938-439D-A184-D5DF17871480}"/>
    <cellStyle name="Normal 5 3 3 2 6 4" xfId="10267" xr:uid="{CC3DB42B-D626-47C7-85D2-43835E6674FC}"/>
    <cellStyle name="Normal 5 3 3 2 7" xfId="2161" xr:uid="{00000000-0005-0000-0000-0000BE190000}"/>
    <cellStyle name="Normal 5 3 3 2 7 2" xfId="4390" xr:uid="{00000000-0005-0000-0000-0000BF190000}"/>
    <cellStyle name="Normal 5 3 3 2 7 2 2" xfId="8614" xr:uid="{00000000-0005-0000-0000-0000C0190000}"/>
    <cellStyle name="Normal 5 3 3 2 7 2 2 2" xfId="17043" xr:uid="{7B426E6E-28BC-42AE-B2A2-04C7E5ABA11B}"/>
    <cellStyle name="Normal 5 3 3 2 7 2 3" xfId="12825" xr:uid="{B25B5752-EFDF-4A15-94A2-2341F429DA8A}"/>
    <cellStyle name="Normal 5 3 3 2 7 3" xfId="6469" xr:uid="{00000000-0005-0000-0000-0000C1190000}"/>
    <cellStyle name="Normal 5 3 3 2 7 3 2" xfId="14898" xr:uid="{D8ADEE07-3783-4D8E-8B65-9AAB23E4D505}"/>
    <cellStyle name="Normal 5 3 3 2 7 4" xfId="10680" xr:uid="{CA3885F8-97BA-49CB-8E6D-83554B420B57}"/>
    <cellStyle name="Normal 5 3 3 2 8" xfId="2597" xr:uid="{00000000-0005-0000-0000-0000C2190000}"/>
    <cellStyle name="Normal 5 3 3 2 8 2" xfId="6882" xr:uid="{00000000-0005-0000-0000-0000C3190000}"/>
    <cellStyle name="Normal 5 3 3 2 8 2 2" xfId="15311" xr:uid="{1C988E93-7C8F-48A6-B432-6FCACB5C8AEC}"/>
    <cellStyle name="Normal 5 3 3 2 8 3" xfId="11093" xr:uid="{5A818EC2-EC90-43FD-995B-E8CBB3856E05}"/>
    <cellStyle name="Normal 5 3 3 2 9" xfId="4817" xr:uid="{00000000-0005-0000-0000-0000C4190000}"/>
    <cellStyle name="Normal 5 3 3 2 9 2" xfId="13246" xr:uid="{08EBFF8F-36F6-4D40-A9D9-5E42E95DD405}"/>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2 2 2" xfId="15809" xr:uid="{2DF9C48C-933F-48C8-AA9B-C3BF258E3F56}"/>
    <cellStyle name="Normal 5 3 3 3 2 2 2 3" xfId="11591" xr:uid="{7F31DF51-9356-4B37-959C-ACE7F550E854}"/>
    <cellStyle name="Normal 5 3 3 3 2 2 3" xfId="5235" xr:uid="{00000000-0005-0000-0000-0000CA190000}"/>
    <cellStyle name="Normal 5 3 3 3 2 2 3 2" xfId="13664" xr:uid="{4DB6ADF1-ADAB-4BFF-B79B-170B46E2668D}"/>
    <cellStyle name="Normal 5 3 3 3 2 2 4" xfId="9446" xr:uid="{C7C86256-DEDA-41F7-9F50-003536AEF8F5}"/>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2 2 2" xfId="16222" xr:uid="{DC176D84-5012-462E-BB6E-5CD50E858996}"/>
    <cellStyle name="Normal 5 3 3 3 2 3 2 3" xfId="12004" xr:uid="{29506384-5541-416A-8375-501595B2FCA0}"/>
    <cellStyle name="Normal 5 3 3 3 2 3 3" xfId="5648" xr:uid="{00000000-0005-0000-0000-0000CE190000}"/>
    <cellStyle name="Normal 5 3 3 3 2 3 3 2" xfId="14077" xr:uid="{7ABEFDC6-ABAF-4020-9991-DEFC156E3CE8}"/>
    <cellStyle name="Normal 5 3 3 3 2 3 4" xfId="9859" xr:uid="{249EC7BA-214D-4D49-BC66-C7270D433B56}"/>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2 2 2" xfId="16635" xr:uid="{73C6241D-FF64-4FD5-8C1D-F43D21E7C200}"/>
    <cellStyle name="Normal 5 3 3 3 2 4 2 3" xfId="12417" xr:uid="{0A5DE9E0-E65D-47E1-9675-90CB28E556EF}"/>
    <cellStyle name="Normal 5 3 3 3 2 4 3" xfId="6061" xr:uid="{00000000-0005-0000-0000-0000D2190000}"/>
    <cellStyle name="Normal 5 3 3 3 2 4 3 2" xfId="14490" xr:uid="{49B40D08-6E21-4C71-9D5C-B884CAD68330}"/>
    <cellStyle name="Normal 5 3 3 3 2 4 4" xfId="10272" xr:uid="{F8A40C89-33A1-4E19-AB2A-42C52A6DBF6F}"/>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2 2 2" xfId="17048" xr:uid="{7C796845-E6B0-46EC-ABF5-87D8E37CDCB4}"/>
    <cellStyle name="Normal 5 3 3 3 2 5 2 3" xfId="12830" xr:uid="{04136E40-D857-4C2C-9C06-C9A1ACE12287}"/>
    <cellStyle name="Normal 5 3 3 3 2 5 3" xfId="6474" xr:uid="{00000000-0005-0000-0000-0000D6190000}"/>
    <cellStyle name="Normal 5 3 3 3 2 5 3 2" xfId="14903" xr:uid="{9C053603-7ACC-426A-B873-8E3B46AA07AF}"/>
    <cellStyle name="Normal 5 3 3 3 2 5 4" xfId="10685" xr:uid="{407F8644-E33E-4F71-956D-7A2514A4CB3C}"/>
    <cellStyle name="Normal 5 3 3 3 2 6" xfId="2602" xr:uid="{00000000-0005-0000-0000-0000D7190000}"/>
    <cellStyle name="Normal 5 3 3 3 2 6 2" xfId="6887" xr:uid="{00000000-0005-0000-0000-0000D8190000}"/>
    <cellStyle name="Normal 5 3 3 3 2 6 2 2" xfId="15316" xr:uid="{20BD2F47-7592-4AEF-9FAD-34E5999FE484}"/>
    <cellStyle name="Normal 5 3 3 3 2 6 3" xfId="11098" xr:uid="{97068328-C4A1-4B84-A99F-E4AF0043AAEA}"/>
    <cellStyle name="Normal 5 3 3 3 2 7" xfId="4822" xr:uid="{00000000-0005-0000-0000-0000D9190000}"/>
    <cellStyle name="Normal 5 3 3 3 2 7 2" xfId="13251" xr:uid="{76087FF0-BAAF-4371-91DC-9AD0348C7927}"/>
    <cellStyle name="Normal 5 3 3 3 2 8" xfId="9033" xr:uid="{F212ED37-EFEB-4870-ACF6-506AE389AC25}"/>
    <cellStyle name="Normal 5 3 3 3 3" xfId="921" xr:uid="{00000000-0005-0000-0000-0000DA190000}"/>
    <cellStyle name="Normal 5 3 3 3 3 2" xfId="3155" xr:uid="{00000000-0005-0000-0000-0000DB190000}"/>
    <cellStyle name="Normal 5 3 3 3 3 2 2" xfId="7379" xr:uid="{00000000-0005-0000-0000-0000DC190000}"/>
    <cellStyle name="Normal 5 3 3 3 3 2 2 2" xfId="15808" xr:uid="{EF269461-AE15-4ABA-BCAF-307032ADA1B3}"/>
    <cellStyle name="Normal 5 3 3 3 3 2 3" xfId="11590" xr:uid="{A27BEC0C-BB21-4D9F-957D-9F68494A8F0F}"/>
    <cellStyle name="Normal 5 3 3 3 3 3" xfId="5234" xr:uid="{00000000-0005-0000-0000-0000DD190000}"/>
    <cellStyle name="Normal 5 3 3 3 3 3 2" xfId="13663" xr:uid="{CF9D6417-213D-4EE3-8F25-0921FCCCF472}"/>
    <cellStyle name="Normal 5 3 3 3 3 4" xfId="9445" xr:uid="{EC6626EC-C9DB-47F2-B9D1-9FCFE4377A57}"/>
    <cellStyle name="Normal 5 3 3 3 4" xfId="1338" xr:uid="{00000000-0005-0000-0000-0000DE190000}"/>
    <cellStyle name="Normal 5 3 3 3 4 2" xfId="3568" xr:uid="{00000000-0005-0000-0000-0000DF190000}"/>
    <cellStyle name="Normal 5 3 3 3 4 2 2" xfId="7792" xr:uid="{00000000-0005-0000-0000-0000E0190000}"/>
    <cellStyle name="Normal 5 3 3 3 4 2 2 2" xfId="16221" xr:uid="{88B67DB3-A827-4970-8BC2-3700239B6556}"/>
    <cellStyle name="Normal 5 3 3 3 4 2 3" xfId="12003" xr:uid="{AD4748DF-3436-43C7-A124-9A759F697D3D}"/>
    <cellStyle name="Normal 5 3 3 3 4 3" xfId="5647" xr:uid="{00000000-0005-0000-0000-0000E1190000}"/>
    <cellStyle name="Normal 5 3 3 3 4 3 2" xfId="14076" xr:uid="{98851608-0B66-457F-BF9D-CAE580E30117}"/>
    <cellStyle name="Normal 5 3 3 3 4 4" xfId="9858" xr:uid="{D6D3E647-5135-4E7F-9910-ACCC174B3C26}"/>
    <cellStyle name="Normal 5 3 3 3 5" xfId="1751" xr:uid="{00000000-0005-0000-0000-0000E2190000}"/>
    <cellStyle name="Normal 5 3 3 3 5 2" xfId="3981" xr:uid="{00000000-0005-0000-0000-0000E3190000}"/>
    <cellStyle name="Normal 5 3 3 3 5 2 2" xfId="8205" xr:uid="{00000000-0005-0000-0000-0000E4190000}"/>
    <cellStyle name="Normal 5 3 3 3 5 2 2 2" xfId="16634" xr:uid="{1E188B52-AF76-4982-83B0-E70DDAC0D5D2}"/>
    <cellStyle name="Normal 5 3 3 3 5 2 3" xfId="12416" xr:uid="{35F8445C-D4A6-438C-A70E-EE89CB6F59D1}"/>
    <cellStyle name="Normal 5 3 3 3 5 3" xfId="6060" xr:uid="{00000000-0005-0000-0000-0000E5190000}"/>
    <cellStyle name="Normal 5 3 3 3 5 3 2" xfId="14489" xr:uid="{8C2C5C5E-EB2C-4C19-8EC7-EB97340023A1}"/>
    <cellStyle name="Normal 5 3 3 3 5 4" xfId="10271" xr:uid="{DBC83337-84CD-489E-AEC8-4AD477BD7D24}"/>
    <cellStyle name="Normal 5 3 3 3 6" xfId="2165" xr:uid="{00000000-0005-0000-0000-0000E6190000}"/>
    <cellStyle name="Normal 5 3 3 3 6 2" xfId="4394" xr:uid="{00000000-0005-0000-0000-0000E7190000}"/>
    <cellStyle name="Normal 5 3 3 3 6 2 2" xfId="8618" xr:uid="{00000000-0005-0000-0000-0000E8190000}"/>
    <cellStyle name="Normal 5 3 3 3 6 2 2 2" xfId="17047" xr:uid="{5F3D9031-393B-4FA5-BB65-0525BA9079C5}"/>
    <cellStyle name="Normal 5 3 3 3 6 2 3" xfId="12829" xr:uid="{07DE2152-6B0C-405B-AC5C-77E7C2CA0D33}"/>
    <cellStyle name="Normal 5 3 3 3 6 3" xfId="6473" xr:uid="{00000000-0005-0000-0000-0000E9190000}"/>
    <cellStyle name="Normal 5 3 3 3 6 3 2" xfId="14902" xr:uid="{8CEC2C43-287E-4A48-9A6C-4AF303D54616}"/>
    <cellStyle name="Normal 5 3 3 3 6 4" xfId="10684" xr:uid="{9F5970F7-F800-461E-84BC-36695DD205E7}"/>
    <cellStyle name="Normal 5 3 3 3 7" xfId="2601" xr:uid="{00000000-0005-0000-0000-0000EA190000}"/>
    <cellStyle name="Normal 5 3 3 3 7 2" xfId="6886" xr:uid="{00000000-0005-0000-0000-0000EB190000}"/>
    <cellStyle name="Normal 5 3 3 3 7 2 2" xfId="15315" xr:uid="{5EE2F672-5BF3-4829-9C65-B0E177EA8FB6}"/>
    <cellStyle name="Normal 5 3 3 3 7 3" xfId="11097" xr:uid="{337CB948-B24B-44C9-B4AA-EE139DF92329}"/>
    <cellStyle name="Normal 5 3 3 3 8" xfId="4821" xr:uid="{00000000-0005-0000-0000-0000EC190000}"/>
    <cellStyle name="Normal 5 3 3 3 8 2" xfId="13250" xr:uid="{8AD95688-2CA2-46EB-82E2-742B30EFD294}"/>
    <cellStyle name="Normal 5 3 3 3 9" xfId="9032" xr:uid="{8BBCAA1A-8CEB-438F-A94C-3E19B7222485}"/>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2 2 2" xfId="15810" xr:uid="{922F1511-2595-4290-9C5B-6F4A55BCF825}"/>
    <cellStyle name="Normal 5 3 3 4 2 2 3" xfId="11592" xr:uid="{4E6C4F9A-B88A-4234-B893-1D70A1675B76}"/>
    <cellStyle name="Normal 5 3 3 4 2 3" xfId="5236" xr:uid="{00000000-0005-0000-0000-0000F1190000}"/>
    <cellStyle name="Normal 5 3 3 4 2 3 2" xfId="13665" xr:uid="{CDFA9C05-3B15-46FE-85C1-0CE76F1B27ED}"/>
    <cellStyle name="Normal 5 3 3 4 2 4" xfId="9447" xr:uid="{8E6AB007-E71A-402E-ADDF-99FA8BDFB774}"/>
    <cellStyle name="Normal 5 3 3 4 3" xfId="1340" xr:uid="{00000000-0005-0000-0000-0000F2190000}"/>
    <cellStyle name="Normal 5 3 3 4 3 2" xfId="3570" xr:uid="{00000000-0005-0000-0000-0000F3190000}"/>
    <cellStyle name="Normal 5 3 3 4 3 2 2" xfId="7794" xr:uid="{00000000-0005-0000-0000-0000F4190000}"/>
    <cellStyle name="Normal 5 3 3 4 3 2 2 2" xfId="16223" xr:uid="{32FB85EF-446D-46AD-ABD7-C6FB3D917671}"/>
    <cellStyle name="Normal 5 3 3 4 3 2 3" xfId="12005" xr:uid="{D112F13F-1963-452F-951F-C2687D87E576}"/>
    <cellStyle name="Normal 5 3 3 4 3 3" xfId="5649" xr:uid="{00000000-0005-0000-0000-0000F5190000}"/>
    <cellStyle name="Normal 5 3 3 4 3 3 2" xfId="14078" xr:uid="{7C4702E9-09EC-48D5-8908-2B1C7C5E4778}"/>
    <cellStyle name="Normal 5 3 3 4 3 4" xfId="9860" xr:uid="{E2243D39-D846-4098-BB94-426A8CEBA4AC}"/>
    <cellStyle name="Normal 5 3 3 4 4" xfId="1753" xr:uid="{00000000-0005-0000-0000-0000F6190000}"/>
    <cellStyle name="Normal 5 3 3 4 4 2" xfId="3983" xr:uid="{00000000-0005-0000-0000-0000F7190000}"/>
    <cellStyle name="Normal 5 3 3 4 4 2 2" xfId="8207" xr:uid="{00000000-0005-0000-0000-0000F8190000}"/>
    <cellStyle name="Normal 5 3 3 4 4 2 2 2" xfId="16636" xr:uid="{93CA28E2-9E53-4CDD-989C-D0046C864BFA}"/>
    <cellStyle name="Normal 5 3 3 4 4 2 3" xfId="12418" xr:uid="{36A649EC-776C-42E0-AF60-7E9BA671D5D6}"/>
    <cellStyle name="Normal 5 3 3 4 4 3" xfId="6062" xr:uid="{00000000-0005-0000-0000-0000F9190000}"/>
    <cellStyle name="Normal 5 3 3 4 4 3 2" xfId="14491" xr:uid="{BACFDFB8-E618-4544-A518-8C92962A4654}"/>
    <cellStyle name="Normal 5 3 3 4 4 4" xfId="10273" xr:uid="{0670C71A-6278-4245-92E4-C03AF403FA12}"/>
    <cellStyle name="Normal 5 3 3 4 5" xfId="2167" xr:uid="{00000000-0005-0000-0000-0000FA190000}"/>
    <cellStyle name="Normal 5 3 3 4 5 2" xfId="4396" xr:uid="{00000000-0005-0000-0000-0000FB190000}"/>
    <cellStyle name="Normal 5 3 3 4 5 2 2" xfId="8620" xr:uid="{00000000-0005-0000-0000-0000FC190000}"/>
    <cellStyle name="Normal 5 3 3 4 5 2 2 2" xfId="17049" xr:uid="{7D4F4BF6-7641-4AF7-917C-5FF42185334D}"/>
    <cellStyle name="Normal 5 3 3 4 5 2 3" xfId="12831" xr:uid="{E4F7C482-6824-4B99-813F-879D2ABA1D4A}"/>
    <cellStyle name="Normal 5 3 3 4 5 3" xfId="6475" xr:uid="{00000000-0005-0000-0000-0000FD190000}"/>
    <cellStyle name="Normal 5 3 3 4 5 3 2" xfId="14904" xr:uid="{BFC451AB-A80D-4B19-96FC-D1AA54C2BFC7}"/>
    <cellStyle name="Normal 5 3 3 4 5 4" xfId="10686" xr:uid="{B1EB2B80-EAC3-4329-914D-95DFF645CFAB}"/>
    <cellStyle name="Normal 5 3 3 4 6" xfId="2603" xr:uid="{00000000-0005-0000-0000-0000FE190000}"/>
    <cellStyle name="Normal 5 3 3 4 6 2" xfId="6888" xr:uid="{00000000-0005-0000-0000-0000FF190000}"/>
    <cellStyle name="Normal 5 3 3 4 6 2 2" xfId="15317" xr:uid="{ECAB9320-E35B-4266-ADA4-23DCDF44317E}"/>
    <cellStyle name="Normal 5 3 3 4 6 3" xfId="11099" xr:uid="{73366BFF-B6DC-408D-BB78-2927AA09BB6C}"/>
    <cellStyle name="Normal 5 3 3 4 7" xfId="4823" xr:uid="{00000000-0005-0000-0000-0000001A0000}"/>
    <cellStyle name="Normal 5 3 3 4 7 2" xfId="13252" xr:uid="{F5720AFE-18CB-48C3-9A68-18E330CF46CF}"/>
    <cellStyle name="Normal 5 3 3 4 8" xfId="9034" xr:uid="{92922ED6-7010-472E-9C68-D2BBF847D082}"/>
    <cellStyle name="Normal 5 3 3 5" xfId="916" xr:uid="{00000000-0005-0000-0000-0000011A0000}"/>
    <cellStyle name="Normal 5 3 3 5 2" xfId="3150" xr:uid="{00000000-0005-0000-0000-0000021A0000}"/>
    <cellStyle name="Normal 5 3 3 5 2 2" xfId="7374" xr:uid="{00000000-0005-0000-0000-0000031A0000}"/>
    <cellStyle name="Normal 5 3 3 5 2 2 2" xfId="15803" xr:uid="{C07EED5F-C624-4C2B-AE4F-C5BA5E7A84D5}"/>
    <cellStyle name="Normal 5 3 3 5 2 3" xfId="11585" xr:uid="{9D90CB5E-94B1-4241-953C-23B6C45836D0}"/>
    <cellStyle name="Normal 5 3 3 5 3" xfId="5229" xr:uid="{00000000-0005-0000-0000-0000041A0000}"/>
    <cellStyle name="Normal 5 3 3 5 3 2" xfId="13658" xr:uid="{27F7BD21-EA86-4D23-88F6-0A0564A63308}"/>
    <cellStyle name="Normal 5 3 3 5 4" xfId="9440" xr:uid="{9F53D079-92C3-439D-A6DA-D5C9C4415F94}"/>
    <cellStyle name="Normal 5 3 3 6" xfId="1333" xr:uid="{00000000-0005-0000-0000-0000051A0000}"/>
    <cellStyle name="Normal 5 3 3 6 2" xfId="3563" xr:uid="{00000000-0005-0000-0000-0000061A0000}"/>
    <cellStyle name="Normal 5 3 3 6 2 2" xfId="7787" xr:uid="{00000000-0005-0000-0000-0000071A0000}"/>
    <cellStyle name="Normal 5 3 3 6 2 2 2" xfId="16216" xr:uid="{0E44AA65-5D7A-4672-B830-531122DF0ACB}"/>
    <cellStyle name="Normal 5 3 3 6 2 3" xfId="11998" xr:uid="{EBB15133-EDF0-4ABF-9B2D-3BC87EF5D614}"/>
    <cellStyle name="Normal 5 3 3 6 3" xfId="5642" xr:uid="{00000000-0005-0000-0000-0000081A0000}"/>
    <cellStyle name="Normal 5 3 3 6 3 2" xfId="14071" xr:uid="{2EA53F0F-4E02-4F7D-948D-680C76BAC244}"/>
    <cellStyle name="Normal 5 3 3 6 4" xfId="9853" xr:uid="{AD56D2FF-BD0A-428B-B278-5FB5435D784B}"/>
    <cellStyle name="Normal 5 3 3 7" xfId="1746" xr:uid="{00000000-0005-0000-0000-0000091A0000}"/>
    <cellStyle name="Normal 5 3 3 7 2" xfId="3976" xr:uid="{00000000-0005-0000-0000-00000A1A0000}"/>
    <cellStyle name="Normal 5 3 3 7 2 2" xfId="8200" xr:uid="{00000000-0005-0000-0000-00000B1A0000}"/>
    <cellStyle name="Normal 5 3 3 7 2 2 2" xfId="16629" xr:uid="{24BDBC41-353F-469E-A929-27280AFD138C}"/>
    <cellStyle name="Normal 5 3 3 7 2 3" xfId="12411" xr:uid="{C085490A-7812-4FDD-8438-81FEADD155E9}"/>
    <cellStyle name="Normal 5 3 3 7 3" xfId="6055" xr:uid="{00000000-0005-0000-0000-00000C1A0000}"/>
    <cellStyle name="Normal 5 3 3 7 3 2" xfId="14484" xr:uid="{614BAD3F-FCA4-4DA2-9509-187CFC38401C}"/>
    <cellStyle name="Normal 5 3 3 7 4" xfId="10266" xr:uid="{5BBCD82F-99F6-45BF-BB49-20F48B2666C2}"/>
    <cellStyle name="Normal 5 3 3 8" xfId="2160" xr:uid="{00000000-0005-0000-0000-00000D1A0000}"/>
    <cellStyle name="Normal 5 3 3 8 2" xfId="4389" xr:uid="{00000000-0005-0000-0000-00000E1A0000}"/>
    <cellStyle name="Normal 5 3 3 8 2 2" xfId="8613" xr:uid="{00000000-0005-0000-0000-00000F1A0000}"/>
    <cellStyle name="Normal 5 3 3 8 2 2 2" xfId="17042" xr:uid="{48A93A6C-2784-4E61-AAC8-35E68DC16525}"/>
    <cellStyle name="Normal 5 3 3 8 2 3" xfId="12824" xr:uid="{260426FD-B8D0-4649-9A79-F258FECFECC2}"/>
    <cellStyle name="Normal 5 3 3 8 3" xfId="6468" xr:uid="{00000000-0005-0000-0000-0000101A0000}"/>
    <cellStyle name="Normal 5 3 3 8 3 2" xfId="14897" xr:uid="{CE987704-CC2C-40A7-AAF4-3515DD303267}"/>
    <cellStyle name="Normal 5 3 3 8 4" xfId="10679" xr:uid="{54BF414A-B554-481E-98A5-306E707188A5}"/>
    <cellStyle name="Normal 5 3 3 9" xfId="2596" xr:uid="{00000000-0005-0000-0000-0000111A0000}"/>
    <cellStyle name="Normal 5 3 3 9 2" xfId="6881" xr:uid="{00000000-0005-0000-0000-0000121A0000}"/>
    <cellStyle name="Normal 5 3 3 9 2 2" xfId="15310" xr:uid="{3A30BDE8-7A30-465B-A101-3E8AA2CD0287}"/>
    <cellStyle name="Normal 5 3 3 9 3" xfId="11092" xr:uid="{01A227C4-EABE-49BF-B6F6-614A362E214D}"/>
    <cellStyle name="Normal 5 3 4" xfId="449" xr:uid="{00000000-0005-0000-0000-0000131A0000}"/>
    <cellStyle name="Normal 5 3 4 10" xfId="9035" xr:uid="{1054BF51-031C-4145-A9BC-1110F4D058BC}"/>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2 2 2" xfId="15813" xr:uid="{1C026AD5-960E-4466-B561-6D1CA8B299F7}"/>
    <cellStyle name="Normal 5 3 4 2 2 2 2 3" xfId="11595" xr:uid="{9D07F889-6A18-4558-B91E-FF20D4B29BA0}"/>
    <cellStyle name="Normal 5 3 4 2 2 2 3" xfId="5239" xr:uid="{00000000-0005-0000-0000-0000191A0000}"/>
    <cellStyle name="Normal 5 3 4 2 2 2 3 2" xfId="13668" xr:uid="{5FB820DD-7D32-4BEE-9F91-17AB1C906218}"/>
    <cellStyle name="Normal 5 3 4 2 2 2 4" xfId="9450" xr:uid="{8291A433-37B4-4D38-9312-7FB50C0DA20E}"/>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2 2 2" xfId="16226" xr:uid="{47C7F987-51D0-464F-BCD7-54514426A126}"/>
    <cellStyle name="Normal 5 3 4 2 2 3 2 3" xfId="12008" xr:uid="{3AF39AB1-FE0B-4C25-ADEB-CC3C9342BEDF}"/>
    <cellStyle name="Normal 5 3 4 2 2 3 3" xfId="5652" xr:uid="{00000000-0005-0000-0000-00001D1A0000}"/>
    <cellStyle name="Normal 5 3 4 2 2 3 3 2" xfId="14081" xr:uid="{69B83460-27B3-402F-AFBF-8770D0FD60CC}"/>
    <cellStyle name="Normal 5 3 4 2 2 3 4" xfId="9863" xr:uid="{ADDD2C29-9F8C-4957-AE60-B89D461FEDAD}"/>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2 2 2" xfId="16639" xr:uid="{090E0266-CB10-46D2-BDD3-2936ED7F86B1}"/>
    <cellStyle name="Normal 5 3 4 2 2 4 2 3" xfId="12421" xr:uid="{A2934DBD-8FA5-4A1E-9E52-0D4D21BC3BB0}"/>
    <cellStyle name="Normal 5 3 4 2 2 4 3" xfId="6065" xr:uid="{00000000-0005-0000-0000-0000211A0000}"/>
    <cellStyle name="Normal 5 3 4 2 2 4 3 2" xfId="14494" xr:uid="{9CA2E79B-8CD3-469C-88AD-F988FB077FA5}"/>
    <cellStyle name="Normal 5 3 4 2 2 4 4" xfId="10276" xr:uid="{B23E6326-66C3-4DAF-853F-607700D47561}"/>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2 2 2" xfId="17052" xr:uid="{812686C5-D247-40FD-BA3A-9287D4A329ED}"/>
    <cellStyle name="Normal 5 3 4 2 2 5 2 3" xfId="12834" xr:uid="{537EC601-C72B-4EC7-AF2E-5F798061498A}"/>
    <cellStyle name="Normal 5 3 4 2 2 5 3" xfId="6478" xr:uid="{00000000-0005-0000-0000-0000251A0000}"/>
    <cellStyle name="Normal 5 3 4 2 2 5 3 2" xfId="14907" xr:uid="{54D949C9-4677-4308-B35E-4C4E962375B2}"/>
    <cellStyle name="Normal 5 3 4 2 2 5 4" xfId="10689" xr:uid="{CDDA9024-39BB-424C-AFA9-67F376A89D65}"/>
    <cellStyle name="Normal 5 3 4 2 2 6" xfId="2606" xr:uid="{00000000-0005-0000-0000-0000261A0000}"/>
    <cellStyle name="Normal 5 3 4 2 2 6 2" xfId="6891" xr:uid="{00000000-0005-0000-0000-0000271A0000}"/>
    <cellStyle name="Normal 5 3 4 2 2 6 2 2" xfId="15320" xr:uid="{3AF9CECC-A91E-4B2B-B57E-3CC3BF4895B7}"/>
    <cellStyle name="Normal 5 3 4 2 2 6 3" xfId="11102" xr:uid="{6E1D941F-1FC0-4C35-9110-27BC4CB91F68}"/>
    <cellStyle name="Normal 5 3 4 2 2 7" xfId="4826" xr:uid="{00000000-0005-0000-0000-0000281A0000}"/>
    <cellStyle name="Normal 5 3 4 2 2 7 2" xfId="13255" xr:uid="{B7964F18-13C7-426C-A1DB-F180F65BEFF0}"/>
    <cellStyle name="Normal 5 3 4 2 2 8" xfId="9037" xr:uid="{3BA5A6FF-5B6C-45DD-BB2A-7B57D560707C}"/>
    <cellStyle name="Normal 5 3 4 2 3" xfId="925" xr:uid="{00000000-0005-0000-0000-0000291A0000}"/>
    <cellStyle name="Normal 5 3 4 2 3 2" xfId="3159" xr:uid="{00000000-0005-0000-0000-00002A1A0000}"/>
    <cellStyle name="Normal 5 3 4 2 3 2 2" xfId="7383" xr:uid="{00000000-0005-0000-0000-00002B1A0000}"/>
    <cellStyle name="Normal 5 3 4 2 3 2 2 2" xfId="15812" xr:uid="{B219C34E-E904-497D-B7AF-3326795EB75C}"/>
    <cellStyle name="Normal 5 3 4 2 3 2 3" xfId="11594" xr:uid="{9032A58B-435A-4B0F-B99B-002C24812236}"/>
    <cellStyle name="Normal 5 3 4 2 3 3" xfId="5238" xr:uid="{00000000-0005-0000-0000-00002C1A0000}"/>
    <cellStyle name="Normal 5 3 4 2 3 3 2" xfId="13667" xr:uid="{B72405AA-920E-4495-9559-4D35A1991D6E}"/>
    <cellStyle name="Normal 5 3 4 2 3 4" xfId="9449" xr:uid="{B6B6236F-FA6F-49F3-9444-A42EFB13B2A9}"/>
    <cellStyle name="Normal 5 3 4 2 4" xfId="1342" xr:uid="{00000000-0005-0000-0000-00002D1A0000}"/>
    <cellStyle name="Normal 5 3 4 2 4 2" xfId="3572" xr:uid="{00000000-0005-0000-0000-00002E1A0000}"/>
    <cellStyle name="Normal 5 3 4 2 4 2 2" xfId="7796" xr:uid="{00000000-0005-0000-0000-00002F1A0000}"/>
    <cellStyle name="Normal 5 3 4 2 4 2 2 2" xfId="16225" xr:uid="{8C911D21-F0BD-4D10-AC76-FA5905D314A8}"/>
    <cellStyle name="Normal 5 3 4 2 4 2 3" xfId="12007" xr:uid="{C548AC3B-2B7E-4FE2-8F52-8E865F3DB9BA}"/>
    <cellStyle name="Normal 5 3 4 2 4 3" xfId="5651" xr:uid="{00000000-0005-0000-0000-0000301A0000}"/>
    <cellStyle name="Normal 5 3 4 2 4 3 2" xfId="14080" xr:uid="{0C22EC76-E6D7-47F8-BBE9-DB41047CD6D3}"/>
    <cellStyle name="Normal 5 3 4 2 4 4" xfId="9862" xr:uid="{981ED81C-BDAA-40B9-8C12-67A53A3EF79C}"/>
    <cellStyle name="Normal 5 3 4 2 5" xfId="1755" xr:uid="{00000000-0005-0000-0000-0000311A0000}"/>
    <cellStyle name="Normal 5 3 4 2 5 2" xfId="3985" xr:uid="{00000000-0005-0000-0000-0000321A0000}"/>
    <cellStyle name="Normal 5 3 4 2 5 2 2" xfId="8209" xr:uid="{00000000-0005-0000-0000-0000331A0000}"/>
    <cellStyle name="Normal 5 3 4 2 5 2 2 2" xfId="16638" xr:uid="{BF8A151E-D7E4-4E0D-8E6A-0FE12FD33528}"/>
    <cellStyle name="Normal 5 3 4 2 5 2 3" xfId="12420" xr:uid="{9139CB62-BE89-48D0-A94A-068763DF5DAB}"/>
    <cellStyle name="Normal 5 3 4 2 5 3" xfId="6064" xr:uid="{00000000-0005-0000-0000-0000341A0000}"/>
    <cellStyle name="Normal 5 3 4 2 5 3 2" xfId="14493" xr:uid="{05126223-2375-4D2C-A417-B378E905206E}"/>
    <cellStyle name="Normal 5 3 4 2 5 4" xfId="10275" xr:uid="{513715A7-D0F4-42DB-8886-D9D08AA7601C}"/>
    <cellStyle name="Normal 5 3 4 2 6" xfId="2169" xr:uid="{00000000-0005-0000-0000-0000351A0000}"/>
    <cellStyle name="Normal 5 3 4 2 6 2" xfId="4398" xr:uid="{00000000-0005-0000-0000-0000361A0000}"/>
    <cellStyle name="Normal 5 3 4 2 6 2 2" xfId="8622" xr:uid="{00000000-0005-0000-0000-0000371A0000}"/>
    <cellStyle name="Normal 5 3 4 2 6 2 2 2" xfId="17051" xr:uid="{E5BF4C02-AE3A-4185-9561-138815EE9ACC}"/>
    <cellStyle name="Normal 5 3 4 2 6 2 3" xfId="12833" xr:uid="{82C828C1-BBAF-42BD-97E9-9816A58004CF}"/>
    <cellStyle name="Normal 5 3 4 2 6 3" xfId="6477" xr:uid="{00000000-0005-0000-0000-0000381A0000}"/>
    <cellStyle name="Normal 5 3 4 2 6 3 2" xfId="14906" xr:uid="{006E4B91-5698-4868-AE74-ACAB4D33E96E}"/>
    <cellStyle name="Normal 5 3 4 2 6 4" xfId="10688" xr:uid="{FB2654B1-0934-42AF-A8FE-B1EECCAB5DC4}"/>
    <cellStyle name="Normal 5 3 4 2 7" xfId="2605" xr:uid="{00000000-0005-0000-0000-0000391A0000}"/>
    <cellStyle name="Normal 5 3 4 2 7 2" xfId="6890" xr:uid="{00000000-0005-0000-0000-00003A1A0000}"/>
    <cellStyle name="Normal 5 3 4 2 7 2 2" xfId="15319" xr:uid="{6A3C59DA-B005-4EA7-9E65-F2B5B797EC04}"/>
    <cellStyle name="Normal 5 3 4 2 7 3" xfId="11101" xr:uid="{8F3393EA-7597-4355-97DE-A33C043B3B27}"/>
    <cellStyle name="Normal 5 3 4 2 8" xfId="4825" xr:uid="{00000000-0005-0000-0000-00003B1A0000}"/>
    <cellStyle name="Normal 5 3 4 2 8 2" xfId="13254" xr:uid="{F3ECE42A-C3B3-4B0D-9B42-F318FEE60256}"/>
    <cellStyle name="Normal 5 3 4 2 9" xfId="9036" xr:uid="{175B9AF1-CEE7-463D-89A3-75A848A8609A}"/>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2 2 2" xfId="15814" xr:uid="{8486C959-2ECB-4DFE-B6DF-26420AF83E60}"/>
    <cellStyle name="Normal 5 3 4 3 2 2 3" xfId="11596" xr:uid="{02BDF261-75FE-4328-9A47-6F9E6638782C}"/>
    <cellStyle name="Normal 5 3 4 3 2 3" xfId="5240" xr:uid="{00000000-0005-0000-0000-0000401A0000}"/>
    <cellStyle name="Normal 5 3 4 3 2 3 2" xfId="13669" xr:uid="{C9ED2852-EE0C-43A4-8DC5-11E84A62D703}"/>
    <cellStyle name="Normal 5 3 4 3 2 4" xfId="9451" xr:uid="{3FFE02BD-47FC-44FA-B0CF-68881E77FF2B}"/>
    <cellStyle name="Normal 5 3 4 3 3" xfId="1344" xr:uid="{00000000-0005-0000-0000-0000411A0000}"/>
    <cellStyle name="Normal 5 3 4 3 3 2" xfId="3574" xr:uid="{00000000-0005-0000-0000-0000421A0000}"/>
    <cellStyle name="Normal 5 3 4 3 3 2 2" xfId="7798" xr:uid="{00000000-0005-0000-0000-0000431A0000}"/>
    <cellStyle name="Normal 5 3 4 3 3 2 2 2" xfId="16227" xr:uid="{D8EF9ECB-D324-4FDB-84C2-14BD2FBFB040}"/>
    <cellStyle name="Normal 5 3 4 3 3 2 3" xfId="12009" xr:uid="{06FF16CB-C3AD-4B26-A864-887E3C570A89}"/>
    <cellStyle name="Normal 5 3 4 3 3 3" xfId="5653" xr:uid="{00000000-0005-0000-0000-0000441A0000}"/>
    <cellStyle name="Normal 5 3 4 3 3 3 2" xfId="14082" xr:uid="{5E613B4F-1C87-4896-A44F-53C75551177F}"/>
    <cellStyle name="Normal 5 3 4 3 3 4" xfId="9864" xr:uid="{01ED0857-B38B-40FD-9E25-799C698078AD}"/>
    <cellStyle name="Normal 5 3 4 3 4" xfId="1757" xr:uid="{00000000-0005-0000-0000-0000451A0000}"/>
    <cellStyle name="Normal 5 3 4 3 4 2" xfId="3987" xr:uid="{00000000-0005-0000-0000-0000461A0000}"/>
    <cellStyle name="Normal 5 3 4 3 4 2 2" xfId="8211" xr:uid="{00000000-0005-0000-0000-0000471A0000}"/>
    <cellStyle name="Normal 5 3 4 3 4 2 2 2" xfId="16640" xr:uid="{73BC1AEC-351B-4E48-BDE2-BF3EC79A7682}"/>
    <cellStyle name="Normal 5 3 4 3 4 2 3" xfId="12422" xr:uid="{8FC68CC4-05EE-4FE5-826A-682DE0471A53}"/>
    <cellStyle name="Normal 5 3 4 3 4 3" xfId="6066" xr:uid="{00000000-0005-0000-0000-0000481A0000}"/>
    <cellStyle name="Normal 5 3 4 3 4 3 2" xfId="14495" xr:uid="{56724F21-4254-44E6-ADA1-5195D7B843CD}"/>
    <cellStyle name="Normal 5 3 4 3 4 4" xfId="10277" xr:uid="{0AE1FA41-5FD9-4467-9E5E-DDF1F4E90418}"/>
    <cellStyle name="Normal 5 3 4 3 5" xfId="2171" xr:uid="{00000000-0005-0000-0000-0000491A0000}"/>
    <cellStyle name="Normal 5 3 4 3 5 2" xfId="4400" xr:uid="{00000000-0005-0000-0000-00004A1A0000}"/>
    <cellStyle name="Normal 5 3 4 3 5 2 2" xfId="8624" xr:uid="{00000000-0005-0000-0000-00004B1A0000}"/>
    <cellStyle name="Normal 5 3 4 3 5 2 2 2" xfId="17053" xr:uid="{2ED6E1FD-359A-4D9C-B18A-E83E7F93881E}"/>
    <cellStyle name="Normal 5 3 4 3 5 2 3" xfId="12835" xr:uid="{C5B4CDD5-06A8-4742-B54D-95075B64974C}"/>
    <cellStyle name="Normal 5 3 4 3 5 3" xfId="6479" xr:uid="{00000000-0005-0000-0000-00004C1A0000}"/>
    <cellStyle name="Normal 5 3 4 3 5 3 2" xfId="14908" xr:uid="{844CC564-0E54-43F2-82E9-601ECDA44FCD}"/>
    <cellStyle name="Normal 5 3 4 3 5 4" xfId="10690" xr:uid="{ECEA9768-3413-461D-8891-07D7340F34A5}"/>
    <cellStyle name="Normal 5 3 4 3 6" xfId="2607" xr:uid="{00000000-0005-0000-0000-00004D1A0000}"/>
    <cellStyle name="Normal 5 3 4 3 6 2" xfId="6892" xr:uid="{00000000-0005-0000-0000-00004E1A0000}"/>
    <cellStyle name="Normal 5 3 4 3 6 2 2" xfId="15321" xr:uid="{5BD65D6D-49A5-4A2D-B9C6-566027769F37}"/>
    <cellStyle name="Normal 5 3 4 3 6 3" xfId="11103" xr:uid="{D1C6915F-5471-418F-BD19-A59D85CF3BF6}"/>
    <cellStyle name="Normal 5 3 4 3 7" xfId="4827" xr:uid="{00000000-0005-0000-0000-00004F1A0000}"/>
    <cellStyle name="Normal 5 3 4 3 7 2" xfId="13256" xr:uid="{EA032724-E900-46B0-B1EE-9D451AFFAB00}"/>
    <cellStyle name="Normal 5 3 4 3 8" xfId="9038" xr:uid="{CD30C30C-1053-4F73-AA80-9ACC3553DCAD}"/>
    <cellStyle name="Normal 5 3 4 4" xfId="924" xr:uid="{00000000-0005-0000-0000-0000501A0000}"/>
    <cellStyle name="Normal 5 3 4 4 2" xfId="3158" xr:uid="{00000000-0005-0000-0000-0000511A0000}"/>
    <cellStyle name="Normal 5 3 4 4 2 2" xfId="7382" xr:uid="{00000000-0005-0000-0000-0000521A0000}"/>
    <cellStyle name="Normal 5 3 4 4 2 2 2" xfId="15811" xr:uid="{8BC60718-E2A2-4E5B-94B2-1056E6091380}"/>
    <cellStyle name="Normal 5 3 4 4 2 3" xfId="11593" xr:uid="{BB74B200-9D35-431C-9187-9E070FB7A8BB}"/>
    <cellStyle name="Normal 5 3 4 4 3" xfId="5237" xr:uid="{00000000-0005-0000-0000-0000531A0000}"/>
    <cellStyle name="Normal 5 3 4 4 3 2" xfId="13666" xr:uid="{AF50BEC5-ECDC-4CAB-97EB-510B729674EB}"/>
    <cellStyle name="Normal 5 3 4 4 4" xfId="9448" xr:uid="{D5B6D266-AD7D-4C46-8C12-5439581F2C34}"/>
    <cellStyle name="Normal 5 3 4 5" xfId="1341" xr:uid="{00000000-0005-0000-0000-0000541A0000}"/>
    <cellStyle name="Normal 5 3 4 5 2" xfId="3571" xr:uid="{00000000-0005-0000-0000-0000551A0000}"/>
    <cellStyle name="Normal 5 3 4 5 2 2" xfId="7795" xr:uid="{00000000-0005-0000-0000-0000561A0000}"/>
    <cellStyle name="Normal 5 3 4 5 2 2 2" xfId="16224" xr:uid="{5E82F0C8-1A54-4115-8FBB-1D92F619F111}"/>
    <cellStyle name="Normal 5 3 4 5 2 3" xfId="12006" xr:uid="{E937E09B-C550-46B5-BF49-D70180FC3C3E}"/>
    <cellStyle name="Normal 5 3 4 5 3" xfId="5650" xr:uid="{00000000-0005-0000-0000-0000571A0000}"/>
    <cellStyle name="Normal 5 3 4 5 3 2" xfId="14079" xr:uid="{79DA59F1-7643-4884-83E6-6E53D64B27AB}"/>
    <cellStyle name="Normal 5 3 4 5 4" xfId="9861" xr:uid="{55A5959A-1BAA-4729-91DB-A5476D705A2B}"/>
    <cellStyle name="Normal 5 3 4 6" xfId="1754" xr:uid="{00000000-0005-0000-0000-0000581A0000}"/>
    <cellStyle name="Normal 5 3 4 6 2" xfId="3984" xr:uid="{00000000-0005-0000-0000-0000591A0000}"/>
    <cellStyle name="Normal 5 3 4 6 2 2" xfId="8208" xr:uid="{00000000-0005-0000-0000-00005A1A0000}"/>
    <cellStyle name="Normal 5 3 4 6 2 2 2" xfId="16637" xr:uid="{0FB9B3A1-F66C-4861-AF32-89CAC25B8C59}"/>
    <cellStyle name="Normal 5 3 4 6 2 3" xfId="12419" xr:uid="{837F34EF-8D6F-4D89-8DCD-E556A5C23C50}"/>
    <cellStyle name="Normal 5 3 4 6 3" xfId="6063" xr:uid="{00000000-0005-0000-0000-00005B1A0000}"/>
    <cellStyle name="Normal 5 3 4 6 3 2" xfId="14492" xr:uid="{45242596-65DE-4381-8D41-D4B96923B029}"/>
    <cellStyle name="Normal 5 3 4 6 4" xfId="10274" xr:uid="{A4A1BA3F-5FF6-42F5-8A06-1AFA8692051B}"/>
    <cellStyle name="Normal 5 3 4 7" xfId="2168" xr:uid="{00000000-0005-0000-0000-00005C1A0000}"/>
    <cellStyle name="Normal 5 3 4 7 2" xfId="4397" xr:uid="{00000000-0005-0000-0000-00005D1A0000}"/>
    <cellStyle name="Normal 5 3 4 7 2 2" xfId="8621" xr:uid="{00000000-0005-0000-0000-00005E1A0000}"/>
    <cellStyle name="Normal 5 3 4 7 2 2 2" xfId="17050" xr:uid="{DCDAD7FE-73CD-4A59-8BCC-556A94A93569}"/>
    <cellStyle name="Normal 5 3 4 7 2 3" xfId="12832" xr:uid="{4443EA8E-BB58-40BD-81FB-23B5CF2B5220}"/>
    <cellStyle name="Normal 5 3 4 7 3" xfId="6476" xr:uid="{00000000-0005-0000-0000-00005F1A0000}"/>
    <cellStyle name="Normal 5 3 4 7 3 2" xfId="14905" xr:uid="{B46F50DC-A009-429A-8FB2-467AD30765D9}"/>
    <cellStyle name="Normal 5 3 4 7 4" xfId="10687" xr:uid="{7AF66C99-3B5B-4C62-8930-6FB8A29E6AC9}"/>
    <cellStyle name="Normal 5 3 4 8" xfId="2604" xr:uid="{00000000-0005-0000-0000-0000601A0000}"/>
    <cellStyle name="Normal 5 3 4 8 2" xfId="6889" xr:uid="{00000000-0005-0000-0000-0000611A0000}"/>
    <cellStyle name="Normal 5 3 4 8 2 2" xfId="15318" xr:uid="{64168CE2-4E80-4888-ACE5-FE580F8DB518}"/>
    <cellStyle name="Normal 5 3 4 8 3" xfId="11100" xr:uid="{E7FDE002-2F0E-48B5-AB00-10AFBECB4625}"/>
    <cellStyle name="Normal 5 3 4 9" xfId="4824" xr:uid="{00000000-0005-0000-0000-0000621A0000}"/>
    <cellStyle name="Normal 5 3 4 9 2" xfId="13253" xr:uid="{B1714EAA-BAAA-4DF4-AA7B-4819D0048176}"/>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2 2 2" xfId="15816" xr:uid="{6E722D12-B9EF-4899-BD49-96B48EE4B7E4}"/>
    <cellStyle name="Normal 5 3 5 2 2 2 3" xfId="11598" xr:uid="{F4E41E12-677E-4FD0-918E-CD3456347FCE}"/>
    <cellStyle name="Normal 5 3 5 2 2 3" xfId="5242" xr:uid="{00000000-0005-0000-0000-0000681A0000}"/>
    <cellStyle name="Normal 5 3 5 2 2 3 2" xfId="13671" xr:uid="{490A21DD-CCFA-4877-8908-8E83E4CF4C3C}"/>
    <cellStyle name="Normal 5 3 5 2 2 4" xfId="9453" xr:uid="{0F864043-35EE-4F9A-80A6-2CA159EAA6C5}"/>
    <cellStyle name="Normal 5 3 5 2 3" xfId="1346" xr:uid="{00000000-0005-0000-0000-0000691A0000}"/>
    <cellStyle name="Normal 5 3 5 2 3 2" xfId="3576" xr:uid="{00000000-0005-0000-0000-00006A1A0000}"/>
    <cellStyle name="Normal 5 3 5 2 3 2 2" xfId="7800" xr:uid="{00000000-0005-0000-0000-00006B1A0000}"/>
    <cellStyle name="Normal 5 3 5 2 3 2 2 2" xfId="16229" xr:uid="{867C0447-5686-47B8-BAEB-C0B0C03CBFA6}"/>
    <cellStyle name="Normal 5 3 5 2 3 2 3" xfId="12011" xr:uid="{F88A76F5-72E6-4C3E-9B25-0D145BE0A79F}"/>
    <cellStyle name="Normal 5 3 5 2 3 3" xfId="5655" xr:uid="{00000000-0005-0000-0000-00006C1A0000}"/>
    <cellStyle name="Normal 5 3 5 2 3 3 2" xfId="14084" xr:uid="{5F41D3C1-ADBB-43D8-9094-8581F91D68F9}"/>
    <cellStyle name="Normal 5 3 5 2 3 4" xfId="9866" xr:uid="{F43BAD2D-7D84-4677-9457-8924B08DC343}"/>
    <cellStyle name="Normal 5 3 5 2 4" xfId="1759" xr:uid="{00000000-0005-0000-0000-00006D1A0000}"/>
    <cellStyle name="Normal 5 3 5 2 4 2" xfId="3989" xr:uid="{00000000-0005-0000-0000-00006E1A0000}"/>
    <cellStyle name="Normal 5 3 5 2 4 2 2" xfId="8213" xr:uid="{00000000-0005-0000-0000-00006F1A0000}"/>
    <cellStyle name="Normal 5 3 5 2 4 2 2 2" xfId="16642" xr:uid="{A59C2097-C016-4CDF-A1B2-380D552725A8}"/>
    <cellStyle name="Normal 5 3 5 2 4 2 3" xfId="12424" xr:uid="{AACC4EC1-1532-493D-8CF2-504F93842AA6}"/>
    <cellStyle name="Normal 5 3 5 2 4 3" xfId="6068" xr:uid="{00000000-0005-0000-0000-0000701A0000}"/>
    <cellStyle name="Normal 5 3 5 2 4 3 2" xfId="14497" xr:uid="{5FD2A9BF-24CB-4351-959A-CC390F2EBB28}"/>
    <cellStyle name="Normal 5 3 5 2 4 4" xfId="10279" xr:uid="{E5248F46-FF06-405B-B1A2-F242AF1FC694}"/>
    <cellStyle name="Normal 5 3 5 2 5" xfId="2173" xr:uid="{00000000-0005-0000-0000-0000711A0000}"/>
    <cellStyle name="Normal 5 3 5 2 5 2" xfId="4402" xr:uid="{00000000-0005-0000-0000-0000721A0000}"/>
    <cellStyle name="Normal 5 3 5 2 5 2 2" xfId="8626" xr:uid="{00000000-0005-0000-0000-0000731A0000}"/>
    <cellStyle name="Normal 5 3 5 2 5 2 2 2" xfId="17055" xr:uid="{8A221C54-08C6-42C5-AD62-AE7122D3A7B4}"/>
    <cellStyle name="Normal 5 3 5 2 5 2 3" xfId="12837" xr:uid="{FB40F9A9-7208-495E-A3D5-CAB906C2367A}"/>
    <cellStyle name="Normal 5 3 5 2 5 3" xfId="6481" xr:uid="{00000000-0005-0000-0000-0000741A0000}"/>
    <cellStyle name="Normal 5 3 5 2 5 3 2" xfId="14910" xr:uid="{6C145CB5-D692-4061-A7A9-37504129741F}"/>
    <cellStyle name="Normal 5 3 5 2 5 4" xfId="10692" xr:uid="{98178B40-93F1-40EA-9A39-DE48735FC63A}"/>
    <cellStyle name="Normal 5 3 5 2 6" xfId="2609" xr:uid="{00000000-0005-0000-0000-0000751A0000}"/>
    <cellStyle name="Normal 5 3 5 2 6 2" xfId="6894" xr:uid="{00000000-0005-0000-0000-0000761A0000}"/>
    <cellStyle name="Normal 5 3 5 2 6 2 2" xfId="15323" xr:uid="{71562278-E221-4E32-8281-FF56D1EE2893}"/>
    <cellStyle name="Normal 5 3 5 2 6 3" xfId="11105" xr:uid="{C0B34327-73A5-45F4-9369-048428A18845}"/>
    <cellStyle name="Normal 5 3 5 2 7" xfId="4829" xr:uid="{00000000-0005-0000-0000-0000771A0000}"/>
    <cellStyle name="Normal 5 3 5 2 7 2" xfId="13258" xr:uid="{431EF688-CCB4-4D18-92C1-3A82D8D60913}"/>
    <cellStyle name="Normal 5 3 5 2 8" xfId="9040" xr:uid="{ABD12318-14E0-4D48-8F3A-40A6ABD5237F}"/>
    <cellStyle name="Normal 5 3 5 3" xfId="928" xr:uid="{00000000-0005-0000-0000-0000781A0000}"/>
    <cellStyle name="Normal 5 3 5 3 2" xfId="3162" xr:uid="{00000000-0005-0000-0000-0000791A0000}"/>
    <cellStyle name="Normal 5 3 5 3 2 2" xfId="7386" xr:uid="{00000000-0005-0000-0000-00007A1A0000}"/>
    <cellStyle name="Normal 5 3 5 3 2 2 2" xfId="15815" xr:uid="{8F51CD00-EDA3-4767-9FD9-2F10BD332419}"/>
    <cellStyle name="Normal 5 3 5 3 2 3" xfId="11597" xr:uid="{75844B67-8060-4D0D-9755-2647D8A8EEE6}"/>
    <cellStyle name="Normal 5 3 5 3 3" xfId="5241" xr:uid="{00000000-0005-0000-0000-00007B1A0000}"/>
    <cellStyle name="Normal 5 3 5 3 3 2" xfId="13670" xr:uid="{954F5FF4-0FAE-47B1-A8D8-7224CE282360}"/>
    <cellStyle name="Normal 5 3 5 3 4" xfId="9452" xr:uid="{F7A5FEA0-29AF-46AC-8E85-81C1AB42EAB2}"/>
    <cellStyle name="Normal 5 3 5 4" xfId="1345" xr:uid="{00000000-0005-0000-0000-00007C1A0000}"/>
    <cellStyle name="Normal 5 3 5 4 2" xfId="3575" xr:uid="{00000000-0005-0000-0000-00007D1A0000}"/>
    <cellStyle name="Normal 5 3 5 4 2 2" xfId="7799" xr:uid="{00000000-0005-0000-0000-00007E1A0000}"/>
    <cellStyle name="Normal 5 3 5 4 2 2 2" xfId="16228" xr:uid="{C816B614-D1CE-4D3E-B5DC-A4912DA89BFE}"/>
    <cellStyle name="Normal 5 3 5 4 2 3" xfId="12010" xr:uid="{0F576635-45FA-44D1-BC53-7F9D5B2B582C}"/>
    <cellStyle name="Normal 5 3 5 4 3" xfId="5654" xr:uid="{00000000-0005-0000-0000-00007F1A0000}"/>
    <cellStyle name="Normal 5 3 5 4 3 2" xfId="14083" xr:uid="{A7AF4CBB-3629-4FC4-A3C6-0449D6C4F8B2}"/>
    <cellStyle name="Normal 5 3 5 4 4" xfId="9865" xr:uid="{52984751-7857-4FB7-BF44-ECB16A2F8378}"/>
    <cellStyle name="Normal 5 3 5 5" xfId="1758" xr:uid="{00000000-0005-0000-0000-0000801A0000}"/>
    <cellStyle name="Normal 5 3 5 5 2" xfId="3988" xr:uid="{00000000-0005-0000-0000-0000811A0000}"/>
    <cellStyle name="Normal 5 3 5 5 2 2" xfId="8212" xr:uid="{00000000-0005-0000-0000-0000821A0000}"/>
    <cellStyle name="Normal 5 3 5 5 2 2 2" xfId="16641" xr:uid="{E3F2CA5C-76A5-461C-B1D8-D7F531D7628A}"/>
    <cellStyle name="Normal 5 3 5 5 2 3" xfId="12423" xr:uid="{2BDC88CA-67D7-4B95-9C8A-D81F3265C089}"/>
    <cellStyle name="Normal 5 3 5 5 3" xfId="6067" xr:uid="{00000000-0005-0000-0000-0000831A0000}"/>
    <cellStyle name="Normal 5 3 5 5 3 2" xfId="14496" xr:uid="{AE2CDAA4-6941-4873-B674-AB5E3A72194A}"/>
    <cellStyle name="Normal 5 3 5 5 4" xfId="10278" xr:uid="{8CF30C84-CB8C-4590-9DD8-CE4ED19708F6}"/>
    <cellStyle name="Normal 5 3 5 6" xfId="2172" xr:uid="{00000000-0005-0000-0000-0000841A0000}"/>
    <cellStyle name="Normal 5 3 5 6 2" xfId="4401" xr:uid="{00000000-0005-0000-0000-0000851A0000}"/>
    <cellStyle name="Normal 5 3 5 6 2 2" xfId="8625" xr:uid="{00000000-0005-0000-0000-0000861A0000}"/>
    <cellStyle name="Normal 5 3 5 6 2 2 2" xfId="17054" xr:uid="{4EE58906-095B-4196-846F-2D2EBB30661E}"/>
    <cellStyle name="Normal 5 3 5 6 2 3" xfId="12836" xr:uid="{50AB3251-12E3-4F39-B6BD-64E682EEDCCC}"/>
    <cellStyle name="Normal 5 3 5 6 3" xfId="6480" xr:uid="{00000000-0005-0000-0000-0000871A0000}"/>
    <cellStyle name="Normal 5 3 5 6 3 2" xfId="14909" xr:uid="{56754566-7AD8-4842-A7F6-557E4F8C0DE1}"/>
    <cellStyle name="Normal 5 3 5 6 4" xfId="10691" xr:uid="{7CF5DD66-0DE9-47C0-A2E2-A5BED00D73FE}"/>
    <cellStyle name="Normal 5 3 5 7" xfId="2608" xr:uid="{00000000-0005-0000-0000-0000881A0000}"/>
    <cellStyle name="Normal 5 3 5 7 2" xfId="6893" xr:uid="{00000000-0005-0000-0000-0000891A0000}"/>
    <cellStyle name="Normal 5 3 5 7 2 2" xfId="15322" xr:uid="{E40FDC8E-5C9F-4C9E-AC7A-51C61A7EF09F}"/>
    <cellStyle name="Normal 5 3 5 7 3" xfId="11104" xr:uid="{A7212DA3-E9A2-4F79-B411-0901BA6D3D10}"/>
    <cellStyle name="Normal 5 3 5 8" xfId="4828" xr:uid="{00000000-0005-0000-0000-00008A1A0000}"/>
    <cellStyle name="Normal 5 3 5 8 2" xfId="13257" xr:uid="{6D9F039A-E445-4C55-B588-759664F3C094}"/>
    <cellStyle name="Normal 5 3 5 9" xfId="9039" xr:uid="{0B0B93AF-6EC4-4043-84FE-0C2A8964D1DC}"/>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2 2 2" xfId="15817" xr:uid="{DF1D78F5-8E62-4892-A06E-AD17262041A8}"/>
    <cellStyle name="Normal 5 3 6 2 2 3" xfId="11599" xr:uid="{69120364-FD03-4DF6-B08E-9679B8FD3BDD}"/>
    <cellStyle name="Normal 5 3 6 2 3" xfId="5243" xr:uid="{00000000-0005-0000-0000-00008F1A0000}"/>
    <cellStyle name="Normal 5 3 6 2 3 2" xfId="13672" xr:uid="{B7081FFA-6E2A-41BD-9F72-5B1863EDFA0F}"/>
    <cellStyle name="Normal 5 3 6 2 4" xfId="9454" xr:uid="{1D1FCEF9-1D1E-4CEF-8067-908A65D73CAF}"/>
    <cellStyle name="Normal 5 3 6 3" xfId="1347" xr:uid="{00000000-0005-0000-0000-0000901A0000}"/>
    <cellStyle name="Normal 5 3 6 3 2" xfId="3577" xr:uid="{00000000-0005-0000-0000-0000911A0000}"/>
    <cellStyle name="Normal 5 3 6 3 2 2" xfId="7801" xr:uid="{00000000-0005-0000-0000-0000921A0000}"/>
    <cellStyle name="Normal 5 3 6 3 2 2 2" xfId="16230" xr:uid="{BD752B86-0225-4B76-861A-044C7FD8580C}"/>
    <cellStyle name="Normal 5 3 6 3 2 3" xfId="12012" xr:uid="{E0E66137-A441-4686-832C-1C0FDD74B5F0}"/>
    <cellStyle name="Normal 5 3 6 3 3" xfId="5656" xr:uid="{00000000-0005-0000-0000-0000931A0000}"/>
    <cellStyle name="Normal 5 3 6 3 3 2" xfId="14085" xr:uid="{AC08071A-CC8E-41E4-A1D6-D04769E2FF50}"/>
    <cellStyle name="Normal 5 3 6 3 4" xfId="9867" xr:uid="{89D99014-0F39-464E-8AF4-BC87574A1A70}"/>
    <cellStyle name="Normal 5 3 6 4" xfId="1760" xr:uid="{00000000-0005-0000-0000-0000941A0000}"/>
    <cellStyle name="Normal 5 3 6 4 2" xfId="3990" xr:uid="{00000000-0005-0000-0000-0000951A0000}"/>
    <cellStyle name="Normal 5 3 6 4 2 2" xfId="8214" xr:uid="{00000000-0005-0000-0000-0000961A0000}"/>
    <cellStyle name="Normal 5 3 6 4 2 2 2" xfId="16643" xr:uid="{1BB89E95-729E-4E2E-AFD9-234903512FC3}"/>
    <cellStyle name="Normal 5 3 6 4 2 3" xfId="12425" xr:uid="{E822AC1E-2262-461E-9395-9CE604094D93}"/>
    <cellStyle name="Normal 5 3 6 4 3" xfId="6069" xr:uid="{00000000-0005-0000-0000-0000971A0000}"/>
    <cellStyle name="Normal 5 3 6 4 3 2" xfId="14498" xr:uid="{8FAF0B2C-6CEB-4F9B-8EFC-C05323E9821B}"/>
    <cellStyle name="Normal 5 3 6 4 4" xfId="10280" xr:uid="{24E57161-82E4-4C48-9B67-10CB298F36F8}"/>
    <cellStyle name="Normal 5 3 6 5" xfId="2174" xr:uid="{00000000-0005-0000-0000-0000981A0000}"/>
    <cellStyle name="Normal 5 3 6 5 2" xfId="4403" xr:uid="{00000000-0005-0000-0000-0000991A0000}"/>
    <cellStyle name="Normal 5 3 6 5 2 2" xfId="8627" xr:uid="{00000000-0005-0000-0000-00009A1A0000}"/>
    <cellStyle name="Normal 5 3 6 5 2 2 2" xfId="17056" xr:uid="{2B60AFE1-92C6-4CEF-A413-F1A4E6C00E1E}"/>
    <cellStyle name="Normal 5 3 6 5 2 3" xfId="12838" xr:uid="{B25D0528-3B2E-4B93-AEC1-A8C1DD103A52}"/>
    <cellStyle name="Normal 5 3 6 5 3" xfId="6482" xr:uid="{00000000-0005-0000-0000-00009B1A0000}"/>
    <cellStyle name="Normal 5 3 6 5 3 2" xfId="14911" xr:uid="{5E42DF89-E9A3-4302-A5EC-D66CB056BF54}"/>
    <cellStyle name="Normal 5 3 6 5 4" xfId="10693" xr:uid="{72CA40AF-44E4-4C49-868F-1FB8C4AEA326}"/>
    <cellStyle name="Normal 5 3 6 6" xfId="2610" xr:uid="{00000000-0005-0000-0000-00009C1A0000}"/>
    <cellStyle name="Normal 5 3 6 6 2" xfId="6895" xr:uid="{00000000-0005-0000-0000-00009D1A0000}"/>
    <cellStyle name="Normal 5 3 6 6 2 2" xfId="15324" xr:uid="{4B1A2B6F-4F18-4BE9-9901-3AE097E0386B}"/>
    <cellStyle name="Normal 5 3 6 6 3" xfId="11106" xr:uid="{C703CC03-CDF1-4FAA-A6B8-B4B2DB8E54A5}"/>
    <cellStyle name="Normal 5 3 6 7" xfId="4830" xr:uid="{00000000-0005-0000-0000-00009E1A0000}"/>
    <cellStyle name="Normal 5 3 6 7 2" xfId="13259" xr:uid="{463E0155-E196-4F6B-AB50-57D09B74A148}"/>
    <cellStyle name="Normal 5 3 6 8" xfId="9041" xr:uid="{EE03E6F1-9915-4E8D-8265-10C8947A90E5}"/>
    <cellStyle name="Normal 5 3 7" xfId="914" xr:uid="{00000000-0005-0000-0000-00009F1A0000}"/>
    <cellStyle name="Normal 5 3 7 2" xfId="3149" xr:uid="{00000000-0005-0000-0000-0000A01A0000}"/>
    <cellStyle name="Normal 5 3 7 2 2" xfId="7373" xr:uid="{00000000-0005-0000-0000-0000A11A0000}"/>
    <cellStyle name="Normal 5 3 7 2 2 2" xfId="15802" xr:uid="{F1638B04-AD9D-42EF-9772-DCA18E454B66}"/>
    <cellStyle name="Normal 5 3 7 2 3" xfId="11584" xr:uid="{B2702010-545D-4C86-A0E4-7B8D63F5EF81}"/>
    <cellStyle name="Normal 5 3 7 3" xfId="5228" xr:uid="{00000000-0005-0000-0000-0000A21A0000}"/>
    <cellStyle name="Normal 5 3 7 3 2" xfId="13657" xr:uid="{B355EF28-CA24-44A4-8F9F-301DA4D7BA51}"/>
    <cellStyle name="Normal 5 3 7 4" xfId="9439" xr:uid="{D48CF054-4D59-4B57-A1F4-626717E95A44}"/>
    <cellStyle name="Normal 5 3 8" xfId="1332" xr:uid="{00000000-0005-0000-0000-0000A31A0000}"/>
    <cellStyle name="Normal 5 3 8 2" xfId="3562" xr:uid="{00000000-0005-0000-0000-0000A41A0000}"/>
    <cellStyle name="Normal 5 3 8 2 2" xfId="7786" xr:uid="{00000000-0005-0000-0000-0000A51A0000}"/>
    <cellStyle name="Normal 5 3 8 2 2 2" xfId="16215" xr:uid="{3767E67A-C993-41D9-BD0F-58F9D0585292}"/>
    <cellStyle name="Normal 5 3 8 2 3" xfId="11997" xr:uid="{7BA9F502-C9AC-4ABC-8CBA-4E0DA11D2A03}"/>
    <cellStyle name="Normal 5 3 8 3" xfId="5641" xr:uid="{00000000-0005-0000-0000-0000A61A0000}"/>
    <cellStyle name="Normal 5 3 8 3 2" xfId="14070" xr:uid="{97B22BDB-099D-4AA3-9DBB-0417624ADD7F}"/>
    <cellStyle name="Normal 5 3 8 4" xfId="9852" xr:uid="{3488D632-1CDD-4534-A4E8-B8E0752121FE}"/>
    <cellStyle name="Normal 5 3 9" xfId="1745" xr:uid="{00000000-0005-0000-0000-0000A71A0000}"/>
    <cellStyle name="Normal 5 3 9 2" xfId="3975" xr:uid="{00000000-0005-0000-0000-0000A81A0000}"/>
    <cellStyle name="Normal 5 3 9 2 2" xfId="8199" xr:uid="{00000000-0005-0000-0000-0000A91A0000}"/>
    <cellStyle name="Normal 5 3 9 2 2 2" xfId="16628" xr:uid="{12197988-3165-4640-9FD1-21FCC4DEBB3D}"/>
    <cellStyle name="Normal 5 3 9 2 3" xfId="12410" xr:uid="{F36A2813-4472-4828-A55E-056D1581AC03}"/>
    <cellStyle name="Normal 5 3 9 3" xfId="6054" xr:uid="{00000000-0005-0000-0000-0000AA1A0000}"/>
    <cellStyle name="Normal 5 3 9 3 2" xfId="14483" xr:uid="{5D557EF2-AB9A-4509-B056-B26B65BBC4AB}"/>
    <cellStyle name="Normal 5 3 9 4" xfId="10265" xr:uid="{F9D6A01D-E03F-4D9E-A20F-1EEBA3AD88FD}"/>
    <cellStyle name="Normal 5 4" xfId="456" xr:uid="{00000000-0005-0000-0000-0000AB1A0000}"/>
    <cellStyle name="Normal 5 4 10" xfId="4831" xr:uid="{00000000-0005-0000-0000-0000AC1A0000}"/>
    <cellStyle name="Normal 5 4 10 2" xfId="13260" xr:uid="{D69DCE76-0CE0-4518-95AF-109E12C2BFC9}"/>
    <cellStyle name="Normal 5 4 11" xfId="9042" xr:uid="{E3DA7BB1-8340-4F43-ADFC-661CCCA3E8FC}"/>
    <cellStyle name="Normal 5 4 2" xfId="457" xr:uid="{00000000-0005-0000-0000-0000AD1A0000}"/>
    <cellStyle name="Normal 5 4 2 10" xfId="9043" xr:uid="{0F44442F-3057-4060-B34D-3C400B2B0C21}"/>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2 2 2" xfId="15821" xr:uid="{B634D517-1FF7-4454-B44E-78A6D7518206}"/>
    <cellStyle name="Normal 5 4 2 2 2 2 2 3" xfId="11603" xr:uid="{4A6ACD61-18D4-4599-9B23-1052BAB30600}"/>
    <cellStyle name="Normal 5 4 2 2 2 2 3" xfId="5247" xr:uid="{00000000-0005-0000-0000-0000B31A0000}"/>
    <cellStyle name="Normal 5 4 2 2 2 2 3 2" xfId="13676" xr:uid="{EDCD6409-2B31-41BD-B859-E75396BA738D}"/>
    <cellStyle name="Normal 5 4 2 2 2 2 4" xfId="9458" xr:uid="{4BFDEC5E-0114-4A1E-992B-CF13EF801092}"/>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2 2 2" xfId="16234" xr:uid="{CD7DE7B2-7E91-4530-88CB-F0559AE6D9E4}"/>
    <cellStyle name="Normal 5 4 2 2 2 3 2 3" xfId="12016" xr:uid="{A9566CA4-8D00-4042-8E91-A1D7A64AA670}"/>
    <cellStyle name="Normal 5 4 2 2 2 3 3" xfId="5660" xr:uid="{00000000-0005-0000-0000-0000B71A0000}"/>
    <cellStyle name="Normal 5 4 2 2 2 3 3 2" xfId="14089" xr:uid="{CE269383-A192-45D3-8F30-6D744FE09907}"/>
    <cellStyle name="Normal 5 4 2 2 2 3 4" xfId="9871" xr:uid="{F9DC6B8B-1531-44CF-A5AC-155FCE77A6A6}"/>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2 2 2" xfId="16647" xr:uid="{D8A5B09E-2057-4021-BA52-0861C1F28032}"/>
    <cellStyle name="Normal 5 4 2 2 2 4 2 3" xfId="12429" xr:uid="{AB929C1D-56A3-449A-9068-A13FDCB2998C}"/>
    <cellStyle name="Normal 5 4 2 2 2 4 3" xfId="6073" xr:uid="{00000000-0005-0000-0000-0000BB1A0000}"/>
    <cellStyle name="Normal 5 4 2 2 2 4 3 2" xfId="14502" xr:uid="{17FD1EA3-6541-43C2-A429-66B431815B57}"/>
    <cellStyle name="Normal 5 4 2 2 2 4 4" xfId="10284" xr:uid="{E08C690B-26CD-41E1-BA78-59A2F1C34661}"/>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2 2 2" xfId="17060" xr:uid="{41F27F33-EBC3-4355-B300-39E34730B988}"/>
    <cellStyle name="Normal 5 4 2 2 2 5 2 3" xfId="12842" xr:uid="{8907C840-6B69-49FF-8238-1D1E2543DB47}"/>
    <cellStyle name="Normal 5 4 2 2 2 5 3" xfId="6486" xr:uid="{00000000-0005-0000-0000-0000BF1A0000}"/>
    <cellStyle name="Normal 5 4 2 2 2 5 3 2" xfId="14915" xr:uid="{522456EF-B502-4042-B1BB-11D9FB0FAE06}"/>
    <cellStyle name="Normal 5 4 2 2 2 5 4" xfId="10697" xr:uid="{89144BA7-311A-48ED-8D1B-659CD063BEB5}"/>
    <cellStyle name="Normal 5 4 2 2 2 6" xfId="2614" xr:uid="{00000000-0005-0000-0000-0000C01A0000}"/>
    <cellStyle name="Normal 5 4 2 2 2 6 2" xfId="6899" xr:uid="{00000000-0005-0000-0000-0000C11A0000}"/>
    <cellStyle name="Normal 5 4 2 2 2 6 2 2" xfId="15328" xr:uid="{1AC6E816-026F-44B4-BF07-AD72DBAE0C79}"/>
    <cellStyle name="Normal 5 4 2 2 2 6 3" xfId="11110" xr:uid="{E28948C3-633C-4EF1-A579-27024AAD2D65}"/>
    <cellStyle name="Normal 5 4 2 2 2 7" xfId="4834" xr:uid="{00000000-0005-0000-0000-0000C21A0000}"/>
    <cellStyle name="Normal 5 4 2 2 2 7 2" xfId="13263" xr:uid="{3591BE9E-F9DB-460C-80FC-9D8725582D1D}"/>
    <cellStyle name="Normal 5 4 2 2 2 8" xfId="9045" xr:uid="{29A53522-FBB3-410C-A0B7-011EC2C63487}"/>
    <cellStyle name="Normal 5 4 2 2 3" xfId="933" xr:uid="{00000000-0005-0000-0000-0000C31A0000}"/>
    <cellStyle name="Normal 5 4 2 2 3 2" xfId="3167" xr:uid="{00000000-0005-0000-0000-0000C41A0000}"/>
    <cellStyle name="Normal 5 4 2 2 3 2 2" xfId="7391" xr:uid="{00000000-0005-0000-0000-0000C51A0000}"/>
    <cellStyle name="Normal 5 4 2 2 3 2 2 2" xfId="15820" xr:uid="{2EF1FBED-7083-40BB-90DA-CDEBC9B51ACD}"/>
    <cellStyle name="Normal 5 4 2 2 3 2 3" xfId="11602" xr:uid="{91E466A1-5EEC-49C2-BFAF-7B869E006D86}"/>
    <cellStyle name="Normal 5 4 2 2 3 3" xfId="5246" xr:uid="{00000000-0005-0000-0000-0000C61A0000}"/>
    <cellStyle name="Normal 5 4 2 2 3 3 2" xfId="13675" xr:uid="{E629F6D2-4279-4ADF-A6AA-A48A2168678A}"/>
    <cellStyle name="Normal 5 4 2 2 3 4" xfId="9457" xr:uid="{6BD9DD9C-A058-4CA3-A3F0-A9179789CEA1}"/>
    <cellStyle name="Normal 5 4 2 2 4" xfId="1350" xr:uid="{00000000-0005-0000-0000-0000C71A0000}"/>
    <cellStyle name="Normal 5 4 2 2 4 2" xfId="3580" xr:uid="{00000000-0005-0000-0000-0000C81A0000}"/>
    <cellStyle name="Normal 5 4 2 2 4 2 2" xfId="7804" xr:uid="{00000000-0005-0000-0000-0000C91A0000}"/>
    <cellStyle name="Normal 5 4 2 2 4 2 2 2" xfId="16233" xr:uid="{751543E9-45AC-40FE-A362-99D1263A2A7D}"/>
    <cellStyle name="Normal 5 4 2 2 4 2 3" xfId="12015" xr:uid="{7F50D39E-E405-41E9-9EA3-368E2966CB13}"/>
    <cellStyle name="Normal 5 4 2 2 4 3" xfId="5659" xr:uid="{00000000-0005-0000-0000-0000CA1A0000}"/>
    <cellStyle name="Normal 5 4 2 2 4 3 2" xfId="14088" xr:uid="{071F0976-7810-47A6-B52A-0E335A5D62AB}"/>
    <cellStyle name="Normal 5 4 2 2 4 4" xfId="9870" xr:uid="{4159C7EB-151F-4967-81AC-1A66769DC6AB}"/>
    <cellStyle name="Normal 5 4 2 2 5" xfId="1763" xr:uid="{00000000-0005-0000-0000-0000CB1A0000}"/>
    <cellStyle name="Normal 5 4 2 2 5 2" xfId="3993" xr:uid="{00000000-0005-0000-0000-0000CC1A0000}"/>
    <cellStyle name="Normal 5 4 2 2 5 2 2" xfId="8217" xr:uid="{00000000-0005-0000-0000-0000CD1A0000}"/>
    <cellStyle name="Normal 5 4 2 2 5 2 2 2" xfId="16646" xr:uid="{35F28347-ECB0-4413-BE04-CFD7F96FB949}"/>
    <cellStyle name="Normal 5 4 2 2 5 2 3" xfId="12428" xr:uid="{24BBEB77-8757-4F3E-BE04-C6D7374DB290}"/>
    <cellStyle name="Normal 5 4 2 2 5 3" xfId="6072" xr:uid="{00000000-0005-0000-0000-0000CE1A0000}"/>
    <cellStyle name="Normal 5 4 2 2 5 3 2" xfId="14501" xr:uid="{B81607B9-FE94-4C45-9854-19B2506DEDE2}"/>
    <cellStyle name="Normal 5 4 2 2 5 4" xfId="10283" xr:uid="{23544082-C652-4A20-B133-1F383ADCDFD1}"/>
    <cellStyle name="Normal 5 4 2 2 6" xfId="2177" xr:uid="{00000000-0005-0000-0000-0000CF1A0000}"/>
    <cellStyle name="Normal 5 4 2 2 6 2" xfId="4406" xr:uid="{00000000-0005-0000-0000-0000D01A0000}"/>
    <cellStyle name="Normal 5 4 2 2 6 2 2" xfId="8630" xr:uid="{00000000-0005-0000-0000-0000D11A0000}"/>
    <cellStyle name="Normal 5 4 2 2 6 2 2 2" xfId="17059" xr:uid="{C8788160-A9D7-47B1-9490-31951F7CFDCF}"/>
    <cellStyle name="Normal 5 4 2 2 6 2 3" xfId="12841" xr:uid="{243B3AE3-EBC0-46F1-B594-B6290B45255B}"/>
    <cellStyle name="Normal 5 4 2 2 6 3" xfId="6485" xr:uid="{00000000-0005-0000-0000-0000D21A0000}"/>
    <cellStyle name="Normal 5 4 2 2 6 3 2" xfId="14914" xr:uid="{2B064BF1-A5AF-4050-B0E4-B940AF84AB32}"/>
    <cellStyle name="Normal 5 4 2 2 6 4" xfId="10696" xr:uid="{27B11C9B-4600-4BDD-A156-1130D1934391}"/>
    <cellStyle name="Normal 5 4 2 2 7" xfId="2613" xr:uid="{00000000-0005-0000-0000-0000D31A0000}"/>
    <cellStyle name="Normal 5 4 2 2 7 2" xfId="6898" xr:uid="{00000000-0005-0000-0000-0000D41A0000}"/>
    <cellStyle name="Normal 5 4 2 2 7 2 2" xfId="15327" xr:uid="{E3D07176-3BB9-46B7-972A-479AFE40533D}"/>
    <cellStyle name="Normal 5 4 2 2 7 3" xfId="11109" xr:uid="{68D608F6-B78B-42EB-87FE-0F0219EA4123}"/>
    <cellStyle name="Normal 5 4 2 2 8" xfId="4833" xr:uid="{00000000-0005-0000-0000-0000D51A0000}"/>
    <cellStyle name="Normal 5 4 2 2 8 2" xfId="13262" xr:uid="{E9C7FF6C-20FD-4201-9A5B-7E02F88E6707}"/>
    <cellStyle name="Normal 5 4 2 2 9" xfId="9044" xr:uid="{082F2670-2CFA-4B01-B6FE-A0613B681F63}"/>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2 2 2" xfId="15822" xr:uid="{5E84D1CC-2557-45DC-B620-DC89E4C9A16A}"/>
    <cellStyle name="Normal 5 4 2 3 2 2 3" xfId="11604" xr:uid="{4353A218-3917-4D52-8E62-C3BABAB3AD76}"/>
    <cellStyle name="Normal 5 4 2 3 2 3" xfId="5248" xr:uid="{00000000-0005-0000-0000-0000DA1A0000}"/>
    <cellStyle name="Normal 5 4 2 3 2 3 2" xfId="13677" xr:uid="{5443A15B-5F33-4D36-8BF1-8510E82CF486}"/>
    <cellStyle name="Normal 5 4 2 3 2 4" xfId="9459" xr:uid="{2E1873A4-870B-4CB6-A76F-4BD2116FA08F}"/>
    <cellStyle name="Normal 5 4 2 3 3" xfId="1352" xr:uid="{00000000-0005-0000-0000-0000DB1A0000}"/>
    <cellStyle name="Normal 5 4 2 3 3 2" xfId="3582" xr:uid="{00000000-0005-0000-0000-0000DC1A0000}"/>
    <cellStyle name="Normal 5 4 2 3 3 2 2" xfId="7806" xr:uid="{00000000-0005-0000-0000-0000DD1A0000}"/>
    <cellStyle name="Normal 5 4 2 3 3 2 2 2" xfId="16235" xr:uid="{14A59B1B-DD3A-4EEB-AC43-21EBFF10B8AF}"/>
    <cellStyle name="Normal 5 4 2 3 3 2 3" xfId="12017" xr:uid="{07FF33D1-A9C2-49CB-ACB3-2E2FF1C4E780}"/>
    <cellStyle name="Normal 5 4 2 3 3 3" xfId="5661" xr:uid="{00000000-0005-0000-0000-0000DE1A0000}"/>
    <cellStyle name="Normal 5 4 2 3 3 3 2" xfId="14090" xr:uid="{666BC0E5-5DDF-4395-A26D-0BC52217939C}"/>
    <cellStyle name="Normal 5 4 2 3 3 4" xfId="9872" xr:uid="{5D53F969-B771-4696-A918-E0C00D42D8EE}"/>
    <cellStyle name="Normal 5 4 2 3 4" xfId="1765" xr:uid="{00000000-0005-0000-0000-0000DF1A0000}"/>
    <cellStyle name="Normal 5 4 2 3 4 2" xfId="3995" xr:uid="{00000000-0005-0000-0000-0000E01A0000}"/>
    <cellStyle name="Normal 5 4 2 3 4 2 2" xfId="8219" xr:uid="{00000000-0005-0000-0000-0000E11A0000}"/>
    <cellStyle name="Normal 5 4 2 3 4 2 2 2" xfId="16648" xr:uid="{344B14E9-D337-4F10-B2B6-34341AA72B94}"/>
    <cellStyle name="Normal 5 4 2 3 4 2 3" xfId="12430" xr:uid="{B8FA6457-A8BA-45F9-8126-6180C0069FFF}"/>
    <cellStyle name="Normal 5 4 2 3 4 3" xfId="6074" xr:uid="{00000000-0005-0000-0000-0000E21A0000}"/>
    <cellStyle name="Normal 5 4 2 3 4 3 2" xfId="14503" xr:uid="{D7A2677A-96E9-4589-95B9-FBDA305219CA}"/>
    <cellStyle name="Normal 5 4 2 3 4 4" xfId="10285" xr:uid="{DB7DCB52-BB11-41C9-9E13-FEE466633880}"/>
    <cellStyle name="Normal 5 4 2 3 5" xfId="2179" xr:uid="{00000000-0005-0000-0000-0000E31A0000}"/>
    <cellStyle name="Normal 5 4 2 3 5 2" xfId="4408" xr:uid="{00000000-0005-0000-0000-0000E41A0000}"/>
    <cellStyle name="Normal 5 4 2 3 5 2 2" xfId="8632" xr:uid="{00000000-0005-0000-0000-0000E51A0000}"/>
    <cellStyle name="Normal 5 4 2 3 5 2 2 2" xfId="17061" xr:uid="{7F93115C-9D4D-4D7A-9F6D-7FFDB69B5A51}"/>
    <cellStyle name="Normal 5 4 2 3 5 2 3" xfId="12843" xr:uid="{63F3C503-9AA8-4C9D-B960-5E0C21BACFCD}"/>
    <cellStyle name="Normal 5 4 2 3 5 3" xfId="6487" xr:uid="{00000000-0005-0000-0000-0000E61A0000}"/>
    <cellStyle name="Normal 5 4 2 3 5 3 2" xfId="14916" xr:uid="{B49E80C9-779C-4210-988A-D80E65625034}"/>
    <cellStyle name="Normal 5 4 2 3 5 4" xfId="10698" xr:uid="{DFF97AFE-A489-4190-AFB9-3B8E25D9D8B2}"/>
    <cellStyle name="Normal 5 4 2 3 6" xfId="2615" xr:uid="{00000000-0005-0000-0000-0000E71A0000}"/>
    <cellStyle name="Normal 5 4 2 3 6 2" xfId="6900" xr:uid="{00000000-0005-0000-0000-0000E81A0000}"/>
    <cellStyle name="Normal 5 4 2 3 6 2 2" xfId="15329" xr:uid="{C1BBDD00-9D27-4A2B-9961-651ABEAFF6E2}"/>
    <cellStyle name="Normal 5 4 2 3 6 3" xfId="11111" xr:uid="{535E9894-BAC4-4719-A6FA-C69EE3FA60ED}"/>
    <cellStyle name="Normal 5 4 2 3 7" xfId="4835" xr:uid="{00000000-0005-0000-0000-0000E91A0000}"/>
    <cellStyle name="Normal 5 4 2 3 7 2" xfId="13264" xr:uid="{65A2439A-9C38-4EBE-A31C-625D1304AC36}"/>
    <cellStyle name="Normal 5 4 2 3 8" xfId="9046" xr:uid="{E761E654-E923-4217-8A34-B805B9B81F98}"/>
    <cellStyle name="Normal 5 4 2 4" xfId="932" xr:uid="{00000000-0005-0000-0000-0000EA1A0000}"/>
    <cellStyle name="Normal 5 4 2 4 2" xfId="3166" xr:uid="{00000000-0005-0000-0000-0000EB1A0000}"/>
    <cellStyle name="Normal 5 4 2 4 2 2" xfId="7390" xr:uid="{00000000-0005-0000-0000-0000EC1A0000}"/>
    <cellStyle name="Normal 5 4 2 4 2 2 2" xfId="15819" xr:uid="{EA8A436E-0146-48BE-937E-84BC5796F29A}"/>
    <cellStyle name="Normal 5 4 2 4 2 3" xfId="11601" xr:uid="{B76225FD-9D9A-49DE-BE41-F3957E124EBA}"/>
    <cellStyle name="Normal 5 4 2 4 3" xfId="5245" xr:uid="{00000000-0005-0000-0000-0000ED1A0000}"/>
    <cellStyle name="Normal 5 4 2 4 3 2" xfId="13674" xr:uid="{0A1BEF11-F869-4B6B-9F0C-5274BC55B3B2}"/>
    <cellStyle name="Normal 5 4 2 4 4" xfId="9456" xr:uid="{E7AD53FC-24AB-4428-928C-44BE140A4363}"/>
    <cellStyle name="Normal 5 4 2 5" xfId="1349" xr:uid="{00000000-0005-0000-0000-0000EE1A0000}"/>
    <cellStyle name="Normal 5 4 2 5 2" xfId="3579" xr:uid="{00000000-0005-0000-0000-0000EF1A0000}"/>
    <cellStyle name="Normal 5 4 2 5 2 2" xfId="7803" xr:uid="{00000000-0005-0000-0000-0000F01A0000}"/>
    <cellStyle name="Normal 5 4 2 5 2 2 2" xfId="16232" xr:uid="{0C7A5A64-EAAC-4086-9BF7-6D268ABE98B9}"/>
    <cellStyle name="Normal 5 4 2 5 2 3" xfId="12014" xr:uid="{0D84E660-6919-4A49-B397-FE781959951B}"/>
    <cellStyle name="Normal 5 4 2 5 3" xfId="5658" xr:uid="{00000000-0005-0000-0000-0000F11A0000}"/>
    <cellStyle name="Normal 5 4 2 5 3 2" xfId="14087" xr:uid="{49B0DEC2-4F5F-438F-A9E4-5737BB089CB1}"/>
    <cellStyle name="Normal 5 4 2 5 4" xfId="9869" xr:uid="{C990FA4F-7E55-444A-BDDC-237252AFA817}"/>
    <cellStyle name="Normal 5 4 2 6" xfId="1762" xr:uid="{00000000-0005-0000-0000-0000F21A0000}"/>
    <cellStyle name="Normal 5 4 2 6 2" xfId="3992" xr:uid="{00000000-0005-0000-0000-0000F31A0000}"/>
    <cellStyle name="Normal 5 4 2 6 2 2" xfId="8216" xr:uid="{00000000-0005-0000-0000-0000F41A0000}"/>
    <cellStyle name="Normal 5 4 2 6 2 2 2" xfId="16645" xr:uid="{AE7A49E9-2C70-4187-A485-67728C5976D4}"/>
    <cellStyle name="Normal 5 4 2 6 2 3" xfId="12427" xr:uid="{1A3D75F9-19D4-48D5-ABB4-DE0607EC9A17}"/>
    <cellStyle name="Normal 5 4 2 6 3" xfId="6071" xr:uid="{00000000-0005-0000-0000-0000F51A0000}"/>
    <cellStyle name="Normal 5 4 2 6 3 2" xfId="14500" xr:uid="{3D94E9F2-343C-4BD8-8DAD-13496A78F154}"/>
    <cellStyle name="Normal 5 4 2 6 4" xfId="10282" xr:uid="{9D551AF3-9445-4EE7-AF24-2B0F3AE0BD09}"/>
    <cellStyle name="Normal 5 4 2 7" xfId="2176" xr:uid="{00000000-0005-0000-0000-0000F61A0000}"/>
    <cellStyle name="Normal 5 4 2 7 2" xfId="4405" xr:uid="{00000000-0005-0000-0000-0000F71A0000}"/>
    <cellStyle name="Normal 5 4 2 7 2 2" xfId="8629" xr:uid="{00000000-0005-0000-0000-0000F81A0000}"/>
    <cellStyle name="Normal 5 4 2 7 2 2 2" xfId="17058" xr:uid="{28067945-DA61-4001-8A99-3D8C33707F90}"/>
    <cellStyle name="Normal 5 4 2 7 2 3" xfId="12840" xr:uid="{2E3F259F-DE3C-4DFD-8553-4700799307FB}"/>
    <cellStyle name="Normal 5 4 2 7 3" xfId="6484" xr:uid="{00000000-0005-0000-0000-0000F91A0000}"/>
    <cellStyle name="Normal 5 4 2 7 3 2" xfId="14913" xr:uid="{213BAF77-62EE-4F4F-8E36-34C473F49881}"/>
    <cellStyle name="Normal 5 4 2 7 4" xfId="10695" xr:uid="{2DDB60D1-0DA6-4970-BA31-CAAAED8505AB}"/>
    <cellStyle name="Normal 5 4 2 8" xfId="2612" xr:uid="{00000000-0005-0000-0000-0000FA1A0000}"/>
    <cellStyle name="Normal 5 4 2 8 2" xfId="6897" xr:uid="{00000000-0005-0000-0000-0000FB1A0000}"/>
    <cellStyle name="Normal 5 4 2 8 2 2" xfId="15326" xr:uid="{D6656D4F-D27E-4633-980F-7786D4C80B25}"/>
    <cellStyle name="Normal 5 4 2 8 3" xfId="11108" xr:uid="{FA32DEBC-ED5D-47B8-8E04-08F46F389FD4}"/>
    <cellStyle name="Normal 5 4 2 9" xfId="4832" xr:uid="{00000000-0005-0000-0000-0000FC1A0000}"/>
    <cellStyle name="Normal 5 4 2 9 2" xfId="13261" xr:uid="{6FDFB7C5-1F1D-4215-A529-BFC3664E9CAB}"/>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2 2 2" xfId="15824" xr:uid="{3105380A-CADC-4C34-B375-08467387B83F}"/>
    <cellStyle name="Normal 5 4 3 2 2 2 3" xfId="11606" xr:uid="{F6BDAA89-930C-484C-8C68-8DE9B412333A}"/>
    <cellStyle name="Normal 5 4 3 2 2 3" xfId="5250" xr:uid="{00000000-0005-0000-0000-0000021B0000}"/>
    <cellStyle name="Normal 5 4 3 2 2 3 2" xfId="13679" xr:uid="{98D1A393-CC20-4371-B141-0DEB9E479C99}"/>
    <cellStyle name="Normal 5 4 3 2 2 4" xfId="9461" xr:uid="{1764EA6D-ECAF-4366-AAE0-27CCA2461594}"/>
    <cellStyle name="Normal 5 4 3 2 3" xfId="1354" xr:uid="{00000000-0005-0000-0000-0000031B0000}"/>
    <cellStyle name="Normal 5 4 3 2 3 2" xfId="3584" xr:uid="{00000000-0005-0000-0000-0000041B0000}"/>
    <cellStyle name="Normal 5 4 3 2 3 2 2" xfId="7808" xr:uid="{00000000-0005-0000-0000-0000051B0000}"/>
    <cellStyle name="Normal 5 4 3 2 3 2 2 2" xfId="16237" xr:uid="{B17BDF5C-86A9-4832-BEA5-1411D1923496}"/>
    <cellStyle name="Normal 5 4 3 2 3 2 3" xfId="12019" xr:uid="{F07F7B97-7461-48A7-B006-7059C71FB895}"/>
    <cellStyle name="Normal 5 4 3 2 3 3" xfId="5663" xr:uid="{00000000-0005-0000-0000-0000061B0000}"/>
    <cellStyle name="Normal 5 4 3 2 3 3 2" xfId="14092" xr:uid="{A0973DEA-E6F3-4A53-8E9B-76AFCBE460FD}"/>
    <cellStyle name="Normal 5 4 3 2 3 4" xfId="9874" xr:uid="{5BF88A2B-672E-448E-8119-2CA6D9E64819}"/>
    <cellStyle name="Normal 5 4 3 2 4" xfId="1767" xr:uid="{00000000-0005-0000-0000-0000071B0000}"/>
    <cellStyle name="Normal 5 4 3 2 4 2" xfId="3997" xr:uid="{00000000-0005-0000-0000-0000081B0000}"/>
    <cellStyle name="Normal 5 4 3 2 4 2 2" xfId="8221" xr:uid="{00000000-0005-0000-0000-0000091B0000}"/>
    <cellStyle name="Normal 5 4 3 2 4 2 2 2" xfId="16650" xr:uid="{D82B210E-41CA-4B85-8CB5-91423D1E6BA4}"/>
    <cellStyle name="Normal 5 4 3 2 4 2 3" xfId="12432" xr:uid="{CED28A2D-D81B-499E-9A5E-E7C56B54F736}"/>
    <cellStyle name="Normal 5 4 3 2 4 3" xfId="6076" xr:uid="{00000000-0005-0000-0000-00000A1B0000}"/>
    <cellStyle name="Normal 5 4 3 2 4 3 2" xfId="14505" xr:uid="{DE81B978-BD93-4F5F-B589-12CAB33971EB}"/>
    <cellStyle name="Normal 5 4 3 2 4 4" xfId="10287" xr:uid="{BDD0C944-95E8-497E-846F-BD248225CB3D}"/>
    <cellStyle name="Normal 5 4 3 2 5" xfId="2181" xr:uid="{00000000-0005-0000-0000-00000B1B0000}"/>
    <cellStyle name="Normal 5 4 3 2 5 2" xfId="4410" xr:uid="{00000000-0005-0000-0000-00000C1B0000}"/>
    <cellStyle name="Normal 5 4 3 2 5 2 2" xfId="8634" xr:uid="{00000000-0005-0000-0000-00000D1B0000}"/>
    <cellStyle name="Normal 5 4 3 2 5 2 2 2" xfId="17063" xr:uid="{429FE9D8-9E92-44F1-93E1-C25DED158B34}"/>
    <cellStyle name="Normal 5 4 3 2 5 2 3" xfId="12845" xr:uid="{B3D008AA-227D-4557-B5F7-564097E24EA6}"/>
    <cellStyle name="Normal 5 4 3 2 5 3" xfId="6489" xr:uid="{00000000-0005-0000-0000-00000E1B0000}"/>
    <cellStyle name="Normal 5 4 3 2 5 3 2" xfId="14918" xr:uid="{000F9612-ECB3-46DE-8777-CA720AD6FD65}"/>
    <cellStyle name="Normal 5 4 3 2 5 4" xfId="10700" xr:uid="{900CA461-D389-47C0-BA4C-C483870CA9A2}"/>
    <cellStyle name="Normal 5 4 3 2 6" xfId="2617" xr:uid="{00000000-0005-0000-0000-00000F1B0000}"/>
    <cellStyle name="Normal 5 4 3 2 6 2" xfId="6902" xr:uid="{00000000-0005-0000-0000-0000101B0000}"/>
    <cellStyle name="Normal 5 4 3 2 6 2 2" xfId="15331" xr:uid="{5C4E6BDA-559D-4D74-BBED-DFDB2C6BA700}"/>
    <cellStyle name="Normal 5 4 3 2 6 3" xfId="11113" xr:uid="{CEBBDF87-70B9-41E6-9A30-BB81A2966289}"/>
    <cellStyle name="Normal 5 4 3 2 7" xfId="4837" xr:uid="{00000000-0005-0000-0000-0000111B0000}"/>
    <cellStyle name="Normal 5 4 3 2 7 2" xfId="13266" xr:uid="{E4B1338E-5323-475C-99E9-453E196BA5DA}"/>
    <cellStyle name="Normal 5 4 3 2 8" xfId="9048" xr:uid="{D43C4EAC-25A7-4800-A6DD-EF4A4A0F398D}"/>
    <cellStyle name="Normal 5 4 3 3" xfId="936" xr:uid="{00000000-0005-0000-0000-0000121B0000}"/>
    <cellStyle name="Normal 5 4 3 3 2" xfId="3170" xr:uid="{00000000-0005-0000-0000-0000131B0000}"/>
    <cellStyle name="Normal 5 4 3 3 2 2" xfId="7394" xr:uid="{00000000-0005-0000-0000-0000141B0000}"/>
    <cellStyle name="Normal 5 4 3 3 2 2 2" xfId="15823" xr:uid="{98F44AB3-2258-4A14-8F12-63383B783C15}"/>
    <cellStyle name="Normal 5 4 3 3 2 3" xfId="11605" xr:uid="{2AB17659-02DE-44E5-9FF6-DB0E8C0D02DB}"/>
    <cellStyle name="Normal 5 4 3 3 3" xfId="5249" xr:uid="{00000000-0005-0000-0000-0000151B0000}"/>
    <cellStyle name="Normal 5 4 3 3 3 2" xfId="13678" xr:uid="{076346E1-B367-4D4F-A343-4EC596D20CF2}"/>
    <cellStyle name="Normal 5 4 3 3 4" xfId="9460" xr:uid="{82112AD8-8C8B-43CA-9F22-CF4750E3B17F}"/>
    <cellStyle name="Normal 5 4 3 4" xfId="1353" xr:uid="{00000000-0005-0000-0000-0000161B0000}"/>
    <cellStyle name="Normal 5 4 3 4 2" xfId="3583" xr:uid="{00000000-0005-0000-0000-0000171B0000}"/>
    <cellStyle name="Normal 5 4 3 4 2 2" xfId="7807" xr:uid="{00000000-0005-0000-0000-0000181B0000}"/>
    <cellStyle name="Normal 5 4 3 4 2 2 2" xfId="16236" xr:uid="{07A9323E-B2FD-4120-BB13-7D8DC716FE1D}"/>
    <cellStyle name="Normal 5 4 3 4 2 3" xfId="12018" xr:uid="{9BE804FA-6562-4240-B252-D6D48FC82132}"/>
    <cellStyle name="Normal 5 4 3 4 3" xfId="5662" xr:uid="{00000000-0005-0000-0000-0000191B0000}"/>
    <cellStyle name="Normal 5 4 3 4 3 2" xfId="14091" xr:uid="{A832F2D6-1C41-4071-8E92-1FF731EC78BD}"/>
    <cellStyle name="Normal 5 4 3 4 4" xfId="9873" xr:uid="{5E701717-314B-485B-B291-D14389C8E9F7}"/>
    <cellStyle name="Normal 5 4 3 5" xfId="1766" xr:uid="{00000000-0005-0000-0000-00001A1B0000}"/>
    <cellStyle name="Normal 5 4 3 5 2" xfId="3996" xr:uid="{00000000-0005-0000-0000-00001B1B0000}"/>
    <cellStyle name="Normal 5 4 3 5 2 2" xfId="8220" xr:uid="{00000000-0005-0000-0000-00001C1B0000}"/>
    <cellStyle name="Normal 5 4 3 5 2 2 2" xfId="16649" xr:uid="{37576113-25C3-437B-A3B3-2A18332E8297}"/>
    <cellStyle name="Normal 5 4 3 5 2 3" xfId="12431" xr:uid="{2703AC0A-7719-4CA2-8B04-F7C88FAA0701}"/>
    <cellStyle name="Normal 5 4 3 5 3" xfId="6075" xr:uid="{00000000-0005-0000-0000-00001D1B0000}"/>
    <cellStyle name="Normal 5 4 3 5 3 2" xfId="14504" xr:uid="{47549FDD-51E0-4ED6-943D-76DEE8ED371D}"/>
    <cellStyle name="Normal 5 4 3 5 4" xfId="10286" xr:uid="{BE981163-3C19-49E6-BDAE-14E62E89E426}"/>
    <cellStyle name="Normal 5 4 3 6" xfId="2180" xr:uid="{00000000-0005-0000-0000-00001E1B0000}"/>
    <cellStyle name="Normal 5 4 3 6 2" xfId="4409" xr:uid="{00000000-0005-0000-0000-00001F1B0000}"/>
    <cellStyle name="Normal 5 4 3 6 2 2" xfId="8633" xr:uid="{00000000-0005-0000-0000-0000201B0000}"/>
    <cellStyle name="Normal 5 4 3 6 2 2 2" xfId="17062" xr:uid="{2F8F2DAE-C409-41F5-BF11-95B564399055}"/>
    <cellStyle name="Normal 5 4 3 6 2 3" xfId="12844" xr:uid="{33BF833C-8576-4083-AB1B-94ED19699DAB}"/>
    <cellStyle name="Normal 5 4 3 6 3" xfId="6488" xr:uid="{00000000-0005-0000-0000-0000211B0000}"/>
    <cellStyle name="Normal 5 4 3 6 3 2" xfId="14917" xr:uid="{31E9B30F-D966-4154-9699-1C1E23E3B09E}"/>
    <cellStyle name="Normal 5 4 3 6 4" xfId="10699" xr:uid="{0FAC40E6-1CD9-47CD-856B-3EC8E018D77B}"/>
    <cellStyle name="Normal 5 4 3 7" xfId="2616" xr:uid="{00000000-0005-0000-0000-0000221B0000}"/>
    <cellStyle name="Normal 5 4 3 7 2" xfId="6901" xr:uid="{00000000-0005-0000-0000-0000231B0000}"/>
    <cellStyle name="Normal 5 4 3 7 2 2" xfId="15330" xr:uid="{6FA26CA7-0B99-4A66-89FF-65AF68349CC9}"/>
    <cellStyle name="Normal 5 4 3 7 3" xfId="11112" xr:uid="{B75ADF8D-975E-4ED9-9684-F89B0A5F506E}"/>
    <cellStyle name="Normal 5 4 3 8" xfId="4836" xr:uid="{00000000-0005-0000-0000-0000241B0000}"/>
    <cellStyle name="Normal 5 4 3 8 2" xfId="13265" xr:uid="{37B7495D-BB78-4E5B-9349-FFB8592836A9}"/>
    <cellStyle name="Normal 5 4 3 9" xfId="9047" xr:uid="{56766E5C-7B30-403C-BDAB-3135341D09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2 2 2" xfId="15825" xr:uid="{AE978F40-73DF-4B78-AD34-7F3F77780A32}"/>
    <cellStyle name="Normal 5 4 4 2 2 3" xfId="11607" xr:uid="{64337B43-57D1-4EB2-B834-9E61D0B22506}"/>
    <cellStyle name="Normal 5 4 4 2 3" xfId="5251" xr:uid="{00000000-0005-0000-0000-0000291B0000}"/>
    <cellStyle name="Normal 5 4 4 2 3 2" xfId="13680" xr:uid="{7FA87D6D-10A0-4C52-A70D-1078F5BBD907}"/>
    <cellStyle name="Normal 5 4 4 2 4" xfId="9462" xr:uid="{35A3F714-1899-4B80-B5A6-993494614D79}"/>
    <cellStyle name="Normal 5 4 4 3" xfId="1355" xr:uid="{00000000-0005-0000-0000-00002A1B0000}"/>
    <cellStyle name="Normal 5 4 4 3 2" xfId="3585" xr:uid="{00000000-0005-0000-0000-00002B1B0000}"/>
    <cellStyle name="Normal 5 4 4 3 2 2" xfId="7809" xr:uid="{00000000-0005-0000-0000-00002C1B0000}"/>
    <cellStyle name="Normal 5 4 4 3 2 2 2" xfId="16238" xr:uid="{EE6C2C05-46AC-4AF8-A564-EC06441B4A2D}"/>
    <cellStyle name="Normal 5 4 4 3 2 3" xfId="12020" xr:uid="{B2188948-4CFD-46FC-925C-1ED2E315988B}"/>
    <cellStyle name="Normal 5 4 4 3 3" xfId="5664" xr:uid="{00000000-0005-0000-0000-00002D1B0000}"/>
    <cellStyle name="Normal 5 4 4 3 3 2" xfId="14093" xr:uid="{E0F016B3-FF1C-477A-828C-5129591A20FA}"/>
    <cellStyle name="Normal 5 4 4 3 4" xfId="9875" xr:uid="{0470FAE7-48E1-45EC-959F-3AEEC0533CE4}"/>
    <cellStyle name="Normal 5 4 4 4" xfId="1768" xr:uid="{00000000-0005-0000-0000-00002E1B0000}"/>
    <cellStyle name="Normal 5 4 4 4 2" xfId="3998" xr:uid="{00000000-0005-0000-0000-00002F1B0000}"/>
    <cellStyle name="Normal 5 4 4 4 2 2" xfId="8222" xr:uid="{00000000-0005-0000-0000-0000301B0000}"/>
    <cellStyle name="Normal 5 4 4 4 2 2 2" xfId="16651" xr:uid="{2336C041-8F6E-4939-B041-0629A71787C6}"/>
    <cellStyle name="Normal 5 4 4 4 2 3" xfId="12433" xr:uid="{587CE48A-0D44-4D29-99DC-8572EA627E69}"/>
    <cellStyle name="Normal 5 4 4 4 3" xfId="6077" xr:uid="{00000000-0005-0000-0000-0000311B0000}"/>
    <cellStyle name="Normal 5 4 4 4 3 2" xfId="14506" xr:uid="{073F6333-9F8C-4608-8750-6B713A12CF2E}"/>
    <cellStyle name="Normal 5 4 4 4 4" xfId="10288" xr:uid="{D2F8DF29-B77E-4C57-95F0-9296BB7704F2}"/>
    <cellStyle name="Normal 5 4 4 5" xfId="2182" xr:uid="{00000000-0005-0000-0000-0000321B0000}"/>
    <cellStyle name="Normal 5 4 4 5 2" xfId="4411" xr:uid="{00000000-0005-0000-0000-0000331B0000}"/>
    <cellStyle name="Normal 5 4 4 5 2 2" xfId="8635" xr:uid="{00000000-0005-0000-0000-0000341B0000}"/>
    <cellStyle name="Normal 5 4 4 5 2 2 2" xfId="17064" xr:uid="{E56B186F-2C70-4E0A-90D7-85D945839977}"/>
    <cellStyle name="Normal 5 4 4 5 2 3" xfId="12846" xr:uid="{2EEA66F8-A52E-48BD-8F1B-7C7E02FCB2EC}"/>
    <cellStyle name="Normal 5 4 4 5 3" xfId="6490" xr:uid="{00000000-0005-0000-0000-0000351B0000}"/>
    <cellStyle name="Normal 5 4 4 5 3 2" xfId="14919" xr:uid="{9BC77AAD-980E-452A-8E3B-961E8F2FC2E3}"/>
    <cellStyle name="Normal 5 4 4 5 4" xfId="10701" xr:uid="{0A18BF95-6609-4191-B434-1625C6AF6DF7}"/>
    <cellStyle name="Normal 5 4 4 6" xfId="2618" xr:uid="{00000000-0005-0000-0000-0000361B0000}"/>
    <cellStyle name="Normal 5 4 4 6 2" xfId="6903" xr:uid="{00000000-0005-0000-0000-0000371B0000}"/>
    <cellStyle name="Normal 5 4 4 6 2 2" xfId="15332" xr:uid="{F8704C18-FFE8-471A-BF3E-42E875D8CBB5}"/>
    <cellStyle name="Normal 5 4 4 6 3" xfId="11114" xr:uid="{747B6D4D-94E9-4F9B-B41D-4F9789BEF303}"/>
    <cellStyle name="Normal 5 4 4 7" xfId="4838" xr:uid="{00000000-0005-0000-0000-0000381B0000}"/>
    <cellStyle name="Normal 5 4 4 7 2" xfId="13267" xr:uid="{B63637C6-00A5-44FA-A4D9-C4525E975499}"/>
    <cellStyle name="Normal 5 4 4 8" xfId="9049" xr:uid="{241BE0CD-5948-4F11-A256-EA38F9608431}"/>
    <cellStyle name="Normal 5 4 5" xfId="931" xr:uid="{00000000-0005-0000-0000-0000391B0000}"/>
    <cellStyle name="Normal 5 4 5 2" xfId="3165" xr:uid="{00000000-0005-0000-0000-00003A1B0000}"/>
    <cellStyle name="Normal 5 4 5 2 2" xfId="7389" xr:uid="{00000000-0005-0000-0000-00003B1B0000}"/>
    <cellStyle name="Normal 5 4 5 2 2 2" xfId="15818" xr:uid="{6F80A4F4-61E8-42C6-82B6-111E6D89C57C}"/>
    <cellStyle name="Normal 5 4 5 2 3" xfId="11600" xr:uid="{EA42CCE6-DD0B-458A-9BC4-A7F8DC2B5308}"/>
    <cellStyle name="Normal 5 4 5 3" xfId="5244" xr:uid="{00000000-0005-0000-0000-00003C1B0000}"/>
    <cellStyle name="Normal 5 4 5 3 2" xfId="13673" xr:uid="{3670CC52-327D-4F48-B9A9-EA5272E3C67B}"/>
    <cellStyle name="Normal 5 4 5 4" xfId="9455" xr:uid="{D8AE2B9E-EFCD-4530-A3D7-96E185593C5E}"/>
    <cellStyle name="Normal 5 4 6" xfId="1348" xr:uid="{00000000-0005-0000-0000-00003D1B0000}"/>
    <cellStyle name="Normal 5 4 6 2" xfId="3578" xr:uid="{00000000-0005-0000-0000-00003E1B0000}"/>
    <cellStyle name="Normal 5 4 6 2 2" xfId="7802" xr:uid="{00000000-0005-0000-0000-00003F1B0000}"/>
    <cellStyle name="Normal 5 4 6 2 2 2" xfId="16231" xr:uid="{894A3871-21B8-4187-B5BD-02CED156F1FF}"/>
    <cellStyle name="Normal 5 4 6 2 3" xfId="12013" xr:uid="{7863EC46-14AA-4C2C-A5C5-878B2123D49D}"/>
    <cellStyle name="Normal 5 4 6 3" xfId="5657" xr:uid="{00000000-0005-0000-0000-0000401B0000}"/>
    <cellStyle name="Normal 5 4 6 3 2" xfId="14086" xr:uid="{AE3CA8C6-D5CC-49DE-AC7F-0862659182F3}"/>
    <cellStyle name="Normal 5 4 6 4" xfId="9868" xr:uid="{BE62BCAB-0BAA-42EB-A528-76E3E383BBC0}"/>
    <cellStyle name="Normal 5 4 7" xfId="1761" xr:uid="{00000000-0005-0000-0000-0000411B0000}"/>
    <cellStyle name="Normal 5 4 7 2" xfId="3991" xr:uid="{00000000-0005-0000-0000-0000421B0000}"/>
    <cellStyle name="Normal 5 4 7 2 2" xfId="8215" xr:uid="{00000000-0005-0000-0000-0000431B0000}"/>
    <cellStyle name="Normal 5 4 7 2 2 2" xfId="16644" xr:uid="{CECA69CD-33AD-48E6-ACAD-573B14F5BC22}"/>
    <cellStyle name="Normal 5 4 7 2 3" xfId="12426" xr:uid="{BC5EE337-8081-4E1C-8F91-03A54F4929E8}"/>
    <cellStyle name="Normal 5 4 7 3" xfId="6070" xr:uid="{00000000-0005-0000-0000-0000441B0000}"/>
    <cellStyle name="Normal 5 4 7 3 2" xfId="14499" xr:uid="{F8042ADA-7B7B-45C6-AE80-1E8FD05E435A}"/>
    <cellStyle name="Normal 5 4 7 4" xfId="10281" xr:uid="{E265CF4F-FBB6-4CD1-83AE-20E694A01C43}"/>
    <cellStyle name="Normal 5 4 8" xfId="2175" xr:uid="{00000000-0005-0000-0000-0000451B0000}"/>
    <cellStyle name="Normal 5 4 8 2" xfId="4404" xr:uid="{00000000-0005-0000-0000-0000461B0000}"/>
    <cellStyle name="Normal 5 4 8 2 2" xfId="8628" xr:uid="{00000000-0005-0000-0000-0000471B0000}"/>
    <cellStyle name="Normal 5 4 8 2 2 2" xfId="17057" xr:uid="{97DBD4E2-6C02-47BD-B672-07C3C623CF68}"/>
    <cellStyle name="Normal 5 4 8 2 3" xfId="12839" xr:uid="{B4D62B94-88F3-4730-A783-DCE30E71A789}"/>
    <cellStyle name="Normal 5 4 8 3" xfId="6483" xr:uid="{00000000-0005-0000-0000-0000481B0000}"/>
    <cellStyle name="Normal 5 4 8 3 2" xfId="14912" xr:uid="{52E32EF7-1224-4916-A746-5F6763366645}"/>
    <cellStyle name="Normal 5 4 8 4" xfId="10694" xr:uid="{57CDCD01-7911-4338-8709-A1DB3126A38A}"/>
    <cellStyle name="Normal 5 4 9" xfId="2611" xr:uid="{00000000-0005-0000-0000-0000491B0000}"/>
    <cellStyle name="Normal 5 4 9 2" xfId="6896" xr:uid="{00000000-0005-0000-0000-00004A1B0000}"/>
    <cellStyle name="Normal 5 4 9 2 2" xfId="15325" xr:uid="{959FC3F1-FE57-4D28-9C8A-499B411B8C9B}"/>
    <cellStyle name="Normal 5 4 9 3" xfId="11107" xr:uid="{00DAF6EA-084D-40CC-8DB3-9ACFCCB2C9E7}"/>
    <cellStyle name="Normal 5 5" xfId="464" xr:uid="{00000000-0005-0000-0000-00004B1B0000}"/>
    <cellStyle name="Normal 5 5 10" xfId="9050" xr:uid="{FCA8EEAC-0A35-4952-AF04-EB42BF673BCF}"/>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2 2 2" xfId="15828" xr:uid="{412B73BF-00EB-4206-976F-B09B77B63DB8}"/>
    <cellStyle name="Normal 5 5 2 2 2 2 3" xfId="11610" xr:uid="{1ACE74B9-3607-4BA1-8697-039E969DE234}"/>
    <cellStyle name="Normal 5 5 2 2 2 3" xfId="5254" xr:uid="{00000000-0005-0000-0000-0000511B0000}"/>
    <cellStyle name="Normal 5 5 2 2 2 3 2" xfId="13683" xr:uid="{D386F97F-5277-4379-82B7-91D28C42EDA4}"/>
    <cellStyle name="Normal 5 5 2 2 2 4" xfId="9465" xr:uid="{CA7FF51C-1B30-4FB8-9040-7A9F55DDB59E}"/>
    <cellStyle name="Normal 5 5 2 2 3" xfId="1358" xr:uid="{00000000-0005-0000-0000-0000521B0000}"/>
    <cellStyle name="Normal 5 5 2 2 3 2" xfId="3588" xr:uid="{00000000-0005-0000-0000-0000531B0000}"/>
    <cellStyle name="Normal 5 5 2 2 3 2 2" xfId="7812" xr:uid="{00000000-0005-0000-0000-0000541B0000}"/>
    <cellStyle name="Normal 5 5 2 2 3 2 2 2" xfId="16241" xr:uid="{9A705147-724D-44EE-9533-04FA987941F7}"/>
    <cellStyle name="Normal 5 5 2 2 3 2 3" xfId="12023" xr:uid="{576FF155-E033-414E-9142-D75077E84CEA}"/>
    <cellStyle name="Normal 5 5 2 2 3 3" xfId="5667" xr:uid="{00000000-0005-0000-0000-0000551B0000}"/>
    <cellStyle name="Normal 5 5 2 2 3 3 2" xfId="14096" xr:uid="{CA8E0E39-9713-4C66-8B48-6AFB80FCEEA3}"/>
    <cellStyle name="Normal 5 5 2 2 3 4" xfId="9878" xr:uid="{6BE53C91-2A29-4FCC-9F7A-C43E49D32594}"/>
    <cellStyle name="Normal 5 5 2 2 4" xfId="1771" xr:uid="{00000000-0005-0000-0000-0000561B0000}"/>
    <cellStyle name="Normal 5 5 2 2 4 2" xfId="4001" xr:uid="{00000000-0005-0000-0000-0000571B0000}"/>
    <cellStyle name="Normal 5 5 2 2 4 2 2" xfId="8225" xr:uid="{00000000-0005-0000-0000-0000581B0000}"/>
    <cellStyle name="Normal 5 5 2 2 4 2 2 2" xfId="16654" xr:uid="{A75C6F7A-D074-46F4-BEA1-2AF1540D4D7F}"/>
    <cellStyle name="Normal 5 5 2 2 4 2 3" xfId="12436" xr:uid="{54D7061A-8C88-44D1-88F3-87A83D8806D6}"/>
    <cellStyle name="Normal 5 5 2 2 4 3" xfId="6080" xr:uid="{00000000-0005-0000-0000-0000591B0000}"/>
    <cellStyle name="Normal 5 5 2 2 4 3 2" xfId="14509" xr:uid="{6E3AA4BD-43EA-467E-9508-6B76029CD808}"/>
    <cellStyle name="Normal 5 5 2 2 4 4" xfId="10291" xr:uid="{52E0CB95-A00F-4F8A-92B7-869EE30E00C9}"/>
    <cellStyle name="Normal 5 5 2 2 5" xfId="2185" xr:uid="{00000000-0005-0000-0000-00005A1B0000}"/>
    <cellStyle name="Normal 5 5 2 2 5 2" xfId="4414" xr:uid="{00000000-0005-0000-0000-00005B1B0000}"/>
    <cellStyle name="Normal 5 5 2 2 5 2 2" xfId="8638" xr:uid="{00000000-0005-0000-0000-00005C1B0000}"/>
    <cellStyle name="Normal 5 5 2 2 5 2 2 2" xfId="17067" xr:uid="{D56B9258-525F-4E13-81BE-8133665BA2AB}"/>
    <cellStyle name="Normal 5 5 2 2 5 2 3" xfId="12849" xr:uid="{6C7094D5-8957-45B8-8299-72364BD7DA4C}"/>
    <cellStyle name="Normal 5 5 2 2 5 3" xfId="6493" xr:uid="{00000000-0005-0000-0000-00005D1B0000}"/>
    <cellStyle name="Normal 5 5 2 2 5 3 2" xfId="14922" xr:uid="{6478D1CC-A4FF-4023-9D8C-DDB68D48E6A0}"/>
    <cellStyle name="Normal 5 5 2 2 5 4" xfId="10704" xr:uid="{130E5F56-03FD-4773-90EB-897FE4649CEF}"/>
    <cellStyle name="Normal 5 5 2 2 6" xfId="2621" xr:uid="{00000000-0005-0000-0000-00005E1B0000}"/>
    <cellStyle name="Normal 5 5 2 2 6 2" xfId="6906" xr:uid="{00000000-0005-0000-0000-00005F1B0000}"/>
    <cellStyle name="Normal 5 5 2 2 6 2 2" xfId="15335" xr:uid="{D4DACC19-EA4E-4083-ACC5-2A72C76DC919}"/>
    <cellStyle name="Normal 5 5 2 2 6 3" xfId="11117" xr:uid="{4B06F0E7-FF52-4D66-8908-397B17627490}"/>
    <cellStyle name="Normal 5 5 2 2 7" xfId="4841" xr:uid="{00000000-0005-0000-0000-0000601B0000}"/>
    <cellStyle name="Normal 5 5 2 2 7 2" xfId="13270" xr:uid="{99252070-840E-44AA-801A-C323350E0406}"/>
    <cellStyle name="Normal 5 5 2 2 8" xfId="9052" xr:uid="{4A989C0B-802D-4A1D-A842-79269AECAAEC}"/>
    <cellStyle name="Normal 5 5 2 3" xfId="940" xr:uid="{00000000-0005-0000-0000-0000611B0000}"/>
    <cellStyle name="Normal 5 5 2 3 2" xfId="3174" xr:uid="{00000000-0005-0000-0000-0000621B0000}"/>
    <cellStyle name="Normal 5 5 2 3 2 2" xfId="7398" xr:uid="{00000000-0005-0000-0000-0000631B0000}"/>
    <cellStyle name="Normal 5 5 2 3 2 2 2" xfId="15827" xr:uid="{475F0704-D732-4FB3-9E63-7D0C27264D39}"/>
    <cellStyle name="Normal 5 5 2 3 2 3" xfId="11609" xr:uid="{45D28C0B-0598-4E0C-A018-98395BFED822}"/>
    <cellStyle name="Normal 5 5 2 3 3" xfId="5253" xr:uid="{00000000-0005-0000-0000-0000641B0000}"/>
    <cellStyle name="Normal 5 5 2 3 3 2" xfId="13682" xr:uid="{033A41B3-F7AE-480A-AE21-6BEB4A0C2B82}"/>
    <cellStyle name="Normal 5 5 2 3 4" xfId="9464" xr:uid="{10B93F04-0F28-48DF-9C00-A8E4E306F7FF}"/>
    <cellStyle name="Normal 5 5 2 4" xfId="1357" xr:uid="{00000000-0005-0000-0000-0000651B0000}"/>
    <cellStyle name="Normal 5 5 2 4 2" xfId="3587" xr:uid="{00000000-0005-0000-0000-0000661B0000}"/>
    <cellStyle name="Normal 5 5 2 4 2 2" xfId="7811" xr:uid="{00000000-0005-0000-0000-0000671B0000}"/>
    <cellStyle name="Normal 5 5 2 4 2 2 2" xfId="16240" xr:uid="{41393A2A-7E16-4ACD-9C15-55CEC527ECB2}"/>
    <cellStyle name="Normal 5 5 2 4 2 3" xfId="12022" xr:uid="{047FA2B4-8DBB-4762-8DE9-362A2E86C61A}"/>
    <cellStyle name="Normal 5 5 2 4 3" xfId="5666" xr:uid="{00000000-0005-0000-0000-0000681B0000}"/>
    <cellStyle name="Normal 5 5 2 4 3 2" xfId="14095" xr:uid="{8B585054-A3F7-441C-8A35-2B35A6E9B04D}"/>
    <cellStyle name="Normal 5 5 2 4 4" xfId="9877" xr:uid="{6AAC7A85-1D63-4C53-8E70-BD26A1DC2678}"/>
    <cellStyle name="Normal 5 5 2 5" xfId="1770" xr:uid="{00000000-0005-0000-0000-0000691B0000}"/>
    <cellStyle name="Normal 5 5 2 5 2" xfId="4000" xr:uid="{00000000-0005-0000-0000-00006A1B0000}"/>
    <cellStyle name="Normal 5 5 2 5 2 2" xfId="8224" xr:uid="{00000000-0005-0000-0000-00006B1B0000}"/>
    <cellStyle name="Normal 5 5 2 5 2 2 2" xfId="16653" xr:uid="{2DF02559-E777-4942-82E2-42DB50763C33}"/>
    <cellStyle name="Normal 5 5 2 5 2 3" xfId="12435" xr:uid="{22998005-9ECC-40E8-A281-E970A54F3E84}"/>
    <cellStyle name="Normal 5 5 2 5 3" xfId="6079" xr:uid="{00000000-0005-0000-0000-00006C1B0000}"/>
    <cellStyle name="Normal 5 5 2 5 3 2" xfId="14508" xr:uid="{D632C526-169B-424B-855A-3D75A89502F4}"/>
    <cellStyle name="Normal 5 5 2 5 4" xfId="10290" xr:uid="{97F412D3-15EE-4C25-8780-3528FFB15220}"/>
    <cellStyle name="Normal 5 5 2 6" xfId="2184" xr:uid="{00000000-0005-0000-0000-00006D1B0000}"/>
    <cellStyle name="Normal 5 5 2 6 2" xfId="4413" xr:uid="{00000000-0005-0000-0000-00006E1B0000}"/>
    <cellStyle name="Normal 5 5 2 6 2 2" xfId="8637" xr:uid="{00000000-0005-0000-0000-00006F1B0000}"/>
    <cellStyle name="Normal 5 5 2 6 2 2 2" xfId="17066" xr:uid="{B05B3ABF-FAEE-4B71-ACB5-DC0256B4CA5D}"/>
    <cellStyle name="Normal 5 5 2 6 2 3" xfId="12848" xr:uid="{D048F406-86CD-4D24-B79D-78BC5B245B81}"/>
    <cellStyle name="Normal 5 5 2 6 3" xfId="6492" xr:uid="{00000000-0005-0000-0000-0000701B0000}"/>
    <cellStyle name="Normal 5 5 2 6 3 2" xfId="14921" xr:uid="{A81C49CE-1EB4-46CB-A98B-DBCAB17737D1}"/>
    <cellStyle name="Normal 5 5 2 6 4" xfId="10703" xr:uid="{BB350298-2126-4C95-9F2F-D2C35218AA21}"/>
    <cellStyle name="Normal 5 5 2 7" xfId="2620" xr:uid="{00000000-0005-0000-0000-0000711B0000}"/>
    <cellStyle name="Normal 5 5 2 7 2" xfId="6905" xr:uid="{00000000-0005-0000-0000-0000721B0000}"/>
    <cellStyle name="Normal 5 5 2 7 2 2" xfId="15334" xr:uid="{DC087F8D-EECA-4681-AEA3-0DB91969D944}"/>
    <cellStyle name="Normal 5 5 2 7 3" xfId="11116" xr:uid="{C760B14E-ED24-4570-8EFE-16AFD879157E}"/>
    <cellStyle name="Normal 5 5 2 8" xfId="4840" xr:uid="{00000000-0005-0000-0000-0000731B0000}"/>
    <cellStyle name="Normal 5 5 2 8 2" xfId="13269" xr:uid="{231A6D34-C188-4226-A7BF-430D97CF6116}"/>
    <cellStyle name="Normal 5 5 2 9" xfId="9051" xr:uid="{03DE1253-BA09-4324-B315-E4193B656DEE}"/>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2 2 2" xfId="15829" xr:uid="{FF89B4F6-70D2-46C7-A0A1-DFC2CAE6EF89}"/>
    <cellStyle name="Normal 5 5 3 2 2 3" xfId="11611" xr:uid="{E5619F1E-BF58-41F6-B24D-85E9BC2AE63C}"/>
    <cellStyle name="Normal 5 5 3 2 3" xfId="5255" xr:uid="{00000000-0005-0000-0000-0000781B0000}"/>
    <cellStyle name="Normal 5 5 3 2 3 2" xfId="13684" xr:uid="{02AF3432-466C-4E01-9138-838CC13CFFEC}"/>
    <cellStyle name="Normal 5 5 3 2 4" xfId="9466" xr:uid="{DF465D54-4716-4F44-8711-207903466A72}"/>
    <cellStyle name="Normal 5 5 3 3" xfId="1359" xr:uid="{00000000-0005-0000-0000-0000791B0000}"/>
    <cellStyle name="Normal 5 5 3 3 2" xfId="3589" xr:uid="{00000000-0005-0000-0000-00007A1B0000}"/>
    <cellStyle name="Normal 5 5 3 3 2 2" xfId="7813" xr:uid="{00000000-0005-0000-0000-00007B1B0000}"/>
    <cellStyle name="Normal 5 5 3 3 2 2 2" xfId="16242" xr:uid="{CD4BF689-5AB6-4FC3-B0BE-116AE9FDF478}"/>
    <cellStyle name="Normal 5 5 3 3 2 3" xfId="12024" xr:uid="{4FDA73F8-8F8C-4024-BB68-357BBE14F79F}"/>
    <cellStyle name="Normal 5 5 3 3 3" xfId="5668" xr:uid="{00000000-0005-0000-0000-00007C1B0000}"/>
    <cellStyle name="Normal 5 5 3 3 3 2" xfId="14097" xr:uid="{0E035BF2-D94E-4B83-B3F0-8D0E8B029856}"/>
    <cellStyle name="Normal 5 5 3 3 4" xfId="9879" xr:uid="{4BC88386-2692-4CDB-B373-FBA7A12EB55D}"/>
    <cellStyle name="Normal 5 5 3 4" xfId="1772" xr:uid="{00000000-0005-0000-0000-00007D1B0000}"/>
    <cellStyle name="Normal 5 5 3 4 2" xfId="4002" xr:uid="{00000000-0005-0000-0000-00007E1B0000}"/>
    <cellStyle name="Normal 5 5 3 4 2 2" xfId="8226" xr:uid="{00000000-0005-0000-0000-00007F1B0000}"/>
    <cellStyle name="Normal 5 5 3 4 2 2 2" xfId="16655" xr:uid="{CDC24143-F7FD-4A7A-A27F-58CF49BEBD9B}"/>
    <cellStyle name="Normal 5 5 3 4 2 3" xfId="12437" xr:uid="{4C60B57B-4AE2-4BB0-9F99-6B638060F0EA}"/>
    <cellStyle name="Normal 5 5 3 4 3" xfId="6081" xr:uid="{00000000-0005-0000-0000-0000801B0000}"/>
    <cellStyle name="Normal 5 5 3 4 3 2" xfId="14510" xr:uid="{84D6AF35-8640-4BDD-92AC-D31A5D5BE4E1}"/>
    <cellStyle name="Normal 5 5 3 4 4" xfId="10292" xr:uid="{5675D0E4-CC20-4FAA-B7BA-8DFE0477E0FF}"/>
    <cellStyle name="Normal 5 5 3 5" xfId="2186" xr:uid="{00000000-0005-0000-0000-0000811B0000}"/>
    <cellStyle name="Normal 5 5 3 5 2" xfId="4415" xr:uid="{00000000-0005-0000-0000-0000821B0000}"/>
    <cellStyle name="Normal 5 5 3 5 2 2" xfId="8639" xr:uid="{00000000-0005-0000-0000-0000831B0000}"/>
    <cellStyle name="Normal 5 5 3 5 2 2 2" xfId="17068" xr:uid="{17803C8E-B15A-43C7-BC26-2487D047296C}"/>
    <cellStyle name="Normal 5 5 3 5 2 3" xfId="12850" xr:uid="{8FD3FA14-DB4F-42AD-9E1C-5BA2422A6262}"/>
    <cellStyle name="Normal 5 5 3 5 3" xfId="6494" xr:uid="{00000000-0005-0000-0000-0000841B0000}"/>
    <cellStyle name="Normal 5 5 3 5 3 2" xfId="14923" xr:uid="{55FBBF88-9B00-40B1-9C48-1553797DEE87}"/>
    <cellStyle name="Normal 5 5 3 5 4" xfId="10705" xr:uid="{09616F49-DE6B-42C6-8B86-ED375F09D133}"/>
    <cellStyle name="Normal 5 5 3 6" xfId="2622" xr:uid="{00000000-0005-0000-0000-0000851B0000}"/>
    <cellStyle name="Normal 5 5 3 6 2" xfId="6907" xr:uid="{00000000-0005-0000-0000-0000861B0000}"/>
    <cellStyle name="Normal 5 5 3 6 2 2" xfId="15336" xr:uid="{DD7AB55B-30F1-4C33-89B3-6C5D53439F89}"/>
    <cellStyle name="Normal 5 5 3 6 3" xfId="11118" xr:uid="{F6E105F4-C422-40F8-9D42-701E7AE3C6F6}"/>
    <cellStyle name="Normal 5 5 3 7" xfId="4842" xr:uid="{00000000-0005-0000-0000-0000871B0000}"/>
    <cellStyle name="Normal 5 5 3 7 2" xfId="13271" xr:uid="{EC7AFB37-4DB9-421F-8EC5-92CAB187A061}"/>
    <cellStyle name="Normal 5 5 3 8" xfId="9053" xr:uid="{B781EEE5-1F14-48B3-86A6-D4D969AA67AC}"/>
    <cellStyle name="Normal 5 5 4" xfId="939" xr:uid="{00000000-0005-0000-0000-0000881B0000}"/>
    <cellStyle name="Normal 5 5 4 2" xfId="3173" xr:uid="{00000000-0005-0000-0000-0000891B0000}"/>
    <cellStyle name="Normal 5 5 4 2 2" xfId="7397" xr:uid="{00000000-0005-0000-0000-00008A1B0000}"/>
    <cellStyle name="Normal 5 5 4 2 2 2" xfId="15826" xr:uid="{B157D505-EDA3-4021-AA90-72B182527233}"/>
    <cellStyle name="Normal 5 5 4 2 3" xfId="11608" xr:uid="{9B2E005D-35AC-4C1D-A5A0-BCEDD5DA1EA5}"/>
    <cellStyle name="Normal 5 5 4 3" xfId="5252" xr:uid="{00000000-0005-0000-0000-00008B1B0000}"/>
    <cellStyle name="Normal 5 5 4 3 2" xfId="13681" xr:uid="{F4446213-08A7-4659-BCBB-E69554E0E146}"/>
    <cellStyle name="Normal 5 5 4 4" xfId="9463" xr:uid="{089B3339-2DEB-49F9-ADEF-88DB64599CF9}"/>
    <cellStyle name="Normal 5 5 5" xfId="1356" xr:uid="{00000000-0005-0000-0000-00008C1B0000}"/>
    <cellStyle name="Normal 5 5 5 2" xfId="3586" xr:uid="{00000000-0005-0000-0000-00008D1B0000}"/>
    <cellStyle name="Normal 5 5 5 2 2" xfId="7810" xr:uid="{00000000-0005-0000-0000-00008E1B0000}"/>
    <cellStyle name="Normal 5 5 5 2 2 2" xfId="16239" xr:uid="{5D19F991-D21E-4195-8BE1-4ECAB590A079}"/>
    <cellStyle name="Normal 5 5 5 2 3" xfId="12021" xr:uid="{F1309602-7B29-4BBB-8323-C80C9E8C8745}"/>
    <cellStyle name="Normal 5 5 5 3" xfId="5665" xr:uid="{00000000-0005-0000-0000-00008F1B0000}"/>
    <cellStyle name="Normal 5 5 5 3 2" xfId="14094" xr:uid="{D6B4463D-3313-4EFA-9676-D774D20CCB85}"/>
    <cellStyle name="Normal 5 5 5 4" xfId="9876" xr:uid="{3DBF879D-E617-44ED-B963-57DF28317202}"/>
    <cellStyle name="Normal 5 5 6" xfId="1769" xr:uid="{00000000-0005-0000-0000-0000901B0000}"/>
    <cellStyle name="Normal 5 5 6 2" xfId="3999" xr:uid="{00000000-0005-0000-0000-0000911B0000}"/>
    <cellStyle name="Normal 5 5 6 2 2" xfId="8223" xr:uid="{00000000-0005-0000-0000-0000921B0000}"/>
    <cellStyle name="Normal 5 5 6 2 2 2" xfId="16652" xr:uid="{81DD5CDE-45E4-4DA1-8DDA-A785983EED06}"/>
    <cellStyle name="Normal 5 5 6 2 3" xfId="12434" xr:uid="{6CED2042-A29C-494E-B95F-5CF38E8859AF}"/>
    <cellStyle name="Normal 5 5 6 3" xfId="6078" xr:uid="{00000000-0005-0000-0000-0000931B0000}"/>
    <cellStyle name="Normal 5 5 6 3 2" xfId="14507" xr:uid="{2DB7C309-E45E-49E2-870E-D00A97CC431B}"/>
    <cellStyle name="Normal 5 5 6 4" xfId="10289" xr:uid="{09872858-A16B-43F0-BD75-10F11820D816}"/>
    <cellStyle name="Normal 5 5 7" xfId="2183" xr:uid="{00000000-0005-0000-0000-0000941B0000}"/>
    <cellStyle name="Normal 5 5 7 2" xfId="4412" xr:uid="{00000000-0005-0000-0000-0000951B0000}"/>
    <cellStyle name="Normal 5 5 7 2 2" xfId="8636" xr:uid="{00000000-0005-0000-0000-0000961B0000}"/>
    <cellStyle name="Normal 5 5 7 2 2 2" xfId="17065" xr:uid="{0DD33EEA-05AD-4522-90EE-9D7EB987479D}"/>
    <cellStyle name="Normal 5 5 7 2 3" xfId="12847" xr:uid="{711D4175-5A9D-4747-8F15-B85F00A5B24A}"/>
    <cellStyle name="Normal 5 5 7 3" xfId="6491" xr:uid="{00000000-0005-0000-0000-0000971B0000}"/>
    <cellStyle name="Normal 5 5 7 3 2" xfId="14920" xr:uid="{9E1DB922-48C4-47F8-9522-89356A83177A}"/>
    <cellStyle name="Normal 5 5 7 4" xfId="10702" xr:uid="{17D65204-FB19-44A9-9E63-286DD1233CDD}"/>
    <cellStyle name="Normal 5 5 8" xfId="2619" xr:uid="{00000000-0005-0000-0000-0000981B0000}"/>
    <cellStyle name="Normal 5 5 8 2" xfId="6904" xr:uid="{00000000-0005-0000-0000-0000991B0000}"/>
    <cellStyle name="Normal 5 5 8 2 2" xfId="15333" xr:uid="{23803947-2C8B-4B4D-8827-FB635FC7B783}"/>
    <cellStyle name="Normal 5 5 8 3" xfId="11115" xr:uid="{2179F037-995B-4791-9578-9D7399C75C83}"/>
    <cellStyle name="Normal 5 5 9" xfId="4839" xr:uid="{00000000-0005-0000-0000-00009A1B0000}"/>
    <cellStyle name="Normal 5 5 9 2" xfId="13268" xr:uid="{4C04FBEF-F479-4BC5-89EC-7256691EA824}"/>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2 2 2" xfId="15831" xr:uid="{419C1DB5-9938-4DC5-8719-92C56C53804E}"/>
    <cellStyle name="Normal 5 6 2 2 2 3" xfId="11613" xr:uid="{A9A8D106-10A0-42DA-8C63-4B656B642A19}"/>
    <cellStyle name="Normal 5 6 2 2 3" xfId="5257" xr:uid="{00000000-0005-0000-0000-0000A01B0000}"/>
    <cellStyle name="Normal 5 6 2 2 3 2" xfId="13686" xr:uid="{A95DD884-CE6D-4DE3-9819-76A02CFE48F4}"/>
    <cellStyle name="Normal 5 6 2 2 4" xfId="9468" xr:uid="{4A5CFC34-E910-4561-A656-8B0040B20032}"/>
    <cellStyle name="Normal 5 6 2 3" xfId="1361" xr:uid="{00000000-0005-0000-0000-0000A11B0000}"/>
    <cellStyle name="Normal 5 6 2 3 2" xfId="3591" xr:uid="{00000000-0005-0000-0000-0000A21B0000}"/>
    <cellStyle name="Normal 5 6 2 3 2 2" xfId="7815" xr:uid="{00000000-0005-0000-0000-0000A31B0000}"/>
    <cellStyle name="Normal 5 6 2 3 2 2 2" xfId="16244" xr:uid="{D9CE97BE-0FD4-473F-8547-4D20630DCC65}"/>
    <cellStyle name="Normal 5 6 2 3 2 3" xfId="12026" xr:uid="{14C87990-0D3A-4D8D-9ED1-4C43732D0DA9}"/>
    <cellStyle name="Normal 5 6 2 3 3" xfId="5670" xr:uid="{00000000-0005-0000-0000-0000A41B0000}"/>
    <cellStyle name="Normal 5 6 2 3 3 2" xfId="14099" xr:uid="{EE6D45C6-875E-4E7D-A319-241581CD25F5}"/>
    <cellStyle name="Normal 5 6 2 3 4" xfId="9881" xr:uid="{E33BF954-178A-442A-9CB5-5B7E66A30E49}"/>
    <cellStyle name="Normal 5 6 2 4" xfId="1774" xr:uid="{00000000-0005-0000-0000-0000A51B0000}"/>
    <cellStyle name="Normal 5 6 2 4 2" xfId="4004" xr:uid="{00000000-0005-0000-0000-0000A61B0000}"/>
    <cellStyle name="Normal 5 6 2 4 2 2" xfId="8228" xr:uid="{00000000-0005-0000-0000-0000A71B0000}"/>
    <cellStyle name="Normal 5 6 2 4 2 2 2" xfId="16657" xr:uid="{EFC833F7-439F-453D-BF5C-8FA3BBFD31CC}"/>
    <cellStyle name="Normal 5 6 2 4 2 3" xfId="12439" xr:uid="{61B7CF6A-4BDC-46B2-882F-514054503AFE}"/>
    <cellStyle name="Normal 5 6 2 4 3" xfId="6083" xr:uid="{00000000-0005-0000-0000-0000A81B0000}"/>
    <cellStyle name="Normal 5 6 2 4 3 2" xfId="14512" xr:uid="{1938CD29-46BF-4515-A394-04A9339EE5ED}"/>
    <cellStyle name="Normal 5 6 2 4 4" xfId="10294" xr:uid="{176F414E-5790-4DF5-94D4-5018FDC09B02}"/>
    <cellStyle name="Normal 5 6 2 5" xfId="2188" xr:uid="{00000000-0005-0000-0000-0000A91B0000}"/>
    <cellStyle name="Normal 5 6 2 5 2" xfId="4417" xr:uid="{00000000-0005-0000-0000-0000AA1B0000}"/>
    <cellStyle name="Normal 5 6 2 5 2 2" xfId="8641" xr:uid="{00000000-0005-0000-0000-0000AB1B0000}"/>
    <cellStyle name="Normal 5 6 2 5 2 2 2" xfId="17070" xr:uid="{6269778C-6A17-423F-A920-5CE3120489F3}"/>
    <cellStyle name="Normal 5 6 2 5 2 3" xfId="12852" xr:uid="{1E939824-C743-4C61-BE38-3538EA6261C1}"/>
    <cellStyle name="Normal 5 6 2 5 3" xfId="6496" xr:uid="{00000000-0005-0000-0000-0000AC1B0000}"/>
    <cellStyle name="Normal 5 6 2 5 3 2" xfId="14925" xr:uid="{0F9787F9-BF2E-426D-B991-54E4230DD13E}"/>
    <cellStyle name="Normal 5 6 2 5 4" xfId="10707" xr:uid="{E182C74A-D280-43DB-8A35-204AA3AD0CAC}"/>
    <cellStyle name="Normal 5 6 2 6" xfId="2624" xr:uid="{00000000-0005-0000-0000-0000AD1B0000}"/>
    <cellStyle name="Normal 5 6 2 6 2" xfId="6909" xr:uid="{00000000-0005-0000-0000-0000AE1B0000}"/>
    <cellStyle name="Normal 5 6 2 6 2 2" xfId="15338" xr:uid="{91EE5733-4AEB-4311-AB19-22546FF536AA}"/>
    <cellStyle name="Normal 5 6 2 6 3" xfId="11120" xr:uid="{C5DF48A5-8D57-4273-B70C-0526C47BD7F7}"/>
    <cellStyle name="Normal 5 6 2 7" xfId="4844" xr:uid="{00000000-0005-0000-0000-0000AF1B0000}"/>
    <cellStyle name="Normal 5 6 2 7 2" xfId="13273" xr:uid="{CB6A1B31-5F90-46A8-815A-5CAD8C207BAC}"/>
    <cellStyle name="Normal 5 6 2 8" xfId="9055" xr:uid="{C17A9247-826D-4787-81E6-2907DB5BDB56}"/>
    <cellStyle name="Normal 5 6 3" xfId="943" xr:uid="{00000000-0005-0000-0000-0000B01B0000}"/>
    <cellStyle name="Normal 5 6 3 2" xfId="3177" xr:uid="{00000000-0005-0000-0000-0000B11B0000}"/>
    <cellStyle name="Normal 5 6 3 2 2" xfId="7401" xr:uid="{00000000-0005-0000-0000-0000B21B0000}"/>
    <cellStyle name="Normal 5 6 3 2 2 2" xfId="15830" xr:uid="{7A9D83D3-27DD-41F7-9008-68F9133C2A23}"/>
    <cellStyle name="Normal 5 6 3 2 3" xfId="11612" xr:uid="{E81B456E-8867-40F8-8232-D15D40507FC8}"/>
    <cellStyle name="Normal 5 6 3 3" xfId="5256" xr:uid="{00000000-0005-0000-0000-0000B31B0000}"/>
    <cellStyle name="Normal 5 6 3 3 2" xfId="13685" xr:uid="{F11516AB-6ADE-45CD-BF1E-22BD6D5AB666}"/>
    <cellStyle name="Normal 5 6 3 4" xfId="9467" xr:uid="{85A3DCDA-AF7C-4A20-9D87-4DD47BFEB44B}"/>
    <cellStyle name="Normal 5 6 4" xfId="1360" xr:uid="{00000000-0005-0000-0000-0000B41B0000}"/>
    <cellStyle name="Normal 5 6 4 2" xfId="3590" xr:uid="{00000000-0005-0000-0000-0000B51B0000}"/>
    <cellStyle name="Normal 5 6 4 2 2" xfId="7814" xr:uid="{00000000-0005-0000-0000-0000B61B0000}"/>
    <cellStyle name="Normal 5 6 4 2 2 2" xfId="16243" xr:uid="{8FFA9C25-4DB1-42C6-AE34-D4C92E91EC57}"/>
    <cellStyle name="Normal 5 6 4 2 3" xfId="12025" xr:uid="{775AE0D5-F8BC-4F2C-82AC-09E14357C6F8}"/>
    <cellStyle name="Normal 5 6 4 3" xfId="5669" xr:uid="{00000000-0005-0000-0000-0000B71B0000}"/>
    <cellStyle name="Normal 5 6 4 3 2" xfId="14098" xr:uid="{BB0E770F-F600-47A0-B06E-D014B3F7B902}"/>
    <cellStyle name="Normal 5 6 4 4" xfId="9880" xr:uid="{82FD1233-123D-4408-8535-08C1F64DA06A}"/>
    <cellStyle name="Normal 5 6 5" xfId="1773" xr:uid="{00000000-0005-0000-0000-0000B81B0000}"/>
    <cellStyle name="Normal 5 6 5 2" xfId="4003" xr:uid="{00000000-0005-0000-0000-0000B91B0000}"/>
    <cellStyle name="Normal 5 6 5 2 2" xfId="8227" xr:uid="{00000000-0005-0000-0000-0000BA1B0000}"/>
    <cellStyle name="Normal 5 6 5 2 2 2" xfId="16656" xr:uid="{EA1C3EAE-295C-4E10-9D89-FB854BE30539}"/>
    <cellStyle name="Normal 5 6 5 2 3" xfId="12438" xr:uid="{D03A64E6-731F-4E66-B7CE-B9327BE395C1}"/>
    <cellStyle name="Normal 5 6 5 3" xfId="6082" xr:uid="{00000000-0005-0000-0000-0000BB1B0000}"/>
    <cellStyle name="Normal 5 6 5 3 2" xfId="14511" xr:uid="{2A779C37-0A48-4E5D-A99B-404467A3CE1B}"/>
    <cellStyle name="Normal 5 6 5 4" xfId="10293" xr:uid="{2DDAFF3A-E9EA-483A-906E-DBABF1BFFD85}"/>
    <cellStyle name="Normal 5 6 6" xfId="2187" xr:uid="{00000000-0005-0000-0000-0000BC1B0000}"/>
    <cellStyle name="Normal 5 6 6 2" xfId="4416" xr:uid="{00000000-0005-0000-0000-0000BD1B0000}"/>
    <cellStyle name="Normal 5 6 6 2 2" xfId="8640" xr:uid="{00000000-0005-0000-0000-0000BE1B0000}"/>
    <cellStyle name="Normal 5 6 6 2 2 2" xfId="17069" xr:uid="{921C7CE0-DF96-440D-BD16-F1B2F59E598A}"/>
    <cellStyle name="Normal 5 6 6 2 3" xfId="12851" xr:uid="{2A9439DE-5FE5-4F2B-960A-8688F59F2754}"/>
    <cellStyle name="Normal 5 6 6 3" xfId="6495" xr:uid="{00000000-0005-0000-0000-0000BF1B0000}"/>
    <cellStyle name="Normal 5 6 6 3 2" xfId="14924" xr:uid="{A78090B7-4AD3-4D19-8FBF-F89B9DB0FCD7}"/>
    <cellStyle name="Normal 5 6 6 4" xfId="10706" xr:uid="{CAD3D785-A301-4200-98DF-991CB312A1FE}"/>
    <cellStyle name="Normal 5 6 7" xfId="2623" xr:uid="{00000000-0005-0000-0000-0000C01B0000}"/>
    <cellStyle name="Normal 5 6 7 2" xfId="6908" xr:uid="{00000000-0005-0000-0000-0000C11B0000}"/>
    <cellStyle name="Normal 5 6 7 2 2" xfId="15337" xr:uid="{0FFE23E9-8A8B-47F8-AC8E-36A78F52E909}"/>
    <cellStyle name="Normal 5 6 7 3" xfId="11119" xr:uid="{989FB3E9-0A4F-46D4-888A-0C1EFA750E0F}"/>
    <cellStyle name="Normal 5 6 8" xfId="4843" xr:uid="{00000000-0005-0000-0000-0000C21B0000}"/>
    <cellStyle name="Normal 5 6 8 2" xfId="13272" xr:uid="{89BA30D6-FA06-4CAE-A5C8-4E4DA9534EA8}"/>
    <cellStyle name="Normal 5 6 9" xfId="9054" xr:uid="{8BB74958-8375-4628-885D-80B8706AB44A}"/>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2 2 2" xfId="15832" xr:uid="{64C3AFD1-4441-4D32-81DE-71CC4B5E7A9D}"/>
    <cellStyle name="Normal 5 7 2 2 3" xfId="11614" xr:uid="{30BACB8E-93B0-4DDC-BF12-535835031CDD}"/>
    <cellStyle name="Normal 5 7 2 3" xfId="5258" xr:uid="{00000000-0005-0000-0000-0000C71B0000}"/>
    <cellStyle name="Normal 5 7 2 3 2" xfId="13687" xr:uid="{57080C9E-5F84-4E31-BAA3-46ED744BE575}"/>
    <cellStyle name="Normal 5 7 2 4" xfId="9469" xr:uid="{4D8F07B8-EAFC-4A0D-8845-A7F708AC7AB4}"/>
    <cellStyle name="Normal 5 7 3" xfId="1362" xr:uid="{00000000-0005-0000-0000-0000C81B0000}"/>
    <cellStyle name="Normal 5 7 3 2" xfId="3592" xr:uid="{00000000-0005-0000-0000-0000C91B0000}"/>
    <cellStyle name="Normal 5 7 3 2 2" xfId="7816" xr:uid="{00000000-0005-0000-0000-0000CA1B0000}"/>
    <cellStyle name="Normal 5 7 3 2 2 2" xfId="16245" xr:uid="{01D3EE0D-2170-4C79-B8B7-CB7D33F6478D}"/>
    <cellStyle name="Normal 5 7 3 2 3" xfId="12027" xr:uid="{AAF2863A-1DBE-41D3-B179-2266D15C21A5}"/>
    <cellStyle name="Normal 5 7 3 3" xfId="5671" xr:uid="{00000000-0005-0000-0000-0000CB1B0000}"/>
    <cellStyle name="Normal 5 7 3 3 2" xfId="14100" xr:uid="{4A27BB2B-F060-49C3-B8F0-2106F109D1DA}"/>
    <cellStyle name="Normal 5 7 3 4" xfId="9882" xr:uid="{9834DAA1-2F78-4109-832B-596D197BCF4D}"/>
    <cellStyle name="Normal 5 7 4" xfId="1775" xr:uid="{00000000-0005-0000-0000-0000CC1B0000}"/>
    <cellStyle name="Normal 5 7 4 2" xfId="4005" xr:uid="{00000000-0005-0000-0000-0000CD1B0000}"/>
    <cellStyle name="Normal 5 7 4 2 2" xfId="8229" xr:uid="{00000000-0005-0000-0000-0000CE1B0000}"/>
    <cellStyle name="Normal 5 7 4 2 2 2" xfId="16658" xr:uid="{1136204E-1431-4440-9B2E-DAD00D73BEC6}"/>
    <cellStyle name="Normal 5 7 4 2 3" xfId="12440" xr:uid="{A1EBACE4-8A75-4AE9-B9EF-E3760D5BD251}"/>
    <cellStyle name="Normal 5 7 4 3" xfId="6084" xr:uid="{00000000-0005-0000-0000-0000CF1B0000}"/>
    <cellStyle name="Normal 5 7 4 3 2" xfId="14513" xr:uid="{0C01DD56-1FAD-40BE-A9C4-B15C7A06F1E5}"/>
    <cellStyle name="Normal 5 7 4 4" xfId="10295" xr:uid="{71A5E22C-6700-4283-A219-D9AD575FAA6D}"/>
    <cellStyle name="Normal 5 7 5" xfId="2189" xr:uid="{00000000-0005-0000-0000-0000D01B0000}"/>
    <cellStyle name="Normal 5 7 5 2" xfId="4418" xr:uid="{00000000-0005-0000-0000-0000D11B0000}"/>
    <cellStyle name="Normal 5 7 5 2 2" xfId="8642" xr:uid="{00000000-0005-0000-0000-0000D21B0000}"/>
    <cellStyle name="Normal 5 7 5 2 2 2" xfId="17071" xr:uid="{EC03D027-FD05-4BC6-9B46-C22F7C062CA9}"/>
    <cellStyle name="Normal 5 7 5 2 3" xfId="12853" xr:uid="{9DEB9F82-E7E0-4396-95B9-AA5F98F76EEE}"/>
    <cellStyle name="Normal 5 7 5 3" xfId="6497" xr:uid="{00000000-0005-0000-0000-0000D31B0000}"/>
    <cellStyle name="Normal 5 7 5 3 2" xfId="14926" xr:uid="{9F3F2EA6-7573-4E11-962E-5BC6C4179FD7}"/>
    <cellStyle name="Normal 5 7 5 4" xfId="10708" xr:uid="{36627877-8F1E-4DA7-9ADF-4B7F541BA5F0}"/>
    <cellStyle name="Normal 5 7 6" xfId="2625" xr:uid="{00000000-0005-0000-0000-0000D41B0000}"/>
    <cellStyle name="Normal 5 7 6 2" xfId="6910" xr:uid="{00000000-0005-0000-0000-0000D51B0000}"/>
    <cellStyle name="Normal 5 7 6 2 2" xfId="15339" xr:uid="{483422EE-DC7C-4C29-88CF-A23B58986C4A}"/>
    <cellStyle name="Normal 5 7 6 3" xfId="11121" xr:uid="{38C78990-76F3-4B87-8881-4F6F12380597}"/>
    <cellStyle name="Normal 5 7 7" xfId="4845" xr:uid="{00000000-0005-0000-0000-0000D61B0000}"/>
    <cellStyle name="Normal 5 7 7 2" xfId="13274" xr:uid="{D4103B0A-F656-44B4-98F5-6F8FBB317DC9}"/>
    <cellStyle name="Normal 5 7 8" xfId="9056" xr:uid="{52FED0C2-D231-40F6-B172-3F624B0B066C}"/>
    <cellStyle name="Normal 5 8" xfId="881" xr:uid="{00000000-0005-0000-0000-0000D71B0000}"/>
    <cellStyle name="Normal 5 8 2" xfId="3116" xr:uid="{00000000-0005-0000-0000-0000D81B0000}"/>
    <cellStyle name="Normal 5 8 2 2" xfId="7340" xr:uid="{00000000-0005-0000-0000-0000D91B0000}"/>
    <cellStyle name="Normal 5 8 2 2 2" xfId="15769" xr:uid="{4F157ACE-160B-407E-8AF3-BD8671587B77}"/>
    <cellStyle name="Normal 5 8 2 3" xfId="11551" xr:uid="{FDDB399B-361B-45F1-8381-9CAF585428AE}"/>
    <cellStyle name="Normal 5 8 3" xfId="5195" xr:uid="{00000000-0005-0000-0000-0000DA1B0000}"/>
    <cellStyle name="Normal 5 8 3 2" xfId="13624" xr:uid="{528C7A8F-8824-4136-B8A2-4788665E92B0}"/>
    <cellStyle name="Normal 5 8 4" xfId="9406" xr:uid="{516A9708-CBC7-4A61-8C0E-5A541CE903DA}"/>
    <cellStyle name="Normal 5 9" xfId="1299" xr:uid="{00000000-0005-0000-0000-0000DB1B0000}"/>
    <cellStyle name="Normal 5 9 2" xfId="3529" xr:uid="{00000000-0005-0000-0000-0000DC1B0000}"/>
    <cellStyle name="Normal 5 9 2 2" xfId="7753" xr:uid="{00000000-0005-0000-0000-0000DD1B0000}"/>
    <cellStyle name="Normal 5 9 2 2 2" xfId="16182" xr:uid="{076AC139-D3D1-4B5B-BC1B-637167CF694C}"/>
    <cellStyle name="Normal 5 9 2 3" xfId="11964" xr:uid="{6AE36728-5E14-4058-ABD7-8D7944C958AA}"/>
    <cellStyle name="Normal 5 9 3" xfId="5608" xr:uid="{00000000-0005-0000-0000-0000DE1B0000}"/>
    <cellStyle name="Normal 5 9 3 2" xfId="14037" xr:uid="{43F307FD-307E-4D54-8245-8B6B8265231D}"/>
    <cellStyle name="Normal 5 9 4" xfId="9819" xr:uid="{74268C1F-77F4-4F7D-BCDF-FC5B31E09276}"/>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2 2 2" xfId="17072" xr:uid="{36B964AF-8E1F-42FA-AB64-F1E86B5813E4}"/>
    <cellStyle name="Normal 8 10 2 3" xfId="12854" xr:uid="{7083AA98-C9EF-4C8F-AE12-953084C718B2}"/>
    <cellStyle name="Normal 8 10 3" xfId="6498" xr:uid="{00000000-0005-0000-0000-0000EA1B0000}"/>
    <cellStyle name="Normal 8 10 3 2" xfId="14927" xr:uid="{F897297A-A522-4A91-B379-5AE54670AC04}"/>
    <cellStyle name="Normal 8 10 4" xfId="10709" xr:uid="{959BEB88-7CB7-4A1B-A295-A23391E96DB8}"/>
    <cellStyle name="Normal 8 11" xfId="2626" xr:uid="{00000000-0005-0000-0000-0000EB1B0000}"/>
    <cellStyle name="Normal 8 11 2" xfId="6911" xr:uid="{00000000-0005-0000-0000-0000EC1B0000}"/>
    <cellStyle name="Normal 8 11 2 2" xfId="15340" xr:uid="{FCB00619-7B8C-482E-98EA-5FFD80B0027A}"/>
    <cellStyle name="Normal 8 11 3" xfId="11122" xr:uid="{9A63442E-272D-4F19-8AAC-F8CEB374B0DC}"/>
    <cellStyle name="Normal 8 12" xfId="4846" xr:uid="{00000000-0005-0000-0000-0000ED1B0000}"/>
    <cellStyle name="Normal 8 12 2" xfId="13275" xr:uid="{F679861A-AAF3-4E08-94A0-2357632BDE5C}"/>
    <cellStyle name="Normal 8 13" xfId="9057" xr:uid="{4B1AD39F-8672-4950-AF7B-22CBE5E6E417}"/>
    <cellStyle name="Normal 8 2" xfId="479" xr:uid="{00000000-0005-0000-0000-0000EE1B0000}"/>
    <cellStyle name="Normal 8 2 10" xfId="2627" xr:uid="{00000000-0005-0000-0000-0000EF1B0000}"/>
    <cellStyle name="Normal 8 2 10 2" xfId="6912" xr:uid="{00000000-0005-0000-0000-0000F01B0000}"/>
    <cellStyle name="Normal 8 2 10 2 2" xfId="15341" xr:uid="{5A79F2A5-8EC0-482F-9B1D-3FEB4292DE76}"/>
    <cellStyle name="Normal 8 2 10 3" xfId="11123" xr:uid="{8DE6CB3C-E415-4489-A182-FB92B67B7A75}"/>
    <cellStyle name="Normal 8 2 11" xfId="4847" xr:uid="{00000000-0005-0000-0000-0000F11B0000}"/>
    <cellStyle name="Normal 8 2 11 2" xfId="13276" xr:uid="{EFD473BE-1E41-45A0-A28D-00575A31B5AA}"/>
    <cellStyle name="Normal 8 2 12" xfId="9058" xr:uid="{8DB211B7-50F1-4C61-8601-00F665752C18}"/>
    <cellStyle name="Normal 8 2 2" xfId="480" xr:uid="{00000000-0005-0000-0000-0000F21B0000}"/>
    <cellStyle name="Normal 8 2 2 10" xfId="4848" xr:uid="{00000000-0005-0000-0000-0000F31B0000}"/>
    <cellStyle name="Normal 8 2 2 10 2" xfId="13277" xr:uid="{B78CF0D8-493A-480F-9690-67F636F6B7C8}"/>
    <cellStyle name="Normal 8 2 2 11" xfId="9059" xr:uid="{3DBCC98A-45B3-4A99-9DE9-B51F1ABBB141}"/>
    <cellStyle name="Normal 8 2 2 2" xfId="481" xr:uid="{00000000-0005-0000-0000-0000F41B0000}"/>
    <cellStyle name="Normal 8 2 2 2 10" xfId="9060" xr:uid="{13C082E7-0BDE-414F-A3B3-0A7B0298B9CC}"/>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2 2 2" xfId="15838" xr:uid="{2D980827-BD3A-43C9-9E78-0976EEDDE450}"/>
    <cellStyle name="Normal 8 2 2 2 2 2 2 2 3" xfId="11620" xr:uid="{E5077C09-A8E8-47CE-AE39-574F8C3BA6B8}"/>
    <cellStyle name="Normal 8 2 2 2 2 2 2 3" xfId="5264" xr:uid="{00000000-0005-0000-0000-0000FA1B0000}"/>
    <cellStyle name="Normal 8 2 2 2 2 2 2 3 2" xfId="13693" xr:uid="{25189A3B-8E55-4FAB-82DE-383A683C09E3}"/>
    <cellStyle name="Normal 8 2 2 2 2 2 2 4" xfId="9475" xr:uid="{744E92C2-9159-4C24-92F8-5EB34F0135A7}"/>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2 2 2" xfId="16251" xr:uid="{07F127C4-1547-444B-A2B9-6F1C33BD6E3A}"/>
    <cellStyle name="Normal 8 2 2 2 2 2 3 2 3" xfId="12033" xr:uid="{C68A45D6-A801-42A3-B654-D394ED0374C2}"/>
    <cellStyle name="Normal 8 2 2 2 2 2 3 3" xfId="5677" xr:uid="{00000000-0005-0000-0000-0000FE1B0000}"/>
    <cellStyle name="Normal 8 2 2 2 2 2 3 3 2" xfId="14106" xr:uid="{FED1982E-5E9E-4415-B4AA-C5FEFA2C70F8}"/>
    <cellStyle name="Normal 8 2 2 2 2 2 3 4" xfId="9888" xr:uid="{6705F51D-339F-420A-A212-082AF7469AD7}"/>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2 2 2" xfId="16664" xr:uid="{F5232C85-3238-4334-8662-282103DB4227}"/>
    <cellStyle name="Normal 8 2 2 2 2 2 4 2 3" xfId="12446" xr:uid="{23909556-DD8D-44D9-9E57-0237C3F31ACA}"/>
    <cellStyle name="Normal 8 2 2 2 2 2 4 3" xfId="6090" xr:uid="{00000000-0005-0000-0000-0000021C0000}"/>
    <cellStyle name="Normal 8 2 2 2 2 2 4 3 2" xfId="14519" xr:uid="{7EB0A36C-A7BF-46AC-AF07-0869866DA08C}"/>
    <cellStyle name="Normal 8 2 2 2 2 2 4 4" xfId="10301" xr:uid="{B4E04D5F-FC15-45ED-9B2E-D44BB71668A8}"/>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2 2 2" xfId="17077" xr:uid="{6B880703-AE4B-437B-BD0B-19073786B0EE}"/>
    <cellStyle name="Normal 8 2 2 2 2 2 5 2 3" xfId="12859" xr:uid="{DAE9A236-6892-4598-944D-F90635AE2B25}"/>
    <cellStyle name="Normal 8 2 2 2 2 2 5 3" xfId="6503" xr:uid="{00000000-0005-0000-0000-0000061C0000}"/>
    <cellStyle name="Normal 8 2 2 2 2 2 5 3 2" xfId="14932" xr:uid="{620D2B04-44A7-4936-9470-8FDDD5F3115F}"/>
    <cellStyle name="Normal 8 2 2 2 2 2 5 4" xfId="10714" xr:uid="{28ECDD4A-6627-44D1-B3B0-493B515D5DB6}"/>
    <cellStyle name="Normal 8 2 2 2 2 2 6" xfId="2631" xr:uid="{00000000-0005-0000-0000-0000071C0000}"/>
    <cellStyle name="Normal 8 2 2 2 2 2 6 2" xfId="6916" xr:uid="{00000000-0005-0000-0000-0000081C0000}"/>
    <cellStyle name="Normal 8 2 2 2 2 2 6 2 2" xfId="15345" xr:uid="{CA2ED028-4B75-48F6-9451-4B0FA589A198}"/>
    <cellStyle name="Normal 8 2 2 2 2 2 6 3" xfId="11127" xr:uid="{AAE537A5-B319-46D3-B38A-49B3CBE3ABCC}"/>
    <cellStyle name="Normal 8 2 2 2 2 2 7" xfId="4851" xr:uid="{00000000-0005-0000-0000-0000091C0000}"/>
    <cellStyle name="Normal 8 2 2 2 2 2 7 2" xfId="13280" xr:uid="{FC9C0FA8-9B46-4CD2-8110-7A1AFBBCE969}"/>
    <cellStyle name="Normal 8 2 2 2 2 2 8" xfId="9062" xr:uid="{2E2288A3-302F-4421-9573-E1DAE6553E3B}"/>
    <cellStyle name="Normal 8 2 2 2 2 3" xfId="950" xr:uid="{00000000-0005-0000-0000-00000A1C0000}"/>
    <cellStyle name="Normal 8 2 2 2 2 3 2" xfId="3184" xr:uid="{00000000-0005-0000-0000-00000B1C0000}"/>
    <cellStyle name="Normal 8 2 2 2 2 3 2 2" xfId="7408" xr:uid="{00000000-0005-0000-0000-00000C1C0000}"/>
    <cellStyle name="Normal 8 2 2 2 2 3 2 2 2" xfId="15837" xr:uid="{EB25ABB6-8AC1-4BB5-98D4-5D5F94FACA14}"/>
    <cellStyle name="Normal 8 2 2 2 2 3 2 3" xfId="11619" xr:uid="{43FC54C5-3386-46C0-9952-42C46B04B22C}"/>
    <cellStyle name="Normal 8 2 2 2 2 3 3" xfId="5263" xr:uid="{00000000-0005-0000-0000-00000D1C0000}"/>
    <cellStyle name="Normal 8 2 2 2 2 3 3 2" xfId="13692" xr:uid="{B16845E6-BADA-47FD-A3AB-0264E1A79B86}"/>
    <cellStyle name="Normal 8 2 2 2 2 3 4" xfId="9474" xr:uid="{A4808235-BB57-4F9E-85C6-4CEBB11AB8C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2 2 2" xfId="16250" xr:uid="{E40E272C-F065-4E10-B336-B61A7BF7FAB8}"/>
    <cellStyle name="Normal 8 2 2 2 2 4 2 3" xfId="12032" xr:uid="{F668804E-65E8-4B4B-B597-18EA6AFD04EB}"/>
    <cellStyle name="Normal 8 2 2 2 2 4 3" xfId="5676" xr:uid="{00000000-0005-0000-0000-0000111C0000}"/>
    <cellStyle name="Normal 8 2 2 2 2 4 3 2" xfId="14105" xr:uid="{662E8805-3FB2-4FF1-99BE-1F30997BC259}"/>
    <cellStyle name="Normal 8 2 2 2 2 4 4" xfId="9887" xr:uid="{6BA90DF1-9115-456F-B2C7-13E97D220B42}"/>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2 2 2" xfId="16663" xr:uid="{D54A974C-1471-4D3B-992B-E39574D9B50D}"/>
    <cellStyle name="Normal 8 2 2 2 2 5 2 3" xfId="12445" xr:uid="{24D8E4D0-FFBB-429A-A98A-2A5BEEBA74D2}"/>
    <cellStyle name="Normal 8 2 2 2 2 5 3" xfId="6089" xr:uid="{00000000-0005-0000-0000-0000151C0000}"/>
    <cellStyle name="Normal 8 2 2 2 2 5 3 2" xfId="14518" xr:uid="{39EEFFC3-284C-4156-8C16-F9DF93F64CF0}"/>
    <cellStyle name="Normal 8 2 2 2 2 5 4" xfId="10300" xr:uid="{312683C1-66D3-40E7-8843-C884C2B9A3C4}"/>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2 2 2" xfId="17076" xr:uid="{6750EE74-8883-44A3-ADEB-B5B1E96E7EBF}"/>
    <cellStyle name="Normal 8 2 2 2 2 6 2 3" xfId="12858" xr:uid="{E2B20663-3C6D-4B3B-8F81-6B324BE2DDE3}"/>
    <cellStyle name="Normal 8 2 2 2 2 6 3" xfId="6502" xr:uid="{00000000-0005-0000-0000-0000191C0000}"/>
    <cellStyle name="Normal 8 2 2 2 2 6 3 2" xfId="14931" xr:uid="{1F6A0C79-8514-4A57-AF5D-27C75F8AB2A0}"/>
    <cellStyle name="Normal 8 2 2 2 2 6 4" xfId="10713" xr:uid="{6F12D092-155E-42BF-8675-6E351650B60E}"/>
    <cellStyle name="Normal 8 2 2 2 2 7" xfId="2630" xr:uid="{00000000-0005-0000-0000-00001A1C0000}"/>
    <cellStyle name="Normal 8 2 2 2 2 7 2" xfId="6915" xr:uid="{00000000-0005-0000-0000-00001B1C0000}"/>
    <cellStyle name="Normal 8 2 2 2 2 7 2 2" xfId="15344" xr:uid="{82CAE573-802A-4974-A83C-6200F5D312AA}"/>
    <cellStyle name="Normal 8 2 2 2 2 7 3" xfId="11126" xr:uid="{21D087C0-5E2E-4B42-8219-C41C508122A9}"/>
    <cellStyle name="Normal 8 2 2 2 2 8" xfId="4850" xr:uid="{00000000-0005-0000-0000-00001C1C0000}"/>
    <cellStyle name="Normal 8 2 2 2 2 8 2" xfId="13279" xr:uid="{5A8A6101-BB22-4C1E-876C-9AB2CB41F8F4}"/>
    <cellStyle name="Normal 8 2 2 2 2 9" xfId="9061" xr:uid="{A738B055-AB68-4A52-BF12-52080C19B021}"/>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2 2 2" xfId="15839" xr:uid="{B88AE90F-4364-4E34-988E-D182F76C5EE1}"/>
    <cellStyle name="Normal 8 2 2 2 3 2 2 3" xfId="11621" xr:uid="{5B6487C1-C2AE-4165-960C-3FAFC022BACD}"/>
    <cellStyle name="Normal 8 2 2 2 3 2 3" xfId="5265" xr:uid="{00000000-0005-0000-0000-0000211C0000}"/>
    <cellStyle name="Normal 8 2 2 2 3 2 3 2" xfId="13694" xr:uid="{9BF7073B-B031-4987-858D-376B470E103B}"/>
    <cellStyle name="Normal 8 2 2 2 3 2 4" xfId="9476" xr:uid="{52C30597-FEAF-4CCC-AD9C-C25F786902D8}"/>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2 2 2" xfId="16252" xr:uid="{8EDB6D73-39D5-4B67-8022-45D87125CB64}"/>
    <cellStyle name="Normal 8 2 2 2 3 3 2 3" xfId="12034" xr:uid="{AF96913E-E8BC-4BE6-A88F-A3DA0DF1713E}"/>
    <cellStyle name="Normal 8 2 2 2 3 3 3" xfId="5678" xr:uid="{00000000-0005-0000-0000-0000251C0000}"/>
    <cellStyle name="Normal 8 2 2 2 3 3 3 2" xfId="14107" xr:uid="{403FCC27-4867-4C2C-A20D-B9AF167F4875}"/>
    <cellStyle name="Normal 8 2 2 2 3 3 4" xfId="9889" xr:uid="{FAAE05CB-88B7-4C80-A474-4BE7D4E9DA82}"/>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2 2 2" xfId="16665" xr:uid="{EFDD6BA0-0B1E-4821-9D5D-6035722AA226}"/>
    <cellStyle name="Normal 8 2 2 2 3 4 2 3" xfId="12447" xr:uid="{BE7C4F72-6F1D-4DB7-9116-8D5DE1C2C87D}"/>
    <cellStyle name="Normal 8 2 2 2 3 4 3" xfId="6091" xr:uid="{00000000-0005-0000-0000-0000291C0000}"/>
    <cellStyle name="Normal 8 2 2 2 3 4 3 2" xfId="14520" xr:uid="{19C1748E-17E1-49F7-9075-83D9DFD81E02}"/>
    <cellStyle name="Normal 8 2 2 2 3 4 4" xfId="10302" xr:uid="{306B54F8-5FC8-43F1-BDCF-0A1971CB7CE1}"/>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2 2 2" xfId="17078" xr:uid="{D0905C03-4BF2-43F8-8241-ECDD5049A0BB}"/>
    <cellStyle name="Normal 8 2 2 2 3 5 2 3" xfId="12860" xr:uid="{CE99F998-4AAE-4616-BFF5-279127393843}"/>
    <cellStyle name="Normal 8 2 2 2 3 5 3" xfId="6504" xr:uid="{00000000-0005-0000-0000-00002D1C0000}"/>
    <cellStyle name="Normal 8 2 2 2 3 5 3 2" xfId="14933" xr:uid="{165B43E2-8B9F-4864-8F83-8608A00FCADD}"/>
    <cellStyle name="Normal 8 2 2 2 3 5 4" xfId="10715" xr:uid="{A4667251-3ED2-4B6F-9591-F280148C31AE}"/>
    <cellStyle name="Normal 8 2 2 2 3 6" xfId="2632" xr:uid="{00000000-0005-0000-0000-00002E1C0000}"/>
    <cellStyle name="Normal 8 2 2 2 3 6 2" xfId="6917" xr:uid="{00000000-0005-0000-0000-00002F1C0000}"/>
    <cellStyle name="Normal 8 2 2 2 3 6 2 2" xfId="15346" xr:uid="{8A7A9DE6-2FA2-4468-B27B-439700E74D26}"/>
    <cellStyle name="Normal 8 2 2 2 3 6 3" xfId="11128" xr:uid="{B0F9D695-BE28-47A6-B07A-ABE9CDCB418E}"/>
    <cellStyle name="Normal 8 2 2 2 3 7" xfId="4852" xr:uid="{00000000-0005-0000-0000-0000301C0000}"/>
    <cellStyle name="Normal 8 2 2 2 3 7 2" xfId="13281" xr:uid="{775AC136-F13C-4492-B1DB-5CADBD18E1B9}"/>
    <cellStyle name="Normal 8 2 2 2 3 8" xfId="9063" xr:uid="{78624E39-B58D-49E7-9128-A585A5D4E6A2}"/>
    <cellStyle name="Normal 8 2 2 2 4" xfId="949" xr:uid="{00000000-0005-0000-0000-0000311C0000}"/>
    <cellStyle name="Normal 8 2 2 2 4 2" xfId="3183" xr:uid="{00000000-0005-0000-0000-0000321C0000}"/>
    <cellStyle name="Normal 8 2 2 2 4 2 2" xfId="7407" xr:uid="{00000000-0005-0000-0000-0000331C0000}"/>
    <cellStyle name="Normal 8 2 2 2 4 2 2 2" xfId="15836" xr:uid="{6B1BCDEC-B57F-4264-8CC1-A89FD6CA5244}"/>
    <cellStyle name="Normal 8 2 2 2 4 2 3" xfId="11618" xr:uid="{7B89DFEF-7CF6-4B07-BFCD-FC7A23B19ACF}"/>
    <cellStyle name="Normal 8 2 2 2 4 3" xfId="5262" xr:uid="{00000000-0005-0000-0000-0000341C0000}"/>
    <cellStyle name="Normal 8 2 2 2 4 3 2" xfId="13691" xr:uid="{BEBE7F44-87D5-48FB-9CB4-A6EA10C2487A}"/>
    <cellStyle name="Normal 8 2 2 2 4 4" xfId="9473" xr:uid="{78019E5E-56B3-46F1-98AA-4C7500DCEE47}"/>
    <cellStyle name="Normal 8 2 2 2 5" xfId="1366" xr:uid="{00000000-0005-0000-0000-0000351C0000}"/>
    <cellStyle name="Normal 8 2 2 2 5 2" xfId="3596" xr:uid="{00000000-0005-0000-0000-0000361C0000}"/>
    <cellStyle name="Normal 8 2 2 2 5 2 2" xfId="7820" xr:uid="{00000000-0005-0000-0000-0000371C0000}"/>
    <cellStyle name="Normal 8 2 2 2 5 2 2 2" xfId="16249" xr:uid="{BC3ABCBE-544F-42BC-B605-E3EBB971AFCA}"/>
    <cellStyle name="Normal 8 2 2 2 5 2 3" xfId="12031" xr:uid="{684686C7-A4A2-4BFE-AEEB-5CB8A99B9AFF}"/>
    <cellStyle name="Normal 8 2 2 2 5 3" xfId="5675" xr:uid="{00000000-0005-0000-0000-0000381C0000}"/>
    <cellStyle name="Normal 8 2 2 2 5 3 2" xfId="14104" xr:uid="{0F5EB9F7-51FE-44FC-B56D-B2623B027062}"/>
    <cellStyle name="Normal 8 2 2 2 5 4" xfId="9886" xr:uid="{AB49CA23-8AB0-4C14-AAB8-F41E5BD4E811}"/>
    <cellStyle name="Normal 8 2 2 2 6" xfId="1779" xr:uid="{00000000-0005-0000-0000-0000391C0000}"/>
    <cellStyle name="Normal 8 2 2 2 6 2" xfId="4009" xr:uid="{00000000-0005-0000-0000-00003A1C0000}"/>
    <cellStyle name="Normal 8 2 2 2 6 2 2" xfId="8233" xr:uid="{00000000-0005-0000-0000-00003B1C0000}"/>
    <cellStyle name="Normal 8 2 2 2 6 2 2 2" xfId="16662" xr:uid="{EB2C5FC1-C27E-4BA8-90C2-99C69D7AEB76}"/>
    <cellStyle name="Normal 8 2 2 2 6 2 3" xfId="12444" xr:uid="{174DB458-4B9B-46FF-B88A-68D0864CB5BB}"/>
    <cellStyle name="Normal 8 2 2 2 6 3" xfId="6088" xr:uid="{00000000-0005-0000-0000-00003C1C0000}"/>
    <cellStyle name="Normal 8 2 2 2 6 3 2" xfId="14517" xr:uid="{A9434FE1-68FA-4BC9-96B8-7560497352F9}"/>
    <cellStyle name="Normal 8 2 2 2 6 4" xfId="10299" xr:uid="{7E97F683-8824-4E32-B7BA-9DBCEB2AD314}"/>
    <cellStyle name="Normal 8 2 2 2 7" xfId="2193" xr:uid="{00000000-0005-0000-0000-00003D1C0000}"/>
    <cellStyle name="Normal 8 2 2 2 7 2" xfId="4422" xr:uid="{00000000-0005-0000-0000-00003E1C0000}"/>
    <cellStyle name="Normal 8 2 2 2 7 2 2" xfId="8646" xr:uid="{00000000-0005-0000-0000-00003F1C0000}"/>
    <cellStyle name="Normal 8 2 2 2 7 2 2 2" xfId="17075" xr:uid="{F1F0D36E-6A87-4137-806D-59473D0F0BBF}"/>
    <cellStyle name="Normal 8 2 2 2 7 2 3" xfId="12857" xr:uid="{374730D4-A7E9-403B-A8ED-A36216C5644E}"/>
    <cellStyle name="Normal 8 2 2 2 7 3" xfId="6501" xr:uid="{00000000-0005-0000-0000-0000401C0000}"/>
    <cellStyle name="Normal 8 2 2 2 7 3 2" xfId="14930" xr:uid="{0AAA0885-3EC2-40E3-82B0-2D7FD358C87B}"/>
    <cellStyle name="Normal 8 2 2 2 7 4" xfId="10712" xr:uid="{A52FCDC3-8CFE-4E3B-9A2B-3CCD95A2B1D2}"/>
    <cellStyle name="Normal 8 2 2 2 8" xfId="2629" xr:uid="{00000000-0005-0000-0000-0000411C0000}"/>
    <cellStyle name="Normal 8 2 2 2 8 2" xfId="6914" xr:uid="{00000000-0005-0000-0000-0000421C0000}"/>
    <cellStyle name="Normal 8 2 2 2 8 2 2" xfId="15343" xr:uid="{EF881C7C-88AE-4CE7-8CF0-AA7A18D6A849}"/>
    <cellStyle name="Normal 8 2 2 2 8 3" xfId="11125" xr:uid="{2EEB2E7D-7646-4512-92B4-EB0DD1B398A0}"/>
    <cellStyle name="Normal 8 2 2 2 9" xfId="4849" xr:uid="{00000000-0005-0000-0000-0000431C0000}"/>
    <cellStyle name="Normal 8 2 2 2 9 2" xfId="13278" xr:uid="{39D904E5-6E4B-48DA-ABF7-3E1323B8E247}"/>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2 2 2" xfId="15841" xr:uid="{61947053-F78B-4C46-88FF-8EE9F7E3AA57}"/>
    <cellStyle name="Normal 8 2 2 3 2 2 2 3" xfId="11623" xr:uid="{A33F8067-883E-4197-9192-79D6BACAD106}"/>
    <cellStyle name="Normal 8 2 2 3 2 2 3" xfId="5267" xr:uid="{00000000-0005-0000-0000-0000491C0000}"/>
    <cellStyle name="Normal 8 2 2 3 2 2 3 2" xfId="13696" xr:uid="{B9C88C90-5EAF-4E76-9DFB-26BE69F2A2CD}"/>
    <cellStyle name="Normal 8 2 2 3 2 2 4" xfId="9478" xr:uid="{66A3568E-933F-4363-B7BF-D6AF29E35151}"/>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2 2 2" xfId="16254" xr:uid="{77638021-8D77-42B0-921C-A151CCB44F20}"/>
    <cellStyle name="Normal 8 2 2 3 2 3 2 3" xfId="12036" xr:uid="{BDABBC27-5EA0-452C-A3A7-593D951B2E1D}"/>
    <cellStyle name="Normal 8 2 2 3 2 3 3" xfId="5680" xr:uid="{00000000-0005-0000-0000-00004D1C0000}"/>
    <cellStyle name="Normal 8 2 2 3 2 3 3 2" xfId="14109" xr:uid="{EFB3074C-322E-40F3-936F-34547E92C0AE}"/>
    <cellStyle name="Normal 8 2 2 3 2 3 4" xfId="9891" xr:uid="{EDD5B710-7DEA-4AB5-A704-F4659771D5C6}"/>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2 2 2" xfId="16667" xr:uid="{7AA00F04-5190-4640-9FB6-034612856F3D}"/>
    <cellStyle name="Normal 8 2 2 3 2 4 2 3" xfId="12449" xr:uid="{4D372423-F907-422C-888C-DF9EAD864EF0}"/>
    <cellStyle name="Normal 8 2 2 3 2 4 3" xfId="6093" xr:uid="{00000000-0005-0000-0000-0000511C0000}"/>
    <cellStyle name="Normal 8 2 2 3 2 4 3 2" xfId="14522" xr:uid="{3F78F28A-BABD-4CEA-87C4-229581160FEA}"/>
    <cellStyle name="Normal 8 2 2 3 2 4 4" xfId="10304" xr:uid="{3A3A4435-3727-4381-B7EE-6B1472576D3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2 2 2" xfId="17080" xr:uid="{00E54F03-79B6-4C8A-AEAC-02F27A3BB0C5}"/>
    <cellStyle name="Normal 8 2 2 3 2 5 2 3" xfId="12862" xr:uid="{C861C90D-37CC-48B6-B18D-EFDD611DE5BB}"/>
    <cellStyle name="Normal 8 2 2 3 2 5 3" xfId="6506" xr:uid="{00000000-0005-0000-0000-0000551C0000}"/>
    <cellStyle name="Normal 8 2 2 3 2 5 3 2" xfId="14935" xr:uid="{C8E71270-AB89-4BCF-B1B0-48E7854C81E3}"/>
    <cellStyle name="Normal 8 2 2 3 2 5 4" xfId="10717" xr:uid="{318476A4-39F6-49F4-B889-699EF06074BE}"/>
    <cellStyle name="Normal 8 2 2 3 2 6" xfId="2634" xr:uid="{00000000-0005-0000-0000-0000561C0000}"/>
    <cellStyle name="Normal 8 2 2 3 2 6 2" xfId="6919" xr:uid="{00000000-0005-0000-0000-0000571C0000}"/>
    <cellStyle name="Normal 8 2 2 3 2 6 2 2" xfId="15348" xr:uid="{AE3C84A7-6E27-4938-B2ED-39C3FC32815B}"/>
    <cellStyle name="Normal 8 2 2 3 2 6 3" xfId="11130" xr:uid="{CBB41E88-FD54-4654-8FBB-C395DD710472}"/>
    <cellStyle name="Normal 8 2 2 3 2 7" xfId="4854" xr:uid="{00000000-0005-0000-0000-0000581C0000}"/>
    <cellStyle name="Normal 8 2 2 3 2 7 2" xfId="13283" xr:uid="{A6C5270C-FC71-4159-B052-41B6D3EAF142}"/>
    <cellStyle name="Normal 8 2 2 3 2 8" xfId="9065" xr:uid="{AB4C1C44-0C97-4D39-862E-3BDDCE4ADF19}"/>
    <cellStyle name="Normal 8 2 2 3 3" xfId="953" xr:uid="{00000000-0005-0000-0000-0000591C0000}"/>
    <cellStyle name="Normal 8 2 2 3 3 2" xfId="3187" xr:uid="{00000000-0005-0000-0000-00005A1C0000}"/>
    <cellStyle name="Normal 8 2 2 3 3 2 2" xfId="7411" xr:uid="{00000000-0005-0000-0000-00005B1C0000}"/>
    <cellStyle name="Normal 8 2 2 3 3 2 2 2" xfId="15840" xr:uid="{E47669E9-7778-4AC3-848C-31760D315AC5}"/>
    <cellStyle name="Normal 8 2 2 3 3 2 3" xfId="11622" xr:uid="{D9D4FC33-793E-4886-8E7B-8E120AD79183}"/>
    <cellStyle name="Normal 8 2 2 3 3 3" xfId="5266" xr:uid="{00000000-0005-0000-0000-00005C1C0000}"/>
    <cellStyle name="Normal 8 2 2 3 3 3 2" xfId="13695" xr:uid="{F11F0B92-609B-4341-AFD5-4FF288AD7CE1}"/>
    <cellStyle name="Normal 8 2 2 3 3 4" xfId="9477" xr:uid="{4C10CCC1-F062-40A0-9CF5-81865C481992}"/>
    <cellStyle name="Normal 8 2 2 3 4" xfId="1370" xr:uid="{00000000-0005-0000-0000-00005D1C0000}"/>
    <cellStyle name="Normal 8 2 2 3 4 2" xfId="3600" xr:uid="{00000000-0005-0000-0000-00005E1C0000}"/>
    <cellStyle name="Normal 8 2 2 3 4 2 2" xfId="7824" xr:uid="{00000000-0005-0000-0000-00005F1C0000}"/>
    <cellStyle name="Normal 8 2 2 3 4 2 2 2" xfId="16253" xr:uid="{B80C31A3-B762-41F2-B535-A0E7F5745B34}"/>
    <cellStyle name="Normal 8 2 2 3 4 2 3" xfId="12035" xr:uid="{967BB03B-A576-423D-B4A4-0B8C6FD46304}"/>
    <cellStyle name="Normal 8 2 2 3 4 3" xfId="5679" xr:uid="{00000000-0005-0000-0000-0000601C0000}"/>
    <cellStyle name="Normal 8 2 2 3 4 3 2" xfId="14108" xr:uid="{1B1DFDC7-EDB6-4F87-B2A9-A3B0C947EF9D}"/>
    <cellStyle name="Normal 8 2 2 3 4 4" xfId="9890" xr:uid="{EFD68E64-DACB-469D-B6FE-21D3801D931A}"/>
    <cellStyle name="Normal 8 2 2 3 5" xfId="1783" xr:uid="{00000000-0005-0000-0000-0000611C0000}"/>
    <cellStyle name="Normal 8 2 2 3 5 2" xfId="4013" xr:uid="{00000000-0005-0000-0000-0000621C0000}"/>
    <cellStyle name="Normal 8 2 2 3 5 2 2" xfId="8237" xr:uid="{00000000-0005-0000-0000-0000631C0000}"/>
    <cellStyle name="Normal 8 2 2 3 5 2 2 2" xfId="16666" xr:uid="{75F41833-3E9A-4EE2-A13D-45F990115A17}"/>
    <cellStyle name="Normal 8 2 2 3 5 2 3" xfId="12448" xr:uid="{D4A21087-368D-4F2F-87A0-E5962B9987BC}"/>
    <cellStyle name="Normal 8 2 2 3 5 3" xfId="6092" xr:uid="{00000000-0005-0000-0000-0000641C0000}"/>
    <cellStyle name="Normal 8 2 2 3 5 3 2" xfId="14521" xr:uid="{3619388F-E281-4EE0-809C-2C07493C904E}"/>
    <cellStyle name="Normal 8 2 2 3 5 4" xfId="10303" xr:uid="{15AC2E66-11DD-4653-9132-B91AF5C21999}"/>
    <cellStyle name="Normal 8 2 2 3 6" xfId="2197" xr:uid="{00000000-0005-0000-0000-0000651C0000}"/>
    <cellStyle name="Normal 8 2 2 3 6 2" xfId="4426" xr:uid="{00000000-0005-0000-0000-0000661C0000}"/>
    <cellStyle name="Normal 8 2 2 3 6 2 2" xfId="8650" xr:uid="{00000000-0005-0000-0000-0000671C0000}"/>
    <cellStyle name="Normal 8 2 2 3 6 2 2 2" xfId="17079" xr:uid="{5EF226EF-16C3-4B3C-AD04-68BF01BDC8EC}"/>
    <cellStyle name="Normal 8 2 2 3 6 2 3" xfId="12861" xr:uid="{B12A9B8D-E215-4A2C-901D-29474622F8C2}"/>
    <cellStyle name="Normal 8 2 2 3 6 3" xfId="6505" xr:uid="{00000000-0005-0000-0000-0000681C0000}"/>
    <cellStyle name="Normal 8 2 2 3 6 3 2" xfId="14934" xr:uid="{00E50CFF-0CD4-46BB-829F-04D60AC66267}"/>
    <cellStyle name="Normal 8 2 2 3 6 4" xfId="10716" xr:uid="{10F35C27-B03B-42E6-8DC7-A4C11E622D04}"/>
    <cellStyle name="Normal 8 2 2 3 7" xfId="2633" xr:uid="{00000000-0005-0000-0000-0000691C0000}"/>
    <cellStyle name="Normal 8 2 2 3 7 2" xfId="6918" xr:uid="{00000000-0005-0000-0000-00006A1C0000}"/>
    <cellStyle name="Normal 8 2 2 3 7 2 2" xfId="15347" xr:uid="{9BD10CCF-508C-4C3F-A8CA-907CD6B8294A}"/>
    <cellStyle name="Normal 8 2 2 3 7 3" xfId="11129" xr:uid="{4D6416E3-40E4-49CB-85C6-FF880063A677}"/>
    <cellStyle name="Normal 8 2 2 3 8" xfId="4853" xr:uid="{00000000-0005-0000-0000-00006B1C0000}"/>
    <cellStyle name="Normal 8 2 2 3 8 2" xfId="13282" xr:uid="{CEC06449-7316-4FEB-9404-D785C942D224}"/>
    <cellStyle name="Normal 8 2 2 3 9" xfId="9064" xr:uid="{F8390214-4E97-4447-B411-78854A992632}"/>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2 2 2" xfId="15842" xr:uid="{F1A71FD6-7D88-4F0A-BD3F-4487A7F981AB}"/>
    <cellStyle name="Normal 8 2 2 4 2 2 3" xfId="11624" xr:uid="{B7CE8ADC-0B1E-402C-AB18-FAD01B332485}"/>
    <cellStyle name="Normal 8 2 2 4 2 3" xfId="5268" xr:uid="{00000000-0005-0000-0000-0000701C0000}"/>
    <cellStyle name="Normal 8 2 2 4 2 3 2" xfId="13697" xr:uid="{B922C784-D665-4A95-8383-74A8EBF5662D}"/>
    <cellStyle name="Normal 8 2 2 4 2 4" xfId="9479" xr:uid="{7C6D7BF8-62F3-41C7-8486-AFB2A6E70626}"/>
    <cellStyle name="Normal 8 2 2 4 3" xfId="1372" xr:uid="{00000000-0005-0000-0000-0000711C0000}"/>
    <cellStyle name="Normal 8 2 2 4 3 2" xfId="3602" xr:uid="{00000000-0005-0000-0000-0000721C0000}"/>
    <cellStyle name="Normal 8 2 2 4 3 2 2" xfId="7826" xr:uid="{00000000-0005-0000-0000-0000731C0000}"/>
    <cellStyle name="Normal 8 2 2 4 3 2 2 2" xfId="16255" xr:uid="{03C0E94E-CA6C-4E53-B4A4-463EA5FD8417}"/>
    <cellStyle name="Normal 8 2 2 4 3 2 3" xfId="12037" xr:uid="{142A32C3-9780-4105-86A3-27C3C89E48E7}"/>
    <cellStyle name="Normal 8 2 2 4 3 3" xfId="5681" xr:uid="{00000000-0005-0000-0000-0000741C0000}"/>
    <cellStyle name="Normal 8 2 2 4 3 3 2" xfId="14110" xr:uid="{3D383A92-3057-4A29-A45D-7C6992E16C74}"/>
    <cellStyle name="Normal 8 2 2 4 3 4" xfId="9892" xr:uid="{E1FA690A-1480-4DB8-A6A2-B4BFD8FF8AA8}"/>
    <cellStyle name="Normal 8 2 2 4 4" xfId="1785" xr:uid="{00000000-0005-0000-0000-0000751C0000}"/>
    <cellStyle name="Normal 8 2 2 4 4 2" xfId="4015" xr:uid="{00000000-0005-0000-0000-0000761C0000}"/>
    <cellStyle name="Normal 8 2 2 4 4 2 2" xfId="8239" xr:uid="{00000000-0005-0000-0000-0000771C0000}"/>
    <cellStyle name="Normal 8 2 2 4 4 2 2 2" xfId="16668" xr:uid="{CC42473A-7716-4303-8028-92DE1513EC69}"/>
    <cellStyle name="Normal 8 2 2 4 4 2 3" xfId="12450" xr:uid="{0F88B4DB-646C-484F-A1E7-800A4C88A018}"/>
    <cellStyle name="Normal 8 2 2 4 4 3" xfId="6094" xr:uid="{00000000-0005-0000-0000-0000781C0000}"/>
    <cellStyle name="Normal 8 2 2 4 4 3 2" xfId="14523" xr:uid="{AA5862FD-E345-44A1-B748-12C83D16B601}"/>
    <cellStyle name="Normal 8 2 2 4 4 4" xfId="10305" xr:uid="{5893A701-21CD-4FC6-93A6-3C28439FA009}"/>
    <cellStyle name="Normal 8 2 2 4 5" xfId="2199" xr:uid="{00000000-0005-0000-0000-0000791C0000}"/>
    <cellStyle name="Normal 8 2 2 4 5 2" xfId="4428" xr:uid="{00000000-0005-0000-0000-00007A1C0000}"/>
    <cellStyle name="Normal 8 2 2 4 5 2 2" xfId="8652" xr:uid="{00000000-0005-0000-0000-00007B1C0000}"/>
    <cellStyle name="Normal 8 2 2 4 5 2 2 2" xfId="17081" xr:uid="{6DAB68CA-73EA-4388-B96A-30746D682A5F}"/>
    <cellStyle name="Normal 8 2 2 4 5 2 3" xfId="12863" xr:uid="{739299DF-6600-4DF9-9E66-4FE954F5C5EC}"/>
    <cellStyle name="Normal 8 2 2 4 5 3" xfId="6507" xr:uid="{00000000-0005-0000-0000-00007C1C0000}"/>
    <cellStyle name="Normal 8 2 2 4 5 3 2" xfId="14936" xr:uid="{D09EB6C5-E41E-4919-AEAA-72123EF1DCAC}"/>
    <cellStyle name="Normal 8 2 2 4 5 4" xfId="10718" xr:uid="{D613322A-2DAD-477C-BC7B-4A9074C598F9}"/>
    <cellStyle name="Normal 8 2 2 4 6" xfId="2635" xr:uid="{00000000-0005-0000-0000-00007D1C0000}"/>
    <cellStyle name="Normal 8 2 2 4 6 2" xfId="6920" xr:uid="{00000000-0005-0000-0000-00007E1C0000}"/>
    <cellStyle name="Normal 8 2 2 4 6 2 2" xfId="15349" xr:uid="{74E28AF7-D6CE-4F1A-A00A-6DC97688F647}"/>
    <cellStyle name="Normal 8 2 2 4 6 3" xfId="11131" xr:uid="{A2D85C9F-B058-465A-8DAF-C3959BAD781D}"/>
    <cellStyle name="Normal 8 2 2 4 7" xfId="4855" xr:uid="{00000000-0005-0000-0000-00007F1C0000}"/>
    <cellStyle name="Normal 8 2 2 4 7 2" xfId="13284" xr:uid="{3F35C36F-6EBC-441A-B4D6-23903C6449C3}"/>
    <cellStyle name="Normal 8 2 2 4 8" xfId="9066" xr:uid="{51EB504E-AF84-43A4-AD97-600F7F6AADAE}"/>
    <cellStyle name="Normal 8 2 2 5" xfId="948" xr:uid="{00000000-0005-0000-0000-0000801C0000}"/>
    <cellStyle name="Normal 8 2 2 5 2" xfId="3182" xr:uid="{00000000-0005-0000-0000-0000811C0000}"/>
    <cellStyle name="Normal 8 2 2 5 2 2" xfId="7406" xr:uid="{00000000-0005-0000-0000-0000821C0000}"/>
    <cellStyle name="Normal 8 2 2 5 2 2 2" xfId="15835" xr:uid="{C8EDDC37-D92B-42B6-B2C2-2B1C48E77A61}"/>
    <cellStyle name="Normal 8 2 2 5 2 3" xfId="11617" xr:uid="{88E6AFD6-7FF7-476A-AFDA-7063CE6EA9CF}"/>
    <cellStyle name="Normal 8 2 2 5 3" xfId="5261" xr:uid="{00000000-0005-0000-0000-0000831C0000}"/>
    <cellStyle name="Normal 8 2 2 5 3 2" xfId="13690" xr:uid="{776C0366-A360-4B2F-9833-2B8BA8B33092}"/>
    <cellStyle name="Normal 8 2 2 5 4" xfId="9472" xr:uid="{9286C42D-D9D4-45DF-AE02-158FA7BB5BEE}"/>
    <cellStyle name="Normal 8 2 2 6" xfId="1365" xr:uid="{00000000-0005-0000-0000-0000841C0000}"/>
    <cellStyle name="Normal 8 2 2 6 2" xfId="3595" xr:uid="{00000000-0005-0000-0000-0000851C0000}"/>
    <cellStyle name="Normal 8 2 2 6 2 2" xfId="7819" xr:uid="{00000000-0005-0000-0000-0000861C0000}"/>
    <cellStyle name="Normal 8 2 2 6 2 2 2" xfId="16248" xr:uid="{EFE08914-C864-4574-B17E-27E015BE8040}"/>
    <cellStyle name="Normal 8 2 2 6 2 3" xfId="12030" xr:uid="{89BBE133-66FF-4F7B-8225-1392478F0290}"/>
    <cellStyle name="Normal 8 2 2 6 3" xfId="5674" xr:uid="{00000000-0005-0000-0000-0000871C0000}"/>
    <cellStyle name="Normal 8 2 2 6 3 2" xfId="14103" xr:uid="{984DCEFC-5281-46F8-B454-1B860168B75E}"/>
    <cellStyle name="Normal 8 2 2 6 4" xfId="9885" xr:uid="{26DD96E2-C677-43FC-B3BC-DC8DC6B02C88}"/>
    <cellStyle name="Normal 8 2 2 7" xfId="1778" xr:uid="{00000000-0005-0000-0000-0000881C0000}"/>
    <cellStyle name="Normal 8 2 2 7 2" xfId="4008" xr:uid="{00000000-0005-0000-0000-0000891C0000}"/>
    <cellStyle name="Normal 8 2 2 7 2 2" xfId="8232" xr:uid="{00000000-0005-0000-0000-00008A1C0000}"/>
    <cellStyle name="Normal 8 2 2 7 2 2 2" xfId="16661" xr:uid="{51B34959-7B9D-489D-AE82-B0244E34566F}"/>
    <cellStyle name="Normal 8 2 2 7 2 3" xfId="12443" xr:uid="{08F04E62-ED45-4FA9-B551-6628B7CC35C2}"/>
    <cellStyle name="Normal 8 2 2 7 3" xfId="6087" xr:uid="{00000000-0005-0000-0000-00008B1C0000}"/>
    <cellStyle name="Normal 8 2 2 7 3 2" xfId="14516" xr:uid="{4DFA9A1B-221A-41C8-A02B-A63C8B9D126D}"/>
    <cellStyle name="Normal 8 2 2 7 4" xfId="10298" xr:uid="{F8AF32CC-5A03-41A7-953D-E64CEBBFD5E1}"/>
    <cellStyle name="Normal 8 2 2 8" xfId="2192" xr:uid="{00000000-0005-0000-0000-00008C1C0000}"/>
    <cellStyle name="Normal 8 2 2 8 2" xfId="4421" xr:uid="{00000000-0005-0000-0000-00008D1C0000}"/>
    <cellStyle name="Normal 8 2 2 8 2 2" xfId="8645" xr:uid="{00000000-0005-0000-0000-00008E1C0000}"/>
    <cellStyle name="Normal 8 2 2 8 2 2 2" xfId="17074" xr:uid="{26BFFB9A-E889-4C3D-BBAA-8C56C7C27CDF}"/>
    <cellStyle name="Normal 8 2 2 8 2 3" xfId="12856" xr:uid="{A72B9A67-AD86-44D2-9DB7-ABB75ACD2E18}"/>
    <cellStyle name="Normal 8 2 2 8 3" xfId="6500" xr:uid="{00000000-0005-0000-0000-00008F1C0000}"/>
    <cellStyle name="Normal 8 2 2 8 3 2" xfId="14929" xr:uid="{2E3CF42D-9826-4C1A-949B-1C66D3C6845E}"/>
    <cellStyle name="Normal 8 2 2 8 4" xfId="10711" xr:uid="{050AA341-F67D-4FB2-A52C-5719DF383E7A}"/>
    <cellStyle name="Normal 8 2 2 9" xfId="2628" xr:uid="{00000000-0005-0000-0000-0000901C0000}"/>
    <cellStyle name="Normal 8 2 2 9 2" xfId="6913" xr:uid="{00000000-0005-0000-0000-0000911C0000}"/>
    <cellStyle name="Normal 8 2 2 9 2 2" xfId="15342" xr:uid="{BEDB5705-E088-40A2-B730-E8068B2AAB2B}"/>
    <cellStyle name="Normal 8 2 2 9 3" xfId="11124" xr:uid="{F7F1B5EC-4789-4634-A989-550E7EA58616}"/>
    <cellStyle name="Normal 8 2 3" xfId="488" xr:uid="{00000000-0005-0000-0000-0000921C0000}"/>
    <cellStyle name="Normal 8 2 3 10" xfId="9067" xr:uid="{D4D07084-3FDB-4B95-8636-4B4A578E106A}"/>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2 2 2" xfId="15845" xr:uid="{171A158C-B378-410D-B8FD-79F6AFAB73BB}"/>
    <cellStyle name="Normal 8 2 3 2 2 2 2 3" xfId="11627" xr:uid="{77F5E64E-99BA-4B7A-844D-67518B1C60E4}"/>
    <cellStyle name="Normal 8 2 3 2 2 2 3" xfId="5271" xr:uid="{00000000-0005-0000-0000-0000981C0000}"/>
    <cellStyle name="Normal 8 2 3 2 2 2 3 2" xfId="13700" xr:uid="{FF8F4CC0-4E96-4A35-B792-7C21D7BC6F3E}"/>
    <cellStyle name="Normal 8 2 3 2 2 2 4" xfId="9482" xr:uid="{07A88FC1-AC15-4F45-AEF5-FBEC2EF14F18}"/>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2 2 2" xfId="16258" xr:uid="{F7DDC2E5-BC5D-42BF-9142-36D511478348}"/>
    <cellStyle name="Normal 8 2 3 2 2 3 2 3" xfId="12040" xr:uid="{B2347106-B4B1-49D8-B8EB-24B7E1D1D6A3}"/>
    <cellStyle name="Normal 8 2 3 2 2 3 3" xfId="5684" xr:uid="{00000000-0005-0000-0000-00009C1C0000}"/>
    <cellStyle name="Normal 8 2 3 2 2 3 3 2" xfId="14113" xr:uid="{78CE96C1-725A-45DA-84C2-AE34A2B2778E}"/>
    <cellStyle name="Normal 8 2 3 2 2 3 4" xfId="9895" xr:uid="{B6D470D4-165B-4F4B-A6C0-59AE1D4B22F2}"/>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2 2 2" xfId="16671" xr:uid="{B6F956B2-F3F9-45E6-92E4-C16CFCFAC102}"/>
    <cellStyle name="Normal 8 2 3 2 2 4 2 3" xfId="12453" xr:uid="{37ED3C6E-63EF-4412-B8CD-611C237A2AA2}"/>
    <cellStyle name="Normal 8 2 3 2 2 4 3" xfId="6097" xr:uid="{00000000-0005-0000-0000-0000A01C0000}"/>
    <cellStyle name="Normal 8 2 3 2 2 4 3 2" xfId="14526" xr:uid="{4472B5FC-420C-41DF-8175-8E6F461FB567}"/>
    <cellStyle name="Normal 8 2 3 2 2 4 4" xfId="10308" xr:uid="{226B5AA4-7096-4708-993F-3A4EAC8E54D1}"/>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2 2 2" xfId="17084" xr:uid="{4A730221-B30C-4BDB-894F-540A84B428C7}"/>
    <cellStyle name="Normal 8 2 3 2 2 5 2 3" xfId="12866" xr:uid="{55CC286C-758E-4963-A39D-CD7ED0B3A918}"/>
    <cellStyle name="Normal 8 2 3 2 2 5 3" xfId="6510" xr:uid="{00000000-0005-0000-0000-0000A41C0000}"/>
    <cellStyle name="Normal 8 2 3 2 2 5 3 2" xfId="14939" xr:uid="{ED323BD2-631E-4659-A9AB-1DF66560365B}"/>
    <cellStyle name="Normal 8 2 3 2 2 5 4" xfId="10721" xr:uid="{A67F9A42-465B-4622-B572-48416F028A73}"/>
    <cellStyle name="Normal 8 2 3 2 2 6" xfId="2638" xr:uid="{00000000-0005-0000-0000-0000A51C0000}"/>
    <cellStyle name="Normal 8 2 3 2 2 6 2" xfId="6923" xr:uid="{00000000-0005-0000-0000-0000A61C0000}"/>
    <cellStyle name="Normal 8 2 3 2 2 6 2 2" xfId="15352" xr:uid="{4D7E881B-E3DC-46CE-9535-6BCB4BAB95BC}"/>
    <cellStyle name="Normal 8 2 3 2 2 6 3" xfId="11134" xr:uid="{89019F87-9A85-425C-A6ED-A679F5289BB6}"/>
    <cellStyle name="Normal 8 2 3 2 2 7" xfId="4858" xr:uid="{00000000-0005-0000-0000-0000A71C0000}"/>
    <cellStyle name="Normal 8 2 3 2 2 7 2" xfId="13287" xr:uid="{B7633244-2AB0-4E25-B7FD-45AF5026BD29}"/>
    <cellStyle name="Normal 8 2 3 2 2 8" xfId="9069" xr:uid="{6AF290A8-2AE3-4BEF-B2E5-5270854FADDC}"/>
    <cellStyle name="Normal 8 2 3 2 3" xfId="957" xr:uid="{00000000-0005-0000-0000-0000A81C0000}"/>
    <cellStyle name="Normal 8 2 3 2 3 2" xfId="3191" xr:uid="{00000000-0005-0000-0000-0000A91C0000}"/>
    <cellStyle name="Normal 8 2 3 2 3 2 2" xfId="7415" xr:uid="{00000000-0005-0000-0000-0000AA1C0000}"/>
    <cellStyle name="Normal 8 2 3 2 3 2 2 2" xfId="15844" xr:uid="{543F03C6-D65E-4818-8DC8-AB1844A3AF7F}"/>
    <cellStyle name="Normal 8 2 3 2 3 2 3" xfId="11626" xr:uid="{5C548B23-7EB0-4989-B58B-0964D1859B38}"/>
    <cellStyle name="Normal 8 2 3 2 3 3" xfId="5270" xr:uid="{00000000-0005-0000-0000-0000AB1C0000}"/>
    <cellStyle name="Normal 8 2 3 2 3 3 2" xfId="13699" xr:uid="{BD02F78B-BA0A-40A7-A7FA-009BF8D137FC}"/>
    <cellStyle name="Normal 8 2 3 2 3 4" xfId="9481" xr:uid="{921C0058-3AD1-4B89-9DF6-122D12308C88}"/>
    <cellStyle name="Normal 8 2 3 2 4" xfId="1374" xr:uid="{00000000-0005-0000-0000-0000AC1C0000}"/>
    <cellStyle name="Normal 8 2 3 2 4 2" xfId="3604" xr:uid="{00000000-0005-0000-0000-0000AD1C0000}"/>
    <cellStyle name="Normal 8 2 3 2 4 2 2" xfId="7828" xr:uid="{00000000-0005-0000-0000-0000AE1C0000}"/>
    <cellStyle name="Normal 8 2 3 2 4 2 2 2" xfId="16257" xr:uid="{67DD9F0E-AF9B-4276-9CD6-C63B70FEEC52}"/>
    <cellStyle name="Normal 8 2 3 2 4 2 3" xfId="12039" xr:uid="{A297C998-8DA5-4DEF-907F-10BC93A3E464}"/>
    <cellStyle name="Normal 8 2 3 2 4 3" xfId="5683" xr:uid="{00000000-0005-0000-0000-0000AF1C0000}"/>
    <cellStyle name="Normal 8 2 3 2 4 3 2" xfId="14112" xr:uid="{FC961479-7E0B-4EAF-BF39-784DB93A2D6B}"/>
    <cellStyle name="Normal 8 2 3 2 4 4" xfId="9894" xr:uid="{78774693-8D9B-4754-A23A-CD8F29AC3BEC}"/>
    <cellStyle name="Normal 8 2 3 2 5" xfId="1787" xr:uid="{00000000-0005-0000-0000-0000B01C0000}"/>
    <cellStyle name="Normal 8 2 3 2 5 2" xfId="4017" xr:uid="{00000000-0005-0000-0000-0000B11C0000}"/>
    <cellStyle name="Normal 8 2 3 2 5 2 2" xfId="8241" xr:uid="{00000000-0005-0000-0000-0000B21C0000}"/>
    <cellStyle name="Normal 8 2 3 2 5 2 2 2" xfId="16670" xr:uid="{B991CCE2-0C93-43A5-B8BB-D5FEEAE84CB5}"/>
    <cellStyle name="Normal 8 2 3 2 5 2 3" xfId="12452" xr:uid="{BEF2B5F7-10B7-4C32-A661-DD9F9D817523}"/>
    <cellStyle name="Normal 8 2 3 2 5 3" xfId="6096" xr:uid="{00000000-0005-0000-0000-0000B31C0000}"/>
    <cellStyle name="Normal 8 2 3 2 5 3 2" xfId="14525" xr:uid="{4BCD598C-EFE3-4EE9-A27B-5795EC724C53}"/>
    <cellStyle name="Normal 8 2 3 2 5 4" xfId="10307" xr:uid="{E6233430-9870-47BD-B2C2-4F0D50894356}"/>
    <cellStyle name="Normal 8 2 3 2 6" xfId="2201" xr:uid="{00000000-0005-0000-0000-0000B41C0000}"/>
    <cellStyle name="Normal 8 2 3 2 6 2" xfId="4430" xr:uid="{00000000-0005-0000-0000-0000B51C0000}"/>
    <cellStyle name="Normal 8 2 3 2 6 2 2" xfId="8654" xr:uid="{00000000-0005-0000-0000-0000B61C0000}"/>
    <cellStyle name="Normal 8 2 3 2 6 2 2 2" xfId="17083" xr:uid="{4B62F674-4A35-41C5-987B-DF4FD44B568B}"/>
    <cellStyle name="Normal 8 2 3 2 6 2 3" xfId="12865" xr:uid="{B29EB6D1-994E-4828-8462-8138453AB9B6}"/>
    <cellStyle name="Normal 8 2 3 2 6 3" xfId="6509" xr:uid="{00000000-0005-0000-0000-0000B71C0000}"/>
    <cellStyle name="Normal 8 2 3 2 6 3 2" xfId="14938" xr:uid="{060DD0A2-CFE0-44C7-ABF5-1FCFAAB7C35F}"/>
    <cellStyle name="Normal 8 2 3 2 6 4" xfId="10720" xr:uid="{36C49CEF-BC30-40D4-9A25-76CE5DBCF15A}"/>
    <cellStyle name="Normal 8 2 3 2 7" xfId="2637" xr:uid="{00000000-0005-0000-0000-0000B81C0000}"/>
    <cellStyle name="Normal 8 2 3 2 7 2" xfId="6922" xr:uid="{00000000-0005-0000-0000-0000B91C0000}"/>
    <cellStyle name="Normal 8 2 3 2 7 2 2" xfId="15351" xr:uid="{DFD36738-3A13-4ECB-9615-2B39415EC276}"/>
    <cellStyle name="Normal 8 2 3 2 7 3" xfId="11133" xr:uid="{937AA81C-A823-43A3-BB92-F67F0FAD7A38}"/>
    <cellStyle name="Normal 8 2 3 2 8" xfId="4857" xr:uid="{00000000-0005-0000-0000-0000BA1C0000}"/>
    <cellStyle name="Normal 8 2 3 2 8 2" xfId="13286" xr:uid="{6CC20A09-1ABA-45F8-8E40-208FFDE38238}"/>
    <cellStyle name="Normal 8 2 3 2 9" xfId="9068" xr:uid="{C4CBA093-03F7-4116-8DE9-8C211643367A}"/>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2 2 2" xfId="15846" xr:uid="{C8A3E1AC-A578-4DCE-AE34-CFB944AC2842}"/>
    <cellStyle name="Normal 8 2 3 3 2 2 3" xfId="11628" xr:uid="{DDC9B78A-14F4-417E-8191-F2DEEF687D8C}"/>
    <cellStyle name="Normal 8 2 3 3 2 3" xfId="5272" xr:uid="{00000000-0005-0000-0000-0000BF1C0000}"/>
    <cellStyle name="Normal 8 2 3 3 2 3 2" xfId="13701" xr:uid="{5AC7C32B-ED52-4A84-ABAD-853A4E41AF23}"/>
    <cellStyle name="Normal 8 2 3 3 2 4" xfId="9483" xr:uid="{2204FAEA-D1B2-4850-B17D-036CA786162A}"/>
    <cellStyle name="Normal 8 2 3 3 3" xfId="1376" xr:uid="{00000000-0005-0000-0000-0000C01C0000}"/>
    <cellStyle name="Normal 8 2 3 3 3 2" xfId="3606" xr:uid="{00000000-0005-0000-0000-0000C11C0000}"/>
    <cellStyle name="Normal 8 2 3 3 3 2 2" xfId="7830" xr:uid="{00000000-0005-0000-0000-0000C21C0000}"/>
    <cellStyle name="Normal 8 2 3 3 3 2 2 2" xfId="16259" xr:uid="{8C095486-A5FE-4CC9-83EE-5D514CD138CD}"/>
    <cellStyle name="Normal 8 2 3 3 3 2 3" xfId="12041" xr:uid="{AB6E42D4-C2C2-4733-9697-977171B6AED3}"/>
    <cellStyle name="Normal 8 2 3 3 3 3" xfId="5685" xr:uid="{00000000-0005-0000-0000-0000C31C0000}"/>
    <cellStyle name="Normal 8 2 3 3 3 3 2" xfId="14114" xr:uid="{B9753A5D-11EA-4933-A5AC-87FFA6E965EF}"/>
    <cellStyle name="Normal 8 2 3 3 3 4" xfId="9896" xr:uid="{D59885CC-C9CB-4C0C-98B7-28C243651D0C}"/>
    <cellStyle name="Normal 8 2 3 3 4" xfId="1789" xr:uid="{00000000-0005-0000-0000-0000C41C0000}"/>
    <cellStyle name="Normal 8 2 3 3 4 2" xfId="4019" xr:uid="{00000000-0005-0000-0000-0000C51C0000}"/>
    <cellStyle name="Normal 8 2 3 3 4 2 2" xfId="8243" xr:uid="{00000000-0005-0000-0000-0000C61C0000}"/>
    <cellStyle name="Normal 8 2 3 3 4 2 2 2" xfId="16672" xr:uid="{9B67CB4E-D89B-4F19-AB14-0F1A07C78C7C}"/>
    <cellStyle name="Normal 8 2 3 3 4 2 3" xfId="12454" xr:uid="{603D4DC0-0196-472C-A819-60540476DE4A}"/>
    <cellStyle name="Normal 8 2 3 3 4 3" xfId="6098" xr:uid="{00000000-0005-0000-0000-0000C71C0000}"/>
    <cellStyle name="Normal 8 2 3 3 4 3 2" xfId="14527" xr:uid="{52A7FA28-B869-484D-ABC9-2A1A4B88BE76}"/>
    <cellStyle name="Normal 8 2 3 3 4 4" xfId="10309" xr:uid="{346D226D-379F-4627-A681-239E4014AD61}"/>
    <cellStyle name="Normal 8 2 3 3 5" xfId="2203" xr:uid="{00000000-0005-0000-0000-0000C81C0000}"/>
    <cellStyle name="Normal 8 2 3 3 5 2" xfId="4432" xr:uid="{00000000-0005-0000-0000-0000C91C0000}"/>
    <cellStyle name="Normal 8 2 3 3 5 2 2" xfId="8656" xr:uid="{00000000-0005-0000-0000-0000CA1C0000}"/>
    <cellStyle name="Normal 8 2 3 3 5 2 2 2" xfId="17085" xr:uid="{98202420-AA5F-4957-B651-F73765DAE4A2}"/>
    <cellStyle name="Normal 8 2 3 3 5 2 3" xfId="12867" xr:uid="{432AEC71-2751-4EE4-95BE-E7BE80125A8C}"/>
    <cellStyle name="Normal 8 2 3 3 5 3" xfId="6511" xr:uid="{00000000-0005-0000-0000-0000CB1C0000}"/>
    <cellStyle name="Normal 8 2 3 3 5 3 2" xfId="14940" xr:uid="{223C71B8-7887-4592-B71A-1E01DF6E6A97}"/>
    <cellStyle name="Normal 8 2 3 3 5 4" xfId="10722" xr:uid="{890488B6-445B-4E3A-AF54-4552E12CDA7D}"/>
    <cellStyle name="Normal 8 2 3 3 6" xfId="2639" xr:uid="{00000000-0005-0000-0000-0000CC1C0000}"/>
    <cellStyle name="Normal 8 2 3 3 6 2" xfId="6924" xr:uid="{00000000-0005-0000-0000-0000CD1C0000}"/>
    <cellStyle name="Normal 8 2 3 3 6 2 2" xfId="15353" xr:uid="{1A784DF1-AC3C-4AC8-8066-497AE8146556}"/>
    <cellStyle name="Normal 8 2 3 3 6 3" xfId="11135" xr:uid="{4D3D17B6-F4D2-43C6-AEFC-8D96DD976B13}"/>
    <cellStyle name="Normal 8 2 3 3 7" xfId="4859" xr:uid="{00000000-0005-0000-0000-0000CE1C0000}"/>
    <cellStyle name="Normal 8 2 3 3 7 2" xfId="13288" xr:uid="{59D6940C-6FA5-4D61-96CE-AE7219918C2F}"/>
    <cellStyle name="Normal 8 2 3 3 8" xfId="9070" xr:uid="{5D59B4A4-E8EC-4524-BC56-C2F478A9E60F}"/>
    <cellStyle name="Normal 8 2 3 4" xfId="956" xr:uid="{00000000-0005-0000-0000-0000CF1C0000}"/>
    <cellStyle name="Normal 8 2 3 4 2" xfId="3190" xr:uid="{00000000-0005-0000-0000-0000D01C0000}"/>
    <cellStyle name="Normal 8 2 3 4 2 2" xfId="7414" xr:uid="{00000000-0005-0000-0000-0000D11C0000}"/>
    <cellStyle name="Normal 8 2 3 4 2 2 2" xfId="15843" xr:uid="{B1AAB8B3-326F-4626-AAFE-7A5EF786800F}"/>
    <cellStyle name="Normal 8 2 3 4 2 3" xfId="11625" xr:uid="{6C796B99-CDA8-42D4-84D8-31B287B9D38D}"/>
    <cellStyle name="Normal 8 2 3 4 3" xfId="5269" xr:uid="{00000000-0005-0000-0000-0000D21C0000}"/>
    <cellStyle name="Normal 8 2 3 4 3 2" xfId="13698" xr:uid="{4196C0AA-5CF4-4D76-8A65-D22EEC814D9C}"/>
    <cellStyle name="Normal 8 2 3 4 4" xfId="9480" xr:uid="{784C8FAD-65EA-489D-8BD7-379325F040D2}"/>
    <cellStyle name="Normal 8 2 3 5" xfId="1373" xr:uid="{00000000-0005-0000-0000-0000D31C0000}"/>
    <cellStyle name="Normal 8 2 3 5 2" xfId="3603" xr:uid="{00000000-0005-0000-0000-0000D41C0000}"/>
    <cellStyle name="Normal 8 2 3 5 2 2" xfId="7827" xr:uid="{00000000-0005-0000-0000-0000D51C0000}"/>
    <cellStyle name="Normal 8 2 3 5 2 2 2" xfId="16256" xr:uid="{8A356347-EC67-40C9-9EF8-531D4A7F227C}"/>
    <cellStyle name="Normal 8 2 3 5 2 3" xfId="12038" xr:uid="{69A69954-0E0B-4624-BE54-CAA93E573955}"/>
    <cellStyle name="Normal 8 2 3 5 3" xfId="5682" xr:uid="{00000000-0005-0000-0000-0000D61C0000}"/>
    <cellStyle name="Normal 8 2 3 5 3 2" xfId="14111" xr:uid="{F67C2679-8A50-4BD9-9EC1-561AB60FB59C}"/>
    <cellStyle name="Normal 8 2 3 5 4" xfId="9893" xr:uid="{019C32CA-B935-4CC6-A6E9-D96D237ED03D}"/>
    <cellStyle name="Normal 8 2 3 6" xfId="1786" xr:uid="{00000000-0005-0000-0000-0000D71C0000}"/>
    <cellStyle name="Normal 8 2 3 6 2" xfId="4016" xr:uid="{00000000-0005-0000-0000-0000D81C0000}"/>
    <cellStyle name="Normal 8 2 3 6 2 2" xfId="8240" xr:uid="{00000000-0005-0000-0000-0000D91C0000}"/>
    <cellStyle name="Normal 8 2 3 6 2 2 2" xfId="16669" xr:uid="{E807652A-B368-4CBA-A028-EFE7813B34AD}"/>
    <cellStyle name="Normal 8 2 3 6 2 3" xfId="12451" xr:uid="{D92D0B2C-0EDE-4717-B874-4F75BE3EB724}"/>
    <cellStyle name="Normal 8 2 3 6 3" xfId="6095" xr:uid="{00000000-0005-0000-0000-0000DA1C0000}"/>
    <cellStyle name="Normal 8 2 3 6 3 2" xfId="14524" xr:uid="{B974ECC3-EC45-457C-A119-211C48264957}"/>
    <cellStyle name="Normal 8 2 3 6 4" xfId="10306" xr:uid="{C1411B42-9E88-4D41-B0BC-CF48C5598A5A}"/>
    <cellStyle name="Normal 8 2 3 7" xfId="2200" xr:uid="{00000000-0005-0000-0000-0000DB1C0000}"/>
    <cellStyle name="Normal 8 2 3 7 2" xfId="4429" xr:uid="{00000000-0005-0000-0000-0000DC1C0000}"/>
    <cellStyle name="Normal 8 2 3 7 2 2" xfId="8653" xr:uid="{00000000-0005-0000-0000-0000DD1C0000}"/>
    <cellStyle name="Normal 8 2 3 7 2 2 2" xfId="17082" xr:uid="{E810B681-208E-4456-A7F9-C6357C4F1FD9}"/>
    <cellStyle name="Normal 8 2 3 7 2 3" xfId="12864" xr:uid="{A11FF2EB-AEF1-4269-8501-A6CAEF6DEF42}"/>
    <cellStyle name="Normal 8 2 3 7 3" xfId="6508" xr:uid="{00000000-0005-0000-0000-0000DE1C0000}"/>
    <cellStyle name="Normal 8 2 3 7 3 2" xfId="14937" xr:uid="{8B7EEA68-FE40-4F40-B6A1-4D7CD9561755}"/>
    <cellStyle name="Normal 8 2 3 7 4" xfId="10719" xr:uid="{FB55C4F6-2FAA-4193-909D-930D57CD16B6}"/>
    <cellStyle name="Normal 8 2 3 8" xfId="2636" xr:uid="{00000000-0005-0000-0000-0000DF1C0000}"/>
    <cellStyle name="Normal 8 2 3 8 2" xfId="6921" xr:uid="{00000000-0005-0000-0000-0000E01C0000}"/>
    <cellStyle name="Normal 8 2 3 8 2 2" xfId="15350" xr:uid="{6F8E2C68-E82E-46AC-B263-231F589484F2}"/>
    <cellStyle name="Normal 8 2 3 8 3" xfId="11132" xr:uid="{9E399249-4D86-45BF-BC69-DCE185A978D6}"/>
    <cellStyle name="Normal 8 2 3 9" xfId="4856" xr:uid="{00000000-0005-0000-0000-0000E11C0000}"/>
    <cellStyle name="Normal 8 2 3 9 2" xfId="13285" xr:uid="{F05E109C-0E8F-422D-AB75-8003392261D4}"/>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2 2 2" xfId="15848" xr:uid="{27E78D74-B328-431E-8895-2B7F6791A3E9}"/>
    <cellStyle name="Normal 8 2 4 2 2 2 3" xfId="11630" xr:uid="{372C3088-286F-44FE-AAAC-58A50FDD6870}"/>
    <cellStyle name="Normal 8 2 4 2 2 3" xfId="5274" xr:uid="{00000000-0005-0000-0000-0000E71C0000}"/>
    <cellStyle name="Normal 8 2 4 2 2 3 2" xfId="13703" xr:uid="{40F2041B-4BFD-43C8-A74C-6991453F018B}"/>
    <cellStyle name="Normal 8 2 4 2 2 4" xfId="9485" xr:uid="{231BDAA2-5636-4E0B-A9D0-73D90E096CC5}"/>
    <cellStyle name="Normal 8 2 4 2 3" xfId="1378" xr:uid="{00000000-0005-0000-0000-0000E81C0000}"/>
    <cellStyle name="Normal 8 2 4 2 3 2" xfId="3608" xr:uid="{00000000-0005-0000-0000-0000E91C0000}"/>
    <cellStyle name="Normal 8 2 4 2 3 2 2" xfId="7832" xr:uid="{00000000-0005-0000-0000-0000EA1C0000}"/>
    <cellStyle name="Normal 8 2 4 2 3 2 2 2" xfId="16261" xr:uid="{6F09F4A5-30BF-437A-8392-E23E0F944DD9}"/>
    <cellStyle name="Normal 8 2 4 2 3 2 3" xfId="12043" xr:uid="{85EE10F6-5012-47C2-9B59-0DC0644073BA}"/>
    <cellStyle name="Normal 8 2 4 2 3 3" xfId="5687" xr:uid="{00000000-0005-0000-0000-0000EB1C0000}"/>
    <cellStyle name="Normal 8 2 4 2 3 3 2" xfId="14116" xr:uid="{5B5D6FB3-EB87-4F97-8D26-56E62DAE7EEB}"/>
    <cellStyle name="Normal 8 2 4 2 3 4" xfId="9898" xr:uid="{5BCEC567-BD9D-4AB1-9635-7046B6E98C39}"/>
    <cellStyle name="Normal 8 2 4 2 4" xfId="1791" xr:uid="{00000000-0005-0000-0000-0000EC1C0000}"/>
    <cellStyle name="Normal 8 2 4 2 4 2" xfId="4021" xr:uid="{00000000-0005-0000-0000-0000ED1C0000}"/>
    <cellStyle name="Normal 8 2 4 2 4 2 2" xfId="8245" xr:uid="{00000000-0005-0000-0000-0000EE1C0000}"/>
    <cellStyle name="Normal 8 2 4 2 4 2 2 2" xfId="16674" xr:uid="{D89E82D4-2177-4157-9B6F-D8A886A99519}"/>
    <cellStyle name="Normal 8 2 4 2 4 2 3" xfId="12456" xr:uid="{4233C6D7-5932-4ADC-B964-785BC6D6AB05}"/>
    <cellStyle name="Normal 8 2 4 2 4 3" xfId="6100" xr:uid="{00000000-0005-0000-0000-0000EF1C0000}"/>
    <cellStyle name="Normal 8 2 4 2 4 3 2" xfId="14529" xr:uid="{3D2F8666-C6DD-4928-B0CD-CE8B9B3C49B1}"/>
    <cellStyle name="Normal 8 2 4 2 4 4" xfId="10311" xr:uid="{989535E0-92D3-4AD5-A9E7-E2862E313987}"/>
    <cellStyle name="Normal 8 2 4 2 5" xfId="2205" xr:uid="{00000000-0005-0000-0000-0000F01C0000}"/>
    <cellStyle name="Normal 8 2 4 2 5 2" xfId="4434" xr:uid="{00000000-0005-0000-0000-0000F11C0000}"/>
    <cellStyle name="Normal 8 2 4 2 5 2 2" xfId="8658" xr:uid="{00000000-0005-0000-0000-0000F21C0000}"/>
    <cellStyle name="Normal 8 2 4 2 5 2 2 2" xfId="17087" xr:uid="{F48A230D-9ED1-4AD0-9F91-2A956143B357}"/>
    <cellStyle name="Normal 8 2 4 2 5 2 3" xfId="12869" xr:uid="{6DBAF850-4C7E-43AB-AAB3-2BA4AE4D66C9}"/>
    <cellStyle name="Normal 8 2 4 2 5 3" xfId="6513" xr:uid="{00000000-0005-0000-0000-0000F31C0000}"/>
    <cellStyle name="Normal 8 2 4 2 5 3 2" xfId="14942" xr:uid="{0F9C2A6B-0431-4E04-B88F-660353409B8E}"/>
    <cellStyle name="Normal 8 2 4 2 5 4" xfId="10724" xr:uid="{4F47EFE0-DF89-4BB5-A301-85F2E6C69B31}"/>
    <cellStyle name="Normal 8 2 4 2 6" xfId="2641" xr:uid="{00000000-0005-0000-0000-0000F41C0000}"/>
    <cellStyle name="Normal 8 2 4 2 6 2" xfId="6926" xr:uid="{00000000-0005-0000-0000-0000F51C0000}"/>
    <cellStyle name="Normal 8 2 4 2 6 2 2" xfId="15355" xr:uid="{7D710569-ACA6-48F3-8861-71649C3846C4}"/>
    <cellStyle name="Normal 8 2 4 2 6 3" xfId="11137" xr:uid="{D72EBBE4-C3D7-44F0-AA37-89544C38CF25}"/>
    <cellStyle name="Normal 8 2 4 2 7" xfId="4861" xr:uid="{00000000-0005-0000-0000-0000F61C0000}"/>
    <cellStyle name="Normal 8 2 4 2 7 2" xfId="13290" xr:uid="{E3226A51-0074-4129-A862-18C196125A0C}"/>
    <cellStyle name="Normal 8 2 4 2 8" xfId="9072" xr:uid="{A341AE5A-640F-41E9-BB7D-5ADD803387A3}"/>
    <cellStyle name="Normal 8 2 4 3" xfId="960" xr:uid="{00000000-0005-0000-0000-0000F71C0000}"/>
    <cellStyle name="Normal 8 2 4 3 2" xfId="3194" xr:uid="{00000000-0005-0000-0000-0000F81C0000}"/>
    <cellStyle name="Normal 8 2 4 3 2 2" xfId="7418" xr:uid="{00000000-0005-0000-0000-0000F91C0000}"/>
    <cellStyle name="Normal 8 2 4 3 2 2 2" xfId="15847" xr:uid="{D9E6C6CA-8C92-46BD-8C24-6AFA786B7DB5}"/>
    <cellStyle name="Normal 8 2 4 3 2 3" xfId="11629" xr:uid="{7D2797F0-DBAE-4E94-BF2D-B27648600D9D}"/>
    <cellStyle name="Normal 8 2 4 3 3" xfId="5273" xr:uid="{00000000-0005-0000-0000-0000FA1C0000}"/>
    <cellStyle name="Normal 8 2 4 3 3 2" xfId="13702" xr:uid="{B8AD4C5A-4F7E-424F-8B98-3D6D79B5E27F}"/>
    <cellStyle name="Normal 8 2 4 3 4" xfId="9484" xr:uid="{0376ED36-0AF1-4A60-94C0-7532E38843FF}"/>
    <cellStyle name="Normal 8 2 4 4" xfId="1377" xr:uid="{00000000-0005-0000-0000-0000FB1C0000}"/>
    <cellStyle name="Normal 8 2 4 4 2" xfId="3607" xr:uid="{00000000-0005-0000-0000-0000FC1C0000}"/>
    <cellStyle name="Normal 8 2 4 4 2 2" xfId="7831" xr:uid="{00000000-0005-0000-0000-0000FD1C0000}"/>
    <cellStyle name="Normal 8 2 4 4 2 2 2" xfId="16260" xr:uid="{5E8EFBE7-209E-42E2-93A1-43C5C7591A1A}"/>
    <cellStyle name="Normal 8 2 4 4 2 3" xfId="12042" xr:uid="{962BAC69-BAB9-48FA-993C-1F023D5B109A}"/>
    <cellStyle name="Normal 8 2 4 4 3" xfId="5686" xr:uid="{00000000-0005-0000-0000-0000FE1C0000}"/>
    <cellStyle name="Normal 8 2 4 4 3 2" xfId="14115" xr:uid="{3B6949AE-2655-401A-B40A-D4FB9EDC0C03}"/>
    <cellStyle name="Normal 8 2 4 4 4" xfId="9897" xr:uid="{E625CA58-6E39-4640-BBE2-DC5D3978B393}"/>
    <cellStyle name="Normal 8 2 4 5" xfId="1790" xr:uid="{00000000-0005-0000-0000-0000FF1C0000}"/>
    <cellStyle name="Normal 8 2 4 5 2" xfId="4020" xr:uid="{00000000-0005-0000-0000-0000001D0000}"/>
    <cellStyle name="Normal 8 2 4 5 2 2" xfId="8244" xr:uid="{00000000-0005-0000-0000-0000011D0000}"/>
    <cellStyle name="Normal 8 2 4 5 2 2 2" xfId="16673" xr:uid="{A122ABE8-2639-4A7E-89EB-601D80128E80}"/>
    <cellStyle name="Normal 8 2 4 5 2 3" xfId="12455" xr:uid="{8A8420E1-75F7-43CF-AA5A-B1363F94F85E}"/>
    <cellStyle name="Normal 8 2 4 5 3" xfId="6099" xr:uid="{00000000-0005-0000-0000-0000021D0000}"/>
    <cellStyle name="Normal 8 2 4 5 3 2" xfId="14528" xr:uid="{78B99F59-8BC7-4045-A24B-8A4A97FAD3C9}"/>
    <cellStyle name="Normal 8 2 4 5 4" xfId="10310" xr:uid="{2AE5C18C-5D91-4323-B93B-FFB6AAABD738}"/>
    <cellStyle name="Normal 8 2 4 6" xfId="2204" xr:uid="{00000000-0005-0000-0000-0000031D0000}"/>
    <cellStyle name="Normal 8 2 4 6 2" xfId="4433" xr:uid="{00000000-0005-0000-0000-0000041D0000}"/>
    <cellStyle name="Normal 8 2 4 6 2 2" xfId="8657" xr:uid="{00000000-0005-0000-0000-0000051D0000}"/>
    <cellStyle name="Normal 8 2 4 6 2 2 2" xfId="17086" xr:uid="{4655D62C-7B37-4A8C-A084-42C84B0B7DF5}"/>
    <cellStyle name="Normal 8 2 4 6 2 3" xfId="12868" xr:uid="{21206D73-75A4-4C3F-91FD-4276B8D27321}"/>
    <cellStyle name="Normal 8 2 4 6 3" xfId="6512" xr:uid="{00000000-0005-0000-0000-0000061D0000}"/>
    <cellStyle name="Normal 8 2 4 6 3 2" xfId="14941" xr:uid="{6404A41C-596C-4793-9FE6-A9741D4AA584}"/>
    <cellStyle name="Normal 8 2 4 6 4" xfId="10723" xr:uid="{8FDD8520-E1F3-474D-AC40-498B8CDCB79D}"/>
    <cellStyle name="Normal 8 2 4 7" xfId="2640" xr:uid="{00000000-0005-0000-0000-0000071D0000}"/>
    <cellStyle name="Normal 8 2 4 7 2" xfId="6925" xr:uid="{00000000-0005-0000-0000-0000081D0000}"/>
    <cellStyle name="Normal 8 2 4 7 2 2" xfId="15354" xr:uid="{AEF0D696-F7AE-4132-B0AC-8F26E9466E06}"/>
    <cellStyle name="Normal 8 2 4 7 3" xfId="11136" xr:uid="{3CBE1CC3-4F9D-4251-9D5A-E8F1C2528202}"/>
    <cellStyle name="Normal 8 2 4 8" xfId="4860" xr:uid="{00000000-0005-0000-0000-0000091D0000}"/>
    <cellStyle name="Normal 8 2 4 8 2" xfId="13289" xr:uid="{69DC6494-85A3-4421-B754-51A1AAB1C316}"/>
    <cellStyle name="Normal 8 2 4 9" xfId="9071" xr:uid="{0B5655C0-1B18-46B3-98A7-A8571EF5B4B8}"/>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2 2 2" xfId="15849" xr:uid="{59BD4F7D-5EFE-4655-AE4B-46350707EF01}"/>
    <cellStyle name="Normal 8 2 5 2 2 3" xfId="11631" xr:uid="{1B609F6B-978D-4A58-832E-DF78F14ECD33}"/>
    <cellStyle name="Normal 8 2 5 2 3" xfId="5275" xr:uid="{00000000-0005-0000-0000-00000E1D0000}"/>
    <cellStyle name="Normal 8 2 5 2 3 2" xfId="13704" xr:uid="{48BDC3C2-D94E-45BA-81F9-3B1D183CC34E}"/>
    <cellStyle name="Normal 8 2 5 2 4" xfId="9486" xr:uid="{21D67B8D-3DD7-4710-A21E-DE6E3158AAA7}"/>
    <cellStyle name="Normal 8 2 5 3" xfId="1379" xr:uid="{00000000-0005-0000-0000-00000F1D0000}"/>
    <cellStyle name="Normal 8 2 5 3 2" xfId="3609" xr:uid="{00000000-0005-0000-0000-0000101D0000}"/>
    <cellStyle name="Normal 8 2 5 3 2 2" xfId="7833" xr:uid="{00000000-0005-0000-0000-0000111D0000}"/>
    <cellStyle name="Normal 8 2 5 3 2 2 2" xfId="16262" xr:uid="{16C6839E-9536-4E63-91B6-B59CFC904309}"/>
    <cellStyle name="Normal 8 2 5 3 2 3" xfId="12044" xr:uid="{05CE5CF5-BC97-4D51-9531-8BAF69C581C4}"/>
    <cellStyle name="Normal 8 2 5 3 3" xfId="5688" xr:uid="{00000000-0005-0000-0000-0000121D0000}"/>
    <cellStyle name="Normal 8 2 5 3 3 2" xfId="14117" xr:uid="{4EA3855A-C6AE-4380-A029-45667C98E4F2}"/>
    <cellStyle name="Normal 8 2 5 3 4" xfId="9899" xr:uid="{AFFBD1E7-FEDB-4C27-8BB0-F9FD18E9822C}"/>
    <cellStyle name="Normal 8 2 5 4" xfId="1792" xr:uid="{00000000-0005-0000-0000-0000131D0000}"/>
    <cellStyle name="Normal 8 2 5 4 2" xfId="4022" xr:uid="{00000000-0005-0000-0000-0000141D0000}"/>
    <cellStyle name="Normal 8 2 5 4 2 2" xfId="8246" xr:uid="{00000000-0005-0000-0000-0000151D0000}"/>
    <cellStyle name="Normal 8 2 5 4 2 2 2" xfId="16675" xr:uid="{5094FA20-CD5A-494E-98FD-ABA3A53B498B}"/>
    <cellStyle name="Normal 8 2 5 4 2 3" xfId="12457" xr:uid="{5A521D66-BD2E-4B49-81D6-FC336EE66F7F}"/>
    <cellStyle name="Normal 8 2 5 4 3" xfId="6101" xr:uid="{00000000-0005-0000-0000-0000161D0000}"/>
    <cellStyle name="Normal 8 2 5 4 3 2" xfId="14530" xr:uid="{EBD6C26E-8BE5-4F1D-AE37-652D62A30946}"/>
    <cellStyle name="Normal 8 2 5 4 4" xfId="10312" xr:uid="{F2F37B5E-30D7-4053-AF24-2FB6952EDA1E}"/>
    <cellStyle name="Normal 8 2 5 5" xfId="2206" xr:uid="{00000000-0005-0000-0000-0000171D0000}"/>
    <cellStyle name="Normal 8 2 5 5 2" xfId="4435" xr:uid="{00000000-0005-0000-0000-0000181D0000}"/>
    <cellStyle name="Normal 8 2 5 5 2 2" xfId="8659" xr:uid="{00000000-0005-0000-0000-0000191D0000}"/>
    <cellStyle name="Normal 8 2 5 5 2 2 2" xfId="17088" xr:uid="{013D9CC8-F6E8-4752-9FC7-2513E3677FDF}"/>
    <cellStyle name="Normal 8 2 5 5 2 3" xfId="12870" xr:uid="{C29242FF-8614-4140-9F2C-79442D264775}"/>
    <cellStyle name="Normal 8 2 5 5 3" xfId="6514" xr:uid="{00000000-0005-0000-0000-00001A1D0000}"/>
    <cellStyle name="Normal 8 2 5 5 3 2" xfId="14943" xr:uid="{80AC0BFD-2370-4BBD-AD83-8F4B20BC67C4}"/>
    <cellStyle name="Normal 8 2 5 5 4" xfId="10725" xr:uid="{A5C9FE99-3BF7-40B3-80E7-6ABF15D962CE}"/>
    <cellStyle name="Normal 8 2 5 6" xfId="2642" xr:uid="{00000000-0005-0000-0000-00001B1D0000}"/>
    <cellStyle name="Normal 8 2 5 6 2" xfId="6927" xr:uid="{00000000-0005-0000-0000-00001C1D0000}"/>
    <cellStyle name="Normal 8 2 5 6 2 2" xfId="15356" xr:uid="{ED477301-01A5-4416-9D3E-49480FE61800}"/>
    <cellStyle name="Normal 8 2 5 6 3" xfId="11138" xr:uid="{A6455BE3-0CBE-4E65-9215-5B6D6DF5E1D9}"/>
    <cellStyle name="Normal 8 2 5 7" xfId="4862" xr:uid="{00000000-0005-0000-0000-00001D1D0000}"/>
    <cellStyle name="Normal 8 2 5 7 2" xfId="13291" xr:uid="{3B655C1A-01DF-4E62-8DE7-E0C685798443}"/>
    <cellStyle name="Normal 8 2 5 8" xfId="9073" xr:uid="{A50094FF-E3B5-42A9-8EBD-66D94DA44084}"/>
    <cellStyle name="Normal 8 2 6" xfId="947" xr:uid="{00000000-0005-0000-0000-00001E1D0000}"/>
    <cellStyle name="Normal 8 2 6 2" xfId="3181" xr:uid="{00000000-0005-0000-0000-00001F1D0000}"/>
    <cellStyle name="Normal 8 2 6 2 2" xfId="7405" xr:uid="{00000000-0005-0000-0000-0000201D0000}"/>
    <cellStyle name="Normal 8 2 6 2 2 2" xfId="15834" xr:uid="{A9928130-BD76-4F08-860C-C48FA9A0977F}"/>
    <cellStyle name="Normal 8 2 6 2 3" xfId="11616" xr:uid="{7CB152D8-6F25-4339-A945-E727724D8CBC}"/>
    <cellStyle name="Normal 8 2 6 3" xfId="5260" xr:uid="{00000000-0005-0000-0000-0000211D0000}"/>
    <cellStyle name="Normal 8 2 6 3 2" xfId="13689" xr:uid="{D78D008A-E0F4-42D6-AFAB-95704D112B92}"/>
    <cellStyle name="Normal 8 2 6 4" xfId="9471" xr:uid="{3774895B-8007-4407-A41B-39C7464BF486}"/>
    <cellStyle name="Normal 8 2 7" xfId="1364" xr:uid="{00000000-0005-0000-0000-0000221D0000}"/>
    <cellStyle name="Normal 8 2 7 2" xfId="3594" xr:uid="{00000000-0005-0000-0000-0000231D0000}"/>
    <cellStyle name="Normal 8 2 7 2 2" xfId="7818" xr:uid="{00000000-0005-0000-0000-0000241D0000}"/>
    <cellStyle name="Normal 8 2 7 2 2 2" xfId="16247" xr:uid="{DB75CFA0-F832-424C-BF17-2204FF4673AF}"/>
    <cellStyle name="Normal 8 2 7 2 3" xfId="12029" xr:uid="{A614FD86-43BA-4151-9DD0-C38E2D20642C}"/>
    <cellStyle name="Normal 8 2 7 3" xfId="5673" xr:uid="{00000000-0005-0000-0000-0000251D0000}"/>
    <cellStyle name="Normal 8 2 7 3 2" xfId="14102" xr:uid="{04CE6104-D0A1-4CBB-BE7C-22AF10B7AF6F}"/>
    <cellStyle name="Normal 8 2 7 4" xfId="9884" xr:uid="{4939DA92-EE2F-41F4-94F0-6B86DD3430D7}"/>
    <cellStyle name="Normal 8 2 8" xfId="1777" xr:uid="{00000000-0005-0000-0000-0000261D0000}"/>
    <cellStyle name="Normal 8 2 8 2" xfId="4007" xr:uid="{00000000-0005-0000-0000-0000271D0000}"/>
    <cellStyle name="Normal 8 2 8 2 2" xfId="8231" xr:uid="{00000000-0005-0000-0000-0000281D0000}"/>
    <cellStyle name="Normal 8 2 8 2 2 2" xfId="16660" xr:uid="{36521911-CC1F-4BF3-A45A-86089B7774F6}"/>
    <cellStyle name="Normal 8 2 8 2 3" xfId="12442" xr:uid="{4D234B15-58DA-46C0-8A68-704FF337EC34}"/>
    <cellStyle name="Normal 8 2 8 3" xfId="6086" xr:uid="{00000000-0005-0000-0000-0000291D0000}"/>
    <cellStyle name="Normal 8 2 8 3 2" xfId="14515" xr:uid="{EE7DA533-66ED-493C-AB70-5FB141D0C375}"/>
    <cellStyle name="Normal 8 2 8 4" xfId="10297" xr:uid="{00DF1CA0-CCAE-4C0A-A4A5-D2ABACC36E60}"/>
    <cellStyle name="Normal 8 2 9" xfId="2191" xr:uid="{00000000-0005-0000-0000-00002A1D0000}"/>
    <cellStyle name="Normal 8 2 9 2" xfId="4420" xr:uid="{00000000-0005-0000-0000-00002B1D0000}"/>
    <cellStyle name="Normal 8 2 9 2 2" xfId="8644" xr:uid="{00000000-0005-0000-0000-00002C1D0000}"/>
    <cellStyle name="Normal 8 2 9 2 2 2" xfId="17073" xr:uid="{89137D20-5E9A-40A4-BD3E-2411402A1448}"/>
    <cellStyle name="Normal 8 2 9 2 3" xfId="12855" xr:uid="{E9C3F9AD-FD34-458A-87E9-39C59204913C}"/>
    <cellStyle name="Normal 8 2 9 3" xfId="6499" xr:uid="{00000000-0005-0000-0000-00002D1D0000}"/>
    <cellStyle name="Normal 8 2 9 3 2" xfId="14928" xr:uid="{D4C5BCE8-870F-4245-823D-8662B6EA23BB}"/>
    <cellStyle name="Normal 8 2 9 4" xfId="10710" xr:uid="{F6B4C10F-A33E-42C6-BA8B-E63E3054A26F}"/>
    <cellStyle name="Normal 8 3" xfId="495" xr:uid="{00000000-0005-0000-0000-00002E1D0000}"/>
    <cellStyle name="Normal 8 3 10" xfId="4863" xr:uid="{00000000-0005-0000-0000-00002F1D0000}"/>
    <cellStyle name="Normal 8 3 10 2" xfId="13292" xr:uid="{42CABACB-8A5D-422A-A831-4EB120A1FB59}"/>
    <cellStyle name="Normal 8 3 11" xfId="9074" xr:uid="{E604BEA7-C4D6-4783-AD47-F5A7618401AB}"/>
    <cellStyle name="Normal 8 3 2" xfId="496" xr:uid="{00000000-0005-0000-0000-0000301D0000}"/>
    <cellStyle name="Normal 8 3 2 10" xfId="9075" xr:uid="{23BDF7BB-C3C0-4B2B-93EA-FC17F28629A9}"/>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2 2 2" xfId="15853" xr:uid="{62337A00-B7C5-4190-A78D-DA5C80C95254}"/>
    <cellStyle name="Normal 8 3 2 2 2 2 2 3" xfId="11635" xr:uid="{F4AFB5EA-6B7B-42C4-8909-08F18A5913B3}"/>
    <cellStyle name="Normal 8 3 2 2 2 2 3" xfId="5279" xr:uid="{00000000-0005-0000-0000-0000361D0000}"/>
    <cellStyle name="Normal 8 3 2 2 2 2 3 2" xfId="13708" xr:uid="{5FBFA23A-82A9-494E-885E-C2F7CF75B7D8}"/>
    <cellStyle name="Normal 8 3 2 2 2 2 4" xfId="9490" xr:uid="{F92CA74F-652D-4FA1-A5D7-1529404EBC3C}"/>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2 2 2" xfId="16266" xr:uid="{8B1E89B1-0869-4E8C-9AFD-1D540D7A8E68}"/>
    <cellStyle name="Normal 8 3 2 2 2 3 2 3" xfId="12048" xr:uid="{3ACB3558-634A-4E03-B6D2-E48DEAD2BFFB}"/>
    <cellStyle name="Normal 8 3 2 2 2 3 3" xfId="5692" xr:uid="{00000000-0005-0000-0000-00003A1D0000}"/>
    <cellStyle name="Normal 8 3 2 2 2 3 3 2" xfId="14121" xr:uid="{E4E53B72-0AEC-4F7D-8998-CD9F416D1371}"/>
    <cellStyle name="Normal 8 3 2 2 2 3 4" xfId="9903" xr:uid="{98021BDB-D063-4650-ABE8-A6F12D9FA403}"/>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2 2 2" xfId="16679" xr:uid="{35F04645-8E2D-484B-BF0D-79CD68510191}"/>
    <cellStyle name="Normal 8 3 2 2 2 4 2 3" xfId="12461" xr:uid="{A1E5BB6E-F4DB-44B1-BDBE-84F0572B99DB}"/>
    <cellStyle name="Normal 8 3 2 2 2 4 3" xfId="6105" xr:uid="{00000000-0005-0000-0000-00003E1D0000}"/>
    <cellStyle name="Normal 8 3 2 2 2 4 3 2" xfId="14534" xr:uid="{1AC7BA28-E25D-4914-9CFD-261DE4BE8CE0}"/>
    <cellStyle name="Normal 8 3 2 2 2 4 4" xfId="10316" xr:uid="{B02EE27E-D392-49A8-A860-1070F6832F91}"/>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2 2 2" xfId="17092" xr:uid="{653A4087-0DAE-4BAB-BFCF-9E90813E03FF}"/>
    <cellStyle name="Normal 8 3 2 2 2 5 2 3" xfId="12874" xr:uid="{DC8C8ECE-1416-4CC1-A224-3C82C9136FEA}"/>
    <cellStyle name="Normal 8 3 2 2 2 5 3" xfId="6518" xr:uid="{00000000-0005-0000-0000-0000421D0000}"/>
    <cellStyle name="Normal 8 3 2 2 2 5 3 2" xfId="14947" xr:uid="{A836B866-4497-4D55-AF55-11A3E8F59D80}"/>
    <cellStyle name="Normal 8 3 2 2 2 5 4" xfId="10729" xr:uid="{3CC7CEF2-381B-4FAA-B646-A304A22D510F}"/>
    <cellStyle name="Normal 8 3 2 2 2 6" xfId="2646" xr:uid="{00000000-0005-0000-0000-0000431D0000}"/>
    <cellStyle name="Normal 8 3 2 2 2 6 2" xfId="6931" xr:uid="{00000000-0005-0000-0000-0000441D0000}"/>
    <cellStyle name="Normal 8 3 2 2 2 6 2 2" xfId="15360" xr:uid="{0FC1BF91-E869-46A0-8517-31A94CE10CED}"/>
    <cellStyle name="Normal 8 3 2 2 2 6 3" xfId="11142" xr:uid="{F4801F36-B0A0-48F8-98F6-92A560BDC735}"/>
    <cellStyle name="Normal 8 3 2 2 2 7" xfId="4866" xr:uid="{00000000-0005-0000-0000-0000451D0000}"/>
    <cellStyle name="Normal 8 3 2 2 2 7 2" xfId="13295" xr:uid="{C482FA57-71D0-44C0-B006-2F6555149DE4}"/>
    <cellStyle name="Normal 8 3 2 2 2 8" xfId="9077" xr:uid="{B8078254-34FC-409A-8D0C-9415C60F76B0}"/>
    <cellStyle name="Normal 8 3 2 2 3" xfId="965" xr:uid="{00000000-0005-0000-0000-0000461D0000}"/>
    <cellStyle name="Normal 8 3 2 2 3 2" xfId="3199" xr:uid="{00000000-0005-0000-0000-0000471D0000}"/>
    <cellStyle name="Normal 8 3 2 2 3 2 2" xfId="7423" xr:uid="{00000000-0005-0000-0000-0000481D0000}"/>
    <cellStyle name="Normal 8 3 2 2 3 2 2 2" xfId="15852" xr:uid="{F224E4FE-012F-4558-B29C-35C97ADC69C7}"/>
    <cellStyle name="Normal 8 3 2 2 3 2 3" xfId="11634" xr:uid="{F335E736-2D09-4244-9256-0342D992E0F9}"/>
    <cellStyle name="Normal 8 3 2 2 3 3" xfId="5278" xr:uid="{00000000-0005-0000-0000-0000491D0000}"/>
    <cellStyle name="Normal 8 3 2 2 3 3 2" xfId="13707" xr:uid="{08924909-0BDA-4639-B073-DF3004DADA3F}"/>
    <cellStyle name="Normal 8 3 2 2 3 4" xfId="9489" xr:uid="{B05F3506-83A2-47D1-9388-983698B6FDDB}"/>
    <cellStyle name="Normal 8 3 2 2 4" xfId="1382" xr:uid="{00000000-0005-0000-0000-00004A1D0000}"/>
    <cellStyle name="Normal 8 3 2 2 4 2" xfId="3612" xr:uid="{00000000-0005-0000-0000-00004B1D0000}"/>
    <cellStyle name="Normal 8 3 2 2 4 2 2" xfId="7836" xr:uid="{00000000-0005-0000-0000-00004C1D0000}"/>
    <cellStyle name="Normal 8 3 2 2 4 2 2 2" xfId="16265" xr:uid="{F6F85645-CFA7-4774-B6CE-B73A2CE1375D}"/>
    <cellStyle name="Normal 8 3 2 2 4 2 3" xfId="12047" xr:uid="{2054A877-7095-470B-B733-E8FA6560E1AE}"/>
    <cellStyle name="Normal 8 3 2 2 4 3" xfId="5691" xr:uid="{00000000-0005-0000-0000-00004D1D0000}"/>
    <cellStyle name="Normal 8 3 2 2 4 3 2" xfId="14120" xr:uid="{78E84D37-B3F5-46BE-9D75-E6552059291C}"/>
    <cellStyle name="Normal 8 3 2 2 4 4" xfId="9902" xr:uid="{85ECFA09-4A65-4DD2-BD0F-19B14F89952C}"/>
    <cellStyle name="Normal 8 3 2 2 5" xfId="1795" xr:uid="{00000000-0005-0000-0000-00004E1D0000}"/>
    <cellStyle name="Normal 8 3 2 2 5 2" xfId="4025" xr:uid="{00000000-0005-0000-0000-00004F1D0000}"/>
    <cellStyle name="Normal 8 3 2 2 5 2 2" xfId="8249" xr:uid="{00000000-0005-0000-0000-0000501D0000}"/>
    <cellStyle name="Normal 8 3 2 2 5 2 2 2" xfId="16678" xr:uid="{70660C16-F219-4067-A22B-FA4349EE6AAB}"/>
    <cellStyle name="Normal 8 3 2 2 5 2 3" xfId="12460" xr:uid="{164EC666-2FD2-4697-8073-D01E7E86833A}"/>
    <cellStyle name="Normal 8 3 2 2 5 3" xfId="6104" xr:uid="{00000000-0005-0000-0000-0000511D0000}"/>
    <cellStyle name="Normal 8 3 2 2 5 3 2" xfId="14533" xr:uid="{EF2F8D18-6599-4A24-AE07-04EE971CEE71}"/>
    <cellStyle name="Normal 8 3 2 2 5 4" xfId="10315" xr:uid="{21A3B46A-3B5B-4EC7-8E4D-12FFDE5ADB62}"/>
    <cellStyle name="Normal 8 3 2 2 6" xfId="2209" xr:uid="{00000000-0005-0000-0000-0000521D0000}"/>
    <cellStyle name="Normal 8 3 2 2 6 2" xfId="4438" xr:uid="{00000000-0005-0000-0000-0000531D0000}"/>
    <cellStyle name="Normal 8 3 2 2 6 2 2" xfId="8662" xr:uid="{00000000-0005-0000-0000-0000541D0000}"/>
    <cellStyle name="Normal 8 3 2 2 6 2 2 2" xfId="17091" xr:uid="{8A3CDFB0-95E8-40A8-A0CC-AFDB2F112548}"/>
    <cellStyle name="Normal 8 3 2 2 6 2 3" xfId="12873" xr:uid="{2BFE8DFE-C372-41ED-A992-445D6902E93A}"/>
    <cellStyle name="Normal 8 3 2 2 6 3" xfId="6517" xr:uid="{00000000-0005-0000-0000-0000551D0000}"/>
    <cellStyle name="Normal 8 3 2 2 6 3 2" xfId="14946" xr:uid="{99D6C48F-CF4C-48D1-9824-767190F3CF64}"/>
    <cellStyle name="Normal 8 3 2 2 6 4" xfId="10728" xr:uid="{71E34C74-FD59-48AF-9816-91ED49BB2EF4}"/>
    <cellStyle name="Normal 8 3 2 2 7" xfId="2645" xr:uid="{00000000-0005-0000-0000-0000561D0000}"/>
    <cellStyle name="Normal 8 3 2 2 7 2" xfId="6930" xr:uid="{00000000-0005-0000-0000-0000571D0000}"/>
    <cellStyle name="Normal 8 3 2 2 7 2 2" xfId="15359" xr:uid="{C42AF5D5-1E43-499A-B46C-F49B54A79ED2}"/>
    <cellStyle name="Normal 8 3 2 2 7 3" xfId="11141" xr:uid="{875FB1E0-7A86-489D-B7D8-419208159C86}"/>
    <cellStyle name="Normal 8 3 2 2 8" xfId="4865" xr:uid="{00000000-0005-0000-0000-0000581D0000}"/>
    <cellStyle name="Normal 8 3 2 2 8 2" xfId="13294" xr:uid="{7D5D55C0-1F69-42FD-9FBB-B97AD2A55303}"/>
    <cellStyle name="Normal 8 3 2 2 9" xfId="9076" xr:uid="{31300FFD-B727-4A9A-A71D-0A37D31997CC}"/>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2 2 2" xfId="15854" xr:uid="{D21F8E55-DC6D-44D8-9CAF-24DFE9E6646C}"/>
    <cellStyle name="Normal 8 3 2 3 2 2 3" xfId="11636" xr:uid="{9A5D5E72-5DD6-41A5-8948-A06DFC8B0948}"/>
    <cellStyle name="Normal 8 3 2 3 2 3" xfId="5280" xr:uid="{00000000-0005-0000-0000-00005D1D0000}"/>
    <cellStyle name="Normal 8 3 2 3 2 3 2" xfId="13709" xr:uid="{5CAC9DF7-9E20-407A-BBF8-F4E466BE3051}"/>
    <cellStyle name="Normal 8 3 2 3 2 4" xfId="9491" xr:uid="{C4465653-C47E-43A5-BAD7-CBBF953BFDE1}"/>
    <cellStyle name="Normal 8 3 2 3 3" xfId="1384" xr:uid="{00000000-0005-0000-0000-00005E1D0000}"/>
    <cellStyle name="Normal 8 3 2 3 3 2" xfId="3614" xr:uid="{00000000-0005-0000-0000-00005F1D0000}"/>
    <cellStyle name="Normal 8 3 2 3 3 2 2" xfId="7838" xr:uid="{00000000-0005-0000-0000-0000601D0000}"/>
    <cellStyle name="Normal 8 3 2 3 3 2 2 2" xfId="16267" xr:uid="{CF97396A-B040-4313-9629-F2BF2019B064}"/>
    <cellStyle name="Normal 8 3 2 3 3 2 3" xfId="12049" xr:uid="{3708947E-9BD8-4BAE-B484-808E43F544D8}"/>
    <cellStyle name="Normal 8 3 2 3 3 3" xfId="5693" xr:uid="{00000000-0005-0000-0000-0000611D0000}"/>
    <cellStyle name="Normal 8 3 2 3 3 3 2" xfId="14122" xr:uid="{B006C258-1CDB-4ACC-99B1-D1BEAF793E18}"/>
    <cellStyle name="Normal 8 3 2 3 3 4" xfId="9904" xr:uid="{001A6A38-2D20-4514-B6B2-5EF25F21E0EB}"/>
    <cellStyle name="Normal 8 3 2 3 4" xfId="1797" xr:uid="{00000000-0005-0000-0000-0000621D0000}"/>
    <cellStyle name="Normal 8 3 2 3 4 2" xfId="4027" xr:uid="{00000000-0005-0000-0000-0000631D0000}"/>
    <cellStyle name="Normal 8 3 2 3 4 2 2" xfId="8251" xr:uid="{00000000-0005-0000-0000-0000641D0000}"/>
    <cellStyle name="Normal 8 3 2 3 4 2 2 2" xfId="16680" xr:uid="{19091599-3EB1-4E8F-8DDB-FF8F817C15BE}"/>
    <cellStyle name="Normal 8 3 2 3 4 2 3" xfId="12462" xr:uid="{F99E5B64-EE35-4F0B-A7DE-BAA3DA3083D6}"/>
    <cellStyle name="Normal 8 3 2 3 4 3" xfId="6106" xr:uid="{00000000-0005-0000-0000-0000651D0000}"/>
    <cellStyle name="Normal 8 3 2 3 4 3 2" xfId="14535" xr:uid="{DBD21F3E-AA5E-48CE-9A4D-7921A55414E2}"/>
    <cellStyle name="Normal 8 3 2 3 4 4" xfId="10317" xr:uid="{6FE25065-C91F-4F22-ACA1-B5A50ACECB65}"/>
    <cellStyle name="Normal 8 3 2 3 5" xfId="2211" xr:uid="{00000000-0005-0000-0000-0000661D0000}"/>
    <cellStyle name="Normal 8 3 2 3 5 2" xfId="4440" xr:uid="{00000000-0005-0000-0000-0000671D0000}"/>
    <cellStyle name="Normal 8 3 2 3 5 2 2" xfId="8664" xr:uid="{00000000-0005-0000-0000-0000681D0000}"/>
    <cellStyle name="Normal 8 3 2 3 5 2 2 2" xfId="17093" xr:uid="{C685DA48-A11D-465D-9932-7CF3F179A345}"/>
    <cellStyle name="Normal 8 3 2 3 5 2 3" xfId="12875" xr:uid="{4BADC7DD-7AF7-4A16-B1AC-15C408B6E074}"/>
    <cellStyle name="Normal 8 3 2 3 5 3" xfId="6519" xr:uid="{00000000-0005-0000-0000-0000691D0000}"/>
    <cellStyle name="Normal 8 3 2 3 5 3 2" xfId="14948" xr:uid="{DB1494EF-A47A-4103-B993-B1F472C557C5}"/>
    <cellStyle name="Normal 8 3 2 3 5 4" xfId="10730" xr:uid="{4983C57D-7AD4-4B3E-9305-A739CFD06CCE}"/>
    <cellStyle name="Normal 8 3 2 3 6" xfId="2647" xr:uid="{00000000-0005-0000-0000-00006A1D0000}"/>
    <cellStyle name="Normal 8 3 2 3 6 2" xfId="6932" xr:uid="{00000000-0005-0000-0000-00006B1D0000}"/>
    <cellStyle name="Normal 8 3 2 3 6 2 2" xfId="15361" xr:uid="{551AC040-F570-4082-A5BF-9A332B969942}"/>
    <cellStyle name="Normal 8 3 2 3 6 3" xfId="11143" xr:uid="{E47F38D6-4DA0-43D8-9080-497D31B2B59D}"/>
    <cellStyle name="Normal 8 3 2 3 7" xfId="4867" xr:uid="{00000000-0005-0000-0000-00006C1D0000}"/>
    <cellStyle name="Normal 8 3 2 3 7 2" xfId="13296" xr:uid="{D6D22CE2-1A34-4779-B09B-1E09812C2B84}"/>
    <cellStyle name="Normal 8 3 2 3 8" xfId="9078" xr:uid="{DCEAA835-FA96-4174-8A8A-0DB1D89019E5}"/>
    <cellStyle name="Normal 8 3 2 4" xfId="964" xr:uid="{00000000-0005-0000-0000-00006D1D0000}"/>
    <cellStyle name="Normal 8 3 2 4 2" xfId="3198" xr:uid="{00000000-0005-0000-0000-00006E1D0000}"/>
    <cellStyle name="Normal 8 3 2 4 2 2" xfId="7422" xr:uid="{00000000-0005-0000-0000-00006F1D0000}"/>
    <cellStyle name="Normal 8 3 2 4 2 2 2" xfId="15851" xr:uid="{FAD753A4-AB0A-40DD-869D-D2A6303A70F2}"/>
    <cellStyle name="Normal 8 3 2 4 2 3" xfId="11633" xr:uid="{FD3A8D4A-FDCC-4080-AD5E-7757AE17148E}"/>
    <cellStyle name="Normal 8 3 2 4 3" xfId="5277" xr:uid="{00000000-0005-0000-0000-0000701D0000}"/>
    <cellStyle name="Normal 8 3 2 4 3 2" xfId="13706" xr:uid="{B5FD9E99-6935-4EDE-A0CE-FAD47D73CE35}"/>
    <cellStyle name="Normal 8 3 2 4 4" xfId="9488" xr:uid="{1A790AA3-D037-4ED5-9353-EA5AF0EAB972}"/>
    <cellStyle name="Normal 8 3 2 5" xfId="1381" xr:uid="{00000000-0005-0000-0000-0000711D0000}"/>
    <cellStyle name="Normal 8 3 2 5 2" xfId="3611" xr:uid="{00000000-0005-0000-0000-0000721D0000}"/>
    <cellStyle name="Normal 8 3 2 5 2 2" xfId="7835" xr:uid="{00000000-0005-0000-0000-0000731D0000}"/>
    <cellStyle name="Normal 8 3 2 5 2 2 2" xfId="16264" xr:uid="{C6C49BB3-B324-42FE-86AC-7F58D088BCA1}"/>
    <cellStyle name="Normal 8 3 2 5 2 3" xfId="12046" xr:uid="{937A0955-8EEB-45E6-83FA-C9ED412593FC}"/>
    <cellStyle name="Normal 8 3 2 5 3" xfId="5690" xr:uid="{00000000-0005-0000-0000-0000741D0000}"/>
    <cellStyle name="Normal 8 3 2 5 3 2" xfId="14119" xr:uid="{BA3D23E5-BC98-4528-B751-FF3418649B6C}"/>
    <cellStyle name="Normal 8 3 2 5 4" xfId="9901" xr:uid="{44B58A87-AB3D-41DE-84B3-7A6E578C3F6B}"/>
    <cellStyle name="Normal 8 3 2 6" xfId="1794" xr:uid="{00000000-0005-0000-0000-0000751D0000}"/>
    <cellStyle name="Normal 8 3 2 6 2" xfId="4024" xr:uid="{00000000-0005-0000-0000-0000761D0000}"/>
    <cellStyle name="Normal 8 3 2 6 2 2" xfId="8248" xr:uid="{00000000-0005-0000-0000-0000771D0000}"/>
    <cellStyle name="Normal 8 3 2 6 2 2 2" xfId="16677" xr:uid="{7A87BD56-2607-4481-A914-D26DF6492B26}"/>
    <cellStyle name="Normal 8 3 2 6 2 3" xfId="12459" xr:uid="{86BA8208-A357-4AED-902E-82E8AC1A2BAB}"/>
    <cellStyle name="Normal 8 3 2 6 3" xfId="6103" xr:uid="{00000000-0005-0000-0000-0000781D0000}"/>
    <cellStyle name="Normal 8 3 2 6 3 2" xfId="14532" xr:uid="{B85E543E-D5D2-4467-BAC5-5DE46B1E90A2}"/>
    <cellStyle name="Normal 8 3 2 6 4" xfId="10314" xr:uid="{60FAB0D7-5747-4F00-AC4B-D3C458FCDC9E}"/>
    <cellStyle name="Normal 8 3 2 7" xfId="2208" xr:uid="{00000000-0005-0000-0000-0000791D0000}"/>
    <cellStyle name="Normal 8 3 2 7 2" xfId="4437" xr:uid="{00000000-0005-0000-0000-00007A1D0000}"/>
    <cellStyle name="Normal 8 3 2 7 2 2" xfId="8661" xr:uid="{00000000-0005-0000-0000-00007B1D0000}"/>
    <cellStyle name="Normal 8 3 2 7 2 2 2" xfId="17090" xr:uid="{B7BD1C9F-A2EE-4904-AF3C-CB9C43BD0FC5}"/>
    <cellStyle name="Normal 8 3 2 7 2 3" xfId="12872" xr:uid="{F5ACC56F-CDC2-4B96-ADD3-AC821AC9E146}"/>
    <cellStyle name="Normal 8 3 2 7 3" xfId="6516" xr:uid="{00000000-0005-0000-0000-00007C1D0000}"/>
    <cellStyle name="Normal 8 3 2 7 3 2" xfId="14945" xr:uid="{8997AEB6-EF7B-450D-BE5E-6B9DA8573901}"/>
    <cellStyle name="Normal 8 3 2 7 4" xfId="10727" xr:uid="{5C08F44C-A0CD-4BB9-A7E5-6AA5B80245C9}"/>
    <cellStyle name="Normal 8 3 2 8" xfId="2644" xr:uid="{00000000-0005-0000-0000-00007D1D0000}"/>
    <cellStyle name="Normal 8 3 2 8 2" xfId="6929" xr:uid="{00000000-0005-0000-0000-00007E1D0000}"/>
    <cellStyle name="Normal 8 3 2 8 2 2" xfId="15358" xr:uid="{9366F529-3BB0-48E0-9D46-83A5C75D3316}"/>
    <cellStyle name="Normal 8 3 2 8 3" xfId="11140" xr:uid="{E692B646-2064-43D6-B6D0-AB6311D8CA2D}"/>
    <cellStyle name="Normal 8 3 2 9" xfId="4864" xr:uid="{00000000-0005-0000-0000-00007F1D0000}"/>
    <cellStyle name="Normal 8 3 2 9 2" xfId="13293" xr:uid="{0D89B269-CEFC-4E41-B9AA-324E07A2A1D1}"/>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2 2 2" xfId="15856" xr:uid="{EFFEF8EF-1BA4-460C-BA33-EDA011C9331B}"/>
    <cellStyle name="Normal 8 3 3 2 2 2 3" xfId="11638" xr:uid="{0AAFA04A-588E-49F1-9E47-C644D634C404}"/>
    <cellStyle name="Normal 8 3 3 2 2 3" xfId="5282" xr:uid="{00000000-0005-0000-0000-0000851D0000}"/>
    <cellStyle name="Normal 8 3 3 2 2 3 2" xfId="13711" xr:uid="{9131F2AC-7F43-42AA-9F12-B00FF90F5AD4}"/>
    <cellStyle name="Normal 8 3 3 2 2 4" xfId="9493" xr:uid="{05CA55CB-BE54-4014-B343-146CEDC898B1}"/>
    <cellStyle name="Normal 8 3 3 2 3" xfId="1386" xr:uid="{00000000-0005-0000-0000-0000861D0000}"/>
    <cellStyle name="Normal 8 3 3 2 3 2" xfId="3616" xr:uid="{00000000-0005-0000-0000-0000871D0000}"/>
    <cellStyle name="Normal 8 3 3 2 3 2 2" xfId="7840" xr:uid="{00000000-0005-0000-0000-0000881D0000}"/>
    <cellStyle name="Normal 8 3 3 2 3 2 2 2" xfId="16269" xr:uid="{18C0394E-FA25-4582-8909-7A25DFAE1D3C}"/>
    <cellStyle name="Normal 8 3 3 2 3 2 3" xfId="12051" xr:uid="{7DFACAAA-C5A1-43FC-B4BB-460DD448123C}"/>
    <cellStyle name="Normal 8 3 3 2 3 3" xfId="5695" xr:uid="{00000000-0005-0000-0000-0000891D0000}"/>
    <cellStyle name="Normal 8 3 3 2 3 3 2" xfId="14124" xr:uid="{DAAD683E-FD57-4F07-A6D7-E2BE48C1A9A6}"/>
    <cellStyle name="Normal 8 3 3 2 3 4" xfId="9906" xr:uid="{F4DE01F9-F3D5-4A33-9060-EC3FE0EE5F22}"/>
    <cellStyle name="Normal 8 3 3 2 4" xfId="1799" xr:uid="{00000000-0005-0000-0000-00008A1D0000}"/>
    <cellStyle name="Normal 8 3 3 2 4 2" xfId="4029" xr:uid="{00000000-0005-0000-0000-00008B1D0000}"/>
    <cellStyle name="Normal 8 3 3 2 4 2 2" xfId="8253" xr:uid="{00000000-0005-0000-0000-00008C1D0000}"/>
    <cellStyle name="Normal 8 3 3 2 4 2 2 2" xfId="16682" xr:uid="{F23F637A-822E-497F-8115-E0A0020F5F00}"/>
    <cellStyle name="Normal 8 3 3 2 4 2 3" xfId="12464" xr:uid="{855497B9-E705-4544-9302-09A65C806BEA}"/>
    <cellStyle name="Normal 8 3 3 2 4 3" xfId="6108" xr:uid="{00000000-0005-0000-0000-00008D1D0000}"/>
    <cellStyle name="Normal 8 3 3 2 4 3 2" xfId="14537" xr:uid="{D7F08DB0-D804-4D20-B323-580EB40B5980}"/>
    <cellStyle name="Normal 8 3 3 2 4 4" xfId="10319" xr:uid="{9C1ED54B-5A14-46AD-9E58-4933963B581D}"/>
    <cellStyle name="Normal 8 3 3 2 5" xfId="2213" xr:uid="{00000000-0005-0000-0000-00008E1D0000}"/>
    <cellStyle name="Normal 8 3 3 2 5 2" xfId="4442" xr:uid="{00000000-0005-0000-0000-00008F1D0000}"/>
    <cellStyle name="Normal 8 3 3 2 5 2 2" xfId="8666" xr:uid="{00000000-0005-0000-0000-0000901D0000}"/>
    <cellStyle name="Normal 8 3 3 2 5 2 2 2" xfId="17095" xr:uid="{2BF126C0-D760-4A35-8AD8-B2617F32D40F}"/>
    <cellStyle name="Normal 8 3 3 2 5 2 3" xfId="12877" xr:uid="{ACC38ACE-FDEC-4128-B04F-B233ED01A963}"/>
    <cellStyle name="Normal 8 3 3 2 5 3" xfId="6521" xr:uid="{00000000-0005-0000-0000-0000911D0000}"/>
    <cellStyle name="Normal 8 3 3 2 5 3 2" xfId="14950" xr:uid="{C63445D6-85AD-4FFF-BC58-1ABFD432D4F0}"/>
    <cellStyle name="Normal 8 3 3 2 5 4" xfId="10732" xr:uid="{06965BD6-6A1D-4945-ADFF-DB1138D882FD}"/>
    <cellStyle name="Normal 8 3 3 2 6" xfId="2649" xr:uid="{00000000-0005-0000-0000-0000921D0000}"/>
    <cellStyle name="Normal 8 3 3 2 6 2" xfId="6934" xr:uid="{00000000-0005-0000-0000-0000931D0000}"/>
    <cellStyle name="Normal 8 3 3 2 6 2 2" xfId="15363" xr:uid="{E58AFF8C-263E-4532-B398-DF4545119AF4}"/>
    <cellStyle name="Normal 8 3 3 2 6 3" xfId="11145" xr:uid="{6B7B6236-9C28-4DF9-A0E4-D5F68D4C8326}"/>
    <cellStyle name="Normal 8 3 3 2 7" xfId="4869" xr:uid="{00000000-0005-0000-0000-0000941D0000}"/>
    <cellStyle name="Normal 8 3 3 2 7 2" xfId="13298" xr:uid="{A3D84AF8-5CD6-4D33-AD9D-51411F6E1859}"/>
    <cellStyle name="Normal 8 3 3 2 8" xfId="9080" xr:uid="{9CBF977E-C0F4-4549-8E76-CC7A5F990E25}"/>
    <cellStyle name="Normal 8 3 3 3" xfId="968" xr:uid="{00000000-0005-0000-0000-0000951D0000}"/>
    <cellStyle name="Normal 8 3 3 3 2" xfId="3202" xr:uid="{00000000-0005-0000-0000-0000961D0000}"/>
    <cellStyle name="Normal 8 3 3 3 2 2" xfId="7426" xr:uid="{00000000-0005-0000-0000-0000971D0000}"/>
    <cellStyle name="Normal 8 3 3 3 2 2 2" xfId="15855" xr:uid="{85430423-4822-4A2D-A7AB-F3B1CD618950}"/>
    <cellStyle name="Normal 8 3 3 3 2 3" xfId="11637" xr:uid="{546CC32F-142F-417A-B02B-78E4069F8EFC}"/>
    <cellStyle name="Normal 8 3 3 3 3" xfId="5281" xr:uid="{00000000-0005-0000-0000-0000981D0000}"/>
    <cellStyle name="Normal 8 3 3 3 3 2" xfId="13710" xr:uid="{F14EF520-502D-47F8-A744-0E92F72920B4}"/>
    <cellStyle name="Normal 8 3 3 3 4" xfId="9492" xr:uid="{F95FC47E-A302-4F10-9C11-222675CA1EE6}"/>
    <cellStyle name="Normal 8 3 3 4" xfId="1385" xr:uid="{00000000-0005-0000-0000-0000991D0000}"/>
    <cellStyle name="Normal 8 3 3 4 2" xfId="3615" xr:uid="{00000000-0005-0000-0000-00009A1D0000}"/>
    <cellStyle name="Normal 8 3 3 4 2 2" xfId="7839" xr:uid="{00000000-0005-0000-0000-00009B1D0000}"/>
    <cellStyle name="Normal 8 3 3 4 2 2 2" xfId="16268" xr:uid="{D60BF5F5-B7C3-4323-B7B5-FF49B2968982}"/>
    <cellStyle name="Normal 8 3 3 4 2 3" xfId="12050" xr:uid="{CAFB171A-5FA4-4834-BB0A-C5D720BF49A5}"/>
    <cellStyle name="Normal 8 3 3 4 3" xfId="5694" xr:uid="{00000000-0005-0000-0000-00009C1D0000}"/>
    <cellStyle name="Normal 8 3 3 4 3 2" xfId="14123" xr:uid="{5FAB59D8-2CBF-4201-8DC6-007F683514CB}"/>
    <cellStyle name="Normal 8 3 3 4 4" xfId="9905" xr:uid="{0F6287BD-310D-4774-969D-5D6D453F9B69}"/>
    <cellStyle name="Normal 8 3 3 5" xfId="1798" xr:uid="{00000000-0005-0000-0000-00009D1D0000}"/>
    <cellStyle name="Normal 8 3 3 5 2" xfId="4028" xr:uid="{00000000-0005-0000-0000-00009E1D0000}"/>
    <cellStyle name="Normal 8 3 3 5 2 2" xfId="8252" xr:uid="{00000000-0005-0000-0000-00009F1D0000}"/>
    <cellStyle name="Normal 8 3 3 5 2 2 2" xfId="16681" xr:uid="{AD0094C5-B75A-4FD8-83D0-E21A0673CCF0}"/>
    <cellStyle name="Normal 8 3 3 5 2 3" xfId="12463" xr:uid="{BB5D88FE-A259-4881-B8C5-E3C97FA02213}"/>
    <cellStyle name="Normal 8 3 3 5 3" xfId="6107" xr:uid="{00000000-0005-0000-0000-0000A01D0000}"/>
    <cellStyle name="Normal 8 3 3 5 3 2" xfId="14536" xr:uid="{E52E740E-040E-4191-9E1E-FDC3B877D89D}"/>
    <cellStyle name="Normal 8 3 3 5 4" xfId="10318" xr:uid="{49ADA63B-EC4A-485A-8464-AA218EC3D5A4}"/>
    <cellStyle name="Normal 8 3 3 6" xfId="2212" xr:uid="{00000000-0005-0000-0000-0000A11D0000}"/>
    <cellStyle name="Normal 8 3 3 6 2" xfId="4441" xr:uid="{00000000-0005-0000-0000-0000A21D0000}"/>
    <cellStyle name="Normal 8 3 3 6 2 2" xfId="8665" xr:uid="{00000000-0005-0000-0000-0000A31D0000}"/>
    <cellStyle name="Normal 8 3 3 6 2 2 2" xfId="17094" xr:uid="{E1B04BB6-EFD9-4CEC-AB3D-E9C2BCCFBAE7}"/>
    <cellStyle name="Normal 8 3 3 6 2 3" xfId="12876" xr:uid="{5EAD9677-ABAC-49B6-ADC2-DD7D2B01C785}"/>
    <cellStyle name="Normal 8 3 3 6 3" xfId="6520" xr:uid="{00000000-0005-0000-0000-0000A41D0000}"/>
    <cellStyle name="Normal 8 3 3 6 3 2" xfId="14949" xr:uid="{32ECDC24-2AA9-421C-90B5-80D67DFE1FD5}"/>
    <cellStyle name="Normal 8 3 3 6 4" xfId="10731" xr:uid="{9D4C622C-AA60-40CE-A9C0-A6FCBDD1C6E6}"/>
    <cellStyle name="Normal 8 3 3 7" xfId="2648" xr:uid="{00000000-0005-0000-0000-0000A51D0000}"/>
    <cellStyle name="Normal 8 3 3 7 2" xfId="6933" xr:uid="{00000000-0005-0000-0000-0000A61D0000}"/>
    <cellStyle name="Normal 8 3 3 7 2 2" xfId="15362" xr:uid="{B81C012B-29A7-4561-A237-D3B1667A107F}"/>
    <cellStyle name="Normal 8 3 3 7 3" xfId="11144" xr:uid="{B1A35656-6738-4B81-853D-F1CB9D08D571}"/>
    <cellStyle name="Normal 8 3 3 8" xfId="4868" xr:uid="{00000000-0005-0000-0000-0000A71D0000}"/>
    <cellStyle name="Normal 8 3 3 8 2" xfId="13297" xr:uid="{93C5DF12-9518-43A1-9DEB-8DD6AE93380B}"/>
    <cellStyle name="Normal 8 3 3 9" xfId="9079" xr:uid="{9F9AFFC0-5299-4FFB-90D1-EBE5BE4BAE2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2 2 2" xfId="15857" xr:uid="{8B16760C-1AB0-4CBB-800E-05693A06636B}"/>
    <cellStyle name="Normal 8 3 4 2 2 3" xfId="11639" xr:uid="{A0165676-D80C-4047-ADB6-4CAA35E56DC5}"/>
    <cellStyle name="Normal 8 3 4 2 3" xfId="5283" xr:uid="{00000000-0005-0000-0000-0000AC1D0000}"/>
    <cellStyle name="Normal 8 3 4 2 3 2" xfId="13712" xr:uid="{E0D0460D-523C-4AF9-98FF-B7E72F2E9166}"/>
    <cellStyle name="Normal 8 3 4 2 4" xfId="9494" xr:uid="{CAFC9969-062D-4080-9843-EF30D5DC79E4}"/>
    <cellStyle name="Normal 8 3 4 3" xfId="1387" xr:uid="{00000000-0005-0000-0000-0000AD1D0000}"/>
    <cellStyle name="Normal 8 3 4 3 2" xfId="3617" xr:uid="{00000000-0005-0000-0000-0000AE1D0000}"/>
    <cellStyle name="Normal 8 3 4 3 2 2" xfId="7841" xr:uid="{00000000-0005-0000-0000-0000AF1D0000}"/>
    <cellStyle name="Normal 8 3 4 3 2 2 2" xfId="16270" xr:uid="{C718636D-0808-4417-A733-CBF68D1E2475}"/>
    <cellStyle name="Normal 8 3 4 3 2 3" xfId="12052" xr:uid="{3D233035-526F-4940-9BDD-16701EA4842E}"/>
    <cellStyle name="Normal 8 3 4 3 3" xfId="5696" xr:uid="{00000000-0005-0000-0000-0000B01D0000}"/>
    <cellStyle name="Normal 8 3 4 3 3 2" xfId="14125" xr:uid="{9A4488CE-8C94-4EBB-B09F-F50B3726234D}"/>
    <cellStyle name="Normal 8 3 4 3 4" xfId="9907" xr:uid="{A9E1A481-78AD-4377-90FC-AD9D8686ED35}"/>
    <cellStyle name="Normal 8 3 4 4" xfId="1800" xr:uid="{00000000-0005-0000-0000-0000B11D0000}"/>
    <cellStyle name="Normal 8 3 4 4 2" xfId="4030" xr:uid="{00000000-0005-0000-0000-0000B21D0000}"/>
    <cellStyle name="Normal 8 3 4 4 2 2" xfId="8254" xr:uid="{00000000-0005-0000-0000-0000B31D0000}"/>
    <cellStyle name="Normal 8 3 4 4 2 2 2" xfId="16683" xr:uid="{88529F98-FCD0-4D57-88B6-9ECFEB778710}"/>
    <cellStyle name="Normal 8 3 4 4 2 3" xfId="12465" xr:uid="{6A540153-EF68-49D1-A8DD-71986C3D93E9}"/>
    <cellStyle name="Normal 8 3 4 4 3" xfId="6109" xr:uid="{00000000-0005-0000-0000-0000B41D0000}"/>
    <cellStyle name="Normal 8 3 4 4 3 2" xfId="14538" xr:uid="{1F8D9169-F1B9-4A3E-B62C-CB9B94B7E31A}"/>
    <cellStyle name="Normal 8 3 4 4 4" xfId="10320" xr:uid="{203FAACD-D6FB-4BD1-99F5-5653B549E16E}"/>
    <cellStyle name="Normal 8 3 4 5" xfId="2214" xr:uid="{00000000-0005-0000-0000-0000B51D0000}"/>
    <cellStyle name="Normal 8 3 4 5 2" xfId="4443" xr:uid="{00000000-0005-0000-0000-0000B61D0000}"/>
    <cellStyle name="Normal 8 3 4 5 2 2" xfId="8667" xr:uid="{00000000-0005-0000-0000-0000B71D0000}"/>
    <cellStyle name="Normal 8 3 4 5 2 2 2" xfId="17096" xr:uid="{3D921E5C-C464-4D2A-BD55-0E6DA04056DF}"/>
    <cellStyle name="Normal 8 3 4 5 2 3" xfId="12878" xr:uid="{B7F35917-CBD3-466A-BBC8-0EB39A1CAB93}"/>
    <cellStyle name="Normal 8 3 4 5 3" xfId="6522" xr:uid="{00000000-0005-0000-0000-0000B81D0000}"/>
    <cellStyle name="Normal 8 3 4 5 3 2" xfId="14951" xr:uid="{4157A71A-C4BF-4290-B423-3F44752B3217}"/>
    <cellStyle name="Normal 8 3 4 5 4" xfId="10733" xr:uid="{5A4A9D14-3210-41F6-9A51-A093430B7873}"/>
    <cellStyle name="Normal 8 3 4 6" xfId="2650" xr:uid="{00000000-0005-0000-0000-0000B91D0000}"/>
    <cellStyle name="Normal 8 3 4 6 2" xfId="6935" xr:uid="{00000000-0005-0000-0000-0000BA1D0000}"/>
    <cellStyle name="Normal 8 3 4 6 2 2" xfId="15364" xr:uid="{6209BED2-82ED-4DAF-91F7-D43B98269E80}"/>
    <cellStyle name="Normal 8 3 4 6 3" xfId="11146" xr:uid="{B422C0E1-E82C-40BA-9070-5C4B5ECEA292}"/>
    <cellStyle name="Normal 8 3 4 7" xfId="4870" xr:uid="{00000000-0005-0000-0000-0000BB1D0000}"/>
    <cellStyle name="Normal 8 3 4 7 2" xfId="13299" xr:uid="{0F1B81DB-B4C5-4EBC-86AE-585F44ED4AAF}"/>
    <cellStyle name="Normal 8 3 4 8" xfId="9081" xr:uid="{EBE4EC36-4B28-42E0-9945-C9C48109DB14}"/>
    <cellStyle name="Normal 8 3 5" xfId="963" xr:uid="{00000000-0005-0000-0000-0000BC1D0000}"/>
    <cellStyle name="Normal 8 3 5 2" xfId="3197" xr:uid="{00000000-0005-0000-0000-0000BD1D0000}"/>
    <cellStyle name="Normal 8 3 5 2 2" xfId="7421" xr:uid="{00000000-0005-0000-0000-0000BE1D0000}"/>
    <cellStyle name="Normal 8 3 5 2 2 2" xfId="15850" xr:uid="{8FD1B8B6-0691-4FCE-BB37-B34836F2D8F4}"/>
    <cellStyle name="Normal 8 3 5 2 3" xfId="11632" xr:uid="{D60AB202-51BC-44C3-80F3-F5BDAA8DBD53}"/>
    <cellStyle name="Normal 8 3 5 3" xfId="5276" xr:uid="{00000000-0005-0000-0000-0000BF1D0000}"/>
    <cellStyle name="Normal 8 3 5 3 2" xfId="13705" xr:uid="{90561D3B-FD06-409A-9845-0BA95A383104}"/>
    <cellStyle name="Normal 8 3 5 4" xfId="9487" xr:uid="{E0B76071-07E1-43A8-A031-970723162F5C}"/>
    <cellStyle name="Normal 8 3 6" xfId="1380" xr:uid="{00000000-0005-0000-0000-0000C01D0000}"/>
    <cellStyle name="Normal 8 3 6 2" xfId="3610" xr:uid="{00000000-0005-0000-0000-0000C11D0000}"/>
    <cellStyle name="Normal 8 3 6 2 2" xfId="7834" xr:uid="{00000000-0005-0000-0000-0000C21D0000}"/>
    <cellStyle name="Normal 8 3 6 2 2 2" xfId="16263" xr:uid="{6DC1F3A3-677E-4601-9B4C-F52D4332EDA8}"/>
    <cellStyle name="Normal 8 3 6 2 3" xfId="12045" xr:uid="{19AC8622-2B6E-49F9-9FE8-238747EE2EA0}"/>
    <cellStyle name="Normal 8 3 6 3" xfId="5689" xr:uid="{00000000-0005-0000-0000-0000C31D0000}"/>
    <cellStyle name="Normal 8 3 6 3 2" xfId="14118" xr:uid="{BF472DD2-95CC-4681-9CD3-868FDACB55A2}"/>
    <cellStyle name="Normal 8 3 6 4" xfId="9900" xr:uid="{06701478-6C69-4433-8417-D1DB1C498C1B}"/>
    <cellStyle name="Normal 8 3 7" xfId="1793" xr:uid="{00000000-0005-0000-0000-0000C41D0000}"/>
    <cellStyle name="Normal 8 3 7 2" xfId="4023" xr:uid="{00000000-0005-0000-0000-0000C51D0000}"/>
    <cellStyle name="Normal 8 3 7 2 2" xfId="8247" xr:uid="{00000000-0005-0000-0000-0000C61D0000}"/>
    <cellStyle name="Normal 8 3 7 2 2 2" xfId="16676" xr:uid="{552C3EA2-66DF-43C5-A5D5-AEC6C6FE380A}"/>
    <cellStyle name="Normal 8 3 7 2 3" xfId="12458" xr:uid="{58C66432-1D74-4466-A351-79079C2FD37B}"/>
    <cellStyle name="Normal 8 3 7 3" xfId="6102" xr:uid="{00000000-0005-0000-0000-0000C71D0000}"/>
    <cellStyle name="Normal 8 3 7 3 2" xfId="14531" xr:uid="{E51D62D5-260B-4E2A-AD98-2AB3CDEE41B3}"/>
    <cellStyle name="Normal 8 3 7 4" xfId="10313" xr:uid="{28A4AE40-1B97-40CC-A9BF-43BE7B00EE1C}"/>
    <cellStyle name="Normal 8 3 8" xfId="2207" xr:uid="{00000000-0005-0000-0000-0000C81D0000}"/>
    <cellStyle name="Normal 8 3 8 2" xfId="4436" xr:uid="{00000000-0005-0000-0000-0000C91D0000}"/>
    <cellStyle name="Normal 8 3 8 2 2" xfId="8660" xr:uid="{00000000-0005-0000-0000-0000CA1D0000}"/>
    <cellStyle name="Normal 8 3 8 2 2 2" xfId="17089" xr:uid="{F3CFA7DE-9573-400F-8DD0-CF588632B411}"/>
    <cellStyle name="Normal 8 3 8 2 3" xfId="12871" xr:uid="{674405A7-B76C-462B-A3D3-EF4E1713FD76}"/>
    <cellStyle name="Normal 8 3 8 3" xfId="6515" xr:uid="{00000000-0005-0000-0000-0000CB1D0000}"/>
    <cellStyle name="Normal 8 3 8 3 2" xfId="14944" xr:uid="{82EA6221-CE06-443B-92F4-5EE434CDB79F}"/>
    <cellStyle name="Normal 8 3 8 4" xfId="10726" xr:uid="{1FEC8E6F-D20C-4E51-9D7D-436FD39242F4}"/>
    <cellStyle name="Normal 8 3 9" xfId="2643" xr:uid="{00000000-0005-0000-0000-0000CC1D0000}"/>
    <cellStyle name="Normal 8 3 9 2" xfId="6928" xr:uid="{00000000-0005-0000-0000-0000CD1D0000}"/>
    <cellStyle name="Normal 8 3 9 2 2" xfId="15357" xr:uid="{13641DF7-783D-4720-94DF-27C16DBF766D}"/>
    <cellStyle name="Normal 8 3 9 3" xfId="11139" xr:uid="{99E4DDE4-A94D-484A-948D-0DBA760273C1}"/>
    <cellStyle name="Normal 8 4" xfId="503" xr:uid="{00000000-0005-0000-0000-0000CE1D0000}"/>
    <cellStyle name="Normal 8 4 10" xfId="9082" xr:uid="{695BB246-E4ED-4171-B5E7-9095179BF1D5}"/>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2 2 2" xfId="15860" xr:uid="{A7EAC688-1249-4265-B6C3-C12DAA26FE47}"/>
    <cellStyle name="Normal 8 4 2 2 2 2 3" xfId="11642" xr:uid="{685173D2-16D8-4A6F-8118-59F34082325D}"/>
    <cellStyle name="Normal 8 4 2 2 2 3" xfId="5286" xr:uid="{00000000-0005-0000-0000-0000D41D0000}"/>
    <cellStyle name="Normal 8 4 2 2 2 3 2" xfId="13715" xr:uid="{119EB343-F1EB-495B-B54D-DB116724A42B}"/>
    <cellStyle name="Normal 8 4 2 2 2 4" xfId="9497" xr:uid="{A0A91C29-8786-4032-A92C-DA5308486032}"/>
    <cellStyle name="Normal 8 4 2 2 3" xfId="1390" xr:uid="{00000000-0005-0000-0000-0000D51D0000}"/>
    <cellStyle name="Normal 8 4 2 2 3 2" xfId="3620" xr:uid="{00000000-0005-0000-0000-0000D61D0000}"/>
    <cellStyle name="Normal 8 4 2 2 3 2 2" xfId="7844" xr:uid="{00000000-0005-0000-0000-0000D71D0000}"/>
    <cellStyle name="Normal 8 4 2 2 3 2 2 2" xfId="16273" xr:uid="{8BF61D0B-FEFA-4111-AFBD-E37B184739AD}"/>
    <cellStyle name="Normal 8 4 2 2 3 2 3" xfId="12055" xr:uid="{9A6B9549-E50E-4F36-AAFE-BCA368D18C4C}"/>
    <cellStyle name="Normal 8 4 2 2 3 3" xfId="5699" xr:uid="{00000000-0005-0000-0000-0000D81D0000}"/>
    <cellStyle name="Normal 8 4 2 2 3 3 2" xfId="14128" xr:uid="{A5648913-18B4-4DCF-963F-FB57ADC82C72}"/>
    <cellStyle name="Normal 8 4 2 2 3 4" xfId="9910" xr:uid="{4AB74805-26BF-4E1E-9B4B-5AFC4C53872E}"/>
    <cellStyle name="Normal 8 4 2 2 4" xfId="1803" xr:uid="{00000000-0005-0000-0000-0000D91D0000}"/>
    <cellStyle name="Normal 8 4 2 2 4 2" xfId="4033" xr:uid="{00000000-0005-0000-0000-0000DA1D0000}"/>
    <cellStyle name="Normal 8 4 2 2 4 2 2" xfId="8257" xr:uid="{00000000-0005-0000-0000-0000DB1D0000}"/>
    <cellStyle name="Normal 8 4 2 2 4 2 2 2" xfId="16686" xr:uid="{BFB0D003-D6D6-437E-BBFB-2BC458CCE241}"/>
    <cellStyle name="Normal 8 4 2 2 4 2 3" xfId="12468" xr:uid="{D3ACF4FC-FD71-4A93-8EDB-149B99C61D83}"/>
    <cellStyle name="Normal 8 4 2 2 4 3" xfId="6112" xr:uid="{00000000-0005-0000-0000-0000DC1D0000}"/>
    <cellStyle name="Normal 8 4 2 2 4 3 2" xfId="14541" xr:uid="{71785B78-E595-4201-B46C-99FE68D9AD9B}"/>
    <cellStyle name="Normal 8 4 2 2 4 4" xfId="10323" xr:uid="{4793F945-0A9A-4369-AC41-5DFECC525324}"/>
    <cellStyle name="Normal 8 4 2 2 5" xfId="2217" xr:uid="{00000000-0005-0000-0000-0000DD1D0000}"/>
    <cellStyle name="Normal 8 4 2 2 5 2" xfId="4446" xr:uid="{00000000-0005-0000-0000-0000DE1D0000}"/>
    <cellStyle name="Normal 8 4 2 2 5 2 2" xfId="8670" xr:uid="{00000000-0005-0000-0000-0000DF1D0000}"/>
    <cellStyle name="Normal 8 4 2 2 5 2 2 2" xfId="17099" xr:uid="{93D5D76D-D3E1-4338-BE2F-905FFE9F0B94}"/>
    <cellStyle name="Normal 8 4 2 2 5 2 3" xfId="12881" xr:uid="{7D955A1E-2C68-40A0-A326-2115209F2045}"/>
    <cellStyle name="Normal 8 4 2 2 5 3" xfId="6525" xr:uid="{00000000-0005-0000-0000-0000E01D0000}"/>
    <cellStyle name="Normal 8 4 2 2 5 3 2" xfId="14954" xr:uid="{2FEBC481-68E5-4887-A4B0-6DAB09744D6D}"/>
    <cellStyle name="Normal 8 4 2 2 5 4" xfId="10736" xr:uid="{58FC838D-5153-4DAC-A66D-C4F6E19E3B3C}"/>
    <cellStyle name="Normal 8 4 2 2 6" xfId="2653" xr:uid="{00000000-0005-0000-0000-0000E11D0000}"/>
    <cellStyle name="Normal 8 4 2 2 6 2" xfId="6938" xr:uid="{00000000-0005-0000-0000-0000E21D0000}"/>
    <cellStyle name="Normal 8 4 2 2 6 2 2" xfId="15367" xr:uid="{896704C4-CE3F-4FE8-8F0E-6D800110A867}"/>
    <cellStyle name="Normal 8 4 2 2 6 3" xfId="11149" xr:uid="{2AE6B9A4-4B95-4CD3-AC55-E51B562F0523}"/>
    <cellStyle name="Normal 8 4 2 2 7" xfId="4873" xr:uid="{00000000-0005-0000-0000-0000E31D0000}"/>
    <cellStyle name="Normal 8 4 2 2 7 2" xfId="13302" xr:uid="{64250422-2B46-492E-9FE6-2EDA6B21FA7E}"/>
    <cellStyle name="Normal 8 4 2 2 8" xfId="9084" xr:uid="{328114C2-DC6D-486E-B09C-0E7342780B07}"/>
    <cellStyle name="Normal 8 4 2 3" xfId="972" xr:uid="{00000000-0005-0000-0000-0000E41D0000}"/>
    <cellStyle name="Normal 8 4 2 3 2" xfId="3206" xr:uid="{00000000-0005-0000-0000-0000E51D0000}"/>
    <cellStyle name="Normal 8 4 2 3 2 2" xfId="7430" xr:uid="{00000000-0005-0000-0000-0000E61D0000}"/>
    <cellStyle name="Normal 8 4 2 3 2 2 2" xfId="15859" xr:uid="{E6A1FB5B-4AD5-4FFC-9BFF-BE5182E46398}"/>
    <cellStyle name="Normal 8 4 2 3 2 3" xfId="11641" xr:uid="{8B1247FE-55A3-4D43-BC19-422EFD57BC5F}"/>
    <cellStyle name="Normal 8 4 2 3 3" xfId="5285" xr:uid="{00000000-0005-0000-0000-0000E71D0000}"/>
    <cellStyle name="Normal 8 4 2 3 3 2" xfId="13714" xr:uid="{9535E6A2-A8EF-41E8-B839-92D044B61F72}"/>
    <cellStyle name="Normal 8 4 2 3 4" xfId="9496" xr:uid="{88544F81-D18F-4655-BA9B-AEDB70CAFD61}"/>
    <cellStyle name="Normal 8 4 2 4" xfId="1389" xr:uid="{00000000-0005-0000-0000-0000E81D0000}"/>
    <cellStyle name="Normal 8 4 2 4 2" xfId="3619" xr:uid="{00000000-0005-0000-0000-0000E91D0000}"/>
    <cellStyle name="Normal 8 4 2 4 2 2" xfId="7843" xr:uid="{00000000-0005-0000-0000-0000EA1D0000}"/>
    <cellStyle name="Normal 8 4 2 4 2 2 2" xfId="16272" xr:uid="{2A220E0C-011B-449E-B8A6-F2D066CC2A51}"/>
    <cellStyle name="Normal 8 4 2 4 2 3" xfId="12054" xr:uid="{DF4904E6-058A-4A7F-BE0D-2702D343CBDA}"/>
    <cellStyle name="Normal 8 4 2 4 3" xfId="5698" xr:uid="{00000000-0005-0000-0000-0000EB1D0000}"/>
    <cellStyle name="Normal 8 4 2 4 3 2" xfId="14127" xr:uid="{AD94E49C-BEFC-48D8-A08F-753BDEB14463}"/>
    <cellStyle name="Normal 8 4 2 4 4" xfId="9909" xr:uid="{780CFB8A-9C18-4740-8378-A99BC657FD65}"/>
    <cellStyle name="Normal 8 4 2 5" xfId="1802" xr:uid="{00000000-0005-0000-0000-0000EC1D0000}"/>
    <cellStyle name="Normal 8 4 2 5 2" xfId="4032" xr:uid="{00000000-0005-0000-0000-0000ED1D0000}"/>
    <cellStyle name="Normal 8 4 2 5 2 2" xfId="8256" xr:uid="{00000000-0005-0000-0000-0000EE1D0000}"/>
    <cellStyle name="Normal 8 4 2 5 2 2 2" xfId="16685" xr:uid="{8F42E84D-BB38-490F-9D11-AEC08F1D23E0}"/>
    <cellStyle name="Normal 8 4 2 5 2 3" xfId="12467" xr:uid="{C1CE1643-AC5B-4AC2-A54A-4D6C15FA4B1F}"/>
    <cellStyle name="Normal 8 4 2 5 3" xfId="6111" xr:uid="{00000000-0005-0000-0000-0000EF1D0000}"/>
    <cellStyle name="Normal 8 4 2 5 3 2" xfId="14540" xr:uid="{7FFE5894-F1F0-4A55-A76F-3C699689C3A5}"/>
    <cellStyle name="Normal 8 4 2 5 4" xfId="10322" xr:uid="{5E55EC74-C2A5-42C6-B4DA-9028A743FFF0}"/>
    <cellStyle name="Normal 8 4 2 6" xfId="2216" xr:uid="{00000000-0005-0000-0000-0000F01D0000}"/>
    <cellStyle name="Normal 8 4 2 6 2" xfId="4445" xr:uid="{00000000-0005-0000-0000-0000F11D0000}"/>
    <cellStyle name="Normal 8 4 2 6 2 2" xfId="8669" xr:uid="{00000000-0005-0000-0000-0000F21D0000}"/>
    <cellStyle name="Normal 8 4 2 6 2 2 2" xfId="17098" xr:uid="{F428D772-86B0-4B50-B766-AE23A5701F9F}"/>
    <cellStyle name="Normal 8 4 2 6 2 3" xfId="12880" xr:uid="{5ADD2657-4516-43CD-B8AE-25430C07E8BB}"/>
    <cellStyle name="Normal 8 4 2 6 3" xfId="6524" xr:uid="{00000000-0005-0000-0000-0000F31D0000}"/>
    <cellStyle name="Normal 8 4 2 6 3 2" xfId="14953" xr:uid="{4C4726D7-6966-4030-A873-00CBF9EEBB05}"/>
    <cellStyle name="Normal 8 4 2 6 4" xfId="10735" xr:uid="{4315F522-FBDB-42C3-B3DF-E7023A0E8B90}"/>
    <cellStyle name="Normal 8 4 2 7" xfId="2652" xr:uid="{00000000-0005-0000-0000-0000F41D0000}"/>
    <cellStyle name="Normal 8 4 2 7 2" xfId="6937" xr:uid="{00000000-0005-0000-0000-0000F51D0000}"/>
    <cellStyle name="Normal 8 4 2 7 2 2" xfId="15366" xr:uid="{7F8135CA-F309-401D-846C-EA9C14269430}"/>
    <cellStyle name="Normal 8 4 2 7 3" xfId="11148" xr:uid="{022F18CA-2208-4567-9D52-C5552CF28286}"/>
    <cellStyle name="Normal 8 4 2 8" xfId="4872" xr:uid="{00000000-0005-0000-0000-0000F61D0000}"/>
    <cellStyle name="Normal 8 4 2 8 2" xfId="13301" xr:uid="{C25037F4-A08A-4268-A257-F0991BFA9DAD}"/>
    <cellStyle name="Normal 8 4 2 9" xfId="9083" xr:uid="{8D55F087-850B-4818-9BA5-D9E9B4CA2BB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2 2 2" xfId="15861" xr:uid="{FDC7AEBE-2DBA-4034-A136-728937AB5F5F}"/>
    <cellStyle name="Normal 8 4 3 2 2 3" xfId="11643" xr:uid="{F6FACB57-D222-4DA0-8967-7DCE404230B5}"/>
    <cellStyle name="Normal 8 4 3 2 3" xfId="5287" xr:uid="{00000000-0005-0000-0000-0000FB1D0000}"/>
    <cellStyle name="Normal 8 4 3 2 3 2" xfId="13716" xr:uid="{A1C40B4E-A5A3-459C-A397-4BE0E2F48686}"/>
    <cellStyle name="Normal 8 4 3 2 4" xfId="9498" xr:uid="{286EA2FB-2F48-42AF-9B43-AC4D345A9F46}"/>
    <cellStyle name="Normal 8 4 3 3" xfId="1391" xr:uid="{00000000-0005-0000-0000-0000FC1D0000}"/>
    <cellStyle name="Normal 8 4 3 3 2" xfId="3621" xr:uid="{00000000-0005-0000-0000-0000FD1D0000}"/>
    <cellStyle name="Normal 8 4 3 3 2 2" xfId="7845" xr:uid="{00000000-0005-0000-0000-0000FE1D0000}"/>
    <cellStyle name="Normal 8 4 3 3 2 2 2" xfId="16274" xr:uid="{BFE3B5DB-6A39-4C92-B6A3-2E37546A7B7F}"/>
    <cellStyle name="Normal 8 4 3 3 2 3" xfId="12056" xr:uid="{72D62F39-2B17-4F63-9E47-710F6A75C18A}"/>
    <cellStyle name="Normal 8 4 3 3 3" xfId="5700" xr:uid="{00000000-0005-0000-0000-0000FF1D0000}"/>
    <cellStyle name="Normal 8 4 3 3 3 2" xfId="14129" xr:uid="{62D16996-CA5C-45F5-A5FD-98B5A029107F}"/>
    <cellStyle name="Normal 8 4 3 3 4" xfId="9911" xr:uid="{09ECADDA-BFEE-4CC8-880A-1E1BE17B8C92}"/>
    <cellStyle name="Normal 8 4 3 4" xfId="1804" xr:uid="{00000000-0005-0000-0000-0000001E0000}"/>
    <cellStyle name="Normal 8 4 3 4 2" xfId="4034" xr:uid="{00000000-0005-0000-0000-0000011E0000}"/>
    <cellStyle name="Normal 8 4 3 4 2 2" xfId="8258" xr:uid="{00000000-0005-0000-0000-0000021E0000}"/>
    <cellStyle name="Normal 8 4 3 4 2 2 2" xfId="16687" xr:uid="{AF0D42AC-399E-4C99-A468-CF23A6EF8743}"/>
    <cellStyle name="Normal 8 4 3 4 2 3" xfId="12469" xr:uid="{CE1309C4-607B-472E-B237-FD960C19C21D}"/>
    <cellStyle name="Normal 8 4 3 4 3" xfId="6113" xr:uid="{00000000-0005-0000-0000-0000031E0000}"/>
    <cellStyle name="Normal 8 4 3 4 3 2" xfId="14542" xr:uid="{8D0A3FC1-8752-4658-AAD0-F30F8B32AFA1}"/>
    <cellStyle name="Normal 8 4 3 4 4" xfId="10324" xr:uid="{D1E0D7EB-D42D-472F-976E-0CDD0CAFD70A}"/>
    <cellStyle name="Normal 8 4 3 5" xfId="2218" xr:uid="{00000000-0005-0000-0000-0000041E0000}"/>
    <cellStyle name="Normal 8 4 3 5 2" xfId="4447" xr:uid="{00000000-0005-0000-0000-0000051E0000}"/>
    <cellStyle name="Normal 8 4 3 5 2 2" xfId="8671" xr:uid="{00000000-0005-0000-0000-0000061E0000}"/>
    <cellStyle name="Normal 8 4 3 5 2 2 2" xfId="17100" xr:uid="{87E62FE6-D390-4F62-8884-EB190743058A}"/>
    <cellStyle name="Normal 8 4 3 5 2 3" xfId="12882" xr:uid="{B7BD7958-5A8D-43C4-887F-9C31AA017208}"/>
    <cellStyle name="Normal 8 4 3 5 3" xfId="6526" xr:uid="{00000000-0005-0000-0000-0000071E0000}"/>
    <cellStyle name="Normal 8 4 3 5 3 2" xfId="14955" xr:uid="{FA302395-8AB1-4356-9487-FE40BB47753E}"/>
    <cellStyle name="Normal 8 4 3 5 4" xfId="10737" xr:uid="{A7D311A2-13DD-4E9C-B854-066DE9542070}"/>
    <cellStyle name="Normal 8 4 3 6" xfId="2654" xr:uid="{00000000-0005-0000-0000-0000081E0000}"/>
    <cellStyle name="Normal 8 4 3 6 2" xfId="6939" xr:uid="{00000000-0005-0000-0000-0000091E0000}"/>
    <cellStyle name="Normal 8 4 3 6 2 2" xfId="15368" xr:uid="{1CD44C7E-DDC6-4291-9BB6-FF84658FA8E1}"/>
    <cellStyle name="Normal 8 4 3 6 3" xfId="11150" xr:uid="{39D5FA62-1003-4B30-B720-5628F6B57A61}"/>
    <cellStyle name="Normal 8 4 3 7" xfId="4874" xr:uid="{00000000-0005-0000-0000-00000A1E0000}"/>
    <cellStyle name="Normal 8 4 3 7 2" xfId="13303" xr:uid="{8ADD23F8-39BA-4CCB-8538-0EC990353F43}"/>
    <cellStyle name="Normal 8 4 3 8" xfId="9085" xr:uid="{931D7656-84F7-4696-BC6E-4C5819DCBD90}"/>
    <cellStyle name="Normal 8 4 4" xfId="971" xr:uid="{00000000-0005-0000-0000-00000B1E0000}"/>
    <cellStyle name="Normal 8 4 4 2" xfId="3205" xr:uid="{00000000-0005-0000-0000-00000C1E0000}"/>
    <cellStyle name="Normal 8 4 4 2 2" xfId="7429" xr:uid="{00000000-0005-0000-0000-00000D1E0000}"/>
    <cellStyle name="Normal 8 4 4 2 2 2" xfId="15858" xr:uid="{DC77E604-0E66-494E-A686-FD05C14ED949}"/>
    <cellStyle name="Normal 8 4 4 2 3" xfId="11640" xr:uid="{D6C559C7-A8B2-4073-B063-1A8DA3ADC8F9}"/>
    <cellStyle name="Normal 8 4 4 3" xfId="5284" xr:uid="{00000000-0005-0000-0000-00000E1E0000}"/>
    <cellStyle name="Normal 8 4 4 3 2" xfId="13713" xr:uid="{AB30E7ED-62C4-4055-9189-16EA89638D64}"/>
    <cellStyle name="Normal 8 4 4 4" xfId="9495" xr:uid="{6904EB3F-7CE4-4150-9702-CA95EE449737}"/>
    <cellStyle name="Normal 8 4 5" xfId="1388" xr:uid="{00000000-0005-0000-0000-00000F1E0000}"/>
    <cellStyle name="Normal 8 4 5 2" xfId="3618" xr:uid="{00000000-0005-0000-0000-0000101E0000}"/>
    <cellStyle name="Normal 8 4 5 2 2" xfId="7842" xr:uid="{00000000-0005-0000-0000-0000111E0000}"/>
    <cellStyle name="Normal 8 4 5 2 2 2" xfId="16271" xr:uid="{6BD0AAF4-F457-4BEB-A299-3D397826F2AC}"/>
    <cellStyle name="Normal 8 4 5 2 3" xfId="12053" xr:uid="{F7D091BC-7152-46F1-9E6A-3EC3DC83FDF7}"/>
    <cellStyle name="Normal 8 4 5 3" xfId="5697" xr:uid="{00000000-0005-0000-0000-0000121E0000}"/>
    <cellStyle name="Normal 8 4 5 3 2" xfId="14126" xr:uid="{3AF07638-0A6A-4443-9536-5B5EE08078B6}"/>
    <cellStyle name="Normal 8 4 5 4" xfId="9908" xr:uid="{16179B1E-BF74-4338-B85F-16DDE4232DCF}"/>
    <cellStyle name="Normal 8 4 6" xfId="1801" xr:uid="{00000000-0005-0000-0000-0000131E0000}"/>
    <cellStyle name="Normal 8 4 6 2" xfId="4031" xr:uid="{00000000-0005-0000-0000-0000141E0000}"/>
    <cellStyle name="Normal 8 4 6 2 2" xfId="8255" xr:uid="{00000000-0005-0000-0000-0000151E0000}"/>
    <cellStyle name="Normal 8 4 6 2 2 2" xfId="16684" xr:uid="{46EA71DC-BC1F-4A8E-B6DF-574299E2C26D}"/>
    <cellStyle name="Normal 8 4 6 2 3" xfId="12466" xr:uid="{E7E1A806-5CC0-41A8-BA39-AAD034C37C4E}"/>
    <cellStyle name="Normal 8 4 6 3" xfId="6110" xr:uid="{00000000-0005-0000-0000-0000161E0000}"/>
    <cellStyle name="Normal 8 4 6 3 2" xfId="14539" xr:uid="{F2ECE912-4268-43BF-9A61-AF52A4026BAD}"/>
    <cellStyle name="Normal 8 4 6 4" xfId="10321" xr:uid="{BEBCED5F-5AC9-42F7-B1CE-2E69EF028844}"/>
    <cellStyle name="Normal 8 4 7" xfId="2215" xr:uid="{00000000-0005-0000-0000-0000171E0000}"/>
    <cellStyle name="Normal 8 4 7 2" xfId="4444" xr:uid="{00000000-0005-0000-0000-0000181E0000}"/>
    <cellStyle name="Normal 8 4 7 2 2" xfId="8668" xr:uid="{00000000-0005-0000-0000-0000191E0000}"/>
    <cellStyle name="Normal 8 4 7 2 2 2" xfId="17097" xr:uid="{C42892B5-3645-4032-B65F-AE2B058FD33F}"/>
    <cellStyle name="Normal 8 4 7 2 3" xfId="12879" xr:uid="{E3B16371-D08A-48EA-AE00-EC3388B299E9}"/>
    <cellStyle name="Normal 8 4 7 3" xfId="6523" xr:uid="{00000000-0005-0000-0000-00001A1E0000}"/>
    <cellStyle name="Normal 8 4 7 3 2" xfId="14952" xr:uid="{BE7CAFBF-D9B1-4DE3-926A-282CA61E41DB}"/>
    <cellStyle name="Normal 8 4 7 4" xfId="10734" xr:uid="{DF7D0ADF-29E1-45E6-8D85-5DFB3A9BC7A9}"/>
    <cellStyle name="Normal 8 4 8" xfId="2651" xr:uid="{00000000-0005-0000-0000-00001B1E0000}"/>
    <cellStyle name="Normal 8 4 8 2" xfId="6936" xr:uid="{00000000-0005-0000-0000-00001C1E0000}"/>
    <cellStyle name="Normal 8 4 8 2 2" xfId="15365" xr:uid="{7C835F54-6405-45C1-84C8-DF1280C5CBCE}"/>
    <cellStyle name="Normal 8 4 8 3" xfId="11147" xr:uid="{FF95007C-16CE-404E-A21E-7904D8747275}"/>
    <cellStyle name="Normal 8 4 9" xfId="4871" xr:uid="{00000000-0005-0000-0000-00001D1E0000}"/>
    <cellStyle name="Normal 8 4 9 2" xfId="13300" xr:uid="{B973DDF7-B5CF-4984-AB01-4837921FDD16}"/>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2 2 2" xfId="15863" xr:uid="{ADFEA239-1C21-4AB9-A442-8DFCDB3723D1}"/>
    <cellStyle name="Normal 8 5 2 2 2 3" xfId="11645" xr:uid="{3EDC89E2-BEC0-4FAF-A720-F8CEB767D78E}"/>
    <cellStyle name="Normal 8 5 2 2 3" xfId="5289" xr:uid="{00000000-0005-0000-0000-0000231E0000}"/>
    <cellStyle name="Normal 8 5 2 2 3 2" xfId="13718" xr:uid="{2BAD066D-F937-4F75-8E47-13550852A08A}"/>
    <cellStyle name="Normal 8 5 2 2 4" xfId="9500" xr:uid="{52F8D15E-86FF-412B-8369-7C8B83E5B387}"/>
    <cellStyle name="Normal 8 5 2 3" xfId="1393" xr:uid="{00000000-0005-0000-0000-0000241E0000}"/>
    <cellStyle name="Normal 8 5 2 3 2" xfId="3623" xr:uid="{00000000-0005-0000-0000-0000251E0000}"/>
    <cellStyle name="Normal 8 5 2 3 2 2" xfId="7847" xr:uid="{00000000-0005-0000-0000-0000261E0000}"/>
    <cellStyle name="Normal 8 5 2 3 2 2 2" xfId="16276" xr:uid="{C3D6634C-3004-452C-89A6-232814A1ADE6}"/>
    <cellStyle name="Normal 8 5 2 3 2 3" xfId="12058" xr:uid="{2285F9E9-BEE4-44FA-BA8D-5DF7EC4AAFFC}"/>
    <cellStyle name="Normal 8 5 2 3 3" xfId="5702" xr:uid="{00000000-0005-0000-0000-0000271E0000}"/>
    <cellStyle name="Normal 8 5 2 3 3 2" xfId="14131" xr:uid="{2D3B30F5-3508-4D75-B596-4E21B5A4F638}"/>
    <cellStyle name="Normal 8 5 2 3 4" xfId="9913" xr:uid="{88F9BBD3-37F2-4C15-919C-90830D178D1D}"/>
    <cellStyle name="Normal 8 5 2 4" xfId="1806" xr:uid="{00000000-0005-0000-0000-0000281E0000}"/>
    <cellStyle name="Normal 8 5 2 4 2" xfId="4036" xr:uid="{00000000-0005-0000-0000-0000291E0000}"/>
    <cellStyle name="Normal 8 5 2 4 2 2" xfId="8260" xr:uid="{00000000-0005-0000-0000-00002A1E0000}"/>
    <cellStyle name="Normal 8 5 2 4 2 2 2" xfId="16689" xr:uid="{93F77767-ED00-4C62-9B9C-CA2FF2CF5F4E}"/>
    <cellStyle name="Normal 8 5 2 4 2 3" xfId="12471" xr:uid="{43D7F731-DE8F-4CA0-972D-039A0F9E1145}"/>
    <cellStyle name="Normal 8 5 2 4 3" xfId="6115" xr:uid="{00000000-0005-0000-0000-00002B1E0000}"/>
    <cellStyle name="Normal 8 5 2 4 3 2" xfId="14544" xr:uid="{6D728694-0026-4016-B79D-F98BAAFED55D}"/>
    <cellStyle name="Normal 8 5 2 4 4" xfId="10326" xr:uid="{8A148AA5-08AE-45A2-91A8-32431E7206F9}"/>
    <cellStyle name="Normal 8 5 2 5" xfId="2220" xr:uid="{00000000-0005-0000-0000-00002C1E0000}"/>
    <cellStyle name="Normal 8 5 2 5 2" xfId="4449" xr:uid="{00000000-0005-0000-0000-00002D1E0000}"/>
    <cellStyle name="Normal 8 5 2 5 2 2" xfId="8673" xr:uid="{00000000-0005-0000-0000-00002E1E0000}"/>
    <cellStyle name="Normal 8 5 2 5 2 2 2" xfId="17102" xr:uid="{1E936D2E-A38F-4F83-A9D8-956B89DB5DA2}"/>
    <cellStyle name="Normal 8 5 2 5 2 3" xfId="12884" xr:uid="{875BC892-4004-41CE-AB4A-AAD4EAD18F28}"/>
    <cellStyle name="Normal 8 5 2 5 3" xfId="6528" xr:uid="{00000000-0005-0000-0000-00002F1E0000}"/>
    <cellStyle name="Normal 8 5 2 5 3 2" xfId="14957" xr:uid="{217186D9-3449-49E1-B34B-43F1084101A9}"/>
    <cellStyle name="Normal 8 5 2 5 4" xfId="10739" xr:uid="{8CD4FCAE-CFCE-4459-9BC2-BA258F972A72}"/>
    <cellStyle name="Normal 8 5 2 6" xfId="2656" xr:uid="{00000000-0005-0000-0000-0000301E0000}"/>
    <cellStyle name="Normal 8 5 2 6 2" xfId="6941" xr:uid="{00000000-0005-0000-0000-0000311E0000}"/>
    <cellStyle name="Normal 8 5 2 6 2 2" xfId="15370" xr:uid="{FE614F03-3F55-4A85-AFEA-676B9C73BDAF}"/>
    <cellStyle name="Normal 8 5 2 6 3" xfId="11152" xr:uid="{4198DCE2-92CA-4E38-9156-9FD91441E9A3}"/>
    <cellStyle name="Normal 8 5 2 7" xfId="4876" xr:uid="{00000000-0005-0000-0000-0000321E0000}"/>
    <cellStyle name="Normal 8 5 2 7 2" xfId="13305" xr:uid="{96B3D1C5-D803-4712-BC5F-8059EB0CFD8F}"/>
    <cellStyle name="Normal 8 5 2 8" xfId="9087" xr:uid="{057DE2F2-57EA-4237-8E6A-374D6507BE43}"/>
    <cellStyle name="Normal 8 5 3" xfId="975" xr:uid="{00000000-0005-0000-0000-0000331E0000}"/>
    <cellStyle name="Normal 8 5 3 2" xfId="3209" xr:uid="{00000000-0005-0000-0000-0000341E0000}"/>
    <cellStyle name="Normal 8 5 3 2 2" xfId="7433" xr:uid="{00000000-0005-0000-0000-0000351E0000}"/>
    <cellStyle name="Normal 8 5 3 2 2 2" xfId="15862" xr:uid="{6EAE6985-247B-427D-8227-66274C21E0E9}"/>
    <cellStyle name="Normal 8 5 3 2 3" xfId="11644" xr:uid="{992E3E41-2C11-46DB-9BA9-AA9386912B4B}"/>
    <cellStyle name="Normal 8 5 3 3" xfId="5288" xr:uid="{00000000-0005-0000-0000-0000361E0000}"/>
    <cellStyle name="Normal 8 5 3 3 2" xfId="13717" xr:uid="{7777F8E3-96EA-445D-8651-F8A43EC9E041}"/>
    <cellStyle name="Normal 8 5 3 4" xfId="9499" xr:uid="{23955E99-C2FC-4302-83E4-61EF54737328}"/>
    <cellStyle name="Normal 8 5 4" xfId="1392" xr:uid="{00000000-0005-0000-0000-0000371E0000}"/>
    <cellStyle name="Normal 8 5 4 2" xfId="3622" xr:uid="{00000000-0005-0000-0000-0000381E0000}"/>
    <cellStyle name="Normal 8 5 4 2 2" xfId="7846" xr:uid="{00000000-0005-0000-0000-0000391E0000}"/>
    <cellStyle name="Normal 8 5 4 2 2 2" xfId="16275" xr:uid="{76CE5CF6-F05B-424E-986C-F67E256C7E54}"/>
    <cellStyle name="Normal 8 5 4 2 3" xfId="12057" xr:uid="{EE63D44F-59CE-47DB-9380-1C7EE1737095}"/>
    <cellStyle name="Normal 8 5 4 3" xfId="5701" xr:uid="{00000000-0005-0000-0000-00003A1E0000}"/>
    <cellStyle name="Normal 8 5 4 3 2" xfId="14130" xr:uid="{360F11BB-76F2-4BD1-A348-9866AFC10E5B}"/>
    <cellStyle name="Normal 8 5 4 4" xfId="9912" xr:uid="{4D49C8F4-2220-423E-A95B-6B5AC963048C}"/>
    <cellStyle name="Normal 8 5 5" xfId="1805" xr:uid="{00000000-0005-0000-0000-00003B1E0000}"/>
    <cellStyle name="Normal 8 5 5 2" xfId="4035" xr:uid="{00000000-0005-0000-0000-00003C1E0000}"/>
    <cellStyle name="Normal 8 5 5 2 2" xfId="8259" xr:uid="{00000000-0005-0000-0000-00003D1E0000}"/>
    <cellStyle name="Normal 8 5 5 2 2 2" xfId="16688" xr:uid="{B155311A-98C2-489A-B954-0547432D3A67}"/>
    <cellStyle name="Normal 8 5 5 2 3" xfId="12470" xr:uid="{2DD886A6-2673-4EE1-8141-2F7E923E440C}"/>
    <cellStyle name="Normal 8 5 5 3" xfId="6114" xr:uid="{00000000-0005-0000-0000-00003E1E0000}"/>
    <cellStyle name="Normal 8 5 5 3 2" xfId="14543" xr:uid="{ADB75F99-F7BE-441E-821D-E2453D2AB6C4}"/>
    <cellStyle name="Normal 8 5 5 4" xfId="10325" xr:uid="{F740BA5B-1814-4AD0-8025-F86A35D73C47}"/>
    <cellStyle name="Normal 8 5 6" xfId="2219" xr:uid="{00000000-0005-0000-0000-00003F1E0000}"/>
    <cellStyle name="Normal 8 5 6 2" xfId="4448" xr:uid="{00000000-0005-0000-0000-0000401E0000}"/>
    <cellStyle name="Normal 8 5 6 2 2" xfId="8672" xr:uid="{00000000-0005-0000-0000-0000411E0000}"/>
    <cellStyle name="Normal 8 5 6 2 2 2" xfId="17101" xr:uid="{6623B967-B2D3-462C-B8F9-E1F50A2187D0}"/>
    <cellStyle name="Normal 8 5 6 2 3" xfId="12883" xr:uid="{8C9D83F7-60F1-4EE9-B614-3F45A074BDA5}"/>
    <cellStyle name="Normal 8 5 6 3" xfId="6527" xr:uid="{00000000-0005-0000-0000-0000421E0000}"/>
    <cellStyle name="Normal 8 5 6 3 2" xfId="14956" xr:uid="{4AF9550B-6499-4638-B6EE-E661551F73D2}"/>
    <cellStyle name="Normal 8 5 6 4" xfId="10738" xr:uid="{5C21EA9F-89A0-4630-8101-DB1CD4A8127A}"/>
    <cellStyle name="Normal 8 5 7" xfId="2655" xr:uid="{00000000-0005-0000-0000-0000431E0000}"/>
    <cellStyle name="Normal 8 5 7 2" xfId="6940" xr:uid="{00000000-0005-0000-0000-0000441E0000}"/>
    <cellStyle name="Normal 8 5 7 2 2" xfId="15369" xr:uid="{AEE785C5-6F7F-4F80-B55F-0805DC6AFAC0}"/>
    <cellStyle name="Normal 8 5 7 3" xfId="11151" xr:uid="{17CFADBB-0A95-4AFF-84A0-E650214571FD}"/>
    <cellStyle name="Normal 8 5 8" xfId="4875" xr:uid="{00000000-0005-0000-0000-0000451E0000}"/>
    <cellStyle name="Normal 8 5 8 2" xfId="13304" xr:uid="{39B2FC31-321A-4C30-BE2D-3136C038C6E3}"/>
    <cellStyle name="Normal 8 5 9" xfId="9086" xr:uid="{9C9549DC-3744-46D3-8220-C7AAECCE34E7}"/>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2 2 2" xfId="15864" xr:uid="{5CD803F0-F14F-473E-A9F6-173C566FF070}"/>
    <cellStyle name="Normal 8 6 2 2 3" xfId="11646" xr:uid="{80E4824D-2AEF-4320-9B46-EA710AF271DD}"/>
    <cellStyle name="Normal 8 6 2 3" xfId="5290" xr:uid="{00000000-0005-0000-0000-00004A1E0000}"/>
    <cellStyle name="Normal 8 6 2 3 2" xfId="13719" xr:uid="{56844E76-0743-4B7A-9E33-316C7C1A734C}"/>
    <cellStyle name="Normal 8 6 2 4" xfId="9501" xr:uid="{F6326B12-E303-4544-BDBA-F5FD95C84719}"/>
    <cellStyle name="Normal 8 6 3" xfId="1394" xr:uid="{00000000-0005-0000-0000-00004B1E0000}"/>
    <cellStyle name="Normal 8 6 3 2" xfId="3624" xr:uid="{00000000-0005-0000-0000-00004C1E0000}"/>
    <cellStyle name="Normal 8 6 3 2 2" xfId="7848" xr:uid="{00000000-0005-0000-0000-00004D1E0000}"/>
    <cellStyle name="Normal 8 6 3 2 2 2" xfId="16277" xr:uid="{72132EBC-64FD-4985-8E45-B6AF82670190}"/>
    <cellStyle name="Normal 8 6 3 2 3" xfId="12059" xr:uid="{CF4A9029-FAFE-4E63-8244-17E5F7FEACFF}"/>
    <cellStyle name="Normal 8 6 3 3" xfId="5703" xr:uid="{00000000-0005-0000-0000-00004E1E0000}"/>
    <cellStyle name="Normal 8 6 3 3 2" xfId="14132" xr:uid="{40F480F5-7C7C-4A1C-AEFB-91E56CDC52FA}"/>
    <cellStyle name="Normal 8 6 3 4" xfId="9914" xr:uid="{E2548BAA-37A9-42ED-9026-AAC9C87529A0}"/>
    <cellStyle name="Normal 8 6 4" xfId="1807" xr:uid="{00000000-0005-0000-0000-00004F1E0000}"/>
    <cellStyle name="Normal 8 6 4 2" xfId="4037" xr:uid="{00000000-0005-0000-0000-0000501E0000}"/>
    <cellStyle name="Normal 8 6 4 2 2" xfId="8261" xr:uid="{00000000-0005-0000-0000-0000511E0000}"/>
    <cellStyle name="Normal 8 6 4 2 2 2" xfId="16690" xr:uid="{26B339AB-FA43-46B4-975D-5891E33D9AD6}"/>
    <cellStyle name="Normal 8 6 4 2 3" xfId="12472" xr:uid="{F9370CA0-2C8E-4C1B-916B-F4075C779FC5}"/>
    <cellStyle name="Normal 8 6 4 3" xfId="6116" xr:uid="{00000000-0005-0000-0000-0000521E0000}"/>
    <cellStyle name="Normal 8 6 4 3 2" xfId="14545" xr:uid="{532C7360-48D5-4FFB-AF1A-8F1391715C84}"/>
    <cellStyle name="Normal 8 6 4 4" xfId="10327" xr:uid="{1AC9D143-D862-41B8-8C93-482392B4BF69}"/>
    <cellStyle name="Normal 8 6 5" xfId="2221" xr:uid="{00000000-0005-0000-0000-0000531E0000}"/>
    <cellStyle name="Normal 8 6 5 2" xfId="4450" xr:uid="{00000000-0005-0000-0000-0000541E0000}"/>
    <cellStyle name="Normal 8 6 5 2 2" xfId="8674" xr:uid="{00000000-0005-0000-0000-0000551E0000}"/>
    <cellStyle name="Normal 8 6 5 2 2 2" xfId="17103" xr:uid="{6F8BA119-5474-4B65-BF06-96AE524E9FB9}"/>
    <cellStyle name="Normal 8 6 5 2 3" xfId="12885" xr:uid="{FF41A853-4F3F-4CA4-9F5E-307DCE8CF889}"/>
    <cellStyle name="Normal 8 6 5 3" xfId="6529" xr:uid="{00000000-0005-0000-0000-0000561E0000}"/>
    <cellStyle name="Normal 8 6 5 3 2" xfId="14958" xr:uid="{A6E306EB-2B52-48E9-84AD-F31DEE82A0AF}"/>
    <cellStyle name="Normal 8 6 5 4" xfId="10740" xr:uid="{C42E33DA-F9A7-416A-BFCB-7F68251FAEB7}"/>
    <cellStyle name="Normal 8 6 6" xfId="2657" xr:uid="{00000000-0005-0000-0000-0000571E0000}"/>
    <cellStyle name="Normal 8 6 6 2" xfId="6942" xr:uid="{00000000-0005-0000-0000-0000581E0000}"/>
    <cellStyle name="Normal 8 6 6 2 2" xfId="15371" xr:uid="{4B1ED692-C7CC-4C5C-AF43-8A9125327EA3}"/>
    <cellStyle name="Normal 8 6 6 3" xfId="11153" xr:uid="{44A92C2D-559B-4ACE-9517-50FDAB05F6EB}"/>
    <cellStyle name="Normal 8 6 7" xfId="4877" xr:uid="{00000000-0005-0000-0000-0000591E0000}"/>
    <cellStyle name="Normal 8 6 7 2" xfId="13306" xr:uid="{5732BBE6-F7BD-4F15-A841-BE8FDD8C9C11}"/>
    <cellStyle name="Normal 8 6 8" xfId="9088" xr:uid="{3E4029DE-735C-4CA1-8E00-FBAAAB421A89}"/>
    <cellStyle name="Normal 8 7" xfId="946" xr:uid="{00000000-0005-0000-0000-00005A1E0000}"/>
    <cellStyle name="Normal 8 7 2" xfId="3180" xr:uid="{00000000-0005-0000-0000-00005B1E0000}"/>
    <cellStyle name="Normal 8 7 2 2" xfId="7404" xr:uid="{00000000-0005-0000-0000-00005C1E0000}"/>
    <cellStyle name="Normal 8 7 2 2 2" xfId="15833" xr:uid="{19EFDCB2-C744-43DD-8682-23D12422D661}"/>
    <cellStyle name="Normal 8 7 2 3" xfId="11615" xr:uid="{B8145D16-1A23-43C4-91EF-701A525C8038}"/>
    <cellStyle name="Normal 8 7 3" xfId="5259" xr:uid="{00000000-0005-0000-0000-00005D1E0000}"/>
    <cellStyle name="Normal 8 7 3 2" xfId="13688" xr:uid="{AD08BD7B-60C7-48D3-A60B-36E78E170EE0}"/>
    <cellStyle name="Normal 8 7 4" xfId="9470" xr:uid="{50FB72CC-34CA-444D-A13B-B162BD2AFC0E}"/>
    <cellStyle name="Normal 8 8" xfId="1363" xr:uid="{00000000-0005-0000-0000-00005E1E0000}"/>
    <cellStyle name="Normal 8 8 2" xfId="3593" xr:uid="{00000000-0005-0000-0000-00005F1E0000}"/>
    <cellStyle name="Normal 8 8 2 2" xfId="7817" xr:uid="{00000000-0005-0000-0000-0000601E0000}"/>
    <cellStyle name="Normal 8 8 2 2 2" xfId="16246" xr:uid="{38753B6B-11DD-4295-A1AC-DAE6F27B1FFB}"/>
    <cellStyle name="Normal 8 8 2 3" xfId="12028" xr:uid="{DDA4BEAC-24CF-4FBA-83F3-25775B7AB1BE}"/>
    <cellStyle name="Normal 8 8 3" xfId="5672" xr:uid="{00000000-0005-0000-0000-0000611E0000}"/>
    <cellStyle name="Normal 8 8 3 2" xfId="14101" xr:uid="{E33C3721-5A60-40FA-AB44-3587605F0973}"/>
    <cellStyle name="Normal 8 8 4" xfId="9883" xr:uid="{8D0A3D8A-8DEE-451C-8D91-2C65E88622DF}"/>
    <cellStyle name="Normal 8 9" xfId="1776" xr:uid="{00000000-0005-0000-0000-0000621E0000}"/>
    <cellStyle name="Normal 8 9 2" xfId="4006" xr:uid="{00000000-0005-0000-0000-0000631E0000}"/>
    <cellStyle name="Normal 8 9 2 2" xfId="8230" xr:uid="{00000000-0005-0000-0000-0000641E0000}"/>
    <cellStyle name="Normal 8 9 2 2 2" xfId="16659" xr:uid="{8FE3DAC8-A44F-4896-B845-7FEDA1622CD6}"/>
    <cellStyle name="Normal 8 9 2 3" xfId="12441" xr:uid="{905583C8-544B-4FAA-9320-C5AFF48103FF}"/>
    <cellStyle name="Normal 8 9 3" xfId="6085" xr:uid="{00000000-0005-0000-0000-0000651E0000}"/>
    <cellStyle name="Normal 8 9 3 2" xfId="14514" xr:uid="{96BCA6CD-4D8C-4159-8384-BE1B0FBBB4BB}"/>
    <cellStyle name="Normal 8 9 4" xfId="10296" xr:uid="{1DA45925-6907-49B8-B0DE-BB4C95D2D61E}"/>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0 2 2" xfId="15372" xr:uid="{B77CC8F3-756D-415A-BFF4-DF93EE3E3BDC}"/>
    <cellStyle name="Normal 9 2 10 3" xfId="11154" xr:uid="{AA611735-26B4-4566-A320-A66C2DC1E1A4}"/>
    <cellStyle name="Normal 9 2 11" xfId="4878" xr:uid="{00000000-0005-0000-0000-00006A1E0000}"/>
    <cellStyle name="Normal 9 2 11 2" xfId="13307" xr:uid="{55389797-40F1-4B68-B092-63571A52875F}"/>
    <cellStyle name="Normal 9 2 12" xfId="9089" xr:uid="{C2CB1979-062B-4571-8497-5A1D25617E56}"/>
    <cellStyle name="Normal 9 2 2" xfId="512" xr:uid="{00000000-0005-0000-0000-00006B1E0000}"/>
    <cellStyle name="Normal 9 2 2 10" xfId="4879" xr:uid="{00000000-0005-0000-0000-00006C1E0000}"/>
    <cellStyle name="Normal 9 2 2 10 2" xfId="13308" xr:uid="{932F1597-1711-4B47-B52A-7BB9332A70D0}"/>
    <cellStyle name="Normal 9 2 2 11" xfId="9090" xr:uid="{6F984631-8357-4CCC-BE8E-CDA1FB93B926}"/>
    <cellStyle name="Normal 9 2 2 2" xfId="513" xr:uid="{00000000-0005-0000-0000-00006D1E0000}"/>
    <cellStyle name="Normal 9 2 2 2 10" xfId="9091" xr:uid="{2F833898-A585-47CF-999F-80B643B67339}"/>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2 2 2" xfId="15869" xr:uid="{73E18034-4C7E-423D-8858-6255CA120694}"/>
    <cellStyle name="Normal 9 2 2 2 2 2 2 2 3" xfId="11651" xr:uid="{A2C7012D-BED1-4552-8AD0-768E5F8442DC}"/>
    <cellStyle name="Normal 9 2 2 2 2 2 2 3" xfId="5295" xr:uid="{00000000-0005-0000-0000-0000731E0000}"/>
    <cellStyle name="Normal 9 2 2 2 2 2 2 3 2" xfId="13724" xr:uid="{A138F7C5-3AC4-41DB-B1F2-E7E7829A6001}"/>
    <cellStyle name="Normal 9 2 2 2 2 2 2 4" xfId="9506" xr:uid="{14621B15-4993-487B-B1FB-6FC8117AB3A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2 2 2" xfId="16282" xr:uid="{2091381C-4E5D-4DF8-8AE4-20003235C285}"/>
    <cellStyle name="Normal 9 2 2 2 2 2 3 2 3" xfId="12064" xr:uid="{5408DC92-FFC0-48C1-B2C3-485AA0989E0E}"/>
    <cellStyle name="Normal 9 2 2 2 2 2 3 3" xfId="5708" xr:uid="{00000000-0005-0000-0000-0000771E0000}"/>
    <cellStyle name="Normal 9 2 2 2 2 2 3 3 2" xfId="14137" xr:uid="{85B747AA-4170-4FE6-AE6D-62CD54B4E4BF}"/>
    <cellStyle name="Normal 9 2 2 2 2 2 3 4" xfId="9919" xr:uid="{5A627196-5F58-4A34-AB83-149C426C8668}"/>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2 2 2" xfId="16695" xr:uid="{8862123E-E552-45FF-B55A-DB5A0A85196C}"/>
    <cellStyle name="Normal 9 2 2 2 2 2 4 2 3" xfId="12477" xr:uid="{E9544A7B-3427-4DF2-BB3C-CE60016B79F3}"/>
    <cellStyle name="Normal 9 2 2 2 2 2 4 3" xfId="6121" xr:uid="{00000000-0005-0000-0000-00007B1E0000}"/>
    <cellStyle name="Normal 9 2 2 2 2 2 4 3 2" xfId="14550" xr:uid="{7C28B12A-21ED-4B3F-883D-2F850F89539E}"/>
    <cellStyle name="Normal 9 2 2 2 2 2 4 4" xfId="10332" xr:uid="{A444609B-8C82-4445-91DE-F99D896EE20F}"/>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2 2 2" xfId="17108" xr:uid="{DC3DA3B8-3544-42C9-A673-6EE0A74ABA81}"/>
    <cellStyle name="Normal 9 2 2 2 2 2 5 2 3" xfId="12890" xr:uid="{E74BDE22-4D64-4B31-817C-75390A94CF04}"/>
    <cellStyle name="Normal 9 2 2 2 2 2 5 3" xfId="6534" xr:uid="{00000000-0005-0000-0000-00007F1E0000}"/>
    <cellStyle name="Normal 9 2 2 2 2 2 5 3 2" xfId="14963" xr:uid="{12069473-83A6-4835-9B88-91028DE568AB}"/>
    <cellStyle name="Normal 9 2 2 2 2 2 5 4" xfId="10745" xr:uid="{39DDD8C7-5BBB-4C59-9C07-D53F4E3FCD8F}"/>
    <cellStyle name="Normal 9 2 2 2 2 2 6" xfId="2662" xr:uid="{00000000-0005-0000-0000-0000801E0000}"/>
    <cellStyle name="Normal 9 2 2 2 2 2 6 2" xfId="6947" xr:uid="{00000000-0005-0000-0000-0000811E0000}"/>
    <cellStyle name="Normal 9 2 2 2 2 2 6 2 2" xfId="15376" xr:uid="{FE5F6AD6-3EEC-4025-AE95-52DE8783C367}"/>
    <cellStyle name="Normal 9 2 2 2 2 2 6 3" xfId="11158" xr:uid="{86B26598-A7F5-4BBD-8BC3-533916BB4DB8}"/>
    <cellStyle name="Normal 9 2 2 2 2 2 7" xfId="4882" xr:uid="{00000000-0005-0000-0000-0000821E0000}"/>
    <cellStyle name="Normal 9 2 2 2 2 2 7 2" xfId="13311" xr:uid="{B61C0978-760A-4199-BB1F-513699143B0E}"/>
    <cellStyle name="Normal 9 2 2 2 2 2 8" xfId="9093" xr:uid="{9E0757FA-3F36-4186-BC12-A8220EC44C49}"/>
    <cellStyle name="Normal 9 2 2 2 2 3" xfId="982" xr:uid="{00000000-0005-0000-0000-0000831E0000}"/>
    <cellStyle name="Normal 9 2 2 2 2 3 2" xfId="3215" xr:uid="{00000000-0005-0000-0000-0000841E0000}"/>
    <cellStyle name="Normal 9 2 2 2 2 3 2 2" xfId="7439" xr:uid="{00000000-0005-0000-0000-0000851E0000}"/>
    <cellStyle name="Normal 9 2 2 2 2 3 2 2 2" xfId="15868" xr:uid="{BD00F251-DD67-43BE-873B-E869830D9A12}"/>
    <cellStyle name="Normal 9 2 2 2 2 3 2 3" xfId="11650" xr:uid="{7990C921-1A36-47CB-8430-2F6D629A2D42}"/>
    <cellStyle name="Normal 9 2 2 2 2 3 3" xfId="5294" xr:uid="{00000000-0005-0000-0000-0000861E0000}"/>
    <cellStyle name="Normal 9 2 2 2 2 3 3 2" xfId="13723" xr:uid="{82A81F55-5FC1-45BA-B946-D0248070A68D}"/>
    <cellStyle name="Normal 9 2 2 2 2 3 4" xfId="9505" xr:uid="{F9673159-4910-4F19-A8DE-AA4DF6D227DF}"/>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2 2 2" xfId="16281" xr:uid="{52599662-624E-414E-8B04-561211B757EE}"/>
    <cellStyle name="Normal 9 2 2 2 2 4 2 3" xfId="12063" xr:uid="{CFB0CE6E-991E-48C0-82C3-68A676844AA0}"/>
    <cellStyle name="Normal 9 2 2 2 2 4 3" xfId="5707" xr:uid="{00000000-0005-0000-0000-00008A1E0000}"/>
    <cellStyle name="Normal 9 2 2 2 2 4 3 2" xfId="14136" xr:uid="{C33BFEC9-53D4-4B6E-9884-21CA1EDA3649}"/>
    <cellStyle name="Normal 9 2 2 2 2 4 4" xfId="9918" xr:uid="{F4C8FBB3-2DDF-4F17-9A36-58872C306B6F}"/>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2 2 2" xfId="16694" xr:uid="{02272F65-FA50-4459-BB31-8AD468267463}"/>
    <cellStyle name="Normal 9 2 2 2 2 5 2 3" xfId="12476" xr:uid="{848C18C9-48A4-4B4B-A219-532CE9F35B41}"/>
    <cellStyle name="Normal 9 2 2 2 2 5 3" xfId="6120" xr:uid="{00000000-0005-0000-0000-00008E1E0000}"/>
    <cellStyle name="Normal 9 2 2 2 2 5 3 2" xfId="14549" xr:uid="{2C695615-ADEE-4F88-B267-94B5FFBE04DE}"/>
    <cellStyle name="Normal 9 2 2 2 2 5 4" xfId="10331" xr:uid="{2587DFA1-D635-43F4-931E-42932BCEFAD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2 2 2" xfId="17107" xr:uid="{A33EC353-F5AE-48EB-A606-B82E3E72A9D1}"/>
    <cellStyle name="Normal 9 2 2 2 2 6 2 3" xfId="12889" xr:uid="{B713B98F-5E08-4ED8-BE5F-361EC5C84764}"/>
    <cellStyle name="Normal 9 2 2 2 2 6 3" xfId="6533" xr:uid="{00000000-0005-0000-0000-0000921E0000}"/>
    <cellStyle name="Normal 9 2 2 2 2 6 3 2" xfId="14962" xr:uid="{F9D50126-A98A-412C-BB70-9B564253982D}"/>
    <cellStyle name="Normal 9 2 2 2 2 6 4" xfId="10744" xr:uid="{562DA67B-4892-494B-A8C3-E418B6DB3F4E}"/>
    <cellStyle name="Normal 9 2 2 2 2 7" xfId="2661" xr:uid="{00000000-0005-0000-0000-0000931E0000}"/>
    <cellStyle name="Normal 9 2 2 2 2 7 2" xfId="6946" xr:uid="{00000000-0005-0000-0000-0000941E0000}"/>
    <cellStyle name="Normal 9 2 2 2 2 7 2 2" xfId="15375" xr:uid="{5369D0B2-265A-462B-926B-B2AFD0ED33F7}"/>
    <cellStyle name="Normal 9 2 2 2 2 7 3" xfId="11157" xr:uid="{E3286E04-807F-4808-8345-4669F4C02B37}"/>
    <cellStyle name="Normal 9 2 2 2 2 8" xfId="4881" xr:uid="{00000000-0005-0000-0000-0000951E0000}"/>
    <cellStyle name="Normal 9 2 2 2 2 8 2" xfId="13310" xr:uid="{A42508D6-28B0-441C-B121-4672B18DDC8D}"/>
    <cellStyle name="Normal 9 2 2 2 2 9" xfId="9092" xr:uid="{07428CBA-A384-4F8E-8474-8838083C67EC}"/>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2 2 2" xfId="15870" xr:uid="{1B338B29-6D3A-4847-ACA1-915D0F093D9D}"/>
    <cellStyle name="Normal 9 2 2 2 3 2 2 3" xfId="11652" xr:uid="{50350DB6-7537-4E12-BD32-D7145ABBC81A}"/>
    <cellStyle name="Normal 9 2 2 2 3 2 3" xfId="5296" xr:uid="{00000000-0005-0000-0000-00009A1E0000}"/>
    <cellStyle name="Normal 9 2 2 2 3 2 3 2" xfId="13725" xr:uid="{0EBDF9CE-852C-43EA-A7C2-241B632C8F6A}"/>
    <cellStyle name="Normal 9 2 2 2 3 2 4" xfId="9507" xr:uid="{420B1607-8301-420C-8ABF-8BD0ADFE2137}"/>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2 2 2" xfId="16283" xr:uid="{688139AC-DE0D-4369-9931-39D21E8D75EA}"/>
    <cellStyle name="Normal 9 2 2 2 3 3 2 3" xfId="12065" xr:uid="{188921E7-C0BF-445F-BA66-4DDA8FB992A7}"/>
    <cellStyle name="Normal 9 2 2 2 3 3 3" xfId="5709" xr:uid="{00000000-0005-0000-0000-00009E1E0000}"/>
    <cellStyle name="Normal 9 2 2 2 3 3 3 2" xfId="14138" xr:uid="{93460DB1-95D8-4F83-8F5F-6892C146BB28}"/>
    <cellStyle name="Normal 9 2 2 2 3 3 4" xfId="9920" xr:uid="{D17FE0F3-AD45-4E69-AADE-53DF11C478B9}"/>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2 2 2" xfId="16696" xr:uid="{5ECE187F-5828-479B-B84C-1CE1BF3361E1}"/>
    <cellStyle name="Normal 9 2 2 2 3 4 2 3" xfId="12478" xr:uid="{23610B18-C5FF-4661-833E-7EEBEE16AB52}"/>
    <cellStyle name="Normal 9 2 2 2 3 4 3" xfId="6122" xr:uid="{00000000-0005-0000-0000-0000A21E0000}"/>
    <cellStyle name="Normal 9 2 2 2 3 4 3 2" xfId="14551" xr:uid="{5B21949B-DDB2-4A8A-9A9C-13A4F2803808}"/>
    <cellStyle name="Normal 9 2 2 2 3 4 4" xfId="10333" xr:uid="{9B24AC17-EB97-449D-AAC2-E22C68D94C6C}"/>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2 2 2" xfId="17109" xr:uid="{FFC7E103-3616-4EA1-98F1-1C49E42765E3}"/>
    <cellStyle name="Normal 9 2 2 2 3 5 2 3" xfId="12891" xr:uid="{56FB7A7C-F3C8-444E-BA72-41821A968FB7}"/>
    <cellStyle name="Normal 9 2 2 2 3 5 3" xfId="6535" xr:uid="{00000000-0005-0000-0000-0000A61E0000}"/>
    <cellStyle name="Normal 9 2 2 2 3 5 3 2" xfId="14964" xr:uid="{2E41C569-574F-4D67-8FE2-852C09316ADA}"/>
    <cellStyle name="Normal 9 2 2 2 3 5 4" xfId="10746" xr:uid="{A90ECB4D-B8BE-4F09-BCA3-C109D4147207}"/>
    <cellStyle name="Normal 9 2 2 2 3 6" xfId="2663" xr:uid="{00000000-0005-0000-0000-0000A71E0000}"/>
    <cellStyle name="Normal 9 2 2 2 3 6 2" xfId="6948" xr:uid="{00000000-0005-0000-0000-0000A81E0000}"/>
    <cellStyle name="Normal 9 2 2 2 3 6 2 2" xfId="15377" xr:uid="{C8B3B488-667A-4EFB-9BBD-3D520BA4C24E}"/>
    <cellStyle name="Normal 9 2 2 2 3 6 3" xfId="11159" xr:uid="{531A15EE-6E53-4904-AC31-0817C568459D}"/>
    <cellStyle name="Normal 9 2 2 2 3 7" xfId="4883" xr:uid="{00000000-0005-0000-0000-0000A91E0000}"/>
    <cellStyle name="Normal 9 2 2 2 3 7 2" xfId="13312" xr:uid="{41BDEABD-F9E0-448F-90CE-E4C5CE118B7D}"/>
    <cellStyle name="Normal 9 2 2 2 3 8" xfId="9094" xr:uid="{BCD35030-E230-492B-816C-F2853166F0CA}"/>
    <cellStyle name="Normal 9 2 2 2 4" xfId="981" xr:uid="{00000000-0005-0000-0000-0000AA1E0000}"/>
    <cellStyle name="Normal 9 2 2 2 4 2" xfId="3214" xr:uid="{00000000-0005-0000-0000-0000AB1E0000}"/>
    <cellStyle name="Normal 9 2 2 2 4 2 2" xfId="7438" xr:uid="{00000000-0005-0000-0000-0000AC1E0000}"/>
    <cellStyle name="Normal 9 2 2 2 4 2 2 2" xfId="15867" xr:uid="{1EE6B6CB-46A6-4727-8058-A0561C8B55DC}"/>
    <cellStyle name="Normal 9 2 2 2 4 2 3" xfId="11649" xr:uid="{8D001BE0-1B7E-4D28-BFBE-25F403DB3E39}"/>
    <cellStyle name="Normal 9 2 2 2 4 3" xfId="5293" xr:uid="{00000000-0005-0000-0000-0000AD1E0000}"/>
    <cellStyle name="Normal 9 2 2 2 4 3 2" xfId="13722" xr:uid="{F08949A9-CE06-47B9-98D1-399B554F906B}"/>
    <cellStyle name="Normal 9 2 2 2 4 4" xfId="9504" xr:uid="{C76DDFCB-B963-41BB-8897-E585FE0A45AD}"/>
    <cellStyle name="Normal 9 2 2 2 5" xfId="1397" xr:uid="{00000000-0005-0000-0000-0000AE1E0000}"/>
    <cellStyle name="Normal 9 2 2 2 5 2" xfId="3627" xr:uid="{00000000-0005-0000-0000-0000AF1E0000}"/>
    <cellStyle name="Normal 9 2 2 2 5 2 2" xfId="7851" xr:uid="{00000000-0005-0000-0000-0000B01E0000}"/>
    <cellStyle name="Normal 9 2 2 2 5 2 2 2" xfId="16280" xr:uid="{E9554461-A4D7-472C-9087-2C1AC9D06299}"/>
    <cellStyle name="Normal 9 2 2 2 5 2 3" xfId="12062" xr:uid="{D3A4D3BC-2049-47F5-8943-758E461C7BFB}"/>
    <cellStyle name="Normal 9 2 2 2 5 3" xfId="5706" xr:uid="{00000000-0005-0000-0000-0000B11E0000}"/>
    <cellStyle name="Normal 9 2 2 2 5 3 2" xfId="14135" xr:uid="{22C5B53C-33C9-4277-B593-6754BFDF543C}"/>
    <cellStyle name="Normal 9 2 2 2 5 4" xfId="9917" xr:uid="{5556A2A4-4D61-4171-B940-2AC1DF19245D}"/>
    <cellStyle name="Normal 9 2 2 2 6" xfId="1810" xr:uid="{00000000-0005-0000-0000-0000B21E0000}"/>
    <cellStyle name="Normal 9 2 2 2 6 2" xfId="4040" xr:uid="{00000000-0005-0000-0000-0000B31E0000}"/>
    <cellStyle name="Normal 9 2 2 2 6 2 2" xfId="8264" xr:uid="{00000000-0005-0000-0000-0000B41E0000}"/>
    <cellStyle name="Normal 9 2 2 2 6 2 2 2" xfId="16693" xr:uid="{152ADCB5-EAD1-475D-9E07-4178A4400D51}"/>
    <cellStyle name="Normal 9 2 2 2 6 2 3" xfId="12475" xr:uid="{33C74862-B00F-4ECC-B9EE-7D6B78D233A0}"/>
    <cellStyle name="Normal 9 2 2 2 6 3" xfId="6119" xr:uid="{00000000-0005-0000-0000-0000B51E0000}"/>
    <cellStyle name="Normal 9 2 2 2 6 3 2" xfId="14548" xr:uid="{739DB0B2-2056-4480-857F-968B785D6227}"/>
    <cellStyle name="Normal 9 2 2 2 6 4" xfId="10330" xr:uid="{15A3226A-9C1D-4FC4-BA92-24902C5A4117}"/>
    <cellStyle name="Normal 9 2 2 2 7" xfId="2224" xr:uid="{00000000-0005-0000-0000-0000B61E0000}"/>
    <cellStyle name="Normal 9 2 2 2 7 2" xfId="4453" xr:uid="{00000000-0005-0000-0000-0000B71E0000}"/>
    <cellStyle name="Normal 9 2 2 2 7 2 2" xfId="8677" xr:uid="{00000000-0005-0000-0000-0000B81E0000}"/>
    <cellStyle name="Normal 9 2 2 2 7 2 2 2" xfId="17106" xr:uid="{CCB54BC3-EC96-4BC4-B6AF-C612DC613F98}"/>
    <cellStyle name="Normal 9 2 2 2 7 2 3" xfId="12888" xr:uid="{174C619A-5ABA-4D92-A495-88DFEF426619}"/>
    <cellStyle name="Normal 9 2 2 2 7 3" xfId="6532" xr:uid="{00000000-0005-0000-0000-0000B91E0000}"/>
    <cellStyle name="Normal 9 2 2 2 7 3 2" xfId="14961" xr:uid="{7C9675EF-DD8E-44D6-9689-8B8BA5E05FB0}"/>
    <cellStyle name="Normal 9 2 2 2 7 4" xfId="10743" xr:uid="{9D9A8C6A-1E9B-4E87-8577-205F78105B67}"/>
    <cellStyle name="Normal 9 2 2 2 8" xfId="2660" xr:uid="{00000000-0005-0000-0000-0000BA1E0000}"/>
    <cellStyle name="Normal 9 2 2 2 8 2" xfId="6945" xr:uid="{00000000-0005-0000-0000-0000BB1E0000}"/>
    <cellStyle name="Normal 9 2 2 2 8 2 2" xfId="15374" xr:uid="{E5BDD97A-1D68-4F6C-AFDB-D0E5674CB3F5}"/>
    <cellStyle name="Normal 9 2 2 2 8 3" xfId="11156" xr:uid="{A81F4CB4-9474-4A09-B645-A6D6F80101E8}"/>
    <cellStyle name="Normal 9 2 2 2 9" xfId="4880" xr:uid="{00000000-0005-0000-0000-0000BC1E0000}"/>
    <cellStyle name="Normal 9 2 2 2 9 2" xfId="13309" xr:uid="{7C04EC00-1A79-4BCE-B650-15C1EB4FE8AD}"/>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2 2 2" xfId="15872" xr:uid="{330E96E0-E86B-4E51-9BDD-17471B8B1957}"/>
    <cellStyle name="Normal 9 2 2 3 2 2 2 3" xfId="11654" xr:uid="{915C33F2-C8C0-423E-9EBE-DD81E16B7963}"/>
    <cellStyle name="Normal 9 2 2 3 2 2 3" xfId="5298" xr:uid="{00000000-0005-0000-0000-0000C21E0000}"/>
    <cellStyle name="Normal 9 2 2 3 2 2 3 2" xfId="13727" xr:uid="{701E8C52-43AD-4E19-9443-F009AA8213F8}"/>
    <cellStyle name="Normal 9 2 2 3 2 2 4" xfId="9509" xr:uid="{A30EEE9E-F4ED-4F6E-913D-73BDF2548C48}"/>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2 2 2" xfId="16285" xr:uid="{DCD5DCE1-43C6-4A4D-853A-6F916E72FB49}"/>
    <cellStyle name="Normal 9 2 2 3 2 3 2 3" xfId="12067" xr:uid="{3AC069C8-84FA-4692-88B7-6C164C2BBEFD}"/>
    <cellStyle name="Normal 9 2 2 3 2 3 3" xfId="5711" xr:uid="{00000000-0005-0000-0000-0000C61E0000}"/>
    <cellStyle name="Normal 9 2 2 3 2 3 3 2" xfId="14140" xr:uid="{AD015827-A5B5-42F6-B6A3-5822E51E7FDC}"/>
    <cellStyle name="Normal 9 2 2 3 2 3 4" xfId="9922" xr:uid="{9BABDF77-3E38-48AA-B7FC-00768ABB883D}"/>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2 2 2" xfId="16698" xr:uid="{9ACFC617-A835-436B-9C6B-965927C16B84}"/>
    <cellStyle name="Normal 9 2 2 3 2 4 2 3" xfId="12480" xr:uid="{78E58A4B-F50C-48C0-80AE-53BD6A1EF6E0}"/>
    <cellStyle name="Normal 9 2 2 3 2 4 3" xfId="6124" xr:uid="{00000000-0005-0000-0000-0000CA1E0000}"/>
    <cellStyle name="Normal 9 2 2 3 2 4 3 2" xfId="14553" xr:uid="{16AAAE53-E591-4655-BDCC-1AC2E5E20E2E}"/>
    <cellStyle name="Normal 9 2 2 3 2 4 4" xfId="10335" xr:uid="{B3C274AD-DDAD-4B20-A158-87CA3A1007F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2 2 2" xfId="17111" xr:uid="{91B23F0F-7F0C-42D8-A5D0-088C7587D93A}"/>
    <cellStyle name="Normal 9 2 2 3 2 5 2 3" xfId="12893" xr:uid="{E4B2B675-FFB8-49E2-A74C-EE6B2EB6329C}"/>
    <cellStyle name="Normal 9 2 2 3 2 5 3" xfId="6537" xr:uid="{00000000-0005-0000-0000-0000CE1E0000}"/>
    <cellStyle name="Normal 9 2 2 3 2 5 3 2" xfId="14966" xr:uid="{93AB72F7-2571-4CE5-A90B-718770BBB567}"/>
    <cellStyle name="Normal 9 2 2 3 2 5 4" xfId="10748" xr:uid="{E44AD6EF-1719-4877-A7FF-6D7B48866096}"/>
    <cellStyle name="Normal 9 2 2 3 2 6" xfId="2665" xr:uid="{00000000-0005-0000-0000-0000CF1E0000}"/>
    <cellStyle name="Normal 9 2 2 3 2 6 2" xfId="6950" xr:uid="{00000000-0005-0000-0000-0000D01E0000}"/>
    <cellStyle name="Normal 9 2 2 3 2 6 2 2" xfId="15379" xr:uid="{61F56E52-13C7-433A-AFB8-239603B2B673}"/>
    <cellStyle name="Normal 9 2 2 3 2 6 3" xfId="11161" xr:uid="{EF354D2F-C7DF-4DDE-8F77-5F3E4900A808}"/>
    <cellStyle name="Normal 9 2 2 3 2 7" xfId="4885" xr:uid="{00000000-0005-0000-0000-0000D11E0000}"/>
    <cellStyle name="Normal 9 2 2 3 2 7 2" xfId="13314" xr:uid="{CD872FF9-7B44-4517-ADA6-4F824E46337B}"/>
    <cellStyle name="Normal 9 2 2 3 2 8" xfId="9096" xr:uid="{7D7D5B86-C446-450B-B803-C48764828C1A}"/>
    <cellStyle name="Normal 9 2 2 3 3" xfId="985" xr:uid="{00000000-0005-0000-0000-0000D21E0000}"/>
    <cellStyle name="Normal 9 2 2 3 3 2" xfId="3218" xr:uid="{00000000-0005-0000-0000-0000D31E0000}"/>
    <cellStyle name="Normal 9 2 2 3 3 2 2" xfId="7442" xr:uid="{00000000-0005-0000-0000-0000D41E0000}"/>
    <cellStyle name="Normal 9 2 2 3 3 2 2 2" xfId="15871" xr:uid="{0F8E3666-C2DD-40A5-A4E7-B1238EE96018}"/>
    <cellStyle name="Normal 9 2 2 3 3 2 3" xfId="11653" xr:uid="{07B5C30B-2BFF-433B-9173-D725BF2ED1D9}"/>
    <cellStyle name="Normal 9 2 2 3 3 3" xfId="5297" xr:uid="{00000000-0005-0000-0000-0000D51E0000}"/>
    <cellStyle name="Normal 9 2 2 3 3 3 2" xfId="13726" xr:uid="{EAB7CDCD-4A86-4228-9AFA-CCB984CA1B8D}"/>
    <cellStyle name="Normal 9 2 2 3 3 4" xfId="9508" xr:uid="{41E35E25-7D51-437C-AC55-60C5AEFDB072}"/>
    <cellStyle name="Normal 9 2 2 3 4" xfId="1401" xr:uid="{00000000-0005-0000-0000-0000D61E0000}"/>
    <cellStyle name="Normal 9 2 2 3 4 2" xfId="3631" xr:uid="{00000000-0005-0000-0000-0000D71E0000}"/>
    <cellStyle name="Normal 9 2 2 3 4 2 2" xfId="7855" xr:uid="{00000000-0005-0000-0000-0000D81E0000}"/>
    <cellStyle name="Normal 9 2 2 3 4 2 2 2" xfId="16284" xr:uid="{24BECA86-729D-4AA9-A83A-7F002A3A91BA}"/>
    <cellStyle name="Normal 9 2 2 3 4 2 3" xfId="12066" xr:uid="{78E44BD2-0FA3-4DC7-8236-D291D8F3D04A}"/>
    <cellStyle name="Normal 9 2 2 3 4 3" xfId="5710" xr:uid="{00000000-0005-0000-0000-0000D91E0000}"/>
    <cellStyle name="Normal 9 2 2 3 4 3 2" xfId="14139" xr:uid="{392E0074-B5B6-4387-9CC1-75012BE64C92}"/>
    <cellStyle name="Normal 9 2 2 3 4 4" xfId="9921" xr:uid="{931590C2-04BD-4E6C-8D93-A75191AEC4F9}"/>
    <cellStyle name="Normal 9 2 2 3 5" xfId="1814" xr:uid="{00000000-0005-0000-0000-0000DA1E0000}"/>
    <cellStyle name="Normal 9 2 2 3 5 2" xfId="4044" xr:uid="{00000000-0005-0000-0000-0000DB1E0000}"/>
    <cellStyle name="Normal 9 2 2 3 5 2 2" xfId="8268" xr:uid="{00000000-0005-0000-0000-0000DC1E0000}"/>
    <cellStyle name="Normal 9 2 2 3 5 2 2 2" xfId="16697" xr:uid="{8E482A37-1AFD-4906-8F2E-3EADBBB5FF14}"/>
    <cellStyle name="Normal 9 2 2 3 5 2 3" xfId="12479" xr:uid="{8F931656-F358-403B-B35C-DD63024BC244}"/>
    <cellStyle name="Normal 9 2 2 3 5 3" xfId="6123" xr:uid="{00000000-0005-0000-0000-0000DD1E0000}"/>
    <cellStyle name="Normal 9 2 2 3 5 3 2" xfId="14552" xr:uid="{7BE660CD-A1F2-4027-9E55-E8E1F93A516C}"/>
    <cellStyle name="Normal 9 2 2 3 5 4" xfId="10334" xr:uid="{E4EE673D-D6B3-4D38-97F7-3CD5E8F78548}"/>
    <cellStyle name="Normal 9 2 2 3 6" xfId="2228" xr:uid="{00000000-0005-0000-0000-0000DE1E0000}"/>
    <cellStyle name="Normal 9 2 2 3 6 2" xfId="4457" xr:uid="{00000000-0005-0000-0000-0000DF1E0000}"/>
    <cellStyle name="Normal 9 2 2 3 6 2 2" xfId="8681" xr:uid="{00000000-0005-0000-0000-0000E01E0000}"/>
    <cellStyle name="Normal 9 2 2 3 6 2 2 2" xfId="17110" xr:uid="{33AC0490-8DD7-4188-9322-3442249B89B5}"/>
    <cellStyle name="Normal 9 2 2 3 6 2 3" xfId="12892" xr:uid="{72185694-EEE7-4038-947F-7C1D8C34BC6B}"/>
    <cellStyle name="Normal 9 2 2 3 6 3" xfId="6536" xr:uid="{00000000-0005-0000-0000-0000E11E0000}"/>
    <cellStyle name="Normal 9 2 2 3 6 3 2" xfId="14965" xr:uid="{1DC69F39-2E3E-4604-8C86-917236EFCE90}"/>
    <cellStyle name="Normal 9 2 2 3 6 4" xfId="10747" xr:uid="{0ACAD6AF-0D5B-49CD-ACAA-809150BCBD71}"/>
    <cellStyle name="Normal 9 2 2 3 7" xfId="2664" xr:uid="{00000000-0005-0000-0000-0000E21E0000}"/>
    <cellStyle name="Normal 9 2 2 3 7 2" xfId="6949" xr:uid="{00000000-0005-0000-0000-0000E31E0000}"/>
    <cellStyle name="Normal 9 2 2 3 7 2 2" xfId="15378" xr:uid="{E863D704-5779-4075-87C5-A446992320F5}"/>
    <cellStyle name="Normal 9 2 2 3 7 3" xfId="11160" xr:uid="{B1A52004-86F2-47FA-AE62-8FD887EAF448}"/>
    <cellStyle name="Normal 9 2 2 3 8" xfId="4884" xr:uid="{00000000-0005-0000-0000-0000E41E0000}"/>
    <cellStyle name="Normal 9 2 2 3 8 2" xfId="13313" xr:uid="{FC460067-C47C-4D5A-B654-E1E268F18641}"/>
    <cellStyle name="Normal 9 2 2 3 9" xfId="9095" xr:uid="{70573DD2-C8C2-4FDB-9230-7AB764E0B72F}"/>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2 2 2" xfId="15873" xr:uid="{BA311264-6A97-4DC3-9843-D49B2503706F}"/>
    <cellStyle name="Normal 9 2 2 4 2 2 3" xfId="11655" xr:uid="{BFD8B761-04C9-4515-9913-5E6D074E5A73}"/>
    <cellStyle name="Normal 9 2 2 4 2 3" xfId="5299" xr:uid="{00000000-0005-0000-0000-0000E91E0000}"/>
    <cellStyle name="Normal 9 2 2 4 2 3 2" xfId="13728" xr:uid="{7A313DF9-F7C4-4FE5-86D8-2E260E869794}"/>
    <cellStyle name="Normal 9 2 2 4 2 4" xfId="9510" xr:uid="{CFD2AF58-FB1A-46E7-A448-14D672E32E44}"/>
    <cellStyle name="Normal 9 2 2 4 3" xfId="1403" xr:uid="{00000000-0005-0000-0000-0000EA1E0000}"/>
    <cellStyle name="Normal 9 2 2 4 3 2" xfId="3633" xr:uid="{00000000-0005-0000-0000-0000EB1E0000}"/>
    <cellStyle name="Normal 9 2 2 4 3 2 2" xfId="7857" xr:uid="{00000000-0005-0000-0000-0000EC1E0000}"/>
    <cellStyle name="Normal 9 2 2 4 3 2 2 2" xfId="16286" xr:uid="{AB89634B-3567-4478-AD36-67074112D4D9}"/>
    <cellStyle name="Normal 9 2 2 4 3 2 3" xfId="12068" xr:uid="{34AA4EDB-50C5-4FFB-95C3-976208E110D5}"/>
    <cellStyle name="Normal 9 2 2 4 3 3" xfId="5712" xr:uid="{00000000-0005-0000-0000-0000ED1E0000}"/>
    <cellStyle name="Normal 9 2 2 4 3 3 2" xfId="14141" xr:uid="{A4F0ED33-8EC2-443C-91A6-D1F0A22BD395}"/>
    <cellStyle name="Normal 9 2 2 4 3 4" xfId="9923" xr:uid="{56E831F4-02D1-4BDD-922E-D5B339B5213C}"/>
    <cellStyle name="Normal 9 2 2 4 4" xfId="1816" xr:uid="{00000000-0005-0000-0000-0000EE1E0000}"/>
    <cellStyle name="Normal 9 2 2 4 4 2" xfId="4046" xr:uid="{00000000-0005-0000-0000-0000EF1E0000}"/>
    <cellStyle name="Normal 9 2 2 4 4 2 2" xfId="8270" xr:uid="{00000000-0005-0000-0000-0000F01E0000}"/>
    <cellStyle name="Normal 9 2 2 4 4 2 2 2" xfId="16699" xr:uid="{8A2BC6BF-96A8-429C-9D15-318FB7AABE42}"/>
    <cellStyle name="Normal 9 2 2 4 4 2 3" xfId="12481" xr:uid="{7060AF86-6895-403E-90EE-83789EC99C9E}"/>
    <cellStyle name="Normal 9 2 2 4 4 3" xfId="6125" xr:uid="{00000000-0005-0000-0000-0000F11E0000}"/>
    <cellStyle name="Normal 9 2 2 4 4 3 2" xfId="14554" xr:uid="{9C2B0629-093D-472C-87F9-50D989315DF5}"/>
    <cellStyle name="Normal 9 2 2 4 4 4" xfId="10336" xr:uid="{4B8ED31D-7B67-40E9-868B-59D8660D1BD4}"/>
    <cellStyle name="Normal 9 2 2 4 5" xfId="2230" xr:uid="{00000000-0005-0000-0000-0000F21E0000}"/>
    <cellStyle name="Normal 9 2 2 4 5 2" xfId="4459" xr:uid="{00000000-0005-0000-0000-0000F31E0000}"/>
    <cellStyle name="Normal 9 2 2 4 5 2 2" xfId="8683" xr:uid="{00000000-0005-0000-0000-0000F41E0000}"/>
    <cellStyle name="Normal 9 2 2 4 5 2 2 2" xfId="17112" xr:uid="{115F47E6-4625-4043-8C2B-A6EFB53A0009}"/>
    <cellStyle name="Normal 9 2 2 4 5 2 3" xfId="12894" xr:uid="{4C9A06BA-032B-46A7-8F5E-2D5AE9928911}"/>
    <cellStyle name="Normal 9 2 2 4 5 3" xfId="6538" xr:uid="{00000000-0005-0000-0000-0000F51E0000}"/>
    <cellStyle name="Normal 9 2 2 4 5 3 2" xfId="14967" xr:uid="{ADFB7929-5605-42AB-B5CE-BD350A710218}"/>
    <cellStyle name="Normal 9 2 2 4 5 4" xfId="10749" xr:uid="{AB391650-B1EE-4E73-9D2C-92679CD09BF8}"/>
    <cellStyle name="Normal 9 2 2 4 6" xfId="2666" xr:uid="{00000000-0005-0000-0000-0000F61E0000}"/>
    <cellStyle name="Normal 9 2 2 4 6 2" xfId="6951" xr:uid="{00000000-0005-0000-0000-0000F71E0000}"/>
    <cellStyle name="Normal 9 2 2 4 6 2 2" xfId="15380" xr:uid="{FAE1325B-0FE4-4B5E-8C05-98B796B835DE}"/>
    <cellStyle name="Normal 9 2 2 4 6 3" xfId="11162" xr:uid="{F7320D5A-C962-4BA8-BF3D-0506281549E2}"/>
    <cellStyle name="Normal 9 2 2 4 7" xfId="4886" xr:uid="{00000000-0005-0000-0000-0000F81E0000}"/>
    <cellStyle name="Normal 9 2 2 4 7 2" xfId="13315" xr:uid="{773A9EB2-2DFE-4993-8B0F-32F431971822}"/>
    <cellStyle name="Normal 9 2 2 4 8" xfId="9097" xr:uid="{653E99E5-285E-468F-9DAA-EA12D7A3E2F0}"/>
    <cellStyle name="Normal 9 2 2 5" xfId="980" xr:uid="{00000000-0005-0000-0000-0000F91E0000}"/>
    <cellStyle name="Normal 9 2 2 5 2" xfId="3213" xr:uid="{00000000-0005-0000-0000-0000FA1E0000}"/>
    <cellStyle name="Normal 9 2 2 5 2 2" xfId="7437" xr:uid="{00000000-0005-0000-0000-0000FB1E0000}"/>
    <cellStyle name="Normal 9 2 2 5 2 2 2" xfId="15866" xr:uid="{7B172B86-E026-4E99-A951-1CCDC4D7970A}"/>
    <cellStyle name="Normal 9 2 2 5 2 3" xfId="11648" xr:uid="{D801CC16-F0EC-42CE-80EB-090ADCD29439}"/>
    <cellStyle name="Normal 9 2 2 5 3" xfId="5292" xr:uid="{00000000-0005-0000-0000-0000FC1E0000}"/>
    <cellStyle name="Normal 9 2 2 5 3 2" xfId="13721" xr:uid="{2301256D-11B6-4C24-B58B-F30DD8AF767F}"/>
    <cellStyle name="Normal 9 2 2 5 4" xfId="9503" xr:uid="{0BEBA551-08BB-49CB-9E1A-6111B08C08F6}"/>
    <cellStyle name="Normal 9 2 2 6" xfId="1396" xr:uid="{00000000-0005-0000-0000-0000FD1E0000}"/>
    <cellStyle name="Normal 9 2 2 6 2" xfId="3626" xr:uid="{00000000-0005-0000-0000-0000FE1E0000}"/>
    <cellStyle name="Normal 9 2 2 6 2 2" xfId="7850" xr:uid="{00000000-0005-0000-0000-0000FF1E0000}"/>
    <cellStyle name="Normal 9 2 2 6 2 2 2" xfId="16279" xr:uid="{D45F03A9-D999-4056-87D4-8787180C4073}"/>
    <cellStyle name="Normal 9 2 2 6 2 3" xfId="12061" xr:uid="{4575638B-C103-4B6F-876B-457182E39FE0}"/>
    <cellStyle name="Normal 9 2 2 6 3" xfId="5705" xr:uid="{00000000-0005-0000-0000-0000001F0000}"/>
    <cellStyle name="Normal 9 2 2 6 3 2" xfId="14134" xr:uid="{0AF5A588-1C4F-475B-AEDC-EE803244CD92}"/>
    <cellStyle name="Normal 9 2 2 6 4" xfId="9916" xr:uid="{072C555F-05AD-4F31-A05E-99DEBC72B363}"/>
    <cellStyle name="Normal 9 2 2 7" xfId="1809" xr:uid="{00000000-0005-0000-0000-0000011F0000}"/>
    <cellStyle name="Normal 9 2 2 7 2" xfId="4039" xr:uid="{00000000-0005-0000-0000-0000021F0000}"/>
    <cellStyle name="Normal 9 2 2 7 2 2" xfId="8263" xr:uid="{00000000-0005-0000-0000-0000031F0000}"/>
    <cellStyle name="Normal 9 2 2 7 2 2 2" xfId="16692" xr:uid="{7688A125-DA3E-4F30-9F1C-370D4FA15D63}"/>
    <cellStyle name="Normal 9 2 2 7 2 3" xfId="12474" xr:uid="{28F86B69-849F-4875-93A3-AFE91B23501D}"/>
    <cellStyle name="Normal 9 2 2 7 3" xfId="6118" xr:uid="{00000000-0005-0000-0000-0000041F0000}"/>
    <cellStyle name="Normal 9 2 2 7 3 2" xfId="14547" xr:uid="{A23A86D3-A788-4223-A832-CF096828FCB5}"/>
    <cellStyle name="Normal 9 2 2 7 4" xfId="10329" xr:uid="{6B7A6BF7-4763-4E7D-8101-41B1048D59D7}"/>
    <cellStyle name="Normal 9 2 2 8" xfId="2223" xr:uid="{00000000-0005-0000-0000-0000051F0000}"/>
    <cellStyle name="Normal 9 2 2 8 2" xfId="4452" xr:uid="{00000000-0005-0000-0000-0000061F0000}"/>
    <cellStyle name="Normal 9 2 2 8 2 2" xfId="8676" xr:uid="{00000000-0005-0000-0000-0000071F0000}"/>
    <cellStyle name="Normal 9 2 2 8 2 2 2" xfId="17105" xr:uid="{875CD5B7-3E1A-4898-A06D-D25BFCDEA977}"/>
    <cellStyle name="Normal 9 2 2 8 2 3" xfId="12887" xr:uid="{FAA1BD19-B089-46E9-9BFF-3C717E3B7287}"/>
    <cellStyle name="Normal 9 2 2 8 3" xfId="6531" xr:uid="{00000000-0005-0000-0000-0000081F0000}"/>
    <cellStyle name="Normal 9 2 2 8 3 2" xfId="14960" xr:uid="{CB55A6C4-57B2-49F4-846C-F90115FC47F4}"/>
    <cellStyle name="Normal 9 2 2 8 4" xfId="10742" xr:uid="{39A31692-6E97-4DCD-90FC-C6A053A80C25}"/>
    <cellStyle name="Normal 9 2 2 9" xfId="2659" xr:uid="{00000000-0005-0000-0000-0000091F0000}"/>
    <cellStyle name="Normal 9 2 2 9 2" xfId="6944" xr:uid="{00000000-0005-0000-0000-00000A1F0000}"/>
    <cellStyle name="Normal 9 2 2 9 2 2" xfId="15373" xr:uid="{2A01C4CE-3223-4EDF-88F3-E9E289AA4C46}"/>
    <cellStyle name="Normal 9 2 2 9 3" xfId="11155" xr:uid="{0166AD21-C2BA-48CC-8161-55A5ED2C9D25}"/>
    <cellStyle name="Normal 9 2 3" xfId="520" xr:uid="{00000000-0005-0000-0000-00000B1F0000}"/>
    <cellStyle name="Normal 9 2 3 10" xfId="9098" xr:uid="{1B9E0D78-AF80-4C7A-942E-FE71A771525D}"/>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2 2 2" xfId="15876" xr:uid="{4F9CFB56-4257-4490-8EB5-1CE0775AA5C3}"/>
    <cellStyle name="Normal 9 2 3 2 2 2 2 3" xfId="11658" xr:uid="{8C6F5D68-5198-48DA-85AF-BE96EEBECE03}"/>
    <cellStyle name="Normal 9 2 3 2 2 2 3" xfId="5302" xr:uid="{00000000-0005-0000-0000-0000111F0000}"/>
    <cellStyle name="Normal 9 2 3 2 2 2 3 2" xfId="13731" xr:uid="{14DDA576-26E9-4545-95A6-C78FAF8FDBE1}"/>
    <cellStyle name="Normal 9 2 3 2 2 2 4" xfId="9513" xr:uid="{38840318-B9A8-4055-8387-DDBF49B2EF29}"/>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2 2 2" xfId="16289" xr:uid="{9935AD0E-00EC-4721-AD56-4FC524A068A1}"/>
    <cellStyle name="Normal 9 2 3 2 2 3 2 3" xfId="12071" xr:uid="{6E7D0E13-43B5-450A-8DA0-9D98D0BBC0C9}"/>
    <cellStyle name="Normal 9 2 3 2 2 3 3" xfId="5715" xr:uid="{00000000-0005-0000-0000-0000151F0000}"/>
    <cellStyle name="Normal 9 2 3 2 2 3 3 2" xfId="14144" xr:uid="{0BAC425B-A3CB-4E99-B087-C628ECE8FC2E}"/>
    <cellStyle name="Normal 9 2 3 2 2 3 4" xfId="9926" xr:uid="{1F7C1BB1-B571-460C-B3B8-796C9D0ED72E}"/>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2 2 2" xfId="16702" xr:uid="{E3E1DD13-15F1-45CD-A51E-B576CF722AC3}"/>
    <cellStyle name="Normal 9 2 3 2 2 4 2 3" xfId="12484" xr:uid="{B61FAEE3-E9BE-4B4C-88B1-07346E950459}"/>
    <cellStyle name="Normal 9 2 3 2 2 4 3" xfId="6128" xr:uid="{00000000-0005-0000-0000-0000191F0000}"/>
    <cellStyle name="Normal 9 2 3 2 2 4 3 2" xfId="14557" xr:uid="{57036353-CFC2-4AC0-A123-E35EC929FF0B}"/>
    <cellStyle name="Normal 9 2 3 2 2 4 4" xfId="10339" xr:uid="{6E1ECD1F-B4A9-4DC5-8E1A-A7DB48229AA5}"/>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2 2 2" xfId="17115" xr:uid="{C4951E74-179A-4071-88CB-CE735FA3B0C3}"/>
    <cellStyle name="Normal 9 2 3 2 2 5 2 3" xfId="12897" xr:uid="{E102844E-3BD4-4A4F-8A28-79292DBBB06F}"/>
    <cellStyle name="Normal 9 2 3 2 2 5 3" xfId="6541" xr:uid="{00000000-0005-0000-0000-00001D1F0000}"/>
    <cellStyle name="Normal 9 2 3 2 2 5 3 2" xfId="14970" xr:uid="{E28EC9BE-DA7E-4FD0-80F4-301C48956A47}"/>
    <cellStyle name="Normal 9 2 3 2 2 5 4" xfId="10752" xr:uid="{8AE5A4F4-6154-4063-8EC3-86520CA1B230}"/>
    <cellStyle name="Normal 9 2 3 2 2 6" xfId="2669" xr:uid="{00000000-0005-0000-0000-00001E1F0000}"/>
    <cellStyle name="Normal 9 2 3 2 2 6 2" xfId="6954" xr:uid="{00000000-0005-0000-0000-00001F1F0000}"/>
    <cellStyle name="Normal 9 2 3 2 2 6 2 2" xfId="15383" xr:uid="{AAC963B6-B2EF-4E86-A696-2883B34123EA}"/>
    <cellStyle name="Normal 9 2 3 2 2 6 3" xfId="11165" xr:uid="{A17331FB-26A0-4FB1-8B32-4FA047D61B5C}"/>
    <cellStyle name="Normal 9 2 3 2 2 7" xfId="4889" xr:uid="{00000000-0005-0000-0000-0000201F0000}"/>
    <cellStyle name="Normal 9 2 3 2 2 7 2" xfId="13318" xr:uid="{E79737FA-984B-421E-A714-703897AF2D88}"/>
    <cellStyle name="Normal 9 2 3 2 2 8" xfId="9100" xr:uid="{B234CC43-91B7-4B3A-A59D-EF3944B42A80}"/>
    <cellStyle name="Normal 9 2 3 2 3" xfId="989" xr:uid="{00000000-0005-0000-0000-0000211F0000}"/>
    <cellStyle name="Normal 9 2 3 2 3 2" xfId="3222" xr:uid="{00000000-0005-0000-0000-0000221F0000}"/>
    <cellStyle name="Normal 9 2 3 2 3 2 2" xfId="7446" xr:uid="{00000000-0005-0000-0000-0000231F0000}"/>
    <cellStyle name="Normal 9 2 3 2 3 2 2 2" xfId="15875" xr:uid="{E2273BDB-39CE-4577-8BAF-AEE1C00069F1}"/>
    <cellStyle name="Normal 9 2 3 2 3 2 3" xfId="11657" xr:uid="{09DE94C5-CC50-4685-9C8C-1451AD10A923}"/>
    <cellStyle name="Normal 9 2 3 2 3 3" xfId="5301" xr:uid="{00000000-0005-0000-0000-0000241F0000}"/>
    <cellStyle name="Normal 9 2 3 2 3 3 2" xfId="13730" xr:uid="{C2CE5416-37D4-40A2-944C-8B7168B769B2}"/>
    <cellStyle name="Normal 9 2 3 2 3 4" xfId="9512" xr:uid="{5152D3D2-8A51-42A0-BB98-BC151CCA962E}"/>
    <cellStyle name="Normal 9 2 3 2 4" xfId="1405" xr:uid="{00000000-0005-0000-0000-0000251F0000}"/>
    <cellStyle name="Normal 9 2 3 2 4 2" xfId="3635" xr:uid="{00000000-0005-0000-0000-0000261F0000}"/>
    <cellStyle name="Normal 9 2 3 2 4 2 2" xfId="7859" xr:uid="{00000000-0005-0000-0000-0000271F0000}"/>
    <cellStyle name="Normal 9 2 3 2 4 2 2 2" xfId="16288" xr:uid="{A922EFC6-829E-402E-B923-C3986E44D820}"/>
    <cellStyle name="Normal 9 2 3 2 4 2 3" xfId="12070" xr:uid="{794E2907-0E3A-4CD6-8929-98F48FDF6786}"/>
    <cellStyle name="Normal 9 2 3 2 4 3" xfId="5714" xr:uid="{00000000-0005-0000-0000-0000281F0000}"/>
    <cellStyle name="Normal 9 2 3 2 4 3 2" xfId="14143" xr:uid="{F0311FC4-CE9B-4332-9723-F4100CD81943}"/>
    <cellStyle name="Normal 9 2 3 2 4 4" xfId="9925" xr:uid="{123B6CEA-DD65-4647-95ED-CE7236200380}"/>
    <cellStyle name="Normal 9 2 3 2 5" xfId="1818" xr:uid="{00000000-0005-0000-0000-0000291F0000}"/>
    <cellStyle name="Normal 9 2 3 2 5 2" xfId="4048" xr:uid="{00000000-0005-0000-0000-00002A1F0000}"/>
    <cellStyle name="Normal 9 2 3 2 5 2 2" xfId="8272" xr:uid="{00000000-0005-0000-0000-00002B1F0000}"/>
    <cellStyle name="Normal 9 2 3 2 5 2 2 2" xfId="16701" xr:uid="{D17184EF-951C-49C0-80C6-BCA19075B369}"/>
    <cellStyle name="Normal 9 2 3 2 5 2 3" xfId="12483" xr:uid="{47B6D594-6B54-43EC-998C-2D3BCFF7A5D1}"/>
    <cellStyle name="Normal 9 2 3 2 5 3" xfId="6127" xr:uid="{00000000-0005-0000-0000-00002C1F0000}"/>
    <cellStyle name="Normal 9 2 3 2 5 3 2" xfId="14556" xr:uid="{1D735711-F43F-4341-9EF1-D8F898A8D31F}"/>
    <cellStyle name="Normal 9 2 3 2 5 4" xfId="10338" xr:uid="{BE43CDC8-661F-48A8-965F-6E868D09A02B}"/>
    <cellStyle name="Normal 9 2 3 2 6" xfId="2232" xr:uid="{00000000-0005-0000-0000-00002D1F0000}"/>
    <cellStyle name="Normal 9 2 3 2 6 2" xfId="4461" xr:uid="{00000000-0005-0000-0000-00002E1F0000}"/>
    <cellStyle name="Normal 9 2 3 2 6 2 2" xfId="8685" xr:uid="{00000000-0005-0000-0000-00002F1F0000}"/>
    <cellStyle name="Normal 9 2 3 2 6 2 2 2" xfId="17114" xr:uid="{8A7D38CC-15E1-4D88-8133-E03C6D367AA3}"/>
    <cellStyle name="Normal 9 2 3 2 6 2 3" xfId="12896" xr:uid="{F6918954-3345-42CE-8D4C-6CCE597D930F}"/>
    <cellStyle name="Normal 9 2 3 2 6 3" xfId="6540" xr:uid="{00000000-0005-0000-0000-0000301F0000}"/>
    <cellStyle name="Normal 9 2 3 2 6 3 2" xfId="14969" xr:uid="{E16C1EF8-914F-4E1A-B969-B354B2EA4A4C}"/>
    <cellStyle name="Normal 9 2 3 2 6 4" xfId="10751" xr:uid="{5E1B14BC-D4BB-4F31-8FDC-FFD0230EFE2E}"/>
    <cellStyle name="Normal 9 2 3 2 7" xfId="2668" xr:uid="{00000000-0005-0000-0000-0000311F0000}"/>
    <cellStyle name="Normal 9 2 3 2 7 2" xfId="6953" xr:uid="{00000000-0005-0000-0000-0000321F0000}"/>
    <cellStyle name="Normal 9 2 3 2 7 2 2" xfId="15382" xr:uid="{AF6E4305-74E1-4FE2-B881-A3832F5741F2}"/>
    <cellStyle name="Normal 9 2 3 2 7 3" xfId="11164" xr:uid="{02ADA111-D8B2-4205-A3C2-6B0E5B1911CF}"/>
    <cellStyle name="Normal 9 2 3 2 8" xfId="4888" xr:uid="{00000000-0005-0000-0000-0000331F0000}"/>
    <cellStyle name="Normal 9 2 3 2 8 2" xfId="13317" xr:uid="{75CE925C-8723-4392-883F-F36F2B1A9A14}"/>
    <cellStyle name="Normal 9 2 3 2 9" xfId="9099" xr:uid="{8F597E41-C25F-4111-B515-D648CBF337C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2 2 2" xfId="15877" xr:uid="{95D4B19E-30E6-493C-9835-511E473AF1B0}"/>
    <cellStyle name="Normal 9 2 3 3 2 2 3" xfId="11659" xr:uid="{4B14DF3F-AFFB-4B17-A16B-DB3681190333}"/>
    <cellStyle name="Normal 9 2 3 3 2 3" xfId="5303" xr:uid="{00000000-0005-0000-0000-0000381F0000}"/>
    <cellStyle name="Normal 9 2 3 3 2 3 2" xfId="13732" xr:uid="{58F70276-E386-41C6-92B9-058AADAA9197}"/>
    <cellStyle name="Normal 9 2 3 3 2 4" xfId="9514" xr:uid="{DDF07ECD-1516-4C44-8B44-B051F91F3E62}"/>
    <cellStyle name="Normal 9 2 3 3 3" xfId="1407" xr:uid="{00000000-0005-0000-0000-0000391F0000}"/>
    <cellStyle name="Normal 9 2 3 3 3 2" xfId="3637" xr:uid="{00000000-0005-0000-0000-00003A1F0000}"/>
    <cellStyle name="Normal 9 2 3 3 3 2 2" xfId="7861" xr:uid="{00000000-0005-0000-0000-00003B1F0000}"/>
    <cellStyle name="Normal 9 2 3 3 3 2 2 2" xfId="16290" xr:uid="{CD77CAD5-00F1-46C9-B013-D29F200DEAAB}"/>
    <cellStyle name="Normal 9 2 3 3 3 2 3" xfId="12072" xr:uid="{C5934A5E-58AC-43EC-9DD4-313F2A436DAB}"/>
    <cellStyle name="Normal 9 2 3 3 3 3" xfId="5716" xr:uid="{00000000-0005-0000-0000-00003C1F0000}"/>
    <cellStyle name="Normal 9 2 3 3 3 3 2" xfId="14145" xr:uid="{2CC9E089-AA99-4FD2-BB73-7344C5770D6F}"/>
    <cellStyle name="Normal 9 2 3 3 3 4" xfId="9927" xr:uid="{62304AA0-A5A1-4EF4-85E3-88331E3A1297}"/>
    <cellStyle name="Normal 9 2 3 3 4" xfId="1820" xr:uid="{00000000-0005-0000-0000-00003D1F0000}"/>
    <cellStyle name="Normal 9 2 3 3 4 2" xfId="4050" xr:uid="{00000000-0005-0000-0000-00003E1F0000}"/>
    <cellStyle name="Normal 9 2 3 3 4 2 2" xfId="8274" xr:uid="{00000000-0005-0000-0000-00003F1F0000}"/>
    <cellStyle name="Normal 9 2 3 3 4 2 2 2" xfId="16703" xr:uid="{954D6810-C0E3-4A1E-8CBD-C92F96A6FEBE}"/>
    <cellStyle name="Normal 9 2 3 3 4 2 3" xfId="12485" xr:uid="{543EC019-0EB9-4663-9C37-A50EBA7681A6}"/>
    <cellStyle name="Normal 9 2 3 3 4 3" xfId="6129" xr:uid="{00000000-0005-0000-0000-0000401F0000}"/>
    <cellStyle name="Normal 9 2 3 3 4 3 2" xfId="14558" xr:uid="{A843204C-FDC6-416F-92EA-0D4BD9353C46}"/>
    <cellStyle name="Normal 9 2 3 3 4 4" xfId="10340" xr:uid="{2E7BC705-0954-4F42-8983-4439931CA092}"/>
    <cellStyle name="Normal 9 2 3 3 5" xfId="2234" xr:uid="{00000000-0005-0000-0000-0000411F0000}"/>
    <cellStyle name="Normal 9 2 3 3 5 2" xfId="4463" xr:uid="{00000000-0005-0000-0000-0000421F0000}"/>
    <cellStyle name="Normal 9 2 3 3 5 2 2" xfId="8687" xr:uid="{00000000-0005-0000-0000-0000431F0000}"/>
    <cellStyle name="Normal 9 2 3 3 5 2 2 2" xfId="17116" xr:uid="{5E48FA51-199C-4F6E-93AF-498539AE2E77}"/>
    <cellStyle name="Normal 9 2 3 3 5 2 3" xfId="12898" xr:uid="{F5CB4A92-1808-4A76-8B69-FAE18B3ACB1B}"/>
    <cellStyle name="Normal 9 2 3 3 5 3" xfId="6542" xr:uid="{00000000-0005-0000-0000-0000441F0000}"/>
    <cellStyle name="Normal 9 2 3 3 5 3 2" xfId="14971" xr:uid="{A14DACC5-CBDC-4FDB-B050-E3651541E8D7}"/>
    <cellStyle name="Normal 9 2 3 3 5 4" xfId="10753" xr:uid="{4DF9E220-F7EE-40CC-B96F-BA32DC112FEE}"/>
    <cellStyle name="Normal 9 2 3 3 6" xfId="2670" xr:uid="{00000000-0005-0000-0000-0000451F0000}"/>
    <cellStyle name="Normal 9 2 3 3 6 2" xfId="6955" xr:uid="{00000000-0005-0000-0000-0000461F0000}"/>
    <cellStyle name="Normal 9 2 3 3 6 2 2" xfId="15384" xr:uid="{93724D95-63F8-470A-B237-9A33D9710ACD}"/>
    <cellStyle name="Normal 9 2 3 3 6 3" xfId="11166" xr:uid="{B73B330E-6D8A-43D5-AC80-F99681B18BE5}"/>
    <cellStyle name="Normal 9 2 3 3 7" xfId="4890" xr:uid="{00000000-0005-0000-0000-0000471F0000}"/>
    <cellStyle name="Normal 9 2 3 3 7 2" xfId="13319" xr:uid="{EA18F8EF-AF03-4FA3-92F9-59ECB97B83F2}"/>
    <cellStyle name="Normal 9 2 3 3 8" xfId="9101" xr:uid="{6F5A163A-3820-4038-950C-1E365633AF47}"/>
    <cellStyle name="Normal 9 2 3 4" xfId="988" xr:uid="{00000000-0005-0000-0000-0000481F0000}"/>
    <cellStyle name="Normal 9 2 3 4 2" xfId="3221" xr:uid="{00000000-0005-0000-0000-0000491F0000}"/>
    <cellStyle name="Normal 9 2 3 4 2 2" xfId="7445" xr:uid="{00000000-0005-0000-0000-00004A1F0000}"/>
    <cellStyle name="Normal 9 2 3 4 2 2 2" xfId="15874" xr:uid="{7A4967C5-F1F7-49F6-A597-4E0AD6B82A06}"/>
    <cellStyle name="Normal 9 2 3 4 2 3" xfId="11656" xr:uid="{7B8FC528-2B2E-4FF1-8A15-78620AD86390}"/>
    <cellStyle name="Normal 9 2 3 4 3" xfId="5300" xr:uid="{00000000-0005-0000-0000-00004B1F0000}"/>
    <cellStyle name="Normal 9 2 3 4 3 2" xfId="13729" xr:uid="{6F374696-C6F6-446E-A5EF-2FC6087D3997}"/>
    <cellStyle name="Normal 9 2 3 4 4" xfId="9511" xr:uid="{8ECB9F1B-104A-4449-A12B-B5D7BB0103F5}"/>
    <cellStyle name="Normal 9 2 3 5" xfId="1404" xr:uid="{00000000-0005-0000-0000-00004C1F0000}"/>
    <cellStyle name="Normal 9 2 3 5 2" xfId="3634" xr:uid="{00000000-0005-0000-0000-00004D1F0000}"/>
    <cellStyle name="Normal 9 2 3 5 2 2" xfId="7858" xr:uid="{00000000-0005-0000-0000-00004E1F0000}"/>
    <cellStyle name="Normal 9 2 3 5 2 2 2" xfId="16287" xr:uid="{93D0EC2F-23C5-4474-9A22-5EC4683D3A8C}"/>
    <cellStyle name="Normal 9 2 3 5 2 3" xfId="12069" xr:uid="{C7662D17-81E4-4775-9390-3AB8852A00EC}"/>
    <cellStyle name="Normal 9 2 3 5 3" xfId="5713" xr:uid="{00000000-0005-0000-0000-00004F1F0000}"/>
    <cellStyle name="Normal 9 2 3 5 3 2" xfId="14142" xr:uid="{51C0F614-DB1F-49B5-9482-02E9E4EE1E36}"/>
    <cellStyle name="Normal 9 2 3 5 4" xfId="9924" xr:uid="{20C1D751-F9A0-432B-B633-4635E9642358}"/>
    <cellStyle name="Normal 9 2 3 6" xfId="1817" xr:uid="{00000000-0005-0000-0000-0000501F0000}"/>
    <cellStyle name="Normal 9 2 3 6 2" xfId="4047" xr:uid="{00000000-0005-0000-0000-0000511F0000}"/>
    <cellStyle name="Normal 9 2 3 6 2 2" xfId="8271" xr:uid="{00000000-0005-0000-0000-0000521F0000}"/>
    <cellStyle name="Normal 9 2 3 6 2 2 2" xfId="16700" xr:uid="{A130A720-0DA9-4352-8B1E-889C45038843}"/>
    <cellStyle name="Normal 9 2 3 6 2 3" xfId="12482" xr:uid="{27135C06-4EB4-4A56-9FA9-C4E13793E708}"/>
    <cellStyle name="Normal 9 2 3 6 3" xfId="6126" xr:uid="{00000000-0005-0000-0000-0000531F0000}"/>
    <cellStyle name="Normal 9 2 3 6 3 2" xfId="14555" xr:uid="{8F0652E2-649C-436B-85A6-3ACA61339A20}"/>
    <cellStyle name="Normal 9 2 3 6 4" xfId="10337" xr:uid="{B1F073B8-6725-4586-9442-3098DA440D50}"/>
    <cellStyle name="Normal 9 2 3 7" xfId="2231" xr:uid="{00000000-0005-0000-0000-0000541F0000}"/>
    <cellStyle name="Normal 9 2 3 7 2" xfId="4460" xr:uid="{00000000-0005-0000-0000-0000551F0000}"/>
    <cellStyle name="Normal 9 2 3 7 2 2" xfId="8684" xr:uid="{00000000-0005-0000-0000-0000561F0000}"/>
    <cellStyle name="Normal 9 2 3 7 2 2 2" xfId="17113" xr:uid="{3DE1892F-9B43-48B1-8FCB-5AE8011C7A64}"/>
    <cellStyle name="Normal 9 2 3 7 2 3" xfId="12895" xr:uid="{A6E1F41D-082E-4FBB-BF81-4F52DD23C1FB}"/>
    <cellStyle name="Normal 9 2 3 7 3" xfId="6539" xr:uid="{00000000-0005-0000-0000-0000571F0000}"/>
    <cellStyle name="Normal 9 2 3 7 3 2" xfId="14968" xr:uid="{15EEB760-7CEC-4B5F-9DF4-80779E853E73}"/>
    <cellStyle name="Normal 9 2 3 7 4" xfId="10750" xr:uid="{A6DF4420-E476-4238-9B71-4C937F5F94E0}"/>
    <cellStyle name="Normal 9 2 3 8" xfId="2667" xr:uid="{00000000-0005-0000-0000-0000581F0000}"/>
    <cellStyle name="Normal 9 2 3 8 2" xfId="6952" xr:uid="{00000000-0005-0000-0000-0000591F0000}"/>
    <cellStyle name="Normal 9 2 3 8 2 2" xfId="15381" xr:uid="{9F7DBBC1-6FE4-4B45-ADD3-682F4F147EDF}"/>
    <cellStyle name="Normal 9 2 3 8 3" xfId="11163" xr:uid="{1E7DBFA5-D0DF-4B55-B0A3-A25046F49499}"/>
    <cellStyle name="Normal 9 2 3 9" xfId="4887" xr:uid="{00000000-0005-0000-0000-00005A1F0000}"/>
    <cellStyle name="Normal 9 2 3 9 2" xfId="13316" xr:uid="{046228C1-C8A6-4D77-8C8B-47BDBA5D2F3B}"/>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2 2 2" xfId="15879" xr:uid="{D59D3F37-7173-4C72-8FF3-59A8AB874401}"/>
    <cellStyle name="Normal 9 2 4 2 2 2 3" xfId="11661" xr:uid="{18DD4EDE-564F-44FE-BED5-03DD0A514BCE}"/>
    <cellStyle name="Normal 9 2 4 2 2 3" xfId="5305" xr:uid="{00000000-0005-0000-0000-0000601F0000}"/>
    <cellStyle name="Normal 9 2 4 2 2 3 2" xfId="13734" xr:uid="{CE93ACC7-8D5C-4CD8-B700-2FEEEDB258C2}"/>
    <cellStyle name="Normal 9 2 4 2 2 4" xfId="9516" xr:uid="{3E7E4829-A143-411F-942C-B945291E36EE}"/>
    <cellStyle name="Normal 9 2 4 2 3" xfId="1409" xr:uid="{00000000-0005-0000-0000-0000611F0000}"/>
    <cellStyle name="Normal 9 2 4 2 3 2" xfId="3639" xr:uid="{00000000-0005-0000-0000-0000621F0000}"/>
    <cellStyle name="Normal 9 2 4 2 3 2 2" xfId="7863" xr:uid="{00000000-0005-0000-0000-0000631F0000}"/>
    <cellStyle name="Normal 9 2 4 2 3 2 2 2" xfId="16292" xr:uid="{A6A62D35-99B9-4DC6-82AE-95C4D9286647}"/>
    <cellStyle name="Normal 9 2 4 2 3 2 3" xfId="12074" xr:uid="{0F40DFA6-F584-41B4-9056-B152947F6ECA}"/>
    <cellStyle name="Normal 9 2 4 2 3 3" xfId="5718" xr:uid="{00000000-0005-0000-0000-0000641F0000}"/>
    <cellStyle name="Normal 9 2 4 2 3 3 2" xfId="14147" xr:uid="{3E9570D5-A594-449F-B639-BCC960AFABD9}"/>
    <cellStyle name="Normal 9 2 4 2 3 4" xfId="9929" xr:uid="{65299DAC-5494-438B-A9D1-ED1AB5646B1B}"/>
    <cellStyle name="Normal 9 2 4 2 4" xfId="1822" xr:uid="{00000000-0005-0000-0000-0000651F0000}"/>
    <cellStyle name="Normal 9 2 4 2 4 2" xfId="4052" xr:uid="{00000000-0005-0000-0000-0000661F0000}"/>
    <cellStyle name="Normal 9 2 4 2 4 2 2" xfId="8276" xr:uid="{00000000-0005-0000-0000-0000671F0000}"/>
    <cellStyle name="Normal 9 2 4 2 4 2 2 2" xfId="16705" xr:uid="{376577BA-6B82-41ED-A172-B3DB56F64DB5}"/>
    <cellStyle name="Normal 9 2 4 2 4 2 3" xfId="12487" xr:uid="{836B914B-5C0B-4063-B1B3-C015F50521EC}"/>
    <cellStyle name="Normal 9 2 4 2 4 3" xfId="6131" xr:uid="{00000000-0005-0000-0000-0000681F0000}"/>
    <cellStyle name="Normal 9 2 4 2 4 3 2" xfId="14560" xr:uid="{E33073C8-1469-4199-A7CE-677DF89DAF4A}"/>
    <cellStyle name="Normal 9 2 4 2 4 4" xfId="10342" xr:uid="{D969EF3C-B747-44AC-9647-6C8377792B30}"/>
    <cellStyle name="Normal 9 2 4 2 5" xfId="2236" xr:uid="{00000000-0005-0000-0000-0000691F0000}"/>
    <cellStyle name="Normal 9 2 4 2 5 2" xfId="4465" xr:uid="{00000000-0005-0000-0000-00006A1F0000}"/>
    <cellStyle name="Normal 9 2 4 2 5 2 2" xfId="8689" xr:uid="{00000000-0005-0000-0000-00006B1F0000}"/>
    <cellStyle name="Normal 9 2 4 2 5 2 2 2" xfId="17118" xr:uid="{45A7767D-2121-4E15-955A-EC204C2B758B}"/>
    <cellStyle name="Normal 9 2 4 2 5 2 3" xfId="12900" xr:uid="{84F56FD9-874C-411A-9054-D43070451572}"/>
    <cellStyle name="Normal 9 2 4 2 5 3" xfId="6544" xr:uid="{00000000-0005-0000-0000-00006C1F0000}"/>
    <cellStyle name="Normal 9 2 4 2 5 3 2" xfId="14973" xr:uid="{7AD6916C-74C5-4B22-896F-90576B4415FB}"/>
    <cellStyle name="Normal 9 2 4 2 5 4" xfId="10755" xr:uid="{1E499180-E605-43DB-B969-3153AB10139E}"/>
    <cellStyle name="Normal 9 2 4 2 6" xfId="2672" xr:uid="{00000000-0005-0000-0000-00006D1F0000}"/>
    <cellStyle name="Normal 9 2 4 2 6 2" xfId="6957" xr:uid="{00000000-0005-0000-0000-00006E1F0000}"/>
    <cellStyle name="Normal 9 2 4 2 6 2 2" xfId="15386" xr:uid="{83749B98-9D34-4509-A244-91D7E1E532A9}"/>
    <cellStyle name="Normal 9 2 4 2 6 3" xfId="11168" xr:uid="{12F9A14F-1A89-4210-8348-D2A2F260AA33}"/>
    <cellStyle name="Normal 9 2 4 2 7" xfId="4892" xr:uid="{00000000-0005-0000-0000-00006F1F0000}"/>
    <cellStyle name="Normal 9 2 4 2 7 2" xfId="13321" xr:uid="{2DDDB93F-2522-4735-A6CD-496457CA0000}"/>
    <cellStyle name="Normal 9 2 4 2 8" xfId="9103" xr:uid="{F87F2B1C-CC95-442E-AFDB-62F169AD10E5}"/>
    <cellStyle name="Normal 9 2 4 3" xfId="992" xr:uid="{00000000-0005-0000-0000-0000701F0000}"/>
    <cellStyle name="Normal 9 2 4 3 2" xfId="3225" xr:uid="{00000000-0005-0000-0000-0000711F0000}"/>
    <cellStyle name="Normal 9 2 4 3 2 2" xfId="7449" xr:uid="{00000000-0005-0000-0000-0000721F0000}"/>
    <cellStyle name="Normal 9 2 4 3 2 2 2" xfId="15878" xr:uid="{9F9148F0-4DBB-4CC8-9E23-F67A722F9E7C}"/>
    <cellStyle name="Normal 9 2 4 3 2 3" xfId="11660" xr:uid="{CE859C4B-80C9-4C6B-BECC-8677A88720A7}"/>
    <cellStyle name="Normal 9 2 4 3 3" xfId="5304" xr:uid="{00000000-0005-0000-0000-0000731F0000}"/>
    <cellStyle name="Normal 9 2 4 3 3 2" xfId="13733" xr:uid="{8773E1EF-A340-41B8-B936-5933895E79D9}"/>
    <cellStyle name="Normal 9 2 4 3 4" xfId="9515" xr:uid="{F8C46E1C-5B57-489E-9D40-5BC40CB5F129}"/>
    <cellStyle name="Normal 9 2 4 4" xfId="1408" xr:uid="{00000000-0005-0000-0000-0000741F0000}"/>
    <cellStyle name="Normal 9 2 4 4 2" xfId="3638" xr:uid="{00000000-0005-0000-0000-0000751F0000}"/>
    <cellStyle name="Normal 9 2 4 4 2 2" xfId="7862" xr:uid="{00000000-0005-0000-0000-0000761F0000}"/>
    <cellStyle name="Normal 9 2 4 4 2 2 2" xfId="16291" xr:uid="{397A3B89-CDCA-4C46-BF2A-26C80A651E4B}"/>
    <cellStyle name="Normal 9 2 4 4 2 3" xfId="12073" xr:uid="{455ACA8A-702E-4203-BF35-9C0DD42069A9}"/>
    <cellStyle name="Normal 9 2 4 4 3" xfId="5717" xr:uid="{00000000-0005-0000-0000-0000771F0000}"/>
    <cellStyle name="Normal 9 2 4 4 3 2" xfId="14146" xr:uid="{65BF4827-8D42-4015-BFEA-DE9944C2440E}"/>
    <cellStyle name="Normal 9 2 4 4 4" xfId="9928" xr:uid="{7A3BD2B2-2422-46F3-99B2-1CE8B7736EFF}"/>
    <cellStyle name="Normal 9 2 4 5" xfId="1821" xr:uid="{00000000-0005-0000-0000-0000781F0000}"/>
    <cellStyle name="Normal 9 2 4 5 2" xfId="4051" xr:uid="{00000000-0005-0000-0000-0000791F0000}"/>
    <cellStyle name="Normal 9 2 4 5 2 2" xfId="8275" xr:uid="{00000000-0005-0000-0000-00007A1F0000}"/>
    <cellStyle name="Normal 9 2 4 5 2 2 2" xfId="16704" xr:uid="{22E844A9-3953-4A82-A543-C65A69DF8E0B}"/>
    <cellStyle name="Normal 9 2 4 5 2 3" xfId="12486" xr:uid="{55B71D1C-11E4-44E7-A7C8-F6DA522EB784}"/>
    <cellStyle name="Normal 9 2 4 5 3" xfId="6130" xr:uid="{00000000-0005-0000-0000-00007B1F0000}"/>
    <cellStyle name="Normal 9 2 4 5 3 2" xfId="14559" xr:uid="{E1063917-EC18-4075-A4E1-F41835506F87}"/>
    <cellStyle name="Normal 9 2 4 5 4" xfId="10341" xr:uid="{F1873B3E-4DB9-40D1-A8D2-AD4DA42EACF8}"/>
    <cellStyle name="Normal 9 2 4 6" xfId="2235" xr:uid="{00000000-0005-0000-0000-00007C1F0000}"/>
    <cellStyle name="Normal 9 2 4 6 2" xfId="4464" xr:uid="{00000000-0005-0000-0000-00007D1F0000}"/>
    <cellStyle name="Normal 9 2 4 6 2 2" xfId="8688" xr:uid="{00000000-0005-0000-0000-00007E1F0000}"/>
    <cellStyle name="Normal 9 2 4 6 2 2 2" xfId="17117" xr:uid="{B43763DC-8354-4447-A7F3-ACFE632C3C6B}"/>
    <cellStyle name="Normal 9 2 4 6 2 3" xfId="12899" xr:uid="{54FABA30-F036-4FDB-A973-AE57F9D6F3EB}"/>
    <cellStyle name="Normal 9 2 4 6 3" xfId="6543" xr:uid="{00000000-0005-0000-0000-00007F1F0000}"/>
    <cellStyle name="Normal 9 2 4 6 3 2" xfId="14972" xr:uid="{A9280006-6F54-42ED-9086-29EC50B5488C}"/>
    <cellStyle name="Normal 9 2 4 6 4" xfId="10754" xr:uid="{CCB2FEE4-9101-417A-9872-02F3242ADD92}"/>
    <cellStyle name="Normal 9 2 4 7" xfId="2671" xr:uid="{00000000-0005-0000-0000-0000801F0000}"/>
    <cellStyle name="Normal 9 2 4 7 2" xfId="6956" xr:uid="{00000000-0005-0000-0000-0000811F0000}"/>
    <cellStyle name="Normal 9 2 4 7 2 2" xfId="15385" xr:uid="{2F35B4EB-8BBB-45C0-A52E-202AD9748D36}"/>
    <cellStyle name="Normal 9 2 4 7 3" xfId="11167" xr:uid="{21F2D4D8-0B9D-4C83-8B38-0193C8027807}"/>
    <cellStyle name="Normal 9 2 4 8" xfId="4891" xr:uid="{00000000-0005-0000-0000-0000821F0000}"/>
    <cellStyle name="Normal 9 2 4 8 2" xfId="13320" xr:uid="{82D07B8D-C0E5-4342-AF61-E672FCD0F45D}"/>
    <cellStyle name="Normal 9 2 4 9" xfId="9102" xr:uid="{316F1233-F449-4F5E-BDD6-61DA13702179}"/>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2 2 2" xfId="15880" xr:uid="{8194F407-641F-42F0-B3D9-1FF5D6FAA55D}"/>
    <cellStyle name="Normal 9 2 5 2 2 3" xfId="11662" xr:uid="{EFDA33DB-C570-4F0A-AC3B-28C23DE24FA1}"/>
    <cellStyle name="Normal 9 2 5 2 3" xfId="5306" xr:uid="{00000000-0005-0000-0000-0000871F0000}"/>
    <cellStyle name="Normal 9 2 5 2 3 2" xfId="13735" xr:uid="{A562639A-A09F-4C8E-90F3-0F32E29F8CD6}"/>
    <cellStyle name="Normal 9 2 5 2 4" xfId="9517" xr:uid="{D2BB4A94-9293-48B4-917E-FEBD8B8DABD0}"/>
    <cellStyle name="Normal 9 2 5 3" xfId="1410" xr:uid="{00000000-0005-0000-0000-0000881F0000}"/>
    <cellStyle name="Normal 9 2 5 3 2" xfId="3640" xr:uid="{00000000-0005-0000-0000-0000891F0000}"/>
    <cellStyle name="Normal 9 2 5 3 2 2" xfId="7864" xr:uid="{00000000-0005-0000-0000-00008A1F0000}"/>
    <cellStyle name="Normal 9 2 5 3 2 2 2" xfId="16293" xr:uid="{49877699-318E-4A79-9B3F-EBE72B72A560}"/>
    <cellStyle name="Normal 9 2 5 3 2 3" xfId="12075" xr:uid="{B2A26168-7774-42AE-8C05-3059308D2447}"/>
    <cellStyle name="Normal 9 2 5 3 3" xfId="5719" xr:uid="{00000000-0005-0000-0000-00008B1F0000}"/>
    <cellStyle name="Normal 9 2 5 3 3 2" xfId="14148" xr:uid="{3B5669ED-3831-45F6-BC63-6DBF4AABE2F0}"/>
    <cellStyle name="Normal 9 2 5 3 4" xfId="9930" xr:uid="{64EE87A2-656C-4101-B2DB-2CEF4EF3824A}"/>
    <cellStyle name="Normal 9 2 5 4" xfId="1823" xr:uid="{00000000-0005-0000-0000-00008C1F0000}"/>
    <cellStyle name="Normal 9 2 5 4 2" xfId="4053" xr:uid="{00000000-0005-0000-0000-00008D1F0000}"/>
    <cellStyle name="Normal 9 2 5 4 2 2" xfId="8277" xr:uid="{00000000-0005-0000-0000-00008E1F0000}"/>
    <cellStyle name="Normal 9 2 5 4 2 2 2" xfId="16706" xr:uid="{20D03C5C-80EA-4D61-8AB1-92BE1717840A}"/>
    <cellStyle name="Normal 9 2 5 4 2 3" xfId="12488" xr:uid="{6FB3367A-CDDF-4CA3-9E9F-F245C7C864B4}"/>
    <cellStyle name="Normal 9 2 5 4 3" xfId="6132" xr:uid="{00000000-0005-0000-0000-00008F1F0000}"/>
    <cellStyle name="Normal 9 2 5 4 3 2" xfId="14561" xr:uid="{7A74466F-07D4-4AC6-B2FA-25F10E8EE8A2}"/>
    <cellStyle name="Normal 9 2 5 4 4" xfId="10343" xr:uid="{03DA1AD6-6B61-460D-8C53-003F7C710FCA}"/>
    <cellStyle name="Normal 9 2 5 5" xfId="2237" xr:uid="{00000000-0005-0000-0000-0000901F0000}"/>
    <cellStyle name="Normal 9 2 5 5 2" xfId="4466" xr:uid="{00000000-0005-0000-0000-0000911F0000}"/>
    <cellStyle name="Normal 9 2 5 5 2 2" xfId="8690" xr:uid="{00000000-0005-0000-0000-0000921F0000}"/>
    <cellStyle name="Normal 9 2 5 5 2 2 2" xfId="17119" xr:uid="{AD8396C2-D79A-4A99-AADE-2D98C603B14A}"/>
    <cellStyle name="Normal 9 2 5 5 2 3" xfId="12901" xr:uid="{45CD255A-A6E9-4B5D-B341-8DD7373C462E}"/>
    <cellStyle name="Normal 9 2 5 5 3" xfId="6545" xr:uid="{00000000-0005-0000-0000-0000931F0000}"/>
    <cellStyle name="Normal 9 2 5 5 3 2" xfId="14974" xr:uid="{D8C2A988-5F7D-4015-AF9A-7B6F2E4FD75D}"/>
    <cellStyle name="Normal 9 2 5 5 4" xfId="10756" xr:uid="{AE852C56-65E3-430D-A883-D6A19A355C44}"/>
    <cellStyle name="Normal 9 2 5 6" xfId="2673" xr:uid="{00000000-0005-0000-0000-0000941F0000}"/>
    <cellStyle name="Normal 9 2 5 6 2" xfId="6958" xr:uid="{00000000-0005-0000-0000-0000951F0000}"/>
    <cellStyle name="Normal 9 2 5 6 2 2" xfId="15387" xr:uid="{6663D17F-9ABB-4F32-BF0B-1A73F2E65B09}"/>
    <cellStyle name="Normal 9 2 5 6 3" xfId="11169" xr:uid="{598A17CF-8D8B-42FA-84B4-742C49E84C08}"/>
    <cellStyle name="Normal 9 2 5 7" xfId="4893" xr:uid="{00000000-0005-0000-0000-0000961F0000}"/>
    <cellStyle name="Normal 9 2 5 7 2" xfId="13322" xr:uid="{967DF8C9-E9EB-4483-A6CD-0CFEDFAF5712}"/>
    <cellStyle name="Normal 9 2 5 8" xfId="9104" xr:uid="{79F3D0F8-C26D-4940-AD0B-148EFF3F1677}"/>
    <cellStyle name="Normal 9 2 6" xfId="979" xr:uid="{00000000-0005-0000-0000-0000971F0000}"/>
    <cellStyle name="Normal 9 2 6 2" xfId="3212" xr:uid="{00000000-0005-0000-0000-0000981F0000}"/>
    <cellStyle name="Normal 9 2 6 2 2" xfId="7436" xr:uid="{00000000-0005-0000-0000-0000991F0000}"/>
    <cellStyle name="Normal 9 2 6 2 2 2" xfId="15865" xr:uid="{03643A43-A13F-4B62-8E69-C18A20D95AA3}"/>
    <cellStyle name="Normal 9 2 6 2 3" xfId="11647" xr:uid="{96EDB5A2-AED7-407A-8FE4-49AC7AC957D9}"/>
    <cellStyle name="Normal 9 2 6 3" xfId="5291" xr:uid="{00000000-0005-0000-0000-00009A1F0000}"/>
    <cellStyle name="Normal 9 2 6 3 2" xfId="13720" xr:uid="{1C4E0414-E1B8-42A2-9546-DE16B8996D9F}"/>
    <cellStyle name="Normal 9 2 6 4" xfId="9502" xr:uid="{4A0B190C-9DC5-41CB-AA83-8AB92F473906}"/>
    <cellStyle name="Normal 9 2 7" xfId="1395" xr:uid="{00000000-0005-0000-0000-00009B1F0000}"/>
    <cellStyle name="Normal 9 2 7 2" xfId="3625" xr:uid="{00000000-0005-0000-0000-00009C1F0000}"/>
    <cellStyle name="Normal 9 2 7 2 2" xfId="7849" xr:uid="{00000000-0005-0000-0000-00009D1F0000}"/>
    <cellStyle name="Normal 9 2 7 2 2 2" xfId="16278" xr:uid="{82849FD2-D6F0-45DB-8A4E-ADF0244241C9}"/>
    <cellStyle name="Normal 9 2 7 2 3" xfId="12060" xr:uid="{106E572C-3F4D-489B-A2A9-6084DFD59AA2}"/>
    <cellStyle name="Normal 9 2 7 3" xfId="5704" xr:uid="{00000000-0005-0000-0000-00009E1F0000}"/>
    <cellStyle name="Normal 9 2 7 3 2" xfId="14133" xr:uid="{EA79529C-F906-43DE-9DCF-5B4B2F4C928A}"/>
    <cellStyle name="Normal 9 2 7 4" xfId="9915" xr:uid="{B6B863B5-5A12-42FE-9064-67A4EBB30079}"/>
    <cellStyle name="Normal 9 2 8" xfId="1808" xr:uid="{00000000-0005-0000-0000-00009F1F0000}"/>
    <cellStyle name="Normal 9 2 8 2" xfId="4038" xr:uid="{00000000-0005-0000-0000-0000A01F0000}"/>
    <cellStyle name="Normal 9 2 8 2 2" xfId="8262" xr:uid="{00000000-0005-0000-0000-0000A11F0000}"/>
    <cellStyle name="Normal 9 2 8 2 2 2" xfId="16691" xr:uid="{E7C3F623-68B0-4B6E-890C-CDDA838A2F09}"/>
    <cellStyle name="Normal 9 2 8 2 3" xfId="12473" xr:uid="{42CA0734-E9E4-4A71-A27E-A7BA3529F61D}"/>
    <cellStyle name="Normal 9 2 8 3" xfId="6117" xr:uid="{00000000-0005-0000-0000-0000A21F0000}"/>
    <cellStyle name="Normal 9 2 8 3 2" xfId="14546" xr:uid="{30EE0C75-C38F-44F1-8BE3-4D8B3A8BD3D1}"/>
    <cellStyle name="Normal 9 2 8 4" xfId="10328" xr:uid="{D14FBD92-1BF0-4CD1-A458-D015CF32C59C}"/>
    <cellStyle name="Normal 9 2 9" xfId="2222" xr:uid="{00000000-0005-0000-0000-0000A31F0000}"/>
    <cellStyle name="Normal 9 2 9 2" xfId="4451" xr:uid="{00000000-0005-0000-0000-0000A41F0000}"/>
    <cellStyle name="Normal 9 2 9 2 2" xfId="8675" xr:uid="{00000000-0005-0000-0000-0000A51F0000}"/>
    <cellStyle name="Normal 9 2 9 2 2 2" xfId="17104" xr:uid="{54EF9852-8DE3-4CD7-B1F3-46E638ADB05F}"/>
    <cellStyle name="Normal 9 2 9 2 3" xfId="12886" xr:uid="{DFF979AF-F4C7-445D-AA40-6E52381359C6}"/>
    <cellStyle name="Normal 9 2 9 3" xfId="6530" xr:uid="{00000000-0005-0000-0000-0000A61F0000}"/>
    <cellStyle name="Normal 9 2 9 3 2" xfId="14959" xr:uid="{CB9249C6-D481-4736-9833-514825D89C5E}"/>
    <cellStyle name="Normal 9 2 9 4" xfId="10741" xr:uid="{0DCE4EA2-865B-436F-9546-5CDAD7A7B8F0}"/>
    <cellStyle name="Normal 9 3" xfId="527" xr:uid="{00000000-0005-0000-0000-0000A71F0000}"/>
    <cellStyle name="Normal 9 3 10" xfId="4894" xr:uid="{00000000-0005-0000-0000-0000A81F0000}"/>
    <cellStyle name="Normal 9 3 10 2" xfId="13323" xr:uid="{AF84A1A3-954E-463A-A94B-AA990BD9FD55}"/>
    <cellStyle name="Normal 9 3 11" xfId="9105" xr:uid="{E6495311-2139-4CD6-9AF6-EADE1792817A}"/>
    <cellStyle name="Normal 9 3 2" xfId="528" xr:uid="{00000000-0005-0000-0000-0000A91F0000}"/>
    <cellStyle name="Normal 9 3 2 10" xfId="9106" xr:uid="{58BB37B1-AB08-4393-B42F-4EC436F1EC91}"/>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2 2 2" xfId="15884" xr:uid="{4FDCCFF6-4469-4C32-8859-3C632D7ACA16}"/>
    <cellStyle name="Normal 9 3 2 2 2 2 2 3" xfId="11666" xr:uid="{62FABD64-2A48-45AA-AABD-3320DF632DB7}"/>
    <cellStyle name="Normal 9 3 2 2 2 2 3" xfId="5310" xr:uid="{00000000-0005-0000-0000-0000AF1F0000}"/>
    <cellStyle name="Normal 9 3 2 2 2 2 3 2" xfId="13739" xr:uid="{A57911C1-D399-418F-BBFD-F1A72EEF7F75}"/>
    <cellStyle name="Normal 9 3 2 2 2 2 4" xfId="9521" xr:uid="{12585A1F-3456-4C7B-94D2-D83AE62D76A5}"/>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2 2 2" xfId="16297" xr:uid="{4DF9A673-FB6C-4057-B9C9-41A6EDBD6ED6}"/>
    <cellStyle name="Normal 9 3 2 2 2 3 2 3" xfId="12079" xr:uid="{8781C364-D954-4AF3-90FC-153D79B0C751}"/>
    <cellStyle name="Normal 9 3 2 2 2 3 3" xfId="5723" xr:uid="{00000000-0005-0000-0000-0000B31F0000}"/>
    <cellStyle name="Normal 9 3 2 2 2 3 3 2" xfId="14152" xr:uid="{5A9890BF-4F8B-42F3-82E5-D31C1D285AB0}"/>
    <cellStyle name="Normal 9 3 2 2 2 3 4" xfId="9934" xr:uid="{ACAEC38A-FF8A-4DC2-A1FC-0DDE8C1000D3}"/>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2 2 2" xfId="16710" xr:uid="{8144C658-68A8-45AB-AA41-81241687FBE3}"/>
    <cellStyle name="Normal 9 3 2 2 2 4 2 3" xfId="12492" xr:uid="{62A61DD1-62C1-4E2C-8A59-67DF9C4CAA42}"/>
    <cellStyle name="Normal 9 3 2 2 2 4 3" xfId="6136" xr:uid="{00000000-0005-0000-0000-0000B71F0000}"/>
    <cellStyle name="Normal 9 3 2 2 2 4 3 2" xfId="14565" xr:uid="{64E3A474-F7B0-4560-823E-1495EA79CD73}"/>
    <cellStyle name="Normal 9 3 2 2 2 4 4" xfId="10347" xr:uid="{82BCA3A6-629F-45E6-8595-3CF603C3349D}"/>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2 2 2" xfId="17123" xr:uid="{EA270F62-9955-4AC7-8424-B9CE9EFDAF66}"/>
    <cellStyle name="Normal 9 3 2 2 2 5 2 3" xfId="12905" xr:uid="{64C1E31D-051E-4814-ABC4-2AC29A658538}"/>
    <cellStyle name="Normal 9 3 2 2 2 5 3" xfId="6549" xr:uid="{00000000-0005-0000-0000-0000BB1F0000}"/>
    <cellStyle name="Normal 9 3 2 2 2 5 3 2" xfId="14978" xr:uid="{B465B7C1-99E1-4284-9C71-0A54EA4D25B5}"/>
    <cellStyle name="Normal 9 3 2 2 2 5 4" xfId="10760" xr:uid="{E9AC0992-6384-465E-9E5C-630B7B1CE4C5}"/>
    <cellStyle name="Normal 9 3 2 2 2 6" xfId="2677" xr:uid="{00000000-0005-0000-0000-0000BC1F0000}"/>
    <cellStyle name="Normal 9 3 2 2 2 6 2" xfId="6962" xr:uid="{00000000-0005-0000-0000-0000BD1F0000}"/>
    <cellStyle name="Normal 9 3 2 2 2 6 2 2" xfId="15391" xr:uid="{04B3FC3E-76E8-4080-AFD6-B12B61A747A2}"/>
    <cellStyle name="Normal 9 3 2 2 2 6 3" xfId="11173" xr:uid="{7CC9470A-AF9D-4346-9C43-3EF327366374}"/>
    <cellStyle name="Normal 9 3 2 2 2 7" xfId="4897" xr:uid="{00000000-0005-0000-0000-0000BE1F0000}"/>
    <cellStyle name="Normal 9 3 2 2 2 7 2" xfId="13326" xr:uid="{BEA08BD3-980F-4B9A-B682-0685D3C5A700}"/>
    <cellStyle name="Normal 9 3 2 2 2 8" xfId="9108" xr:uid="{9C9571D3-F3A9-4700-8483-6035F1C83BF4}"/>
    <cellStyle name="Normal 9 3 2 2 3" xfId="997" xr:uid="{00000000-0005-0000-0000-0000BF1F0000}"/>
    <cellStyle name="Normal 9 3 2 2 3 2" xfId="3230" xr:uid="{00000000-0005-0000-0000-0000C01F0000}"/>
    <cellStyle name="Normal 9 3 2 2 3 2 2" xfId="7454" xr:uid="{00000000-0005-0000-0000-0000C11F0000}"/>
    <cellStyle name="Normal 9 3 2 2 3 2 2 2" xfId="15883" xr:uid="{BDD1E700-C3BF-44D8-BEEC-302A110E25B4}"/>
    <cellStyle name="Normal 9 3 2 2 3 2 3" xfId="11665" xr:uid="{6D31DE1C-8DAF-4349-9554-AA50D7A994DC}"/>
    <cellStyle name="Normal 9 3 2 2 3 3" xfId="5309" xr:uid="{00000000-0005-0000-0000-0000C21F0000}"/>
    <cellStyle name="Normal 9 3 2 2 3 3 2" xfId="13738" xr:uid="{3A7F92AD-F03A-4544-9CD9-19747DDE4AB4}"/>
    <cellStyle name="Normal 9 3 2 2 3 4" xfId="9520" xr:uid="{2F5366DF-B148-4DBC-B04B-690E551BA871}"/>
    <cellStyle name="Normal 9 3 2 2 4" xfId="1413" xr:uid="{00000000-0005-0000-0000-0000C31F0000}"/>
    <cellStyle name="Normal 9 3 2 2 4 2" xfId="3643" xr:uid="{00000000-0005-0000-0000-0000C41F0000}"/>
    <cellStyle name="Normal 9 3 2 2 4 2 2" xfId="7867" xr:uid="{00000000-0005-0000-0000-0000C51F0000}"/>
    <cellStyle name="Normal 9 3 2 2 4 2 2 2" xfId="16296" xr:uid="{2487D515-20C9-4093-9011-3FA8E283F211}"/>
    <cellStyle name="Normal 9 3 2 2 4 2 3" xfId="12078" xr:uid="{13355C0D-D3D0-4CC1-8490-D7132CDE74B2}"/>
    <cellStyle name="Normal 9 3 2 2 4 3" xfId="5722" xr:uid="{00000000-0005-0000-0000-0000C61F0000}"/>
    <cellStyle name="Normal 9 3 2 2 4 3 2" xfId="14151" xr:uid="{A47A537B-7D7F-4753-91CE-E749C0200184}"/>
    <cellStyle name="Normal 9 3 2 2 4 4" xfId="9933" xr:uid="{41FC11A6-EB28-4FAA-8C9D-87FF545E4886}"/>
    <cellStyle name="Normal 9 3 2 2 5" xfId="1826" xr:uid="{00000000-0005-0000-0000-0000C71F0000}"/>
    <cellStyle name="Normal 9 3 2 2 5 2" xfId="4056" xr:uid="{00000000-0005-0000-0000-0000C81F0000}"/>
    <cellStyle name="Normal 9 3 2 2 5 2 2" xfId="8280" xr:uid="{00000000-0005-0000-0000-0000C91F0000}"/>
    <cellStyle name="Normal 9 3 2 2 5 2 2 2" xfId="16709" xr:uid="{94D4FE3A-AE1B-4012-946E-5BA1C4BE3A7F}"/>
    <cellStyle name="Normal 9 3 2 2 5 2 3" xfId="12491" xr:uid="{8B005197-0669-459F-91B5-FD35BC8E66B1}"/>
    <cellStyle name="Normal 9 3 2 2 5 3" xfId="6135" xr:uid="{00000000-0005-0000-0000-0000CA1F0000}"/>
    <cellStyle name="Normal 9 3 2 2 5 3 2" xfId="14564" xr:uid="{573A3046-93AF-43C6-B2B6-81517A5BBFBC}"/>
    <cellStyle name="Normal 9 3 2 2 5 4" xfId="10346" xr:uid="{5900ACC9-FE3A-46BA-BB83-8DFAD812F9B7}"/>
    <cellStyle name="Normal 9 3 2 2 6" xfId="2240" xr:uid="{00000000-0005-0000-0000-0000CB1F0000}"/>
    <cellStyle name="Normal 9 3 2 2 6 2" xfId="4469" xr:uid="{00000000-0005-0000-0000-0000CC1F0000}"/>
    <cellStyle name="Normal 9 3 2 2 6 2 2" xfId="8693" xr:uid="{00000000-0005-0000-0000-0000CD1F0000}"/>
    <cellStyle name="Normal 9 3 2 2 6 2 2 2" xfId="17122" xr:uid="{6F5954E9-8D40-40DF-9C0E-D2DA0B12DA19}"/>
    <cellStyle name="Normal 9 3 2 2 6 2 3" xfId="12904" xr:uid="{E3F9DCF6-206B-4EAE-9A7B-5B898C132060}"/>
    <cellStyle name="Normal 9 3 2 2 6 3" xfId="6548" xr:uid="{00000000-0005-0000-0000-0000CE1F0000}"/>
    <cellStyle name="Normal 9 3 2 2 6 3 2" xfId="14977" xr:uid="{0DF88F86-FDBF-4299-A3AC-2337A7AFBE26}"/>
    <cellStyle name="Normal 9 3 2 2 6 4" xfId="10759" xr:uid="{8FEAD77A-9E98-44B2-B461-F3F509418369}"/>
    <cellStyle name="Normal 9 3 2 2 7" xfId="2676" xr:uid="{00000000-0005-0000-0000-0000CF1F0000}"/>
    <cellStyle name="Normal 9 3 2 2 7 2" xfId="6961" xr:uid="{00000000-0005-0000-0000-0000D01F0000}"/>
    <cellStyle name="Normal 9 3 2 2 7 2 2" xfId="15390" xr:uid="{23134A28-3EFE-4DC2-B3A3-ECA9A935576C}"/>
    <cellStyle name="Normal 9 3 2 2 7 3" xfId="11172" xr:uid="{3CC3FBD7-E033-41EE-B04B-B73C46073DBE}"/>
    <cellStyle name="Normal 9 3 2 2 8" xfId="4896" xr:uid="{00000000-0005-0000-0000-0000D11F0000}"/>
    <cellStyle name="Normal 9 3 2 2 8 2" xfId="13325" xr:uid="{A2E3CBEB-089E-433B-923E-18B7E731FEF0}"/>
    <cellStyle name="Normal 9 3 2 2 9" xfId="9107" xr:uid="{614D4CD0-0E85-4003-B55F-AE8329CD4F6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2 2 2" xfId="15885" xr:uid="{1C51089C-9858-4192-B671-61CB0BA48202}"/>
    <cellStyle name="Normal 9 3 2 3 2 2 3" xfId="11667" xr:uid="{517D34A6-A1F3-4A0A-9C41-9F6322E007EF}"/>
    <cellStyle name="Normal 9 3 2 3 2 3" xfId="5311" xr:uid="{00000000-0005-0000-0000-0000D61F0000}"/>
    <cellStyle name="Normal 9 3 2 3 2 3 2" xfId="13740" xr:uid="{D755A1AB-A200-4032-B935-CEEF53CC4E73}"/>
    <cellStyle name="Normal 9 3 2 3 2 4" xfId="9522" xr:uid="{EA20ED1F-93A5-49A6-9EF2-551C250AB47C}"/>
    <cellStyle name="Normal 9 3 2 3 3" xfId="1415" xr:uid="{00000000-0005-0000-0000-0000D71F0000}"/>
    <cellStyle name="Normal 9 3 2 3 3 2" xfId="3645" xr:uid="{00000000-0005-0000-0000-0000D81F0000}"/>
    <cellStyle name="Normal 9 3 2 3 3 2 2" xfId="7869" xr:uid="{00000000-0005-0000-0000-0000D91F0000}"/>
    <cellStyle name="Normal 9 3 2 3 3 2 2 2" xfId="16298" xr:uid="{8C8F7755-6267-4A78-8639-6FEB601824C9}"/>
    <cellStyle name="Normal 9 3 2 3 3 2 3" xfId="12080" xr:uid="{D4FF667A-193C-472E-8E7B-0DBD95C32418}"/>
    <cellStyle name="Normal 9 3 2 3 3 3" xfId="5724" xr:uid="{00000000-0005-0000-0000-0000DA1F0000}"/>
    <cellStyle name="Normal 9 3 2 3 3 3 2" xfId="14153" xr:uid="{9FAE084D-CBDB-494F-A5EE-6715A2D6E77F}"/>
    <cellStyle name="Normal 9 3 2 3 3 4" xfId="9935" xr:uid="{765BB261-B4D9-4372-BCD5-ACEBD1E67AB9}"/>
    <cellStyle name="Normal 9 3 2 3 4" xfId="1828" xr:uid="{00000000-0005-0000-0000-0000DB1F0000}"/>
    <cellStyle name="Normal 9 3 2 3 4 2" xfId="4058" xr:uid="{00000000-0005-0000-0000-0000DC1F0000}"/>
    <cellStyle name="Normal 9 3 2 3 4 2 2" xfId="8282" xr:uid="{00000000-0005-0000-0000-0000DD1F0000}"/>
    <cellStyle name="Normal 9 3 2 3 4 2 2 2" xfId="16711" xr:uid="{EC72409C-CE16-4522-A167-BE812ACE8A44}"/>
    <cellStyle name="Normal 9 3 2 3 4 2 3" xfId="12493" xr:uid="{8D453BC2-E874-4408-B9CA-C5A4E2B51819}"/>
    <cellStyle name="Normal 9 3 2 3 4 3" xfId="6137" xr:uid="{00000000-0005-0000-0000-0000DE1F0000}"/>
    <cellStyle name="Normal 9 3 2 3 4 3 2" xfId="14566" xr:uid="{80A8ED7D-5753-466B-9FE2-6D12CD1BAE93}"/>
    <cellStyle name="Normal 9 3 2 3 4 4" xfId="10348" xr:uid="{728848A7-494C-47B1-8310-E0A46E919D67}"/>
    <cellStyle name="Normal 9 3 2 3 5" xfId="2242" xr:uid="{00000000-0005-0000-0000-0000DF1F0000}"/>
    <cellStyle name="Normal 9 3 2 3 5 2" xfId="4471" xr:uid="{00000000-0005-0000-0000-0000E01F0000}"/>
    <cellStyle name="Normal 9 3 2 3 5 2 2" xfId="8695" xr:uid="{00000000-0005-0000-0000-0000E11F0000}"/>
    <cellStyle name="Normal 9 3 2 3 5 2 2 2" xfId="17124" xr:uid="{158C57DD-3C89-4BCF-AE23-70202F0FB0FE}"/>
    <cellStyle name="Normal 9 3 2 3 5 2 3" xfId="12906" xr:uid="{AF7DEF30-9713-4414-AA31-02CDBED874F7}"/>
    <cellStyle name="Normal 9 3 2 3 5 3" xfId="6550" xr:uid="{00000000-0005-0000-0000-0000E21F0000}"/>
    <cellStyle name="Normal 9 3 2 3 5 3 2" xfId="14979" xr:uid="{4CD9146C-C93D-4424-909F-A12C76C61E11}"/>
    <cellStyle name="Normal 9 3 2 3 5 4" xfId="10761" xr:uid="{D04FA727-81A7-4133-ADA0-850327230742}"/>
    <cellStyle name="Normal 9 3 2 3 6" xfId="2678" xr:uid="{00000000-0005-0000-0000-0000E31F0000}"/>
    <cellStyle name="Normal 9 3 2 3 6 2" xfId="6963" xr:uid="{00000000-0005-0000-0000-0000E41F0000}"/>
    <cellStyle name="Normal 9 3 2 3 6 2 2" xfId="15392" xr:uid="{17A1B094-9740-4819-A83D-3E82719EA32C}"/>
    <cellStyle name="Normal 9 3 2 3 6 3" xfId="11174" xr:uid="{60CDD8DA-E608-4E38-B6A0-84062E01BB2F}"/>
    <cellStyle name="Normal 9 3 2 3 7" xfId="4898" xr:uid="{00000000-0005-0000-0000-0000E51F0000}"/>
    <cellStyle name="Normal 9 3 2 3 7 2" xfId="13327" xr:uid="{A6E19CA5-00EF-4314-BE12-EB5FC5D8E480}"/>
    <cellStyle name="Normal 9 3 2 3 8" xfId="9109" xr:uid="{FFBCC64C-5B4F-4F37-ADAB-363DEECC3897}"/>
    <cellStyle name="Normal 9 3 2 4" xfId="996" xr:uid="{00000000-0005-0000-0000-0000E61F0000}"/>
    <cellStyle name="Normal 9 3 2 4 2" xfId="3229" xr:uid="{00000000-0005-0000-0000-0000E71F0000}"/>
    <cellStyle name="Normal 9 3 2 4 2 2" xfId="7453" xr:uid="{00000000-0005-0000-0000-0000E81F0000}"/>
    <cellStyle name="Normal 9 3 2 4 2 2 2" xfId="15882" xr:uid="{3F8F7962-99E2-4156-BF2A-64BE976808CF}"/>
    <cellStyle name="Normal 9 3 2 4 2 3" xfId="11664" xr:uid="{1D8A310B-1558-40D9-8A6E-2ED0F06757A2}"/>
    <cellStyle name="Normal 9 3 2 4 3" xfId="5308" xr:uid="{00000000-0005-0000-0000-0000E91F0000}"/>
    <cellStyle name="Normal 9 3 2 4 3 2" xfId="13737" xr:uid="{DA720F39-AA02-4DE2-AC88-97C0F3E27756}"/>
    <cellStyle name="Normal 9 3 2 4 4" xfId="9519" xr:uid="{0F523805-7B24-4849-8693-83AF3277A110}"/>
    <cellStyle name="Normal 9 3 2 5" xfId="1412" xr:uid="{00000000-0005-0000-0000-0000EA1F0000}"/>
    <cellStyle name="Normal 9 3 2 5 2" xfId="3642" xr:uid="{00000000-0005-0000-0000-0000EB1F0000}"/>
    <cellStyle name="Normal 9 3 2 5 2 2" xfId="7866" xr:uid="{00000000-0005-0000-0000-0000EC1F0000}"/>
    <cellStyle name="Normal 9 3 2 5 2 2 2" xfId="16295" xr:uid="{AF9E05D1-E27F-40F6-A4BD-546A5A9CCD1D}"/>
    <cellStyle name="Normal 9 3 2 5 2 3" xfId="12077" xr:uid="{6961CB34-7087-48F0-ABF3-F136C63C11C9}"/>
    <cellStyle name="Normal 9 3 2 5 3" xfId="5721" xr:uid="{00000000-0005-0000-0000-0000ED1F0000}"/>
    <cellStyle name="Normal 9 3 2 5 3 2" xfId="14150" xr:uid="{94DC9F97-D3D0-4D6D-9BEE-27F02AD23078}"/>
    <cellStyle name="Normal 9 3 2 5 4" xfId="9932" xr:uid="{4218A0BF-079B-48EB-9CC8-4E255FC01D60}"/>
    <cellStyle name="Normal 9 3 2 6" xfId="1825" xr:uid="{00000000-0005-0000-0000-0000EE1F0000}"/>
    <cellStyle name="Normal 9 3 2 6 2" xfId="4055" xr:uid="{00000000-0005-0000-0000-0000EF1F0000}"/>
    <cellStyle name="Normal 9 3 2 6 2 2" xfId="8279" xr:uid="{00000000-0005-0000-0000-0000F01F0000}"/>
    <cellStyle name="Normal 9 3 2 6 2 2 2" xfId="16708" xr:uid="{21284A0B-18DB-45C6-BD9C-FACD87412F4C}"/>
    <cellStyle name="Normal 9 3 2 6 2 3" xfId="12490" xr:uid="{74A000F5-4174-4CD1-8E3E-B94C4A38A2A0}"/>
    <cellStyle name="Normal 9 3 2 6 3" xfId="6134" xr:uid="{00000000-0005-0000-0000-0000F11F0000}"/>
    <cellStyle name="Normal 9 3 2 6 3 2" xfId="14563" xr:uid="{B506C301-3F55-42A4-86D6-F5C3E50A868C}"/>
    <cellStyle name="Normal 9 3 2 6 4" xfId="10345" xr:uid="{084039AC-DB54-49E8-88E6-219D2B17ECCE}"/>
    <cellStyle name="Normal 9 3 2 7" xfId="2239" xr:uid="{00000000-0005-0000-0000-0000F21F0000}"/>
    <cellStyle name="Normal 9 3 2 7 2" xfId="4468" xr:uid="{00000000-0005-0000-0000-0000F31F0000}"/>
    <cellStyle name="Normal 9 3 2 7 2 2" xfId="8692" xr:uid="{00000000-0005-0000-0000-0000F41F0000}"/>
    <cellStyle name="Normal 9 3 2 7 2 2 2" xfId="17121" xr:uid="{023DA63C-C511-47D8-864C-B3BC94A818F6}"/>
    <cellStyle name="Normal 9 3 2 7 2 3" xfId="12903" xr:uid="{1A002315-A233-4332-AE98-7DD96E585C66}"/>
    <cellStyle name="Normal 9 3 2 7 3" xfId="6547" xr:uid="{00000000-0005-0000-0000-0000F51F0000}"/>
    <cellStyle name="Normal 9 3 2 7 3 2" xfId="14976" xr:uid="{721F652B-535D-4220-9AE5-FCA96E6C4B9F}"/>
    <cellStyle name="Normal 9 3 2 7 4" xfId="10758" xr:uid="{13013108-5BBB-4F21-BD61-E3ACEA9882EA}"/>
    <cellStyle name="Normal 9 3 2 8" xfId="2675" xr:uid="{00000000-0005-0000-0000-0000F61F0000}"/>
    <cellStyle name="Normal 9 3 2 8 2" xfId="6960" xr:uid="{00000000-0005-0000-0000-0000F71F0000}"/>
    <cellStyle name="Normal 9 3 2 8 2 2" xfId="15389" xr:uid="{933D96A5-7277-4469-A11E-0CDD2B9CE89E}"/>
    <cellStyle name="Normal 9 3 2 8 3" xfId="11171" xr:uid="{00EB5FB2-B9BA-4A76-9322-C78B1762BC8D}"/>
    <cellStyle name="Normal 9 3 2 9" xfId="4895" xr:uid="{00000000-0005-0000-0000-0000F81F0000}"/>
    <cellStyle name="Normal 9 3 2 9 2" xfId="13324" xr:uid="{9BC2C469-B991-42F3-BFA9-4B65545F756E}"/>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2 2 2" xfId="15887" xr:uid="{B3B17C23-BA6B-4067-8CD1-CAFFEF824E55}"/>
    <cellStyle name="Normal 9 3 3 2 2 2 3" xfId="11669" xr:uid="{CB85A8F3-31E6-44F9-8643-67607264D85A}"/>
    <cellStyle name="Normal 9 3 3 2 2 3" xfId="5313" xr:uid="{00000000-0005-0000-0000-0000FE1F0000}"/>
    <cellStyle name="Normal 9 3 3 2 2 3 2" xfId="13742" xr:uid="{FC2738DC-B0DF-4558-BB99-A2BE281E4026}"/>
    <cellStyle name="Normal 9 3 3 2 2 4" xfId="9524" xr:uid="{02F5EDFE-87D1-4627-A1F2-B011547904AC}"/>
    <cellStyle name="Normal 9 3 3 2 3" xfId="1417" xr:uid="{00000000-0005-0000-0000-0000FF1F0000}"/>
    <cellStyle name="Normal 9 3 3 2 3 2" xfId="3647" xr:uid="{00000000-0005-0000-0000-000000200000}"/>
    <cellStyle name="Normal 9 3 3 2 3 2 2" xfId="7871" xr:uid="{00000000-0005-0000-0000-000001200000}"/>
    <cellStyle name="Normal 9 3 3 2 3 2 2 2" xfId="16300" xr:uid="{2981D96F-36E8-4649-BAB2-598E3AE6359E}"/>
    <cellStyle name="Normal 9 3 3 2 3 2 3" xfId="12082" xr:uid="{0A884B67-5D23-4DAE-9DFE-ED7DDCD63AF1}"/>
    <cellStyle name="Normal 9 3 3 2 3 3" xfId="5726" xr:uid="{00000000-0005-0000-0000-000002200000}"/>
    <cellStyle name="Normal 9 3 3 2 3 3 2" xfId="14155" xr:uid="{E6A3D539-9024-4806-8AAF-47AF7FE5C6F4}"/>
    <cellStyle name="Normal 9 3 3 2 3 4" xfId="9937" xr:uid="{6633F9DD-FD7E-4EF5-8460-05F7808CF7FD}"/>
    <cellStyle name="Normal 9 3 3 2 4" xfId="1830" xr:uid="{00000000-0005-0000-0000-000003200000}"/>
    <cellStyle name="Normal 9 3 3 2 4 2" xfId="4060" xr:uid="{00000000-0005-0000-0000-000004200000}"/>
    <cellStyle name="Normal 9 3 3 2 4 2 2" xfId="8284" xr:uid="{00000000-0005-0000-0000-000005200000}"/>
    <cellStyle name="Normal 9 3 3 2 4 2 2 2" xfId="16713" xr:uid="{C5B54F97-ECAA-4843-947E-9148C80FBA68}"/>
    <cellStyle name="Normal 9 3 3 2 4 2 3" xfId="12495" xr:uid="{9C83DA4B-B31D-40E0-8DA3-1FA1E3072356}"/>
    <cellStyle name="Normal 9 3 3 2 4 3" xfId="6139" xr:uid="{00000000-0005-0000-0000-000006200000}"/>
    <cellStyle name="Normal 9 3 3 2 4 3 2" xfId="14568" xr:uid="{78CDE8B0-251F-4EFE-8470-7199B3E832BC}"/>
    <cellStyle name="Normal 9 3 3 2 4 4" xfId="10350" xr:uid="{59EF680D-CFC0-49FB-9640-B0E7B5848FD6}"/>
    <cellStyle name="Normal 9 3 3 2 5" xfId="2244" xr:uid="{00000000-0005-0000-0000-000007200000}"/>
    <cellStyle name="Normal 9 3 3 2 5 2" xfId="4473" xr:uid="{00000000-0005-0000-0000-000008200000}"/>
    <cellStyle name="Normal 9 3 3 2 5 2 2" xfId="8697" xr:uid="{00000000-0005-0000-0000-000009200000}"/>
    <cellStyle name="Normal 9 3 3 2 5 2 2 2" xfId="17126" xr:uid="{35D77DC4-00ED-42DE-8F9D-1D856F73C1AE}"/>
    <cellStyle name="Normal 9 3 3 2 5 2 3" xfId="12908" xr:uid="{D1C5A7D3-D7D9-484C-9592-16D824C89CDC}"/>
    <cellStyle name="Normal 9 3 3 2 5 3" xfId="6552" xr:uid="{00000000-0005-0000-0000-00000A200000}"/>
    <cellStyle name="Normal 9 3 3 2 5 3 2" xfId="14981" xr:uid="{0B97779E-CBBC-4F54-BFAA-083987F465CF}"/>
    <cellStyle name="Normal 9 3 3 2 5 4" xfId="10763" xr:uid="{FC42D2E6-AC19-4932-9D69-765CF6C8DF7C}"/>
    <cellStyle name="Normal 9 3 3 2 6" xfId="2680" xr:uid="{00000000-0005-0000-0000-00000B200000}"/>
    <cellStyle name="Normal 9 3 3 2 6 2" xfId="6965" xr:uid="{00000000-0005-0000-0000-00000C200000}"/>
    <cellStyle name="Normal 9 3 3 2 6 2 2" xfId="15394" xr:uid="{96DFF4E6-54B7-41B9-852D-0C93B921685E}"/>
    <cellStyle name="Normal 9 3 3 2 6 3" xfId="11176" xr:uid="{3F26D895-CBC8-4B4A-B749-43507BC59550}"/>
    <cellStyle name="Normal 9 3 3 2 7" xfId="4900" xr:uid="{00000000-0005-0000-0000-00000D200000}"/>
    <cellStyle name="Normal 9 3 3 2 7 2" xfId="13329" xr:uid="{883107B6-0E43-40AD-B4CC-9A626824439B}"/>
    <cellStyle name="Normal 9 3 3 2 8" xfId="9111" xr:uid="{0A43AA80-820D-4EA1-9702-2080DDAC6545}"/>
    <cellStyle name="Normal 9 3 3 3" xfId="1000" xr:uid="{00000000-0005-0000-0000-00000E200000}"/>
    <cellStyle name="Normal 9 3 3 3 2" xfId="3233" xr:uid="{00000000-0005-0000-0000-00000F200000}"/>
    <cellStyle name="Normal 9 3 3 3 2 2" xfId="7457" xr:uid="{00000000-0005-0000-0000-000010200000}"/>
    <cellStyle name="Normal 9 3 3 3 2 2 2" xfId="15886" xr:uid="{07B6D808-B28F-48E0-81C0-38C4DD60A8C3}"/>
    <cellStyle name="Normal 9 3 3 3 2 3" xfId="11668" xr:uid="{3FBE332A-DCB0-4B79-99F1-52EC5AA18AFC}"/>
    <cellStyle name="Normal 9 3 3 3 3" xfId="5312" xr:uid="{00000000-0005-0000-0000-000011200000}"/>
    <cellStyle name="Normal 9 3 3 3 3 2" xfId="13741" xr:uid="{85869A6F-B37E-48CB-A991-DC21C391D751}"/>
    <cellStyle name="Normal 9 3 3 3 4" xfId="9523" xr:uid="{F60DB177-2522-4297-A694-E8C4288D5E20}"/>
    <cellStyle name="Normal 9 3 3 4" xfId="1416" xr:uid="{00000000-0005-0000-0000-000012200000}"/>
    <cellStyle name="Normal 9 3 3 4 2" xfId="3646" xr:uid="{00000000-0005-0000-0000-000013200000}"/>
    <cellStyle name="Normal 9 3 3 4 2 2" xfId="7870" xr:uid="{00000000-0005-0000-0000-000014200000}"/>
    <cellStyle name="Normal 9 3 3 4 2 2 2" xfId="16299" xr:uid="{CA228E4D-A383-472C-BE08-646B4E3D3AB1}"/>
    <cellStyle name="Normal 9 3 3 4 2 3" xfId="12081" xr:uid="{9A8C7CB2-9BA2-4A67-9578-6D501600A086}"/>
    <cellStyle name="Normal 9 3 3 4 3" xfId="5725" xr:uid="{00000000-0005-0000-0000-000015200000}"/>
    <cellStyle name="Normal 9 3 3 4 3 2" xfId="14154" xr:uid="{D6404DF5-D655-478F-BFA7-732E472555A3}"/>
    <cellStyle name="Normal 9 3 3 4 4" xfId="9936" xr:uid="{4266B5CE-2CF3-4CCA-A6F4-707B7A2FBDBC}"/>
    <cellStyle name="Normal 9 3 3 5" xfId="1829" xr:uid="{00000000-0005-0000-0000-000016200000}"/>
    <cellStyle name="Normal 9 3 3 5 2" xfId="4059" xr:uid="{00000000-0005-0000-0000-000017200000}"/>
    <cellStyle name="Normal 9 3 3 5 2 2" xfId="8283" xr:uid="{00000000-0005-0000-0000-000018200000}"/>
    <cellStyle name="Normal 9 3 3 5 2 2 2" xfId="16712" xr:uid="{CFC0C7DE-05AF-41A4-A419-444CE869EB7B}"/>
    <cellStyle name="Normal 9 3 3 5 2 3" xfId="12494" xr:uid="{2C2413B7-96AD-4116-A729-F362DEC54F72}"/>
    <cellStyle name="Normal 9 3 3 5 3" xfId="6138" xr:uid="{00000000-0005-0000-0000-000019200000}"/>
    <cellStyle name="Normal 9 3 3 5 3 2" xfId="14567" xr:uid="{2D003697-BA94-4997-B1DF-2632F25A6135}"/>
    <cellStyle name="Normal 9 3 3 5 4" xfId="10349" xr:uid="{DF28E33B-F9E1-4379-A41F-E6DCCA75C251}"/>
    <cellStyle name="Normal 9 3 3 6" xfId="2243" xr:uid="{00000000-0005-0000-0000-00001A200000}"/>
    <cellStyle name="Normal 9 3 3 6 2" xfId="4472" xr:uid="{00000000-0005-0000-0000-00001B200000}"/>
    <cellStyle name="Normal 9 3 3 6 2 2" xfId="8696" xr:uid="{00000000-0005-0000-0000-00001C200000}"/>
    <cellStyle name="Normal 9 3 3 6 2 2 2" xfId="17125" xr:uid="{25AA5511-BCD0-4E95-874F-B611A55A30B0}"/>
    <cellStyle name="Normal 9 3 3 6 2 3" xfId="12907" xr:uid="{D379F821-63CA-4F76-A317-C19F3CC470EF}"/>
    <cellStyle name="Normal 9 3 3 6 3" xfId="6551" xr:uid="{00000000-0005-0000-0000-00001D200000}"/>
    <cellStyle name="Normal 9 3 3 6 3 2" xfId="14980" xr:uid="{446FD07F-7230-421C-899B-9F2125DB8884}"/>
    <cellStyle name="Normal 9 3 3 6 4" xfId="10762" xr:uid="{5BD16AA1-EBD9-4644-8319-667CE92BC628}"/>
    <cellStyle name="Normal 9 3 3 7" xfId="2679" xr:uid="{00000000-0005-0000-0000-00001E200000}"/>
    <cellStyle name="Normal 9 3 3 7 2" xfId="6964" xr:uid="{00000000-0005-0000-0000-00001F200000}"/>
    <cellStyle name="Normal 9 3 3 7 2 2" xfId="15393" xr:uid="{B57BD033-9893-4318-8AE9-0BCB6D7AD4BF}"/>
    <cellStyle name="Normal 9 3 3 7 3" xfId="11175" xr:uid="{78B29809-083E-4C5A-805A-A2F38991F53D}"/>
    <cellStyle name="Normal 9 3 3 8" xfId="4899" xr:uid="{00000000-0005-0000-0000-000020200000}"/>
    <cellStyle name="Normal 9 3 3 8 2" xfId="13328" xr:uid="{BFFDB92B-E4BE-4F88-8308-9F8B0909539A}"/>
    <cellStyle name="Normal 9 3 3 9" xfId="9110" xr:uid="{74AA50A3-5428-4796-B214-14CA8A389EA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2 2 2" xfId="15888" xr:uid="{ADA22728-ACFB-4EA6-93AE-1EBFA8917CF5}"/>
    <cellStyle name="Normal 9 3 4 2 2 3" xfId="11670" xr:uid="{72470E12-6EB5-43FD-B9B3-6CC2475AEC3E}"/>
    <cellStyle name="Normal 9 3 4 2 3" xfId="5314" xr:uid="{00000000-0005-0000-0000-000025200000}"/>
    <cellStyle name="Normal 9 3 4 2 3 2" xfId="13743" xr:uid="{F31C37F7-9042-4024-A116-C85D6455A181}"/>
    <cellStyle name="Normal 9 3 4 2 4" xfId="9525" xr:uid="{1BD65912-E873-43B0-908C-DF7C4629F6E7}"/>
    <cellStyle name="Normal 9 3 4 3" xfId="1418" xr:uid="{00000000-0005-0000-0000-000026200000}"/>
    <cellStyle name="Normal 9 3 4 3 2" xfId="3648" xr:uid="{00000000-0005-0000-0000-000027200000}"/>
    <cellStyle name="Normal 9 3 4 3 2 2" xfId="7872" xr:uid="{00000000-0005-0000-0000-000028200000}"/>
    <cellStyle name="Normal 9 3 4 3 2 2 2" xfId="16301" xr:uid="{B11C61A3-4507-41B5-8214-D68564A41100}"/>
    <cellStyle name="Normal 9 3 4 3 2 3" xfId="12083" xr:uid="{409A79DB-AB29-47EE-B9AC-50BC92F31DA9}"/>
    <cellStyle name="Normal 9 3 4 3 3" xfId="5727" xr:uid="{00000000-0005-0000-0000-000029200000}"/>
    <cellStyle name="Normal 9 3 4 3 3 2" xfId="14156" xr:uid="{9E7B5D70-F01B-467C-9BCF-06CB6E0DC3A8}"/>
    <cellStyle name="Normal 9 3 4 3 4" xfId="9938" xr:uid="{F5CFCF1D-C45B-4D24-BC14-89DD7C47D19E}"/>
    <cellStyle name="Normal 9 3 4 4" xfId="1831" xr:uid="{00000000-0005-0000-0000-00002A200000}"/>
    <cellStyle name="Normal 9 3 4 4 2" xfId="4061" xr:uid="{00000000-0005-0000-0000-00002B200000}"/>
    <cellStyle name="Normal 9 3 4 4 2 2" xfId="8285" xr:uid="{00000000-0005-0000-0000-00002C200000}"/>
    <cellStyle name="Normal 9 3 4 4 2 2 2" xfId="16714" xr:uid="{8B5360BB-BD92-4926-9FD5-9E84EFD05DCD}"/>
    <cellStyle name="Normal 9 3 4 4 2 3" xfId="12496" xr:uid="{3BE30985-261A-4EE7-8525-DE91DB1BEC9D}"/>
    <cellStyle name="Normal 9 3 4 4 3" xfId="6140" xr:uid="{00000000-0005-0000-0000-00002D200000}"/>
    <cellStyle name="Normal 9 3 4 4 3 2" xfId="14569" xr:uid="{5892CAF1-B7F1-4252-AED6-85BD6723C0CF}"/>
    <cellStyle name="Normal 9 3 4 4 4" xfId="10351" xr:uid="{92246AF9-8E6B-4220-AD71-DDB0BAE8AC72}"/>
    <cellStyle name="Normal 9 3 4 5" xfId="2245" xr:uid="{00000000-0005-0000-0000-00002E200000}"/>
    <cellStyle name="Normal 9 3 4 5 2" xfId="4474" xr:uid="{00000000-0005-0000-0000-00002F200000}"/>
    <cellStyle name="Normal 9 3 4 5 2 2" xfId="8698" xr:uid="{00000000-0005-0000-0000-000030200000}"/>
    <cellStyle name="Normal 9 3 4 5 2 2 2" xfId="17127" xr:uid="{8C63B550-5D52-4EA9-8DDA-2E315FACC2C7}"/>
    <cellStyle name="Normal 9 3 4 5 2 3" xfId="12909" xr:uid="{2425F1B3-8499-4450-AADC-ACE697E8CB1B}"/>
    <cellStyle name="Normal 9 3 4 5 3" xfId="6553" xr:uid="{00000000-0005-0000-0000-000031200000}"/>
    <cellStyle name="Normal 9 3 4 5 3 2" xfId="14982" xr:uid="{D13DF90D-C656-4112-99CA-43A0B7F55185}"/>
    <cellStyle name="Normal 9 3 4 5 4" xfId="10764" xr:uid="{145470EE-7670-461F-923E-E487D839B8AF}"/>
    <cellStyle name="Normal 9 3 4 6" xfId="2681" xr:uid="{00000000-0005-0000-0000-000032200000}"/>
    <cellStyle name="Normal 9 3 4 6 2" xfId="6966" xr:uid="{00000000-0005-0000-0000-000033200000}"/>
    <cellStyle name="Normal 9 3 4 6 2 2" xfId="15395" xr:uid="{4E193F40-3D17-49B4-BFC3-B804A9D71D72}"/>
    <cellStyle name="Normal 9 3 4 6 3" xfId="11177" xr:uid="{67409EE0-6B76-4912-9927-FFF1F30E24D4}"/>
    <cellStyle name="Normal 9 3 4 7" xfId="4901" xr:uid="{00000000-0005-0000-0000-000034200000}"/>
    <cellStyle name="Normal 9 3 4 7 2" xfId="13330" xr:uid="{CB00B0B5-4673-4CC9-8FFE-7E8933AF339E}"/>
    <cellStyle name="Normal 9 3 4 8" xfId="9112" xr:uid="{85B4EF4D-676D-4282-B61E-4118F7F2CA72}"/>
    <cellStyle name="Normal 9 3 5" xfId="995" xr:uid="{00000000-0005-0000-0000-000035200000}"/>
    <cellStyle name="Normal 9 3 5 2" xfId="3228" xr:uid="{00000000-0005-0000-0000-000036200000}"/>
    <cellStyle name="Normal 9 3 5 2 2" xfId="7452" xr:uid="{00000000-0005-0000-0000-000037200000}"/>
    <cellStyle name="Normal 9 3 5 2 2 2" xfId="15881" xr:uid="{429D8ECC-5DA6-46DB-861D-C49A96234A42}"/>
    <cellStyle name="Normal 9 3 5 2 3" xfId="11663" xr:uid="{BF2A93EE-787F-4F0A-8B45-FA433411B8E7}"/>
    <cellStyle name="Normal 9 3 5 3" xfId="5307" xr:uid="{00000000-0005-0000-0000-000038200000}"/>
    <cellStyle name="Normal 9 3 5 3 2" xfId="13736" xr:uid="{CC6C0196-E4AF-492F-B7E8-28A8B3909FBF}"/>
    <cellStyle name="Normal 9 3 5 4" xfId="9518" xr:uid="{9F27D1EE-5AAE-4796-ABF4-D66E506344B9}"/>
    <cellStyle name="Normal 9 3 6" xfId="1411" xr:uid="{00000000-0005-0000-0000-000039200000}"/>
    <cellStyle name="Normal 9 3 6 2" xfId="3641" xr:uid="{00000000-0005-0000-0000-00003A200000}"/>
    <cellStyle name="Normal 9 3 6 2 2" xfId="7865" xr:uid="{00000000-0005-0000-0000-00003B200000}"/>
    <cellStyle name="Normal 9 3 6 2 2 2" xfId="16294" xr:uid="{56E15F83-3666-4F0F-9545-9D41E245A443}"/>
    <cellStyle name="Normal 9 3 6 2 3" xfId="12076" xr:uid="{2314158E-D559-4533-9DA2-735E6E285107}"/>
    <cellStyle name="Normal 9 3 6 3" xfId="5720" xr:uid="{00000000-0005-0000-0000-00003C200000}"/>
    <cellStyle name="Normal 9 3 6 3 2" xfId="14149" xr:uid="{901C11E3-9793-42EB-BCB3-91B1538312E0}"/>
    <cellStyle name="Normal 9 3 6 4" xfId="9931" xr:uid="{FB92DE99-F8A8-4407-9BE6-64A298152EA9}"/>
    <cellStyle name="Normal 9 3 7" xfId="1824" xr:uid="{00000000-0005-0000-0000-00003D200000}"/>
    <cellStyle name="Normal 9 3 7 2" xfId="4054" xr:uid="{00000000-0005-0000-0000-00003E200000}"/>
    <cellStyle name="Normal 9 3 7 2 2" xfId="8278" xr:uid="{00000000-0005-0000-0000-00003F200000}"/>
    <cellStyle name="Normal 9 3 7 2 2 2" xfId="16707" xr:uid="{AEEAF976-CC6B-4F4E-9FE6-1731514F5328}"/>
    <cellStyle name="Normal 9 3 7 2 3" xfId="12489" xr:uid="{2070CD09-3C11-437C-9857-F6A135058952}"/>
    <cellStyle name="Normal 9 3 7 3" xfId="6133" xr:uid="{00000000-0005-0000-0000-000040200000}"/>
    <cellStyle name="Normal 9 3 7 3 2" xfId="14562" xr:uid="{FF889122-0BF3-46EC-A08E-870DD9BA372D}"/>
    <cellStyle name="Normal 9 3 7 4" xfId="10344" xr:uid="{D309ABE7-23A2-408D-8DF4-99F72F713A95}"/>
    <cellStyle name="Normal 9 3 8" xfId="2238" xr:uid="{00000000-0005-0000-0000-000041200000}"/>
    <cellStyle name="Normal 9 3 8 2" xfId="4467" xr:uid="{00000000-0005-0000-0000-000042200000}"/>
    <cellStyle name="Normal 9 3 8 2 2" xfId="8691" xr:uid="{00000000-0005-0000-0000-000043200000}"/>
    <cellStyle name="Normal 9 3 8 2 2 2" xfId="17120" xr:uid="{CDF6BB6B-A1FD-4EE9-B140-ECA7D24EE7FF}"/>
    <cellStyle name="Normal 9 3 8 2 3" xfId="12902" xr:uid="{76D380C1-D84D-4598-9520-DFF57B4824F0}"/>
    <cellStyle name="Normal 9 3 8 3" xfId="6546" xr:uid="{00000000-0005-0000-0000-000044200000}"/>
    <cellStyle name="Normal 9 3 8 3 2" xfId="14975" xr:uid="{2758EC07-0B36-4471-989B-177747691751}"/>
    <cellStyle name="Normal 9 3 8 4" xfId="10757" xr:uid="{616A46CA-8080-4224-BFE7-42C4A593F7B5}"/>
    <cellStyle name="Normal 9 3 9" xfId="2674" xr:uid="{00000000-0005-0000-0000-000045200000}"/>
    <cellStyle name="Normal 9 3 9 2" xfId="6959" xr:uid="{00000000-0005-0000-0000-000046200000}"/>
    <cellStyle name="Normal 9 3 9 2 2" xfId="15388" xr:uid="{6D3CD195-8611-4EF7-B9EE-C8CD0738A213}"/>
    <cellStyle name="Normal 9 3 9 3" xfId="11170" xr:uid="{65A8EEF6-F30A-422B-B326-630B2992A06E}"/>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2 2 2" xfId="15890" xr:uid="{8BE8612A-1A0B-482B-ABBE-5C4FFB7123C4}"/>
    <cellStyle name="Normal 9 5 2 2 2 3" xfId="11672" xr:uid="{7C561A48-ACA3-4193-8631-2426F8717CB7}"/>
    <cellStyle name="Normal 9 5 2 2 3" xfId="5316" xr:uid="{00000000-0005-0000-0000-00004E200000}"/>
    <cellStyle name="Normal 9 5 2 2 3 2" xfId="13745" xr:uid="{3F27B119-A1BE-4EB9-AB08-E77438E4D2E4}"/>
    <cellStyle name="Normal 9 5 2 2 4" xfId="9527" xr:uid="{9A922B97-0817-4E46-8310-12D5E4B5EF6A}"/>
    <cellStyle name="Normal 9 5 2 3" xfId="1420" xr:uid="{00000000-0005-0000-0000-00004F200000}"/>
    <cellStyle name="Normal 9 5 2 3 2" xfId="3650" xr:uid="{00000000-0005-0000-0000-000050200000}"/>
    <cellStyle name="Normal 9 5 2 3 2 2" xfId="7874" xr:uid="{00000000-0005-0000-0000-000051200000}"/>
    <cellStyle name="Normal 9 5 2 3 2 2 2" xfId="16303" xr:uid="{569D5D2C-57DF-4BF4-B000-E8D37FA5C813}"/>
    <cellStyle name="Normal 9 5 2 3 2 3" xfId="12085" xr:uid="{E0AE8A10-69EE-46D1-8FBA-F97688025325}"/>
    <cellStyle name="Normal 9 5 2 3 3" xfId="5729" xr:uid="{00000000-0005-0000-0000-000052200000}"/>
    <cellStyle name="Normal 9 5 2 3 3 2" xfId="14158" xr:uid="{4FEFA87C-9443-46AD-BCAB-1B0293181A95}"/>
    <cellStyle name="Normal 9 5 2 3 4" xfId="9940" xr:uid="{ECF09EB4-116B-49A0-ABBC-B2774BC869E1}"/>
    <cellStyle name="Normal 9 5 2 4" xfId="1833" xr:uid="{00000000-0005-0000-0000-000053200000}"/>
    <cellStyle name="Normal 9 5 2 4 2" xfId="4063" xr:uid="{00000000-0005-0000-0000-000054200000}"/>
    <cellStyle name="Normal 9 5 2 4 2 2" xfId="8287" xr:uid="{00000000-0005-0000-0000-000055200000}"/>
    <cellStyle name="Normal 9 5 2 4 2 2 2" xfId="16716" xr:uid="{76A9DEFB-90E0-495C-ACB0-92FFAA869B49}"/>
    <cellStyle name="Normal 9 5 2 4 2 3" xfId="12498" xr:uid="{6DB2D889-989C-4CB3-B02F-853CDDD5CE65}"/>
    <cellStyle name="Normal 9 5 2 4 3" xfId="6142" xr:uid="{00000000-0005-0000-0000-000056200000}"/>
    <cellStyle name="Normal 9 5 2 4 3 2" xfId="14571" xr:uid="{185C7ED1-6A3A-4ABC-ABD2-DCEC01F8B17D}"/>
    <cellStyle name="Normal 9 5 2 4 4" xfId="10353" xr:uid="{32A370DA-39B9-4784-B2D7-AAD870A7B274}"/>
    <cellStyle name="Normal 9 5 2 5" xfId="2247" xr:uid="{00000000-0005-0000-0000-000057200000}"/>
    <cellStyle name="Normal 9 5 2 5 2" xfId="4476" xr:uid="{00000000-0005-0000-0000-000058200000}"/>
    <cellStyle name="Normal 9 5 2 5 2 2" xfId="8700" xr:uid="{00000000-0005-0000-0000-000059200000}"/>
    <cellStyle name="Normal 9 5 2 5 2 2 2" xfId="17129" xr:uid="{EACC75C2-C52E-446A-9206-548725BF766D}"/>
    <cellStyle name="Normal 9 5 2 5 2 3" xfId="12911" xr:uid="{E6DA7A8A-2FE4-4365-A0C4-C7CA6CF001A2}"/>
    <cellStyle name="Normal 9 5 2 5 3" xfId="6555" xr:uid="{00000000-0005-0000-0000-00005A200000}"/>
    <cellStyle name="Normal 9 5 2 5 3 2" xfId="14984" xr:uid="{F44ED55D-285D-48B3-9C34-AF3E1F571D1E}"/>
    <cellStyle name="Normal 9 5 2 5 4" xfId="10766" xr:uid="{2F8E5D06-4B66-4014-9B9C-80B8CEA92E50}"/>
    <cellStyle name="Normal 9 5 2 6" xfId="2683" xr:uid="{00000000-0005-0000-0000-00005B200000}"/>
    <cellStyle name="Normal 9 5 2 6 2" xfId="6968" xr:uid="{00000000-0005-0000-0000-00005C200000}"/>
    <cellStyle name="Normal 9 5 2 6 2 2" xfId="15397" xr:uid="{A69B4487-11C1-4638-B640-4DB7FFC0A114}"/>
    <cellStyle name="Normal 9 5 2 6 3" xfId="11179" xr:uid="{255F69A6-1BCC-4208-85D9-CA5E5CFC90B5}"/>
    <cellStyle name="Normal 9 5 2 7" xfId="4903" xr:uid="{00000000-0005-0000-0000-00005D200000}"/>
    <cellStyle name="Normal 9 5 2 7 2" xfId="13332" xr:uid="{D72004B0-6244-4E6C-A6CD-41D9EBCFBB73}"/>
    <cellStyle name="Normal 9 5 2 8" xfId="9114" xr:uid="{C24CA055-F95D-4BD5-A065-996F1FB3BD4A}"/>
    <cellStyle name="Normal 9 5 3" xfId="1004" xr:uid="{00000000-0005-0000-0000-00005E200000}"/>
    <cellStyle name="Normal 9 5 3 2" xfId="3236" xr:uid="{00000000-0005-0000-0000-00005F200000}"/>
    <cellStyle name="Normal 9 5 3 2 2" xfId="7460" xr:uid="{00000000-0005-0000-0000-000060200000}"/>
    <cellStyle name="Normal 9 5 3 2 2 2" xfId="15889" xr:uid="{FBDE2B53-53E3-4635-B83C-914814C6478F}"/>
    <cellStyle name="Normal 9 5 3 2 3" xfId="11671" xr:uid="{5C7F43C9-3E8B-4D87-9067-CEE0C1705996}"/>
    <cellStyle name="Normal 9 5 3 3" xfId="5315" xr:uid="{00000000-0005-0000-0000-000061200000}"/>
    <cellStyle name="Normal 9 5 3 3 2" xfId="13744" xr:uid="{ADA4F9CA-CB7D-439B-84B2-94FAFF288DA2}"/>
    <cellStyle name="Normal 9 5 3 4" xfId="9526" xr:uid="{1EDC7E39-D001-408B-9605-586B4C889C92}"/>
    <cellStyle name="Normal 9 5 4" xfId="1419" xr:uid="{00000000-0005-0000-0000-000062200000}"/>
    <cellStyle name="Normal 9 5 4 2" xfId="3649" xr:uid="{00000000-0005-0000-0000-000063200000}"/>
    <cellStyle name="Normal 9 5 4 2 2" xfId="7873" xr:uid="{00000000-0005-0000-0000-000064200000}"/>
    <cellStyle name="Normal 9 5 4 2 2 2" xfId="16302" xr:uid="{3A5C476B-0C3E-45A1-80AD-0B20B163C915}"/>
    <cellStyle name="Normal 9 5 4 2 3" xfId="12084" xr:uid="{F0CE9BAC-14AF-4D35-AEFA-C5DA682BF552}"/>
    <cellStyle name="Normal 9 5 4 3" xfId="5728" xr:uid="{00000000-0005-0000-0000-000065200000}"/>
    <cellStyle name="Normal 9 5 4 3 2" xfId="14157" xr:uid="{19B15E5F-9DF3-40E8-929A-18950E993C2E}"/>
    <cellStyle name="Normal 9 5 4 4" xfId="9939" xr:uid="{7562E3C1-F178-4BD7-917D-96E55BF347A1}"/>
    <cellStyle name="Normal 9 5 5" xfId="1832" xr:uid="{00000000-0005-0000-0000-000066200000}"/>
    <cellStyle name="Normal 9 5 5 2" xfId="4062" xr:uid="{00000000-0005-0000-0000-000067200000}"/>
    <cellStyle name="Normal 9 5 5 2 2" xfId="8286" xr:uid="{00000000-0005-0000-0000-000068200000}"/>
    <cellStyle name="Normal 9 5 5 2 2 2" xfId="16715" xr:uid="{77EEE174-27F8-45D7-A70B-CC78681B70AB}"/>
    <cellStyle name="Normal 9 5 5 2 3" xfId="12497" xr:uid="{4155786D-F815-4859-85A8-BB2C73DEA007}"/>
    <cellStyle name="Normal 9 5 5 3" xfId="6141" xr:uid="{00000000-0005-0000-0000-000069200000}"/>
    <cellStyle name="Normal 9 5 5 3 2" xfId="14570" xr:uid="{F123E568-9880-4491-9AB7-487B38A5F89D}"/>
    <cellStyle name="Normal 9 5 5 4" xfId="10352" xr:uid="{F9ECC537-83E0-4FA7-9A5E-2A7F133D23D4}"/>
    <cellStyle name="Normal 9 5 6" xfId="2246" xr:uid="{00000000-0005-0000-0000-00006A200000}"/>
    <cellStyle name="Normal 9 5 6 2" xfId="4475" xr:uid="{00000000-0005-0000-0000-00006B200000}"/>
    <cellStyle name="Normal 9 5 6 2 2" xfId="8699" xr:uid="{00000000-0005-0000-0000-00006C200000}"/>
    <cellStyle name="Normal 9 5 6 2 2 2" xfId="17128" xr:uid="{D1BEC184-A2D8-4B59-BCC5-44049DC59B46}"/>
    <cellStyle name="Normal 9 5 6 2 3" xfId="12910" xr:uid="{9EEE3716-9D93-43DA-8ADE-FF9E64BB5965}"/>
    <cellStyle name="Normal 9 5 6 3" xfId="6554" xr:uid="{00000000-0005-0000-0000-00006D200000}"/>
    <cellStyle name="Normal 9 5 6 3 2" xfId="14983" xr:uid="{BAFCBA3C-8F26-4A5B-AFF4-D9DB97F66BBD}"/>
    <cellStyle name="Normal 9 5 6 4" xfId="10765" xr:uid="{9A861B40-33FD-4F9F-B9EE-E2F65041BA66}"/>
    <cellStyle name="Normal 9 5 7" xfId="2682" xr:uid="{00000000-0005-0000-0000-00006E200000}"/>
    <cellStyle name="Normal 9 5 7 2" xfId="6967" xr:uid="{00000000-0005-0000-0000-00006F200000}"/>
    <cellStyle name="Normal 9 5 7 2 2" xfId="15396" xr:uid="{7847CD92-83F4-4382-BA11-45E8AA2C49B6}"/>
    <cellStyle name="Normal 9 5 7 3" xfId="11178" xr:uid="{A3F2D0A8-69D9-41F7-BFA7-723CD13BC4D5}"/>
    <cellStyle name="Normal 9 5 8" xfId="4902" xr:uid="{00000000-0005-0000-0000-000070200000}"/>
    <cellStyle name="Normal 9 5 8 2" xfId="13331" xr:uid="{23A1C883-EB6D-4426-AD96-01408C9AB339}"/>
    <cellStyle name="Normal 9 5 9" xfId="9113" xr:uid="{D04032C1-5B67-4137-89A2-8E912537E856}"/>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2 2 2" xfId="15891" xr:uid="{2DD129BC-8CF2-421E-92E6-9CCFE4AAF7BA}"/>
    <cellStyle name="Normal 9 6 2 2 3" xfId="11673" xr:uid="{71204D19-AF4B-4CC0-99FC-71AB31E63140}"/>
    <cellStyle name="Normal 9 6 2 3" xfId="5317" xr:uid="{00000000-0005-0000-0000-000075200000}"/>
    <cellStyle name="Normal 9 6 2 3 2" xfId="13746" xr:uid="{80D9C14B-6105-419D-99A2-B6ED09565A57}"/>
    <cellStyle name="Normal 9 6 2 4" xfId="9528" xr:uid="{7B57E8B8-9541-4E15-AD4F-2ED320184821}"/>
    <cellStyle name="Normal 9 6 3" xfId="1421" xr:uid="{00000000-0005-0000-0000-000076200000}"/>
    <cellStyle name="Normal 9 6 3 2" xfId="3651" xr:uid="{00000000-0005-0000-0000-000077200000}"/>
    <cellStyle name="Normal 9 6 3 2 2" xfId="7875" xr:uid="{00000000-0005-0000-0000-000078200000}"/>
    <cellStyle name="Normal 9 6 3 2 2 2" xfId="16304" xr:uid="{FA76BCDB-B09A-4536-BAC1-06FE5C74A2D2}"/>
    <cellStyle name="Normal 9 6 3 2 3" xfId="12086" xr:uid="{B744A0EC-3CC1-4A87-BEAC-853BE2B38F8A}"/>
    <cellStyle name="Normal 9 6 3 3" xfId="5730" xr:uid="{00000000-0005-0000-0000-000079200000}"/>
    <cellStyle name="Normal 9 6 3 3 2" xfId="14159" xr:uid="{86C2A454-AE42-4658-9497-D2FAAF809D3D}"/>
    <cellStyle name="Normal 9 6 3 4" xfId="9941" xr:uid="{E00DA4F0-EE20-4C67-B502-89342A448709}"/>
    <cellStyle name="Normal 9 6 4" xfId="1834" xr:uid="{00000000-0005-0000-0000-00007A200000}"/>
    <cellStyle name="Normal 9 6 4 2" xfId="4064" xr:uid="{00000000-0005-0000-0000-00007B200000}"/>
    <cellStyle name="Normal 9 6 4 2 2" xfId="8288" xr:uid="{00000000-0005-0000-0000-00007C200000}"/>
    <cellStyle name="Normal 9 6 4 2 2 2" xfId="16717" xr:uid="{F0452B4C-49C1-42F1-BD31-CA12A170A241}"/>
    <cellStyle name="Normal 9 6 4 2 3" xfId="12499" xr:uid="{1B749EB5-F311-4341-9A21-0C58BC02E9C8}"/>
    <cellStyle name="Normal 9 6 4 3" xfId="6143" xr:uid="{00000000-0005-0000-0000-00007D200000}"/>
    <cellStyle name="Normal 9 6 4 3 2" xfId="14572" xr:uid="{A2A46C6F-FBC6-4EDF-B294-552C5599B435}"/>
    <cellStyle name="Normal 9 6 4 4" xfId="10354" xr:uid="{074DEBEC-9204-420D-AFB3-E284E21F70B7}"/>
    <cellStyle name="Normal 9 6 5" xfId="2248" xr:uid="{00000000-0005-0000-0000-00007E200000}"/>
    <cellStyle name="Normal 9 6 5 2" xfId="4477" xr:uid="{00000000-0005-0000-0000-00007F200000}"/>
    <cellStyle name="Normal 9 6 5 2 2" xfId="8701" xr:uid="{00000000-0005-0000-0000-000080200000}"/>
    <cellStyle name="Normal 9 6 5 2 2 2" xfId="17130" xr:uid="{8EC0FC26-6B33-437E-BBA6-34AA058897C0}"/>
    <cellStyle name="Normal 9 6 5 2 3" xfId="12912" xr:uid="{EBE82003-6190-43EA-9F5A-D34495818E3D}"/>
    <cellStyle name="Normal 9 6 5 3" xfId="6556" xr:uid="{00000000-0005-0000-0000-000081200000}"/>
    <cellStyle name="Normal 9 6 5 3 2" xfId="14985" xr:uid="{03DDE98D-686C-48C2-A7DC-65A722B646DF}"/>
    <cellStyle name="Normal 9 6 5 4" xfId="10767" xr:uid="{9C3E37DF-E6F1-47AC-A9FD-5EBD55AE2B6B}"/>
    <cellStyle name="Normal 9 6 6" xfId="2684" xr:uid="{00000000-0005-0000-0000-000082200000}"/>
    <cellStyle name="Normal 9 6 6 2" xfId="6969" xr:uid="{00000000-0005-0000-0000-000083200000}"/>
    <cellStyle name="Normal 9 6 6 2 2" xfId="15398" xr:uid="{FB1A0857-3D6D-4E52-8E07-ECFFB698A5D9}"/>
    <cellStyle name="Normal 9 6 6 3" xfId="11180" xr:uid="{DA5D42B1-3DDE-433B-872D-C0BDE9D4B45B}"/>
    <cellStyle name="Normal 9 6 7" xfId="4904" xr:uid="{00000000-0005-0000-0000-000084200000}"/>
    <cellStyle name="Normal 9 6 7 2" xfId="13333" xr:uid="{F5FEB5BB-43F5-473B-A03B-C6CA918ACDA7}"/>
    <cellStyle name="Normal 9 6 8" xfId="9115" xr:uid="{9001511A-28AB-450B-9BEE-DC41A24D886F}"/>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0 2 2" xfId="15479" xr:uid="{A7B29A53-092F-4BBB-BBFB-50EFC2229F44}"/>
    <cellStyle name="Note 2 2 10 3" xfId="11261" xr:uid="{67164643-F43F-40F9-B598-BE50D06EBDB1}"/>
    <cellStyle name="Note 2 2 11" xfId="4905" xr:uid="{00000000-0005-0000-0000-000093200000}"/>
    <cellStyle name="Note 2 2 11 2" xfId="13334" xr:uid="{3ACF79FF-7124-4071-B298-CE4AE7ABBD17}"/>
    <cellStyle name="Note 2 2 12" xfId="9116" xr:uid="{7A528515-55D6-4797-A55E-7569D22ED888}"/>
    <cellStyle name="Note 2 2 2" xfId="547" xr:uid="{00000000-0005-0000-0000-000094200000}"/>
    <cellStyle name="Note 2 2 2 10" xfId="4906" xr:uid="{00000000-0005-0000-0000-000095200000}"/>
    <cellStyle name="Note 2 2 2 10 2" xfId="13335" xr:uid="{3050A584-EBAB-46AC-86F8-C0F729C86B10}"/>
    <cellStyle name="Note 2 2 2 11" xfId="9117" xr:uid="{6A008D99-15F5-4622-AC99-2B5061D38EBF}"/>
    <cellStyle name="Note 2 2 2 2" xfId="548" xr:uid="{00000000-0005-0000-0000-000096200000}"/>
    <cellStyle name="Note 2 2 2 2 10" xfId="9118" xr:uid="{87D37465-F0AE-420B-8AEF-D4E5B689879A}"/>
    <cellStyle name="Note 2 2 2 2 2" xfId="1009" xr:uid="{00000000-0005-0000-0000-000097200000}"/>
    <cellStyle name="Note 2 2 2 2 2 2" xfId="3241" xr:uid="{00000000-0005-0000-0000-000098200000}"/>
    <cellStyle name="Note 2 2 2 2 2 2 2" xfId="7465" xr:uid="{00000000-0005-0000-0000-000099200000}"/>
    <cellStyle name="Note 2 2 2 2 2 2 2 2" xfId="15894" xr:uid="{F00D41C5-77FD-4E7E-90B2-E9BE75F28529}"/>
    <cellStyle name="Note 2 2 2 2 2 2 3" xfId="11676" xr:uid="{E36B0BF4-5E50-4BAE-B52D-07F4513AC0B7}"/>
    <cellStyle name="Note 2 2 2 2 2 3" xfId="5320" xr:uid="{00000000-0005-0000-0000-00009A200000}"/>
    <cellStyle name="Note 2 2 2 2 2 3 2" xfId="13749" xr:uid="{40361025-49B6-4FA3-B7CE-09C4EF911999}"/>
    <cellStyle name="Note 2 2 2 2 2 4" xfId="9531" xr:uid="{0C1F42FB-3882-4128-8B3F-0D88EF863BAA}"/>
    <cellStyle name="Note 2 2 2 2 3" xfId="1424" xr:uid="{00000000-0005-0000-0000-00009B200000}"/>
    <cellStyle name="Note 2 2 2 2 3 2" xfId="3654" xr:uid="{00000000-0005-0000-0000-00009C200000}"/>
    <cellStyle name="Note 2 2 2 2 3 2 2" xfId="7878" xr:uid="{00000000-0005-0000-0000-00009D200000}"/>
    <cellStyle name="Note 2 2 2 2 3 2 2 2" xfId="16307" xr:uid="{149A49BA-3180-48E7-B1EA-E67E2198D6E8}"/>
    <cellStyle name="Note 2 2 2 2 3 2 3" xfId="12089" xr:uid="{844FE43A-797A-4F19-8224-885BC0DA79F6}"/>
    <cellStyle name="Note 2 2 2 2 3 3" xfId="5733" xr:uid="{00000000-0005-0000-0000-00009E200000}"/>
    <cellStyle name="Note 2 2 2 2 3 3 2" xfId="14162" xr:uid="{B723E044-35F5-4FB4-B554-4EC921F45B12}"/>
    <cellStyle name="Note 2 2 2 2 3 4" xfId="9944" xr:uid="{9AB15D2D-B473-4587-9002-9735FFF8FADF}"/>
    <cellStyle name="Note 2 2 2 2 4" xfId="1838" xr:uid="{00000000-0005-0000-0000-00009F200000}"/>
    <cellStyle name="Note 2 2 2 2 4 2" xfId="4067" xr:uid="{00000000-0005-0000-0000-0000A0200000}"/>
    <cellStyle name="Note 2 2 2 2 4 2 2" xfId="8291" xr:uid="{00000000-0005-0000-0000-0000A1200000}"/>
    <cellStyle name="Note 2 2 2 2 4 2 2 2" xfId="16720" xr:uid="{AEF9C187-D653-40CC-BAD3-6B10BC3D05A3}"/>
    <cellStyle name="Note 2 2 2 2 4 2 3" xfId="12502" xr:uid="{C19668C1-AAF2-4300-9A01-B7BB3B0CC3D2}"/>
    <cellStyle name="Note 2 2 2 2 4 3" xfId="6146" xr:uid="{00000000-0005-0000-0000-0000A2200000}"/>
    <cellStyle name="Note 2 2 2 2 4 3 2" xfId="14575" xr:uid="{084DDFFD-2888-45C5-B438-7493607DCF87}"/>
    <cellStyle name="Note 2 2 2 2 4 4" xfId="10357" xr:uid="{EA237907-6636-4BC3-82AC-690B3A6131F2}"/>
    <cellStyle name="Note 2 2 2 2 5" xfId="2251" xr:uid="{00000000-0005-0000-0000-0000A3200000}"/>
    <cellStyle name="Note 2 2 2 2 5 2" xfId="4480" xr:uid="{00000000-0005-0000-0000-0000A4200000}"/>
    <cellStyle name="Note 2 2 2 2 5 2 2" xfId="8704" xr:uid="{00000000-0005-0000-0000-0000A5200000}"/>
    <cellStyle name="Note 2 2 2 2 5 2 2 2" xfId="17133" xr:uid="{B786BC0A-6E44-49F4-8F61-C5BB72CBC323}"/>
    <cellStyle name="Note 2 2 2 2 5 2 3" xfId="12915" xr:uid="{673BC899-C60B-4B4A-A2FC-517E301E8DF7}"/>
    <cellStyle name="Note 2 2 2 2 5 3" xfId="6559" xr:uid="{00000000-0005-0000-0000-0000A6200000}"/>
    <cellStyle name="Note 2 2 2 2 5 3 2" xfId="14988" xr:uid="{03D00928-9CB7-4E4A-82AF-0BC22330D4FB}"/>
    <cellStyle name="Note 2 2 2 2 5 4" xfId="10770" xr:uid="{FF0F3AEF-682A-4E45-A1EC-9E4DB8F05BFA}"/>
    <cellStyle name="Note 2 2 2 2 6" xfId="2687" xr:uid="{00000000-0005-0000-0000-0000A7200000}"/>
    <cellStyle name="Note 2 2 2 2 6 2" xfId="6972" xr:uid="{00000000-0005-0000-0000-0000A8200000}"/>
    <cellStyle name="Note 2 2 2 2 6 2 2" xfId="15401" xr:uid="{2E26C8B7-FA75-43D0-BD55-83AD66FBD498}"/>
    <cellStyle name="Note 2 2 2 2 6 3" xfId="11183" xr:uid="{3C8ACA3B-7777-4848-9225-4AC5A7F4759C}"/>
    <cellStyle name="Note 2 2 2 2 7" xfId="2746" xr:uid="{00000000-0005-0000-0000-0000A9200000}"/>
    <cellStyle name="Note 2 2 2 2 8" xfId="2827" xr:uid="{00000000-0005-0000-0000-0000AA200000}"/>
    <cellStyle name="Note 2 2 2 2 8 2" xfId="7052" xr:uid="{00000000-0005-0000-0000-0000AB200000}"/>
    <cellStyle name="Note 2 2 2 2 8 2 2" xfId="15481" xr:uid="{866A1EA8-A7AF-4F22-B3C2-769AE8675B60}"/>
    <cellStyle name="Note 2 2 2 2 8 3" xfId="11263" xr:uid="{29354A66-DB95-40CF-BD32-17CE40F85BA6}"/>
    <cellStyle name="Note 2 2 2 2 9" xfId="4907" xr:uid="{00000000-0005-0000-0000-0000AC200000}"/>
    <cellStyle name="Note 2 2 2 2 9 2" xfId="13336" xr:uid="{768807D5-91CB-4454-BA94-230E05F435E0}"/>
    <cellStyle name="Note 2 2 2 3" xfId="1008" xr:uid="{00000000-0005-0000-0000-0000AD200000}"/>
    <cellStyle name="Note 2 2 2 3 2" xfId="3240" xr:uid="{00000000-0005-0000-0000-0000AE200000}"/>
    <cellStyle name="Note 2 2 2 3 2 2" xfId="7464" xr:uid="{00000000-0005-0000-0000-0000AF200000}"/>
    <cellStyle name="Note 2 2 2 3 2 2 2" xfId="15893" xr:uid="{BBBF3E86-F6ED-4F14-B2CA-777A10A51D66}"/>
    <cellStyle name="Note 2 2 2 3 2 3" xfId="11675" xr:uid="{CFA9730A-1ECA-4503-9132-DD94C550E96E}"/>
    <cellStyle name="Note 2 2 2 3 3" xfId="5319" xr:uid="{00000000-0005-0000-0000-0000B0200000}"/>
    <cellStyle name="Note 2 2 2 3 3 2" xfId="13748" xr:uid="{86C85148-B94F-4F4F-87C9-A29D5FB5C869}"/>
    <cellStyle name="Note 2 2 2 3 4" xfId="9530" xr:uid="{B3519A69-3355-4D82-99B1-81AF5B5B62FB}"/>
    <cellStyle name="Note 2 2 2 4" xfId="1423" xr:uid="{00000000-0005-0000-0000-0000B1200000}"/>
    <cellStyle name="Note 2 2 2 4 2" xfId="3653" xr:uid="{00000000-0005-0000-0000-0000B2200000}"/>
    <cellStyle name="Note 2 2 2 4 2 2" xfId="7877" xr:uid="{00000000-0005-0000-0000-0000B3200000}"/>
    <cellStyle name="Note 2 2 2 4 2 2 2" xfId="16306" xr:uid="{C04C2127-DEF7-4295-97EB-8DBE00EBAC4F}"/>
    <cellStyle name="Note 2 2 2 4 2 3" xfId="12088" xr:uid="{D61C5C87-4E10-4C62-9502-4F0F547504FF}"/>
    <cellStyle name="Note 2 2 2 4 3" xfId="5732" xr:uid="{00000000-0005-0000-0000-0000B4200000}"/>
    <cellStyle name="Note 2 2 2 4 3 2" xfId="14161" xr:uid="{2FFAD4B2-A747-4B0E-9D3A-23B39451870B}"/>
    <cellStyle name="Note 2 2 2 4 4" xfId="9943" xr:uid="{06CCCC52-D3EF-4218-BEAA-86F87E575C88}"/>
    <cellStyle name="Note 2 2 2 5" xfId="1837" xr:uid="{00000000-0005-0000-0000-0000B5200000}"/>
    <cellStyle name="Note 2 2 2 5 2" xfId="4066" xr:uid="{00000000-0005-0000-0000-0000B6200000}"/>
    <cellStyle name="Note 2 2 2 5 2 2" xfId="8290" xr:uid="{00000000-0005-0000-0000-0000B7200000}"/>
    <cellStyle name="Note 2 2 2 5 2 2 2" xfId="16719" xr:uid="{9A4101B3-D872-46D0-88D3-A2F96DD4CB7B}"/>
    <cellStyle name="Note 2 2 2 5 2 3" xfId="12501" xr:uid="{952B214A-64FE-4BBA-A844-EE462060A524}"/>
    <cellStyle name="Note 2 2 2 5 3" xfId="6145" xr:uid="{00000000-0005-0000-0000-0000B8200000}"/>
    <cellStyle name="Note 2 2 2 5 3 2" xfId="14574" xr:uid="{E0C7DC93-931D-417D-928E-9F5CFD807EDA}"/>
    <cellStyle name="Note 2 2 2 5 4" xfId="10356" xr:uid="{C8188BC3-FAA3-4D7B-A45C-A919F8A00CD8}"/>
    <cellStyle name="Note 2 2 2 6" xfId="2250" xr:uid="{00000000-0005-0000-0000-0000B9200000}"/>
    <cellStyle name="Note 2 2 2 6 2" xfId="4479" xr:uid="{00000000-0005-0000-0000-0000BA200000}"/>
    <cellStyle name="Note 2 2 2 6 2 2" xfId="8703" xr:uid="{00000000-0005-0000-0000-0000BB200000}"/>
    <cellStyle name="Note 2 2 2 6 2 2 2" xfId="17132" xr:uid="{4A2A5F53-E230-4839-AD6F-2E93037B04AC}"/>
    <cellStyle name="Note 2 2 2 6 2 3" xfId="12914" xr:uid="{18E40C3B-2EEE-4828-A585-6D3B58CB8EE4}"/>
    <cellStyle name="Note 2 2 2 6 3" xfId="6558" xr:uid="{00000000-0005-0000-0000-0000BC200000}"/>
    <cellStyle name="Note 2 2 2 6 3 2" xfId="14987" xr:uid="{BCBA78A6-4752-48CA-921F-4D6FC9D8BFD1}"/>
    <cellStyle name="Note 2 2 2 6 4" xfId="10769" xr:uid="{459DF3E3-3AF3-4F11-9E61-9E39958701F5}"/>
    <cellStyle name="Note 2 2 2 7" xfId="2686" xr:uid="{00000000-0005-0000-0000-0000BD200000}"/>
    <cellStyle name="Note 2 2 2 7 2" xfId="6971" xr:uid="{00000000-0005-0000-0000-0000BE200000}"/>
    <cellStyle name="Note 2 2 2 7 2 2" xfId="15400" xr:uid="{E48533B2-1645-4FA3-9746-9F3E08E31260}"/>
    <cellStyle name="Note 2 2 2 7 3" xfId="11182" xr:uid="{5A50CC53-72FC-4C05-B358-542E7BA28ACB}"/>
    <cellStyle name="Note 2 2 2 8" xfId="2745" xr:uid="{00000000-0005-0000-0000-0000BF200000}"/>
    <cellStyle name="Note 2 2 2 9" xfId="2826" xr:uid="{00000000-0005-0000-0000-0000C0200000}"/>
    <cellStyle name="Note 2 2 2 9 2" xfId="7051" xr:uid="{00000000-0005-0000-0000-0000C1200000}"/>
    <cellStyle name="Note 2 2 2 9 2 2" xfId="15480" xr:uid="{FC869A8C-E194-44D7-BD40-EBEAE28FD4AF}"/>
    <cellStyle name="Note 2 2 2 9 3" xfId="11262" xr:uid="{2937AF46-D305-4C18-8F20-7AE39AE61432}"/>
    <cellStyle name="Note 2 2 3" xfId="549" xr:uid="{00000000-0005-0000-0000-0000C2200000}"/>
    <cellStyle name="Note 2 2 3 10" xfId="9119" xr:uid="{243F7040-B105-4B54-AA9E-EF161603B191}"/>
    <cellStyle name="Note 2 2 3 2" xfId="1010" xr:uid="{00000000-0005-0000-0000-0000C3200000}"/>
    <cellStyle name="Note 2 2 3 2 2" xfId="3242" xr:uid="{00000000-0005-0000-0000-0000C4200000}"/>
    <cellStyle name="Note 2 2 3 2 2 2" xfId="7466" xr:uid="{00000000-0005-0000-0000-0000C5200000}"/>
    <cellStyle name="Note 2 2 3 2 2 2 2" xfId="15895" xr:uid="{B6A9B352-DB15-48E0-925B-88B96DC526F4}"/>
    <cellStyle name="Note 2 2 3 2 2 3" xfId="11677" xr:uid="{2DF89F84-1EFC-4C8F-8BD7-703EDBA82556}"/>
    <cellStyle name="Note 2 2 3 2 3" xfId="5321" xr:uid="{00000000-0005-0000-0000-0000C6200000}"/>
    <cellStyle name="Note 2 2 3 2 3 2" xfId="13750" xr:uid="{FA749C65-9CD7-4070-A526-865B16A4047F}"/>
    <cellStyle name="Note 2 2 3 2 4" xfId="9532" xr:uid="{92F9D12F-FB96-4790-A13C-03A9FFC78EE2}"/>
    <cellStyle name="Note 2 2 3 3" xfId="1425" xr:uid="{00000000-0005-0000-0000-0000C7200000}"/>
    <cellStyle name="Note 2 2 3 3 2" xfId="3655" xr:uid="{00000000-0005-0000-0000-0000C8200000}"/>
    <cellStyle name="Note 2 2 3 3 2 2" xfId="7879" xr:uid="{00000000-0005-0000-0000-0000C9200000}"/>
    <cellStyle name="Note 2 2 3 3 2 2 2" xfId="16308" xr:uid="{B394DEB9-D585-4AB0-85B0-DC06D7BBDF13}"/>
    <cellStyle name="Note 2 2 3 3 2 3" xfId="12090" xr:uid="{CA905C0C-A6F7-4513-8BE4-9795435D454B}"/>
    <cellStyle name="Note 2 2 3 3 3" xfId="5734" xr:uid="{00000000-0005-0000-0000-0000CA200000}"/>
    <cellStyle name="Note 2 2 3 3 3 2" xfId="14163" xr:uid="{3EF7F136-B807-436C-88E2-09E6936D4680}"/>
    <cellStyle name="Note 2 2 3 3 4" xfId="9945" xr:uid="{FE38D01F-176D-4DA7-A00D-B79DC9283D97}"/>
    <cellStyle name="Note 2 2 3 4" xfId="1839" xr:uid="{00000000-0005-0000-0000-0000CB200000}"/>
    <cellStyle name="Note 2 2 3 4 2" xfId="4068" xr:uid="{00000000-0005-0000-0000-0000CC200000}"/>
    <cellStyle name="Note 2 2 3 4 2 2" xfId="8292" xr:uid="{00000000-0005-0000-0000-0000CD200000}"/>
    <cellStyle name="Note 2 2 3 4 2 2 2" xfId="16721" xr:uid="{F59B51B9-86BC-40E9-B97D-2EAC7A2635BC}"/>
    <cellStyle name="Note 2 2 3 4 2 3" xfId="12503" xr:uid="{32C69F7C-4D77-4FCA-BF7E-EF6D4F5666C1}"/>
    <cellStyle name="Note 2 2 3 4 3" xfId="6147" xr:uid="{00000000-0005-0000-0000-0000CE200000}"/>
    <cellStyle name="Note 2 2 3 4 3 2" xfId="14576" xr:uid="{85B28E39-E0CB-4D40-BDB0-8AE0E35AB6A6}"/>
    <cellStyle name="Note 2 2 3 4 4" xfId="10358" xr:uid="{4370F8B4-F7B4-4A91-8085-F18557BE9FDE}"/>
    <cellStyle name="Note 2 2 3 5" xfId="2252" xr:uid="{00000000-0005-0000-0000-0000CF200000}"/>
    <cellStyle name="Note 2 2 3 5 2" xfId="4481" xr:uid="{00000000-0005-0000-0000-0000D0200000}"/>
    <cellStyle name="Note 2 2 3 5 2 2" xfId="8705" xr:uid="{00000000-0005-0000-0000-0000D1200000}"/>
    <cellStyle name="Note 2 2 3 5 2 2 2" xfId="17134" xr:uid="{97A6EA10-B9FB-4A27-8D15-508A724773D4}"/>
    <cellStyle name="Note 2 2 3 5 2 3" xfId="12916" xr:uid="{22F489BC-C6DC-4B7D-9279-6021F997DFB0}"/>
    <cellStyle name="Note 2 2 3 5 3" xfId="6560" xr:uid="{00000000-0005-0000-0000-0000D2200000}"/>
    <cellStyle name="Note 2 2 3 5 3 2" xfId="14989" xr:uid="{157EE50B-208F-4409-9BC8-3DDA44778680}"/>
    <cellStyle name="Note 2 2 3 5 4" xfId="10771" xr:uid="{B5F557AC-720B-445C-8C41-39B3B6B14C64}"/>
    <cellStyle name="Note 2 2 3 6" xfId="2688" xr:uid="{00000000-0005-0000-0000-0000D3200000}"/>
    <cellStyle name="Note 2 2 3 6 2" xfId="6973" xr:uid="{00000000-0005-0000-0000-0000D4200000}"/>
    <cellStyle name="Note 2 2 3 6 2 2" xfId="15402" xr:uid="{72F31508-0A83-49FF-B8E0-09159EE79FD9}"/>
    <cellStyle name="Note 2 2 3 6 3" xfId="11184" xr:uid="{490402FD-3A85-48FB-917B-7C8F035D0B06}"/>
    <cellStyle name="Note 2 2 3 7" xfId="2747" xr:uid="{00000000-0005-0000-0000-0000D5200000}"/>
    <cellStyle name="Note 2 2 3 8" xfId="2828" xr:uid="{00000000-0005-0000-0000-0000D6200000}"/>
    <cellStyle name="Note 2 2 3 8 2" xfId="7053" xr:uid="{00000000-0005-0000-0000-0000D7200000}"/>
    <cellStyle name="Note 2 2 3 8 2 2" xfId="15482" xr:uid="{A7D86F0F-F553-413C-8157-24E4C93785EE}"/>
    <cellStyle name="Note 2 2 3 8 3" xfId="11264" xr:uid="{BC877A7F-4E3E-43D5-8888-5BCABDD53F49}"/>
    <cellStyle name="Note 2 2 3 9" xfId="4908" xr:uid="{00000000-0005-0000-0000-0000D8200000}"/>
    <cellStyle name="Note 2 2 3 9 2" xfId="13337" xr:uid="{7C178B47-8B7A-4B39-BD1D-903579820D2B}"/>
    <cellStyle name="Note 2 2 4" xfId="1007" xr:uid="{00000000-0005-0000-0000-0000D9200000}"/>
    <cellStyle name="Note 2 2 4 2" xfId="3239" xr:uid="{00000000-0005-0000-0000-0000DA200000}"/>
    <cellStyle name="Note 2 2 4 2 2" xfId="7463" xr:uid="{00000000-0005-0000-0000-0000DB200000}"/>
    <cellStyle name="Note 2 2 4 2 2 2" xfId="15892" xr:uid="{50850DD1-1F00-43B3-93D2-21CE33E5F095}"/>
    <cellStyle name="Note 2 2 4 2 3" xfId="11674" xr:uid="{9DDA2667-1E32-4381-8997-D394E5C27A79}"/>
    <cellStyle name="Note 2 2 4 3" xfId="5318" xr:uid="{00000000-0005-0000-0000-0000DC200000}"/>
    <cellStyle name="Note 2 2 4 3 2" xfId="13747" xr:uid="{F6B66DA9-078E-47E4-ACEF-AFD78D9F7546}"/>
    <cellStyle name="Note 2 2 4 4" xfId="9529" xr:uid="{EFCC487C-F82D-4AE5-984C-F8243B8D1943}"/>
    <cellStyle name="Note 2 2 5" xfId="1422" xr:uid="{00000000-0005-0000-0000-0000DD200000}"/>
    <cellStyle name="Note 2 2 5 2" xfId="3652" xr:uid="{00000000-0005-0000-0000-0000DE200000}"/>
    <cellStyle name="Note 2 2 5 2 2" xfId="7876" xr:uid="{00000000-0005-0000-0000-0000DF200000}"/>
    <cellStyle name="Note 2 2 5 2 2 2" xfId="16305" xr:uid="{831EE00A-2595-424B-9165-143EDD56FE73}"/>
    <cellStyle name="Note 2 2 5 2 3" xfId="12087" xr:uid="{3B8CCA0D-E8A5-4EC7-B523-B90B6526805E}"/>
    <cellStyle name="Note 2 2 5 3" xfId="5731" xr:uid="{00000000-0005-0000-0000-0000E0200000}"/>
    <cellStyle name="Note 2 2 5 3 2" xfId="14160" xr:uid="{383D7AC9-9706-4E4A-9079-60A5A7E1F724}"/>
    <cellStyle name="Note 2 2 5 4" xfId="9942" xr:uid="{6D9D6DEC-CBF0-4538-8213-C56B242816AE}"/>
    <cellStyle name="Note 2 2 6" xfId="1836" xr:uid="{00000000-0005-0000-0000-0000E1200000}"/>
    <cellStyle name="Note 2 2 6 2" xfId="4065" xr:uid="{00000000-0005-0000-0000-0000E2200000}"/>
    <cellStyle name="Note 2 2 6 2 2" xfId="8289" xr:uid="{00000000-0005-0000-0000-0000E3200000}"/>
    <cellStyle name="Note 2 2 6 2 2 2" xfId="16718" xr:uid="{09C14BD2-3E29-4111-84AA-791FED8B359D}"/>
    <cellStyle name="Note 2 2 6 2 3" xfId="12500" xr:uid="{829CFD86-DC55-4729-A098-15EE4BDADC92}"/>
    <cellStyle name="Note 2 2 6 3" xfId="6144" xr:uid="{00000000-0005-0000-0000-0000E4200000}"/>
    <cellStyle name="Note 2 2 6 3 2" xfId="14573" xr:uid="{6E63166E-9E99-4AC3-A4CA-47EDDED0B9A2}"/>
    <cellStyle name="Note 2 2 6 4" xfId="10355" xr:uid="{D2D372E4-68A7-4CED-A977-7F1108CA458F}"/>
    <cellStyle name="Note 2 2 7" xfId="2249" xr:uid="{00000000-0005-0000-0000-0000E5200000}"/>
    <cellStyle name="Note 2 2 7 2" xfId="4478" xr:uid="{00000000-0005-0000-0000-0000E6200000}"/>
    <cellStyle name="Note 2 2 7 2 2" xfId="8702" xr:uid="{00000000-0005-0000-0000-0000E7200000}"/>
    <cellStyle name="Note 2 2 7 2 2 2" xfId="17131" xr:uid="{6204539B-3C69-4CFF-B258-01D3D5839BD3}"/>
    <cellStyle name="Note 2 2 7 2 3" xfId="12913" xr:uid="{6396FE5E-4263-4E6F-ACF2-414A3FF3DC04}"/>
    <cellStyle name="Note 2 2 7 3" xfId="6557" xr:uid="{00000000-0005-0000-0000-0000E8200000}"/>
    <cellStyle name="Note 2 2 7 3 2" xfId="14986" xr:uid="{22929166-896C-4108-AEAE-A1977AF3F1D0}"/>
    <cellStyle name="Note 2 2 7 4" xfId="10768" xr:uid="{3DBABC7B-32B8-45D2-96D1-494350E8072B}"/>
    <cellStyle name="Note 2 2 8" xfId="2685" xr:uid="{00000000-0005-0000-0000-0000E9200000}"/>
    <cellStyle name="Note 2 2 8 2" xfId="6970" xr:uid="{00000000-0005-0000-0000-0000EA200000}"/>
    <cellStyle name="Note 2 2 8 2 2" xfId="15399" xr:uid="{BB9398A1-1D00-4F80-8DC3-28FCDDE1EBB1}"/>
    <cellStyle name="Note 2 2 8 3" xfId="11181" xr:uid="{A3157FAA-E35C-43E1-8D51-42A4D0DB5B7B}"/>
    <cellStyle name="Note 2 2 9" xfId="2744" xr:uid="{00000000-0005-0000-0000-0000EB200000}"/>
    <cellStyle name="Note 2 3" xfId="550" xr:uid="{00000000-0005-0000-0000-0000EC200000}"/>
    <cellStyle name="Note 2 3 10" xfId="4909" xr:uid="{00000000-0005-0000-0000-0000ED200000}"/>
    <cellStyle name="Note 2 3 10 2" xfId="13338" xr:uid="{E7D7D003-1952-43CE-AD7B-C920B498A266}"/>
    <cellStyle name="Note 2 3 11" xfId="9120" xr:uid="{F87AED57-30AD-4300-9B19-2427A763B375}"/>
    <cellStyle name="Note 2 3 2" xfId="551" xr:uid="{00000000-0005-0000-0000-0000EE200000}"/>
    <cellStyle name="Note 2 3 2 10" xfId="9121" xr:uid="{68EF93B2-20B6-4A35-983F-527FF426ED74}"/>
    <cellStyle name="Note 2 3 2 2" xfId="1012" xr:uid="{00000000-0005-0000-0000-0000EF200000}"/>
    <cellStyle name="Note 2 3 2 2 2" xfId="3244" xr:uid="{00000000-0005-0000-0000-0000F0200000}"/>
    <cellStyle name="Note 2 3 2 2 2 2" xfId="7468" xr:uid="{00000000-0005-0000-0000-0000F1200000}"/>
    <cellStyle name="Note 2 3 2 2 2 2 2" xfId="15897" xr:uid="{943148EF-B892-485A-B8F0-4A00B4716BA3}"/>
    <cellStyle name="Note 2 3 2 2 2 3" xfId="11679" xr:uid="{FE5EEED3-5E6C-4FF5-8601-77D5D7722702}"/>
    <cellStyle name="Note 2 3 2 2 3" xfId="5323" xr:uid="{00000000-0005-0000-0000-0000F2200000}"/>
    <cellStyle name="Note 2 3 2 2 3 2" xfId="13752" xr:uid="{FCAB2A34-8222-4977-B0BF-94794A09D91B}"/>
    <cellStyle name="Note 2 3 2 2 4" xfId="9534" xr:uid="{5C19904F-DB0A-4FCB-B75D-60D0FCA25BEC}"/>
    <cellStyle name="Note 2 3 2 3" xfId="1427" xr:uid="{00000000-0005-0000-0000-0000F3200000}"/>
    <cellStyle name="Note 2 3 2 3 2" xfId="3657" xr:uid="{00000000-0005-0000-0000-0000F4200000}"/>
    <cellStyle name="Note 2 3 2 3 2 2" xfId="7881" xr:uid="{00000000-0005-0000-0000-0000F5200000}"/>
    <cellStyle name="Note 2 3 2 3 2 2 2" xfId="16310" xr:uid="{DC1E3C66-B44C-4978-AF0D-8776DF7A9F48}"/>
    <cellStyle name="Note 2 3 2 3 2 3" xfId="12092" xr:uid="{A73EA028-8974-426A-AADF-CDB2957B5F18}"/>
    <cellStyle name="Note 2 3 2 3 3" xfId="5736" xr:uid="{00000000-0005-0000-0000-0000F6200000}"/>
    <cellStyle name="Note 2 3 2 3 3 2" xfId="14165" xr:uid="{392E3C32-81A6-4370-87F1-E78FF8F7D097}"/>
    <cellStyle name="Note 2 3 2 3 4" xfId="9947" xr:uid="{7E85380D-D31B-4E88-8542-321FA61ED2C9}"/>
    <cellStyle name="Note 2 3 2 4" xfId="1841" xr:uid="{00000000-0005-0000-0000-0000F7200000}"/>
    <cellStyle name="Note 2 3 2 4 2" xfId="4070" xr:uid="{00000000-0005-0000-0000-0000F8200000}"/>
    <cellStyle name="Note 2 3 2 4 2 2" xfId="8294" xr:uid="{00000000-0005-0000-0000-0000F9200000}"/>
    <cellStyle name="Note 2 3 2 4 2 2 2" xfId="16723" xr:uid="{4CFE7E27-CD67-4254-8A3A-4B9208DBAE82}"/>
    <cellStyle name="Note 2 3 2 4 2 3" xfId="12505" xr:uid="{EAFF002B-F39A-454C-AE3A-1FCDD0ADC80C}"/>
    <cellStyle name="Note 2 3 2 4 3" xfId="6149" xr:uid="{00000000-0005-0000-0000-0000FA200000}"/>
    <cellStyle name="Note 2 3 2 4 3 2" xfId="14578" xr:uid="{485856ED-451E-46D8-A703-020D3A944644}"/>
    <cellStyle name="Note 2 3 2 4 4" xfId="10360" xr:uid="{624E112D-C8B8-4840-947B-2BA1C7648BC3}"/>
    <cellStyle name="Note 2 3 2 5" xfId="2254" xr:uid="{00000000-0005-0000-0000-0000FB200000}"/>
    <cellStyle name="Note 2 3 2 5 2" xfId="4483" xr:uid="{00000000-0005-0000-0000-0000FC200000}"/>
    <cellStyle name="Note 2 3 2 5 2 2" xfId="8707" xr:uid="{00000000-0005-0000-0000-0000FD200000}"/>
    <cellStyle name="Note 2 3 2 5 2 2 2" xfId="17136" xr:uid="{3C377FEB-BE88-4454-AB95-85A5A034D4D2}"/>
    <cellStyle name="Note 2 3 2 5 2 3" xfId="12918" xr:uid="{8A0023E7-DF6D-4A87-9229-7C07B35A7316}"/>
    <cellStyle name="Note 2 3 2 5 3" xfId="6562" xr:uid="{00000000-0005-0000-0000-0000FE200000}"/>
    <cellStyle name="Note 2 3 2 5 3 2" xfId="14991" xr:uid="{404F8364-3AF2-4919-B6EE-3645D3C693CA}"/>
    <cellStyle name="Note 2 3 2 5 4" xfId="10773" xr:uid="{D2D0BE1F-6F0A-4C53-A4DF-AC1EFE22F826}"/>
    <cellStyle name="Note 2 3 2 6" xfId="2690" xr:uid="{00000000-0005-0000-0000-0000FF200000}"/>
    <cellStyle name="Note 2 3 2 6 2" xfId="6975" xr:uid="{00000000-0005-0000-0000-000000210000}"/>
    <cellStyle name="Note 2 3 2 6 2 2" xfId="15404" xr:uid="{A1670E9C-B26E-4A56-B90E-42C0C6AEB36D}"/>
    <cellStyle name="Note 2 3 2 6 3" xfId="11186" xr:uid="{B5449D4C-6192-4524-9CE8-394FE1AB19B6}"/>
    <cellStyle name="Note 2 3 2 7" xfId="2749" xr:uid="{00000000-0005-0000-0000-000001210000}"/>
    <cellStyle name="Note 2 3 2 8" xfId="2830" xr:uid="{00000000-0005-0000-0000-000002210000}"/>
    <cellStyle name="Note 2 3 2 8 2" xfId="7055" xr:uid="{00000000-0005-0000-0000-000003210000}"/>
    <cellStyle name="Note 2 3 2 8 2 2" xfId="15484" xr:uid="{550C0263-351F-44B7-8A6D-86D0FF97F489}"/>
    <cellStyle name="Note 2 3 2 8 3" xfId="11266" xr:uid="{49780B87-A609-4988-8B03-5EE1BBDFB1BB}"/>
    <cellStyle name="Note 2 3 2 9" xfId="4910" xr:uid="{00000000-0005-0000-0000-000004210000}"/>
    <cellStyle name="Note 2 3 2 9 2" xfId="13339" xr:uid="{937FA3FC-0FB2-4A9A-8AE2-4DE60CC5859A}"/>
    <cellStyle name="Note 2 3 3" xfId="1011" xr:uid="{00000000-0005-0000-0000-000005210000}"/>
    <cellStyle name="Note 2 3 3 2" xfId="3243" xr:uid="{00000000-0005-0000-0000-000006210000}"/>
    <cellStyle name="Note 2 3 3 2 2" xfId="7467" xr:uid="{00000000-0005-0000-0000-000007210000}"/>
    <cellStyle name="Note 2 3 3 2 2 2" xfId="15896" xr:uid="{26770897-61A4-4C00-A707-D93C7FE037DC}"/>
    <cellStyle name="Note 2 3 3 2 3" xfId="11678" xr:uid="{CA668645-6780-402E-8938-209E9ACBDE25}"/>
    <cellStyle name="Note 2 3 3 3" xfId="5322" xr:uid="{00000000-0005-0000-0000-000008210000}"/>
    <cellStyle name="Note 2 3 3 3 2" xfId="13751" xr:uid="{99BD1FE6-0466-4BC4-9FB6-A7F6B408DD83}"/>
    <cellStyle name="Note 2 3 3 4" xfId="9533" xr:uid="{DFBDEEB8-CC83-4F49-80AA-92F10CC987A1}"/>
    <cellStyle name="Note 2 3 4" xfId="1426" xr:uid="{00000000-0005-0000-0000-000009210000}"/>
    <cellStyle name="Note 2 3 4 2" xfId="3656" xr:uid="{00000000-0005-0000-0000-00000A210000}"/>
    <cellStyle name="Note 2 3 4 2 2" xfId="7880" xr:uid="{00000000-0005-0000-0000-00000B210000}"/>
    <cellStyle name="Note 2 3 4 2 2 2" xfId="16309" xr:uid="{48D4B894-10A8-44E2-A4CE-E70D37EB0C0C}"/>
    <cellStyle name="Note 2 3 4 2 3" xfId="12091" xr:uid="{2088CEE0-AEA2-4280-9D7A-326D7142DEAE}"/>
    <cellStyle name="Note 2 3 4 3" xfId="5735" xr:uid="{00000000-0005-0000-0000-00000C210000}"/>
    <cellStyle name="Note 2 3 4 3 2" xfId="14164" xr:uid="{01B4F021-D0A4-4332-9ECD-19B1EF9A94D1}"/>
    <cellStyle name="Note 2 3 4 4" xfId="9946" xr:uid="{29CA5402-D1C2-497C-BA65-3B33313DB677}"/>
    <cellStyle name="Note 2 3 5" xfId="1840" xr:uid="{00000000-0005-0000-0000-00000D210000}"/>
    <cellStyle name="Note 2 3 5 2" xfId="4069" xr:uid="{00000000-0005-0000-0000-00000E210000}"/>
    <cellStyle name="Note 2 3 5 2 2" xfId="8293" xr:uid="{00000000-0005-0000-0000-00000F210000}"/>
    <cellStyle name="Note 2 3 5 2 2 2" xfId="16722" xr:uid="{04217BED-2F8B-4A84-A19F-C5CDB15621D9}"/>
    <cellStyle name="Note 2 3 5 2 3" xfId="12504" xr:uid="{3949E17C-FCDE-4110-853C-269D3EEFFF43}"/>
    <cellStyle name="Note 2 3 5 3" xfId="6148" xr:uid="{00000000-0005-0000-0000-000010210000}"/>
    <cellStyle name="Note 2 3 5 3 2" xfId="14577" xr:uid="{60AD98EB-389D-4DDB-89B8-EE3F3FCF591F}"/>
    <cellStyle name="Note 2 3 5 4" xfId="10359" xr:uid="{46413F8D-D3F3-4C58-9EEB-9294F0BD3781}"/>
    <cellStyle name="Note 2 3 6" xfId="2253" xr:uid="{00000000-0005-0000-0000-000011210000}"/>
    <cellStyle name="Note 2 3 6 2" xfId="4482" xr:uid="{00000000-0005-0000-0000-000012210000}"/>
    <cellStyle name="Note 2 3 6 2 2" xfId="8706" xr:uid="{00000000-0005-0000-0000-000013210000}"/>
    <cellStyle name="Note 2 3 6 2 2 2" xfId="17135" xr:uid="{B363BCF4-FCCD-443A-BBA2-D89E0F23C4F0}"/>
    <cellStyle name="Note 2 3 6 2 3" xfId="12917" xr:uid="{EECC3677-5649-41B3-8575-A0E185ECE1EC}"/>
    <cellStyle name="Note 2 3 6 3" xfId="6561" xr:uid="{00000000-0005-0000-0000-000014210000}"/>
    <cellStyle name="Note 2 3 6 3 2" xfId="14990" xr:uid="{74F016B9-C0AB-4562-9F25-0A1FBDA753FF}"/>
    <cellStyle name="Note 2 3 6 4" xfId="10772" xr:uid="{4F796A4F-8B8B-4F1B-B61E-E01A4B30F648}"/>
    <cellStyle name="Note 2 3 7" xfId="2689" xr:uid="{00000000-0005-0000-0000-000015210000}"/>
    <cellStyle name="Note 2 3 7 2" xfId="6974" xr:uid="{00000000-0005-0000-0000-000016210000}"/>
    <cellStyle name="Note 2 3 7 2 2" xfId="15403" xr:uid="{92990596-4F3B-40B5-9DF0-4763A7E6C806}"/>
    <cellStyle name="Note 2 3 7 3" xfId="11185" xr:uid="{8791E589-CF68-46B1-B42E-989DEF3A0B48}"/>
    <cellStyle name="Note 2 3 8" xfId="2748" xr:uid="{00000000-0005-0000-0000-000017210000}"/>
    <cellStyle name="Note 2 3 9" xfId="2829" xr:uid="{00000000-0005-0000-0000-000018210000}"/>
    <cellStyle name="Note 2 3 9 2" xfId="7054" xr:uid="{00000000-0005-0000-0000-000019210000}"/>
    <cellStyle name="Note 2 3 9 2 2" xfId="15483" xr:uid="{F6D87AEE-AF81-41FB-A172-5CDACAC785B4}"/>
    <cellStyle name="Note 2 3 9 3" xfId="11265" xr:uid="{36BF62EF-C044-480E-94B5-14E3F23A9FA8}"/>
    <cellStyle name="Note 2 4" xfId="552" xr:uid="{00000000-0005-0000-0000-00001A210000}"/>
    <cellStyle name="Note 2 4 10" xfId="9122" xr:uid="{6AE6B78E-3343-4025-92CC-FBECDB02E1CE}"/>
    <cellStyle name="Note 2 4 2" xfId="1013" xr:uid="{00000000-0005-0000-0000-00001B210000}"/>
    <cellStyle name="Note 2 4 2 2" xfId="3245" xr:uid="{00000000-0005-0000-0000-00001C210000}"/>
    <cellStyle name="Note 2 4 2 2 2" xfId="7469" xr:uid="{00000000-0005-0000-0000-00001D210000}"/>
    <cellStyle name="Note 2 4 2 2 2 2" xfId="15898" xr:uid="{8F8FF607-A6CB-435A-B228-68ABDB2382DA}"/>
    <cellStyle name="Note 2 4 2 2 3" xfId="11680" xr:uid="{05393F2D-DE1F-4B42-AE4A-73F84A24AF88}"/>
    <cellStyle name="Note 2 4 2 3" xfId="5324" xr:uid="{00000000-0005-0000-0000-00001E210000}"/>
    <cellStyle name="Note 2 4 2 3 2" xfId="13753" xr:uid="{38F31786-AE65-4882-8719-0B8C018F35F0}"/>
    <cellStyle name="Note 2 4 2 4" xfId="9535" xr:uid="{8753AF05-9DF1-43CB-BA73-52C1D0147304}"/>
    <cellStyle name="Note 2 4 3" xfId="1428" xr:uid="{00000000-0005-0000-0000-00001F210000}"/>
    <cellStyle name="Note 2 4 3 2" xfId="3658" xr:uid="{00000000-0005-0000-0000-000020210000}"/>
    <cellStyle name="Note 2 4 3 2 2" xfId="7882" xr:uid="{00000000-0005-0000-0000-000021210000}"/>
    <cellStyle name="Note 2 4 3 2 2 2" xfId="16311" xr:uid="{9EB755C6-227B-4FCD-B481-8D473F63C39A}"/>
    <cellStyle name="Note 2 4 3 2 3" xfId="12093" xr:uid="{661D5036-3043-4A73-82B4-E6150AD70732}"/>
    <cellStyle name="Note 2 4 3 3" xfId="5737" xr:uid="{00000000-0005-0000-0000-000022210000}"/>
    <cellStyle name="Note 2 4 3 3 2" xfId="14166" xr:uid="{03E2E14E-6FAB-48A9-AC67-C2307ECF06F1}"/>
    <cellStyle name="Note 2 4 3 4" xfId="9948" xr:uid="{880723BA-E014-45B6-8B92-3EFEB0A72C67}"/>
    <cellStyle name="Note 2 4 4" xfId="1842" xr:uid="{00000000-0005-0000-0000-000023210000}"/>
    <cellStyle name="Note 2 4 4 2" xfId="4071" xr:uid="{00000000-0005-0000-0000-000024210000}"/>
    <cellStyle name="Note 2 4 4 2 2" xfId="8295" xr:uid="{00000000-0005-0000-0000-000025210000}"/>
    <cellStyle name="Note 2 4 4 2 2 2" xfId="16724" xr:uid="{283E0CD9-0A70-4399-ABD3-78C43B13A385}"/>
    <cellStyle name="Note 2 4 4 2 3" xfId="12506" xr:uid="{84ED268E-58E9-4EAC-9E1F-1A975D6AE41B}"/>
    <cellStyle name="Note 2 4 4 3" xfId="6150" xr:uid="{00000000-0005-0000-0000-000026210000}"/>
    <cellStyle name="Note 2 4 4 3 2" xfId="14579" xr:uid="{9F55E982-A7D1-43EE-AA12-55859B4F85A7}"/>
    <cellStyle name="Note 2 4 4 4" xfId="10361" xr:uid="{10BDDB6E-BB54-4C6B-915D-9B92FB05840A}"/>
    <cellStyle name="Note 2 4 5" xfId="2255" xr:uid="{00000000-0005-0000-0000-000027210000}"/>
    <cellStyle name="Note 2 4 5 2" xfId="4484" xr:uid="{00000000-0005-0000-0000-000028210000}"/>
    <cellStyle name="Note 2 4 5 2 2" xfId="8708" xr:uid="{00000000-0005-0000-0000-000029210000}"/>
    <cellStyle name="Note 2 4 5 2 2 2" xfId="17137" xr:uid="{DB305B55-05FE-421C-A2BC-EDA3B1943D21}"/>
    <cellStyle name="Note 2 4 5 2 3" xfId="12919" xr:uid="{541655F2-8971-4133-AE5C-A5D5BF67CB09}"/>
    <cellStyle name="Note 2 4 5 3" xfId="6563" xr:uid="{00000000-0005-0000-0000-00002A210000}"/>
    <cellStyle name="Note 2 4 5 3 2" xfId="14992" xr:uid="{D0C4358A-CC33-4E46-999C-3A6CD96D69A8}"/>
    <cellStyle name="Note 2 4 5 4" xfId="10774" xr:uid="{0CE8E12D-95BF-4E6D-A39F-0523BFB4719F}"/>
    <cellStyle name="Note 2 4 6" xfId="2691" xr:uid="{00000000-0005-0000-0000-00002B210000}"/>
    <cellStyle name="Note 2 4 6 2" xfId="6976" xr:uid="{00000000-0005-0000-0000-00002C210000}"/>
    <cellStyle name="Note 2 4 6 2 2" xfId="15405" xr:uid="{BB2EA49F-DCF5-415A-BD73-237C9529D7F7}"/>
    <cellStyle name="Note 2 4 6 3" xfId="11187" xr:uid="{DF376C84-23BF-4593-BBFB-0AED275EB2A6}"/>
    <cellStyle name="Note 2 4 7" xfId="2750" xr:uid="{00000000-0005-0000-0000-00002D210000}"/>
    <cellStyle name="Note 2 4 8" xfId="2831" xr:uid="{00000000-0005-0000-0000-00002E210000}"/>
    <cellStyle name="Note 2 4 8 2" xfId="7056" xr:uid="{00000000-0005-0000-0000-00002F210000}"/>
    <cellStyle name="Note 2 4 8 2 2" xfId="15485" xr:uid="{CCBEE82C-F898-4083-A6EB-BCD587B2FDC7}"/>
    <cellStyle name="Note 2 4 8 3" xfId="11267" xr:uid="{5CE3CDDB-8B69-4111-86EB-B85010C934CB}"/>
    <cellStyle name="Note 2 4 9" xfId="4911" xr:uid="{00000000-0005-0000-0000-000030210000}"/>
    <cellStyle name="Note 2 4 9 2" xfId="13340" xr:uid="{DD17953F-F403-4102-87FD-200F92E9F80A}"/>
    <cellStyle name="Note 2 5" xfId="553" xr:uid="{00000000-0005-0000-0000-000031210000}"/>
    <cellStyle name="Note 2 5 10" xfId="9123" xr:uid="{4C4A3364-1763-4469-B712-37D91F6D6807}"/>
    <cellStyle name="Note 2 5 2" xfId="1014" xr:uid="{00000000-0005-0000-0000-000032210000}"/>
    <cellStyle name="Note 2 5 2 2" xfId="3246" xr:uid="{00000000-0005-0000-0000-000033210000}"/>
    <cellStyle name="Note 2 5 2 2 2" xfId="7470" xr:uid="{00000000-0005-0000-0000-000034210000}"/>
    <cellStyle name="Note 2 5 2 2 2 2" xfId="15899" xr:uid="{039CC082-F6A7-4967-94D0-F864935933EA}"/>
    <cellStyle name="Note 2 5 2 2 3" xfId="11681" xr:uid="{8F509DBC-E715-423E-A78A-702EF8A6A1AC}"/>
    <cellStyle name="Note 2 5 2 3" xfId="5325" xr:uid="{00000000-0005-0000-0000-000035210000}"/>
    <cellStyle name="Note 2 5 2 3 2" xfId="13754" xr:uid="{43AFD3FC-FEB5-4B70-8508-FE3185CCF282}"/>
    <cellStyle name="Note 2 5 2 4" xfId="9536" xr:uid="{EAF0E549-0C88-42AB-A364-05CF3AA3CD44}"/>
    <cellStyle name="Note 2 5 3" xfId="1429" xr:uid="{00000000-0005-0000-0000-000036210000}"/>
    <cellStyle name="Note 2 5 3 2" xfId="3659" xr:uid="{00000000-0005-0000-0000-000037210000}"/>
    <cellStyle name="Note 2 5 3 2 2" xfId="7883" xr:uid="{00000000-0005-0000-0000-000038210000}"/>
    <cellStyle name="Note 2 5 3 2 2 2" xfId="16312" xr:uid="{AF1AE6C1-46AD-43DB-93BC-29E49076D01A}"/>
    <cellStyle name="Note 2 5 3 2 3" xfId="12094" xr:uid="{9246DA38-137B-4832-A707-28F03732639B}"/>
    <cellStyle name="Note 2 5 3 3" xfId="5738" xr:uid="{00000000-0005-0000-0000-000039210000}"/>
    <cellStyle name="Note 2 5 3 3 2" xfId="14167" xr:uid="{FBF124B3-EFA3-4B6F-B9F8-88F7DB7CC53D}"/>
    <cellStyle name="Note 2 5 3 4" xfId="9949" xr:uid="{02F6D396-D2B6-4660-8354-62565CDE785E}"/>
    <cellStyle name="Note 2 5 4" xfId="1843" xr:uid="{00000000-0005-0000-0000-00003A210000}"/>
    <cellStyle name="Note 2 5 4 2" xfId="4072" xr:uid="{00000000-0005-0000-0000-00003B210000}"/>
    <cellStyle name="Note 2 5 4 2 2" xfId="8296" xr:uid="{00000000-0005-0000-0000-00003C210000}"/>
    <cellStyle name="Note 2 5 4 2 2 2" xfId="16725" xr:uid="{DEC6CF8E-7A6F-4251-A22A-0A3248B805D1}"/>
    <cellStyle name="Note 2 5 4 2 3" xfId="12507" xr:uid="{3AE2B1A6-70E5-4D27-B966-4B9D2B258C03}"/>
    <cellStyle name="Note 2 5 4 3" xfId="6151" xr:uid="{00000000-0005-0000-0000-00003D210000}"/>
    <cellStyle name="Note 2 5 4 3 2" xfId="14580" xr:uid="{73100100-84C4-4EC7-9B87-296037EAC186}"/>
    <cellStyle name="Note 2 5 4 4" xfId="10362" xr:uid="{F19593E9-EFFE-48C4-BD3A-1AABC01FC091}"/>
    <cellStyle name="Note 2 5 5" xfId="2256" xr:uid="{00000000-0005-0000-0000-00003E210000}"/>
    <cellStyle name="Note 2 5 5 2" xfId="4485" xr:uid="{00000000-0005-0000-0000-00003F210000}"/>
    <cellStyle name="Note 2 5 5 2 2" xfId="8709" xr:uid="{00000000-0005-0000-0000-000040210000}"/>
    <cellStyle name="Note 2 5 5 2 2 2" xfId="17138" xr:uid="{3F2EDFFC-D92C-4E04-984F-51E707F2DA86}"/>
    <cellStyle name="Note 2 5 5 2 3" xfId="12920" xr:uid="{8335C2A9-76E0-4230-8D47-435C5D201A83}"/>
    <cellStyle name="Note 2 5 5 3" xfId="6564" xr:uid="{00000000-0005-0000-0000-000041210000}"/>
    <cellStyle name="Note 2 5 5 3 2" xfId="14993" xr:uid="{F12F50D6-EE32-490A-A37C-BBB734BE406C}"/>
    <cellStyle name="Note 2 5 5 4" xfId="10775" xr:uid="{844A9D67-9656-4333-8DFF-158A7DF726BA}"/>
    <cellStyle name="Note 2 5 6" xfId="2692" xr:uid="{00000000-0005-0000-0000-000042210000}"/>
    <cellStyle name="Note 2 5 6 2" xfId="6977" xr:uid="{00000000-0005-0000-0000-000043210000}"/>
    <cellStyle name="Note 2 5 6 2 2" xfId="15406" xr:uid="{0A4FA6BA-FBF1-466C-AF96-80DC18FFA64B}"/>
    <cellStyle name="Note 2 5 6 3" xfId="11188" xr:uid="{2D73E841-2CEF-4E70-A34F-37AE10253857}"/>
    <cellStyle name="Note 2 5 7" xfId="2751" xr:uid="{00000000-0005-0000-0000-000044210000}"/>
    <cellStyle name="Note 2 5 8" xfId="2832" xr:uid="{00000000-0005-0000-0000-000045210000}"/>
    <cellStyle name="Note 2 5 8 2" xfId="7057" xr:uid="{00000000-0005-0000-0000-000046210000}"/>
    <cellStyle name="Note 2 5 8 2 2" xfId="15486" xr:uid="{119B02E9-BA8D-42B6-8582-5DEC3BCC7367}"/>
    <cellStyle name="Note 2 5 8 3" xfId="11268" xr:uid="{E8F9867B-99C4-4497-A6E5-63DF190A1058}"/>
    <cellStyle name="Note 2 5 9" xfId="4912" xr:uid="{00000000-0005-0000-0000-000047210000}"/>
    <cellStyle name="Note 2 5 9 2" xfId="13341" xr:uid="{05E2CA19-510A-47DA-9E76-8BAD3E2B6CEE}"/>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0 2 2" xfId="15487" xr:uid="{AE6FB471-ADC2-4C1F-A98A-978C8EB0CE94}"/>
    <cellStyle name="Note 3 2 10 3" xfId="11269" xr:uid="{4BD2F060-B0B5-458F-B3B7-6016C33560B8}"/>
    <cellStyle name="Note 3 2 11" xfId="4913" xr:uid="{00000000-0005-0000-0000-00004C210000}"/>
    <cellStyle name="Note 3 2 11 2" xfId="13342" xr:uid="{E9BC1C45-52B2-4AF4-88E4-E2FC490CDBD1}"/>
    <cellStyle name="Note 3 2 12" xfId="9124" xr:uid="{90EC754F-9B22-4DFB-9153-6D4C0F34FE53}"/>
    <cellStyle name="Note 3 2 2" xfId="556" xr:uid="{00000000-0005-0000-0000-00004D210000}"/>
    <cellStyle name="Note 3 2 2 10" xfId="4914" xr:uid="{00000000-0005-0000-0000-00004E210000}"/>
    <cellStyle name="Note 3 2 2 10 2" xfId="13343" xr:uid="{43F79F6E-30A0-4EE9-9A6F-5BEF3096285F}"/>
    <cellStyle name="Note 3 2 2 11" xfId="9125" xr:uid="{2FA8766C-CA64-4BE5-AA24-2DD14F45E82D}"/>
    <cellStyle name="Note 3 2 2 2" xfId="557" xr:uid="{00000000-0005-0000-0000-00004F210000}"/>
    <cellStyle name="Note 3 2 2 2 10" xfId="9126" xr:uid="{1DA00964-D2E3-48BD-B1B9-B0928FAEBBD3}"/>
    <cellStyle name="Note 3 2 2 2 2" xfId="1017" xr:uid="{00000000-0005-0000-0000-000050210000}"/>
    <cellStyle name="Note 3 2 2 2 2 2" xfId="3249" xr:uid="{00000000-0005-0000-0000-000051210000}"/>
    <cellStyle name="Note 3 2 2 2 2 2 2" xfId="7473" xr:uid="{00000000-0005-0000-0000-000052210000}"/>
    <cellStyle name="Note 3 2 2 2 2 2 2 2" xfId="15902" xr:uid="{C71F7E30-786E-4ED8-A902-CAA469E86CB9}"/>
    <cellStyle name="Note 3 2 2 2 2 2 3" xfId="11684" xr:uid="{052F6BE4-C9B7-44F2-83A1-99C73D79CB89}"/>
    <cellStyle name="Note 3 2 2 2 2 3" xfId="5328" xr:uid="{00000000-0005-0000-0000-000053210000}"/>
    <cellStyle name="Note 3 2 2 2 2 3 2" xfId="13757" xr:uid="{53A9EEF0-4453-42CB-9568-02D44D518388}"/>
    <cellStyle name="Note 3 2 2 2 2 4" xfId="9539" xr:uid="{F7378340-D2B6-4C22-8774-6DB9004E4D68}"/>
    <cellStyle name="Note 3 2 2 2 3" xfId="1432" xr:uid="{00000000-0005-0000-0000-000054210000}"/>
    <cellStyle name="Note 3 2 2 2 3 2" xfId="3662" xr:uid="{00000000-0005-0000-0000-000055210000}"/>
    <cellStyle name="Note 3 2 2 2 3 2 2" xfId="7886" xr:uid="{00000000-0005-0000-0000-000056210000}"/>
    <cellStyle name="Note 3 2 2 2 3 2 2 2" xfId="16315" xr:uid="{A02068BC-FC45-4AA1-9288-763D30A206E8}"/>
    <cellStyle name="Note 3 2 2 2 3 2 3" xfId="12097" xr:uid="{8A1392B3-03AB-4817-BAAC-9CA3BA6460F9}"/>
    <cellStyle name="Note 3 2 2 2 3 3" xfId="5741" xr:uid="{00000000-0005-0000-0000-000057210000}"/>
    <cellStyle name="Note 3 2 2 2 3 3 2" xfId="14170" xr:uid="{08AFC545-8AEB-4064-8A56-A99E76CDF2B0}"/>
    <cellStyle name="Note 3 2 2 2 3 4" xfId="9952" xr:uid="{B0C093C7-37D4-4022-901C-67201B8F159C}"/>
    <cellStyle name="Note 3 2 2 2 4" xfId="1846" xr:uid="{00000000-0005-0000-0000-000058210000}"/>
    <cellStyle name="Note 3 2 2 2 4 2" xfId="4075" xr:uid="{00000000-0005-0000-0000-000059210000}"/>
    <cellStyle name="Note 3 2 2 2 4 2 2" xfId="8299" xr:uid="{00000000-0005-0000-0000-00005A210000}"/>
    <cellStyle name="Note 3 2 2 2 4 2 2 2" xfId="16728" xr:uid="{E42900CA-3042-4F47-930D-A0A1A177B58E}"/>
    <cellStyle name="Note 3 2 2 2 4 2 3" xfId="12510" xr:uid="{94B68E80-6DED-4A9C-ABB5-1F28DAE5F92E}"/>
    <cellStyle name="Note 3 2 2 2 4 3" xfId="6154" xr:uid="{00000000-0005-0000-0000-00005B210000}"/>
    <cellStyle name="Note 3 2 2 2 4 3 2" xfId="14583" xr:uid="{1724B906-D8B5-479A-A0B8-4421F97EA1A1}"/>
    <cellStyle name="Note 3 2 2 2 4 4" xfId="10365" xr:uid="{040741E7-866E-4CFD-925E-FA572656ADCC}"/>
    <cellStyle name="Note 3 2 2 2 5" xfId="2259" xr:uid="{00000000-0005-0000-0000-00005C210000}"/>
    <cellStyle name="Note 3 2 2 2 5 2" xfId="4488" xr:uid="{00000000-0005-0000-0000-00005D210000}"/>
    <cellStyle name="Note 3 2 2 2 5 2 2" xfId="8712" xr:uid="{00000000-0005-0000-0000-00005E210000}"/>
    <cellStyle name="Note 3 2 2 2 5 2 2 2" xfId="17141" xr:uid="{7DA1723F-D830-4C20-B111-DBF454ABA182}"/>
    <cellStyle name="Note 3 2 2 2 5 2 3" xfId="12923" xr:uid="{62CB4EA6-B3B8-44C9-9495-116BD412BCF8}"/>
    <cellStyle name="Note 3 2 2 2 5 3" xfId="6567" xr:uid="{00000000-0005-0000-0000-00005F210000}"/>
    <cellStyle name="Note 3 2 2 2 5 3 2" xfId="14996" xr:uid="{220E4671-E5BC-41B5-B166-87BBE5C4D682}"/>
    <cellStyle name="Note 3 2 2 2 5 4" xfId="10778" xr:uid="{BE4BE2A9-3BD2-463C-BE18-09499F444049}"/>
    <cellStyle name="Note 3 2 2 2 6" xfId="2695" xr:uid="{00000000-0005-0000-0000-000060210000}"/>
    <cellStyle name="Note 3 2 2 2 6 2" xfId="6980" xr:uid="{00000000-0005-0000-0000-000061210000}"/>
    <cellStyle name="Note 3 2 2 2 6 2 2" xfId="15409" xr:uid="{56880CEC-9727-4F73-BED9-834AFCC57F8C}"/>
    <cellStyle name="Note 3 2 2 2 6 3" xfId="11191" xr:uid="{900A60F2-A257-4EDE-92DC-4274A5937DDB}"/>
    <cellStyle name="Note 3 2 2 2 7" xfId="2754" xr:uid="{00000000-0005-0000-0000-000062210000}"/>
    <cellStyle name="Note 3 2 2 2 8" xfId="2835" xr:uid="{00000000-0005-0000-0000-000063210000}"/>
    <cellStyle name="Note 3 2 2 2 8 2" xfId="7060" xr:uid="{00000000-0005-0000-0000-000064210000}"/>
    <cellStyle name="Note 3 2 2 2 8 2 2" xfId="15489" xr:uid="{8F0C67F5-7180-4C3C-A7EB-C7CC2D4053F5}"/>
    <cellStyle name="Note 3 2 2 2 8 3" xfId="11271" xr:uid="{3BF3BC49-9733-4FA2-BA37-9E0D2A8A3362}"/>
    <cellStyle name="Note 3 2 2 2 9" xfId="4915" xr:uid="{00000000-0005-0000-0000-000065210000}"/>
    <cellStyle name="Note 3 2 2 2 9 2" xfId="13344" xr:uid="{FF35C2CE-DBFD-4254-8FCC-F196E2345592}"/>
    <cellStyle name="Note 3 2 2 3" xfId="1016" xr:uid="{00000000-0005-0000-0000-000066210000}"/>
    <cellStyle name="Note 3 2 2 3 2" xfId="3248" xr:uid="{00000000-0005-0000-0000-000067210000}"/>
    <cellStyle name="Note 3 2 2 3 2 2" xfId="7472" xr:uid="{00000000-0005-0000-0000-000068210000}"/>
    <cellStyle name="Note 3 2 2 3 2 2 2" xfId="15901" xr:uid="{CBAB1C73-2368-421F-A58D-D1BD12EAF307}"/>
    <cellStyle name="Note 3 2 2 3 2 3" xfId="11683" xr:uid="{21C9049C-3C37-4588-8E2D-3AA3810C8DCD}"/>
    <cellStyle name="Note 3 2 2 3 3" xfId="5327" xr:uid="{00000000-0005-0000-0000-000069210000}"/>
    <cellStyle name="Note 3 2 2 3 3 2" xfId="13756" xr:uid="{0C2F1F34-A059-4084-BB75-E3A1A7D4FA48}"/>
    <cellStyle name="Note 3 2 2 3 4" xfId="9538" xr:uid="{371C06D9-F050-469C-A5CA-5976CA06BDAB}"/>
    <cellStyle name="Note 3 2 2 4" xfId="1431" xr:uid="{00000000-0005-0000-0000-00006A210000}"/>
    <cellStyle name="Note 3 2 2 4 2" xfId="3661" xr:uid="{00000000-0005-0000-0000-00006B210000}"/>
    <cellStyle name="Note 3 2 2 4 2 2" xfId="7885" xr:uid="{00000000-0005-0000-0000-00006C210000}"/>
    <cellStyle name="Note 3 2 2 4 2 2 2" xfId="16314" xr:uid="{0C48F8B6-B090-47FA-B640-DE7DE75811B1}"/>
    <cellStyle name="Note 3 2 2 4 2 3" xfId="12096" xr:uid="{2CF9EA2B-D246-4E83-B1CE-AFDE598C4AB7}"/>
    <cellStyle name="Note 3 2 2 4 3" xfId="5740" xr:uid="{00000000-0005-0000-0000-00006D210000}"/>
    <cellStyle name="Note 3 2 2 4 3 2" xfId="14169" xr:uid="{4CF3FBB7-A733-4923-8E46-A0494A8D1CA0}"/>
    <cellStyle name="Note 3 2 2 4 4" xfId="9951" xr:uid="{849018C2-1315-4ADE-B141-10BADAC576B5}"/>
    <cellStyle name="Note 3 2 2 5" xfId="1845" xr:uid="{00000000-0005-0000-0000-00006E210000}"/>
    <cellStyle name="Note 3 2 2 5 2" xfId="4074" xr:uid="{00000000-0005-0000-0000-00006F210000}"/>
    <cellStyle name="Note 3 2 2 5 2 2" xfId="8298" xr:uid="{00000000-0005-0000-0000-000070210000}"/>
    <cellStyle name="Note 3 2 2 5 2 2 2" xfId="16727" xr:uid="{6681ECC6-B53A-4EA0-A481-881233A8E331}"/>
    <cellStyle name="Note 3 2 2 5 2 3" xfId="12509" xr:uid="{FA1D46BB-8175-4C9A-9A3C-CB2485F00A8F}"/>
    <cellStyle name="Note 3 2 2 5 3" xfId="6153" xr:uid="{00000000-0005-0000-0000-000071210000}"/>
    <cellStyle name="Note 3 2 2 5 3 2" xfId="14582" xr:uid="{A59CFA2F-0E92-4548-9F04-C2ABCDFE313F}"/>
    <cellStyle name="Note 3 2 2 5 4" xfId="10364" xr:uid="{BA7A715C-7AAD-45EC-ABE3-F70AD4EB7B9B}"/>
    <cellStyle name="Note 3 2 2 6" xfId="2258" xr:uid="{00000000-0005-0000-0000-000072210000}"/>
    <cellStyle name="Note 3 2 2 6 2" xfId="4487" xr:uid="{00000000-0005-0000-0000-000073210000}"/>
    <cellStyle name="Note 3 2 2 6 2 2" xfId="8711" xr:uid="{00000000-0005-0000-0000-000074210000}"/>
    <cellStyle name="Note 3 2 2 6 2 2 2" xfId="17140" xr:uid="{D78B7851-4A9D-4AA2-8229-A2A9FDBDE64E}"/>
    <cellStyle name="Note 3 2 2 6 2 3" xfId="12922" xr:uid="{DAE0BF5F-D4F1-458E-B21B-CB594A6830FB}"/>
    <cellStyle name="Note 3 2 2 6 3" xfId="6566" xr:uid="{00000000-0005-0000-0000-000075210000}"/>
    <cellStyle name="Note 3 2 2 6 3 2" xfId="14995" xr:uid="{4E05D95F-5BF2-4EAE-A89B-3ED370065835}"/>
    <cellStyle name="Note 3 2 2 6 4" xfId="10777" xr:uid="{AB1BF7D5-7A64-4857-9BC3-3279F454B9F5}"/>
    <cellStyle name="Note 3 2 2 7" xfId="2694" xr:uid="{00000000-0005-0000-0000-000076210000}"/>
    <cellStyle name="Note 3 2 2 7 2" xfId="6979" xr:uid="{00000000-0005-0000-0000-000077210000}"/>
    <cellStyle name="Note 3 2 2 7 2 2" xfId="15408" xr:uid="{3ABA25D2-E134-41FC-85E8-4E4A98F11553}"/>
    <cellStyle name="Note 3 2 2 7 3" xfId="11190" xr:uid="{1F314726-FD55-499F-B83E-D0486711ECD9}"/>
    <cellStyle name="Note 3 2 2 8" xfId="2753" xr:uid="{00000000-0005-0000-0000-000078210000}"/>
    <cellStyle name="Note 3 2 2 9" xfId="2834" xr:uid="{00000000-0005-0000-0000-000079210000}"/>
    <cellStyle name="Note 3 2 2 9 2" xfId="7059" xr:uid="{00000000-0005-0000-0000-00007A210000}"/>
    <cellStyle name="Note 3 2 2 9 2 2" xfId="15488" xr:uid="{D90FCDC4-20A6-4DF8-901C-BB019EF13A90}"/>
    <cellStyle name="Note 3 2 2 9 3" xfId="11270" xr:uid="{E17BD52F-380C-4FDB-AF0F-71ADD0DFCB04}"/>
    <cellStyle name="Note 3 2 3" xfId="558" xr:uid="{00000000-0005-0000-0000-00007B210000}"/>
    <cellStyle name="Note 3 2 3 10" xfId="9127" xr:uid="{1ABD108C-19CA-4E68-B5A9-380CBBD9F9EE}"/>
    <cellStyle name="Note 3 2 3 2" xfId="1018" xr:uid="{00000000-0005-0000-0000-00007C210000}"/>
    <cellStyle name="Note 3 2 3 2 2" xfId="3250" xr:uid="{00000000-0005-0000-0000-00007D210000}"/>
    <cellStyle name="Note 3 2 3 2 2 2" xfId="7474" xr:uid="{00000000-0005-0000-0000-00007E210000}"/>
    <cellStyle name="Note 3 2 3 2 2 2 2" xfId="15903" xr:uid="{715B5CF7-73A2-410A-9C07-1646C9800279}"/>
    <cellStyle name="Note 3 2 3 2 2 3" xfId="11685" xr:uid="{3A2111B2-5769-4AEF-B39F-0C9E0E847AE7}"/>
    <cellStyle name="Note 3 2 3 2 3" xfId="5329" xr:uid="{00000000-0005-0000-0000-00007F210000}"/>
    <cellStyle name="Note 3 2 3 2 3 2" xfId="13758" xr:uid="{8F408F94-DAD3-40C9-B249-C3817327DDFF}"/>
    <cellStyle name="Note 3 2 3 2 4" xfId="9540" xr:uid="{1D8A31BB-11F4-48A7-9F94-16DC7430A85D}"/>
    <cellStyle name="Note 3 2 3 3" xfId="1433" xr:uid="{00000000-0005-0000-0000-000080210000}"/>
    <cellStyle name="Note 3 2 3 3 2" xfId="3663" xr:uid="{00000000-0005-0000-0000-000081210000}"/>
    <cellStyle name="Note 3 2 3 3 2 2" xfId="7887" xr:uid="{00000000-0005-0000-0000-000082210000}"/>
    <cellStyle name="Note 3 2 3 3 2 2 2" xfId="16316" xr:uid="{1FE41DD1-C552-43B5-B7DF-C457EE85EAFE}"/>
    <cellStyle name="Note 3 2 3 3 2 3" xfId="12098" xr:uid="{3D9C610A-A655-496F-8389-1B50A621DC0E}"/>
    <cellStyle name="Note 3 2 3 3 3" xfId="5742" xr:uid="{00000000-0005-0000-0000-000083210000}"/>
    <cellStyle name="Note 3 2 3 3 3 2" xfId="14171" xr:uid="{D07D2C41-FDE9-4F7C-9563-8ED58C681145}"/>
    <cellStyle name="Note 3 2 3 3 4" xfId="9953" xr:uid="{A0A9D250-BF80-42F5-BA20-7A20ACC3C3EE}"/>
    <cellStyle name="Note 3 2 3 4" xfId="1847" xr:uid="{00000000-0005-0000-0000-000084210000}"/>
    <cellStyle name="Note 3 2 3 4 2" xfId="4076" xr:uid="{00000000-0005-0000-0000-000085210000}"/>
    <cellStyle name="Note 3 2 3 4 2 2" xfId="8300" xr:uid="{00000000-0005-0000-0000-000086210000}"/>
    <cellStyle name="Note 3 2 3 4 2 2 2" xfId="16729" xr:uid="{E3D772A0-4620-49F3-B295-34755C08EA29}"/>
    <cellStyle name="Note 3 2 3 4 2 3" xfId="12511" xr:uid="{315C52EA-2490-459B-908A-05E76D2C9E7C}"/>
    <cellStyle name="Note 3 2 3 4 3" xfId="6155" xr:uid="{00000000-0005-0000-0000-000087210000}"/>
    <cellStyle name="Note 3 2 3 4 3 2" xfId="14584" xr:uid="{84F70F0B-B6BA-4B84-ADAC-F199CB64944C}"/>
    <cellStyle name="Note 3 2 3 4 4" xfId="10366" xr:uid="{AB8E2DDE-52D9-48E8-AA6B-0666262DC417}"/>
    <cellStyle name="Note 3 2 3 5" xfId="2260" xr:uid="{00000000-0005-0000-0000-000088210000}"/>
    <cellStyle name="Note 3 2 3 5 2" xfId="4489" xr:uid="{00000000-0005-0000-0000-000089210000}"/>
    <cellStyle name="Note 3 2 3 5 2 2" xfId="8713" xr:uid="{00000000-0005-0000-0000-00008A210000}"/>
    <cellStyle name="Note 3 2 3 5 2 2 2" xfId="17142" xr:uid="{4466E25E-762A-411C-8CBA-4E5E81AC8A43}"/>
    <cellStyle name="Note 3 2 3 5 2 3" xfId="12924" xr:uid="{D0953E51-D101-41FA-9E05-00E29D2FB809}"/>
    <cellStyle name="Note 3 2 3 5 3" xfId="6568" xr:uid="{00000000-0005-0000-0000-00008B210000}"/>
    <cellStyle name="Note 3 2 3 5 3 2" xfId="14997" xr:uid="{DE6F63EB-1412-4CBC-8FA5-2CEF3A5C7BC8}"/>
    <cellStyle name="Note 3 2 3 5 4" xfId="10779" xr:uid="{31E9218C-071F-4BBC-901F-8C1CB5B57507}"/>
    <cellStyle name="Note 3 2 3 6" xfId="2696" xr:uid="{00000000-0005-0000-0000-00008C210000}"/>
    <cellStyle name="Note 3 2 3 6 2" xfId="6981" xr:uid="{00000000-0005-0000-0000-00008D210000}"/>
    <cellStyle name="Note 3 2 3 6 2 2" xfId="15410" xr:uid="{23592586-57E8-452C-8188-6C1C23CB6639}"/>
    <cellStyle name="Note 3 2 3 6 3" xfId="11192" xr:uid="{B53A349F-BB3D-4938-956A-DDDD79457DA1}"/>
    <cellStyle name="Note 3 2 3 7" xfId="2755" xr:uid="{00000000-0005-0000-0000-00008E210000}"/>
    <cellStyle name="Note 3 2 3 8" xfId="2836" xr:uid="{00000000-0005-0000-0000-00008F210000}"/>
    <cellStyle name="Note 3 2 3 8 2" xfId="7061" xr:uid="{00000000-0005-0000-0000-000090210000}"/>
    <cellStyle name="Note 3 2 3 8 2 2" xfId="15490" xr:uid="{C2AAC340-7C45-4E71-8058-17DACF843A28}"/>
    <cellStyle name="Note 3 2 3 8 3" xfId="11272" xr:uid="{B01031B3-E958-4A7C-AA34-301793DB7F80}"/>
    <cellStyle name="Note 3 2 3 9" xfId="4916" xr:uid="{00000000-0005-0000-0000-000091210000}"/>
    <cellStyle name="Note 3 2 3 9 2" xfId="13345" xr:uid="{D266103C-C3D3-4FF6-AEE6-32FCA370BF5D}"/>
    <cellStyle name="Note 3 2 4" xfId="1015" xr:uid="{00000000-0005-0000-0000-000092210000}"/>
    <cellStyle name="Note 3 2 4 2" xfId="3247" xr:uid="{00000000-0005-0000-0000-000093210000}"/>
    <cellStyle name="Note 3 2 4 2 2" xfId="7471" xr:uid="{00000000-0005-0000-0000-000094210000}"/>
    <cellStyle name="Note 3 2 4 2 2 2" xfId="15900" xr:uid="{D196499C-BD82-4707-A4C3-B0081D3CE2DA}"/>
    <cellStyle name="Note 3 2 4 2 3" xfId="11682" xr:uid="{5D18E305-F9D9-4D8E-91BA-873E60FD131E}"/>
    <cellStyle name="Note 3 2 4 3" xfId="5326" xr:uid="{00000000-0005-0000-0000-000095210000}"/>
    <cellStyle name="Note 3 2 4 3 2" xfId="13755" xr:uid="{9E00AF9C-CED9-47ED-8E7C-20B7B91B7E89}"/>
    <cellStyle name="Note 3 2 4 4" xfId="9537" xr:uid="{48F70FB4-90D9-49F5-A8C6-1BE51B1D6055}"/>
    <cellStyle name="Note 3 2 5" xfId="1430" xr:uid="{00000000-0005-0000-0000-000096210000}"/>
    <cellStyle name="Note 3 2 5 2" xfId="3660" xr:uid="{00000000-0005-0000-0000-000097210000}"/>
    <cellStyle name="Note 3 2 5 2 2" xfId="7884" xr:uid="{00000000-0005-0000-0000-000098210000}"/>
    <cellStyle name="Note 3 2 5 2 2 2" xfId="16313" xr:uid="{463DF7E2-E85E-4073-B69E-E32B8F3B662D}"/>
    <cellStyle name="Note 3 2 5 2 3" xfId="12095" xr:uid="{1A47732D-BF06-4932-AAE2-DA1281A144A9}"/>
    <cellStyle name="Note 3 2 5 3" xfId="5739" xr:uid="{00000000-0005-0000-0000-000099210000}"/>
    <cellStyle name="Note 3 2 5 3 2" xfId="14168" xr:uid="{3E15DE96-20A5-4FCF-8107-0F80DEA62468}"/>
    <cellStyle name="Note 3 2 5 4" xfId="9950" xr:uid="{1689799A-2555-4FEC-AAB5-361070DDED71}"/>
    <cellStyle name="Note 3 2 6" xfId="1844" xr:uid="{00000000-0005-0000-0000-00009A210000}"/>
    <cellStyle name="Note 3 2 6 2" xfId="4073" xr:uid="{00000000-0005-0000-0000-00009B210000}"/>
    <cellStyle name="Note 3 2 6 2 2" xfId="8297" xr:uid="{00000000-0005-0000-0000-00009C210000}"/>
    <cellStyle name="Note 3 2 6 2 2 2" xfId="16726" xr:uid="{7E0B8E5E-5417-4D11-80A4-10A5CB2E26FC}"/>
    <cellStyle name="Note 3 2 6 2 3" xfId="12508" xr:uid="{83F07FFB-0D5D-449C-A945-E4092F2AB76D}"/>
    <cellStyle name="Note 3 2 6 3" xfId="6152" xr:uid="{00000000-0005-0000-0000-00009D210000}"/>
    <cellStyle name="Note 3 2 6 3 2" xfId="14581" xr:uid="{A4C6B75B-F86D-4D03-90DF-610DB8443B1D}"/>
    <cellStyle name="Note 3 2 6 4" xfId="10363" xr:uid="{E23C4519-FDE0-4A9E-9A9D-0E490628A2B3}"/>
    <cellStyle name="Note 3 2 7" xfId="2257" xr:uid="{00000000-0005-0000-0000-00009E210000}"/>
    <cellStyle name="Note 3 2 7 2" xfId="4486" xr:uid="{00000000-0005-0000-0000-00009F210000}"/>
    <cellStyle name="Note 3 2 7 2 2" xfId="8710" xr:uid="{00000000-0005-0000-0000-0000A0210000}"/>
    <cellStyle name="Note 3 2 7 2 2 2" xfId="17139" xr:uid="{FDC99B1A-BCA4-4BDF-B572-13B60FB8B180}"/>
    <cellStyle name="Note 3 2 7 2 3" xfId="12921" xr:uid="{7A7FCA31-F598-47B1-A508-58F5B3655F8D}"/>
    <cellStyle name="Note 3 2 7 3" xfId="6565" xr:uid="{00000000-0005-0000-0000-0000A1210000}"/>
    <cellStyle name="Note 3 2 7 3 2" xfId="14994" xr:uid="{FC343A9F-DA76-43F6-8910-B30CFCF82CA7}"/>
    <cellStyle name="Note 3 2 7 4" xfId="10776" xr:uid="{47883F21-8FD7-4885-8B9E-2E94D4BA327B}"/>
    <cellStyle name="Note 3 2 8" xfId="2693" xr:uid="{00000000-0005-0000-0000-0000A2210000}"/>
    <cellStyle name="Note 3 2 8 2" xfId="6978" xr:uid="{00000000-0005-0000-0000-0000A3210000}"/>
    <cellStyle name="Note 3 2 8 2 2" xfId="15407" xr:uid="{5ACCB6C4-6927-4849-99A6-6ED24CE4EA1D}"/>
    <cellStyle name="Note 3 2 8 3" xfId="11189" xr:uid="{7BC84F4E-97B9-4DDB-8CB2-CB7D38F3AACF}"/>
    <cellStyle name="Note 3 2 9" xfId="2752" xr:uid="{00000000-0005-0000-0000-0000A4210000}"/>
    <cellStyle name="Note 3 3" xfId="559" xr:uid="{00000000-0005-0000-0000-0000A5210000}"/>
    <cellStyle name="Note 3 3 10" xfId="4917" xr:uid="{00000000-0005-0000-0000-0000A6210000}"/>
    <cellStyle name="Note 3 3 10 2" xfId="13346" xr:uid="{44F58374-1744-4D06-BE15-0CEB249A8C23}"/>
    <cellStyle name="Note 3 3 11" xfId="9128" xr:uid="{34808382-42A8-4554-9A93-C97DB06375ED}"/>
    <cellStyle name="Note 3 3 2" xfId="560" xr:uid="{00000000-0005-0000-0000-0000A7210000}"/>
    <cellStyle name="Note 3 3 2 10" xfId="9129" xr:uid="{FC4A1EA6-88AC-435D-9590-F2505B2297D2}"/>
    <cellStyle name="Note 3 3 2 2" xfId="1020" xr:uid="{00000000-0005-0000-0000-0000A8210000}"/>
    <cellStyle name="Note 3 3 2 2 2" xfId="3252" xr:uid="{00000000-0005-0000-0000-0000A9210000}"/>
    <cellStyle name="Note 3 3 2 2 2 2" xfId="7476" xr:uid="{00000000-0005-0000-0000-0000AA210000}"/>
    <cellStyle name="Note 3 3 2 2 2 2 2" xfId="15905" xr:uid="{0B18543C-759F-440A-B4D6-EFE3D490C638}"/>
    <cellStyle name="Note 3 3 2 2 2 3" xfId="11687" xr:uid="{BC9B64B1-17DD-4A05-9EE6-473637C49860}"/>
    <cellStyle name="Note 3 3 2 2 3" xfId="5331" xr:uid="{00000000-0005-0000-0000-0000AB210000}"/>
    <cellStyle name="Note 3 3 2 2 3 2" xfId="13760" xr:uid="{83FE35F1-F303-4FAE-9AA5-021DF3ECD8FB}"/>
    <cellStyle name="Note 3 3 2 2 4" xfId="9542" xr:uid="{AEE22779-7D5B-49A5-8FBB-04300291391E}"/>
    <cellStyle name="Note 3 3 2 3" xfId="1435" xr:uid="{00000000-0005-0000-0000-0000AC210000}"/>
    <cellStyle name="Note 3 3 2 3 2" xfId="3665" xr:uid="{00000000-0005-0000-0000-0000AD210000}"/>
    <cellStyle name="Note 3 3 2 3 2 2" xfId="7889" xr:uid="{00000000-0005-0000-0000-0000AE210000}"/>
    <cellStyle name="Note 3 3 2 3 2 2 2" xfId="16318" xr:uid="{9A2B98FC-7568-41A1-BD54-C69F9CD0B0CD}"/>
    <cellStyle name="Note 3 3 2 3 2 3" xfId="12100" xr:uid="{BFC98AEC-EF96-4A92-961A-9C480C6B85B5}"/>
    <cellStyle name="Note 3 3 2 3 3" xfId="5744" xr:uid="{00000000-0005-0000-0000-0000AF210000}"/>
    <cellStyle name="Note 3 3 2 3 3 2" xfId="14173" xr:uid="{540C0D37-2DFD-418A-A3F9-04A8B0007FE5}"/>
    <cellStyle name="Note 3 3 2 3 4" xfId="9955" xr:uid="{E95D339A-F5E2-40C6-805D-663B0728CFD3}"/>
    <cellStyle name="Note 3 3 2 4" xfId="1849" xr:uid="{00000000-0005-0000-0000-0000B0210000}"/>
    <cellStyle name="Note 3 3 2 4 2" xfId="4078" xr:uid="{00000000-0005-0000-0000-0000B1210000}"/>
    <cellStyle name="Note 3 3 2 4 2 2" xfId="8302" xr:uid="{00000000-0005-0000-0000-0000B2210000}"/>
    <cellStyle name="Note 3 3 2 4 2 2 2" xfId="16731" xr:uid="{E65EB8AB-7409-4D50-8DBB-BDAB0FB7FC74}"/>
    <cellStyle name="Note 3 3 2 4 2 3" xfId="12513" xr:uid="{E25DF6AB-6586-4B1A-958E-B26862D457C9}"/>
    <cellStyle name="Note 3 3 2 4 3" xfId="6157" xr:uid="{00000000-0005-0000-0000-0000B3210000}"/>
    <cellStyle name="Note 3 3 2 4 3 2" xfId="14586" xr:uid="{62EC57E5-EA1D-4A13-8F09-1721034C3309}"/>
    <cellStyle name="Note 3 3 2 4 4" xfId="10368" xr:uid="{5E1BC252-EF77-432D-8746-E6A08DB30336}"/>
    <cellStyle name="Note 3 3 2 5" xfId="2262" xr:uid="{00000000-0005-0000-0000-0000B4210000}"/>
    <cellStyle name="Note 3 3 2 5 2" xfId="4491" xr:uid="{00000000-0005-0000-0000-0000B5210000}"/>
    <cellStyle name="Note 3 3 2 5 2 2" xfId="8715" xr:uid="{00000000-0005-0000-0000-0000B6210000}"/>
    <cellStyle name="Note 3 3 2 5 2 2 2" xfId="17144" xr:uid="{367BB08E-2782-4A17-BC75-6C905AC7DE80}"/>
    <cellStyle name="Note 3 3 2 5 2 3" xfId="12926" xr:uid="{DE8E83BF-B02B-415F-AB75-69592B63CF7E}"/>
    <cellStyle name="Note 3 3 2 5 3" xfId="6570" xr:uid="{00000000-0005-0000-0000-0000B7210000}"/>
    <cellStyle name="Note 3 3 2 5 3 2" xfId="14999" xr:uid="{96F0A75F-6710-4B64-87E4-B6188D77D743}"/>
    <cellStyle name="Note 3 3 2 5 4" xfId="10781" xr:uid="{25A2DF79-3BB3-4002-A998-AF6C5AAC2CCF}"/>
    <cellStyle name="Note 3 3 2 6" xfId="2698" xr:uid="{00000000-0005-0000-0000-0000B8210000}"/>
    <cellStyle name="Note 3 3 2 6 2" xfId="6983" xr:uid="{00000000-0005-0000-0000-0000B9210000}"/>
    <cellStyle name="Note 3 3 2 6 2 2" xfId="15412" xr:uid="{67F34DA9-D3E5-4AFF-BF3A-177D534438BE}"/>
    <cellStyle name="Note 3 3 2 6 3" xfId="11194" xr:uid="{D1B3474E-8735-4235-A9C6-A3ADE52BB593}"/>
    <cellStyle name="Note 3 3 2 7" xfId="2757" xr:uid="{00000000-0005-0000-0000-0000BA210000}"/>
    <cellStyle name="Note 3 3 2 8" xfId="2838" xr:uid="{00000000-0005-0000-0000-0000BB210000}"/>
    <cellStyle name="Note 3 3 2 8 2" xfId="7063" xr:uid="{00000000-0005-0000-0000-0000BC210000}"/>
    <cellStyle name="Note 3 3 2 8 2 2" xfId="15492" xr:uid="{0CC45B79-36D9-47F9-AFD8-5933A98B7E18}"/>
    <cellStyle name="Note 3 3 2 8 3" xfId="11274" xr:uid="{1A1413D6-1603-458A-8A99-C59673D18850}"/>
    <cellStyle name="Note 3 3 2 9" xfId="4918" xr:uid="{00000000-0005-0000-0000-0000BD210000}"/>
    <cellStyle name="Note 3 3 2 9 2" xfId="13347" xr:uid="{9C20A82E-3FE2-4465-87CF-DE94197B1E59}"/>
    <cellStyle name="Note 3 3 3" xfId="1019" xr:uid="{00000000-0005-0000-0000-0000BE210000}"/>
    <cellStyle name="Note 3 3 3 2" xfId="3251" xr:uid="{00000000-0005-0000-0000-0000BF210000}"/>
    <cellStyle name="Note 3 3 3 2 2" xfId="7475" xr:uid="{00000000-0005-0000-0000-0000C0210000}"/>
    <cellStyle name="Note 3 3 3 2 2 2" xfId="15904" xr:uid="{C4C325CC-2477-4470-BB8F-517C33CDBAE8}"/>
    <cellStyle name="Note 3 3 3 2 3" xfId="11686" xr:uid="{61A7424B-C6E2-4A13-9176-0E5140EB7188}"/>
    <cellStyle name="Note 3 3 3 3" xfId="5330" xr:uid="{00000000-0005-0000-0000-0000C1210000}"/>
    <cellStyle name="Note 3 3 3 3 2" xfId="13759" xr:uid="{D17A3991-87CE-4297-8807-A9BB7A3D5FF5}"/>
    <cellStyle name="Note 3 3 3 4" xfId="9541" xr:uid="{F94996BF-49DA-4989-9CE0-BE63BF015062}"/>
    <cellStyle name="Note 3 3 4" xfId="1434" xr:uid="{00000000-0005-0000-0000-0000C2210000}"/>
    <cellStyle name="Note 3 3 4 2" xfId="3664" xr:uid="{00000000-0005-0000-0000-0000C3210000}"/>
    <cellStyle name="Note 3 3 4 2 2" xfId="7888" xr:uid="{00000000-0005-0000-0000-0000C4210000}"/>
    <cellStyle name="Note 3 3 4 2 2 2" xfId="16317" xr:uid="{D154CE3D-92F8-466F-9958-B378F3F696D2}"/>
    <cellStyle name="Note 3 3 4 2 3" xfId="12099" xr:uid="{C35A956A-26A5-4BB9-8CFE-FDF1B58CF866}"/>
    <cellStyle name="Note 3 3 4 3" xfId="5743" xr:uid="{00000000-0005-0000-0000-0000C5210000}"/>
    <cellStyle name="Note 3 3 4 3 2" xfId="14172" xr:uid="{9DF1A90A-B230-4201-81E1-3F58DCA8FE4F}"/>
    <cellStyle name="Note 3 3 4 4" xfId="9954" xr:uid="{F76EC1DF-CC1F-48F0-8E4E-C38D461F89AD}"/>
    <cellStyle name="Note 3 3 5" xfId="1848" xr:uid="{00000000-0005-0000-0000-0000C6210000}"/>
    <cellStyle name="Note 3 3 5 2" xfId="4077" xr:uid="{00000000-0005-0000-0000-0000C7210000}"/>
    <cellStyle name="Note 3 3 5 2 2" xfId="8301" xr:uid="{00000000-0005-0000-0000-0000C8210000}"/>
    <cellStyle name="Note 3 3 5 2 2 2" xfId="16730" xr:uid="{BB025BF2-D967-4CFB-9B2B-CE480357A5FE}"/>
    <cellStyle name="Note 3 3 5 2 3" xfId="12512" xr:uid="{41AD2A22-E352-4F6B-A851-2D52E90DF66B}"/>
    <cellStyle name="Note 3 3 5 3" xfId="6156" xr:uid="{00000000-0005-0000-0000-0000C9210000}"/>
    <cellStyle name="Note 3 3 5 3 2" xfId="14585" xr:uid="{FEBF2D43-9394-431F-A9E8-B03631D1D810}"/>
    <cellStyle name="Note 3 3 5 4" xfId="10367" xr:uid="{BAF95757-D9D3-4B44-BDC2-076C813E708B}"/>
    <cellStyle name="Note 3 3 6" xfId="2261" xr:uid="{00000000-0005-0000-0000-0000CA210000}"/>
    <cellStyle name="Note 3 3 6 2" xfId="4490" xr:uid="{00000000-0005-0000-0000-0000CB210000}"/>
    <cellStyle name="Note 3 3 6 2 2" xfId="8714" xr:uid="{00000000-0005-0000-0000-0000CC210000}"/>
    <cellStyle name="Note 3 3 6 2 2 2" xfId="17143" xr:uid="{E07F617D-605A-442C-AEAB-E89D32B265A9}"/>
    <cellStyle name="Note 3 3 6 2 3" xfId="12925" xr:uid="{35533CBA-D3A4-45C7-93F5-936F955DB84C}"/>
    <cellStyle name="Note 3 3 6 3" xfId="6569" xr:uid="{00000000-0005-0000-0000-0000CD210000}"/>
    <cellStyle name="Note 3 3 6 3 2" xfId="14998" xr:uid="{A448658E-D471-4EF7-9885-08284F22A904}"/>
    <cellStyle name="Note 3 3 6 4" xfId="10780" xr:uid="{D8D0CDB5-336B-4D21-B30B-4581E1DBC266}"/>
    <cellStyle name="Note 3 3 7" xfId="2697" xr:uid="{00000000-0005-0000-0000-0000CE210000}"/>
    <cellStyle name="Note 3 3 7 2" xfId="6982" xr:uid="{00000000-0005-0000-0000-0000CF210000}"/>
    <cellStyle name="Note 3 3 7 2 2" xfId="15411" xr:uid="{BF3338EE-6E57-4C0C-9286-FA5FB0A7DF02}"/>
    <cellStyle name="Note 3 3 7 3" xfId="11193" xr:uid="{35873E20-F630-4FCF-99AD-7C3B1DD4160F}"/>
    <cellStyle name="Note 3 3 8" xfId="2756" xr:uid="{00000000-0005-0000-0000-0000D0210000}"/>
    <cellStyle name="Note 3 3 9" xfId="2837" xr:uid="{00000000-0005-0000-0000-0000D1210000}"/>
    <cellStyle name="Note 3 3 9 2" xfId="7062" xr:uid="{00000000-0005-0000-0000-0000D2210000}"/>
    <cellStyle name="Note 3 3 9 2 2" xfId="15491" xr:uid="{A9B30FC2-0794-48B1-A127-D5930BBDF912}"/>
    <cellStyle name="Note 3 3 9 3" xfId="11273" xr:uid="{520F1549-D04C-43F4-B0FC-D7A252FD9DA6}"/>
    <cellStyle name="Note 3 4" xfId="561" xr:uid="{00000000-0005-0000-0000-0000D3210000}"/>
    <cellStyle name="Note 3 4 10" xfId="9130" xr:uid="{905CB54E-3881-48CA-B356-CEF349E75340}"/>
    <cellStyle name="Note 3 4 2" xfId="1021" xr:uid="{00000000-0005-0000-0000-0000D4210000}"/>
    <cellStyle name="Note 3 4 2 2" xfId="3253" xr:uid="{00000000-0005-0000-0000-0000D5210000}"/>
    <cellStyle name="Note 3 4 2 2 2" xfId="7477" xr:uid="{00000000-0005-0000-0000-0000D6210000}"/>
    <cellStyle name="Note 3 4 2 2 2 2" xfId="15906" xr:uid="{694DB398-07A0-4478-94FE-9B4562C06AD5}"/>
    <cellStyle name="Note 3 4 2 2 3" xfId="11688" xr:uid="{A54BA4AF-593B-41D0-B4E2-F232B5EB53E3}"/>
    <cellStyle name="Note 3 4 2 3" xfId="5332" xr:uid="{00000000-0005-0000-0000-0000D7210000}"/>
    <cellStyle name="Note 3 4 2 3 2" xfId="13761" xr:uid="{7B825165-9C27-48F9-8337-C53154B01C05}"/>
    <cellStyle name="Note 3 4 2 4" xfId="9543" xr:uid="{763F72A4-62E9-4773-848C-47B2FC4C16C0}"/>
    <cellStyle name="Note 3 4 3" xfId="1436" xr:uid="{00000000-0005-0000-0000-0000D8210000}"/>
    <cellStyle name="Note 3 4 3 2" xfId="3666" xr:uid="{00000000-0005-0000-0000-0000D9210000}"/>
    <cellStyle name="Note 3 4 3 2 2" xfId="7890" xr:uid="{00000000-0005-0000-0000-0000DA210000}"/>
    <cellStyle name="Note 3 4 3 2 2 2" xfId="16319" xr:uid="{FE45479F-72C9-4CEE-9879-26CFB95A59B7}"/>
    <cellStyle name="Note 3 4 3 2 3" xfId="12101" xr:uid="{336A4D0B-8F47-4604-A3C3-FA96E1B3D75D}"/>
    <cellStyle name="Note 3 4 3 3" xfId="5745" xr:uid="{00000000-0005-0000-0000-0000DB210000}"/>
    <cellStyle name="Note 3 4 3 3 2" xfId="14174" xr:uid="{4082770A-A95A-4155-84FB-B104A3A27B66}"/>
    <cellStyle name="Note 3 4 3 4" xfId="9956" xr:uid="{AB8D8C2F-48E8-4173-8A39-B94A937561B6}"/>
    <cellStyle name="Note 3 4 4" xfId="1850" xr:uid="{00000000-0005-0000-0000-0000DC210000}"/>
    <cellStyle name="Note 3 4 4 2" xfId="4079" xr:uid="{00000000-0005-0000-0000-0000DD210000}"/>
    <cellStyle name="Note 3 4 4 2 2" xfId="8303" xr:uid="{00000000-0005-0000-0000-0000DE210000}"/>
    <cellStyle name="Note 3 4 4 2 2 2" xfId="16732" xr:uid="{AD3C288F-F3AE-40EE-8B14-AD23C9B274F2}"/>
    <cellStyle name="Note 3 4 4 2 3" xfId="12514" xr:uid="{16DB99E0-D54B-4AFF-97DF-54A16F7449A0}"/>
    <cellStyle name="Note 3 4 4 3" xfId="6158" xr:uid="{00000000-0005-0000-0000-0000DF210000}"/>
    <cellStyle name="Note 3 4 4 3 2" xfId="14587" xr:uid="{F1C7AA64-E45E-48DF-ACE1-742A07E39719}"/>
    <cellStyle name="Note 3 4 4 4" xfId="10369" xr:uid="{96580C4B-60A1-471A-8474-868871EB37E2}"/>
    <cellStyle name="Note 3 4 5" xfId="2263" xr:uid="{00000000-0005-0000-0000-0000E0210000}"/>
    <cellStyle name="Note 3 4 5 2" xfId="4492" xr:uid="{00000000-0005-0000-0000-0000E1210000}"/>
    <cellStyle name="Note 3 4 5 2 2" xfId="8716" xr:uid="{00000000-0005-0000-0000-0000E2210000}"/>
    <cellStyle name="Note 3 4 5 2 2 2" xfId="17145" xr:uid="{F730F096-9DF6-41A4-B171-DA2D0F97BC06}"/>
    <cellStyle name="Note 3 4 5 2 3" xfId="12927" xr:uid="{485C8DD0-332F-4091-8819-0E0DAD8EBBD2}"/>
    <cellStyle name="Note 3 4 5 3" xfId="6571" xr:uid="{00000000-0005-0000-0000-0000E3210000}"/>
    <cellStyle name="Note 3 4 5 3 2" xfId="15000" xr:uid="{FC2A3B08-AC6F-48FA-B0A3-48F48F95ABBD}"/>
    <cellStyle name="Note 3 4 5 4" xfId="10782" xr:uid="{2B8A41D3-4D6A-4D86-9DCF-653183D16427}"/>
    <cellStyle name="Note 3 4 6" xfId="2699" xr:uid="{00000000-0005-0000-0000-0000E4210000}"/>
    <cellStyle name="Note 3 4 6 2" xfId="6984" xr:uid="{00000000-0005-0000-0000-0000E5210000}"/>
    <cellStyle name="Note 3 4 6 2 2" xfId="15413" xr:uid="{4488B485-8840-4A52-83D5-AF59FCD033C6}"/>
    <cellStyle name="Note 3 4 6 3" xfId="11195" xr:uid="{F341BE40-2100-4674-B507-29C8E48B051D}"/>
    <cellStyle name="Note 3 4 7" xfId="2758" xr:uid="{00000000-0005-0000-0000-0000E6210000}"/>
    <cellStyle name="Note 3 4 8" xfId="2839" xr:uid="{00000000-0005-0000-0000-0000E7210000}"/>
    <cellStyle name="Note 3 4 8 2" xfId="7064" xr:uid="{00000000-0005-0000-0000-0000E8210000}"/>
    <cellStyle name="Note 3 4 8 2 2" xfId="15493" xr:uid="{07EEA2F3-AE69-4182-B574-39E3865577B1}"/>
    <cellStyle name="Note 3 4 8 3" xfId="11275" xr:uid="{3B2BDC9D-B34F-49FA-8BF2-790E2EC8238F}"/>
    <cellStyle name="Note 3 4 9" xfId="4919" xr:uid="{00000000-0005-0000-0000-0000E9210000}"/>
    <cellStyle name="Note 3 4 9 2" xfId="13348" xr:uid="{13CB0994-853E-4E39-BAA0-B05E278565BF}"/>
    <cellStyle name="Note 3 5" xfId="562" xr:uid="{00000000-0005-0000-0000-0000EA210000}"/>
    <cellStyle name="Note 3 5 10" xfId="9131" xr:uid="{13D049C2-A5B1-433F-888A-468C20BF59F5}"/>
    <cellStyle name="Note 3 5 2" xfId="1022" xr:uid="{00000000-0005-0000-0000-0000EB210000}"/>
    <cellStyle name="Note 3 5 2 2" xfId="3254" xr:uid="{00000000-0005-0000-0000-0000EC210000}"/>
    <cellStyle name="Note 3 5 2 2 2" xfId="7478" xr:uid="{00000000-0005-0000-0000-0000ED210000}"/>
    <cellStyle name="Note 3 5 2 2 2 2" xfId="15907" xr:uid="{37008A73-1A81-49C5-894F-D4AE74AAA4F5}"/>
    <cellStyle name="Note 3 5 2 2 3" xfId="11689" xr:uid="{42C718A2-E7CC-4C41-A74D-B02C15B1C912}"/>
    <cellStyle name="Note 3 5 2 3" xfId="5333" xr:uid="{00000000-0005-0000-0000-0000EE210000}"/>
    <cellStyle name="Note 3 5 2 3 2" xfId="13762" xr:uid="{6BFDAA1B-C324-4DF6-AB4A-65E71259C9D6}"/>
    <cellStyle name="Note 3 5 2 4" xfId="9544" xr:uid="{6C0A080F-6974-488D-BCB1-09EC6D2C9AF4}"/>
    <cellStyle name="Note 3 5 3" xfId="1437" xr:uid="{00000000-0005-0000-0000-0000EF210000}"/>
    <cellStyle name="Note 3 5 3 2" xfId="3667" xr:uid="{00000000-0005-0000-0000-0000F0210000}"/>
    <cellStyle name="Note 3 5 3 2 2" xfId="7891" xr:uid="{00000000-0005-0000-0000-0000F1210000}"/>
    <cellStyle name="Note 3 5 3 2 2 2" xfId="16320" xr:uid="{AFCDD467-5EE5-4F65-B752-314181AF500E}"/>
    <cellStyle name="Note 3 5 3 2 3" xfId="12102" xr:uid="{4BCF647E-5999-4604-8F36-F27CE1504AD3}"/>
    <cellStyle name="Note 3 5 3 3" xfId="5746" xr:uid="{00000000-0005-0000-0000-0000F2210000}"/>
    <cellStyle name="Note 3 5 3 3 2" xfId="14175" xr:uid="{6D11EF0B-3EA9-4789-9193-80274E0B89C1}"/>
    <cellStyle name="Note 3 5 3 4" xfId="9957" xr:uid="{B815F1A7-A19F-487B-BC06-7B25E0D26F61}"/>
    <cellStyle name="Note 3 5 4" xfId="1851" xr:uid="{00000000-0005-0000-0000-0000F3210000}"/>
    <cellStyle name="Note 3 5 4 2" xfId="4080" xr:uid="{00000000-0005-0000-0000-0000F4210000}"/>
    <cellStyle name="Note 3 5 4 2 2" xfId="8304" xr:uid="{00000000-0005-0000-0000-0000F5210000}"/>
    <cellStyle name="Note 3 5 4 2 2 2" xfId="16733" xr:uid="{8D1CFE82-A948-4D19-9ACA-92A202D13CE0}"/>
    <cellStyle name="Note 3 5 4 2 3" xfId="12515" xr:uid="{813DB643-B06B-45F8-85D3-55F43B481F30}"/>
    <cellStyle name="Note 3 5 4 3" xfId="6159" xr:uid="{00000000-0005-0000-0000-0000F6210000}"/>
    <cellStyle name="Note 3 5 4 3 2" xfId="14588" xr:uid="{D703A337-81CE-49C9-82B1-A77D66B7AF03}"/>
    <cellStyle name="Note 3 5 4 4" xfId="10370" xr:uid="{8747DD8C-651B-49C6-9478-9BF3402A46DA}"/>
    <cellStyle name="Note 3 5 5" xfId="2264" xr:uid="{00000000-0005-0000-0000-0000F7210000}"/>
    <cellStyle name="Note 3 5 5 2" xfId="4493" xr:uid="{00000000-0005-0000-0000-0000F8210000}"/>
    <cellStyle name="Note 3 5 5 2 2" xfId="8717" xr:uid="{00000000-0005-0000-0000-0000F9210000}"/>
    <cellStyle name="Note 3 5 5 2 2 2" xfId="17146" xr:uid="{19482D66-902D-44DD-960C-81DDBFAE8144}"/>
    <cellStyle name="Note 3 5 5 2 3" xfId="12928" xr:uid="{07D8F414-5103-41EE-BD37-E1E9E54B83D2}"/>
    <cellStyle name="Note 3 5 5 3" xfId="6572" xr:uid="{00000000-0005-0000-0000-0000FA210000}"/>
    <cellStyle name="Note 3 5 5 3 2" xfId="15001" xr:uid="{6E2E8F16-D2B2-41B8-B78F-16B6E2A2F6A0}"/>
    <cellStyle name="Note 3 5 5 4" xfId="10783" xr:uid="{24B97D06-ABA1-44BA-9C85-51091DA17DEF}"/>
    <cellStyle name="Note 3 5 6" xfId="2700" xr:uid="{00000000-0005-0000-0000-0000FB210000}"/>
    <cellStyle name="Note 3 5 6 2" xfId="6985" xr:uid="{00000000-0005-0000-0000-0000FC210000}"/>
    <cellStyle name="Note 3 5 6 2 2" xfId="15414" xr:uid="{E60A5FAE-6BE4-43EC-974F-C7B2EC76E357}"/>
    <cellStyle name="Note 3 5 6 3" xfId="11196" xr:uid="{B2B311F1-910C-4D07-BBB4-727D3C15EF33}"/>
    <cellStyle name="Note 3 5 7" xfId="2759" xr:uid="{00000000-0005-0000-0000-0000FD210000}"/>
    <cellStyle name="Note 3 5 8" xfId="2840" xr:uid="{00000000-0005-0000-0000-0000FE210000}"/>
    <cellStyle name="Note 3 5 8 2" xfId="7065" xr:uid="{00000000-0005-0000-0000-0000FF210000}"/>
    <cellStyle name="Note 3 5 8 2 2" xfId="15494" xr:uid="{B2EE8827-E46C-44C3-A7FF-FFB22F4BFB24}"/>
    <cellStyle name="Note 3 5 8 3" xfId="11276" xr:uid="{58BF7520-BCB8-402B-9E6F-F7D48A8453AD}"/>
    <cellStyle name="Note 3 5 9" xfId="4920" xr:uid="{00000000-0005-0000-0000-000000220000}"/>
    <cellStyle name="Note 3 5 9 2" xfId="13349" xr:uid="{847892EF-2849-4CC8-9FC2-85C580626C95}"/>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3 2" xfId="12932" xr:uid="{5A748720-0756-4FA2-83D2-B3D65DCD804F}"/>
    <cellStyle name="Percent 4" xfId="4503" xr:uid="{00000000-0005-0000-0000-000006220000}"/>
    <cellStyle name="Percent 4 2" xfId="12935" xr:uid="{D2AF8871-615C-4B29-89BA-D8E10E1942A4}"/>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1">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236</xdr:colOff>
      <xdr:row>6</xdr:row>
      <xdr:rowOff>144559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ld/Santa%20Angelina%20-%20attachment%2040%20L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CalHFA Addendum"/>
      <sheetName val="Sources and Basis Breakdown"/>
      <sheetName val="CDLAC Points System"/>
      <sheetName val="CDLAC Tie Breaker"/>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row r="637">
          <cell r="C637" t="str">
            <v>CCRC</v>
          </cell>
        </row>
        <row r="638">
          <cell r="C638" t="str">
            <v>State of CA HCD NPLH</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7" t="s">
        <v>583</v>
      </c>
      <c r="B1" s="1877"/>
      <c r="C1" s="1877"/>
      <c r="D1" s="1877"/>
      <c r="E1" s="1877"/>
      <c r="F1" s="1877"/>
      <c r="G1" s="1877"/>
      <c r="H1" s="1877"/>
      <c r="I1" s="1877"/>
      <c r="J1" s="1877"/>
      <c r="K1" s="1877"/>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row>
    <row r="2" spans="1:38" ht="13.5" thickBot="1">
      <c r="A2" s="1878"/>
      <c r="B2" s="1878"/>
      <c r="C2" s="1878"/>
      <c r="D2" s="1878"/>
      <c r="E2" s="1878"/>
      <c r="F2" s="1878"/>
      <c r="G2" s="1878"/>
      <c r="H2" s="1878"/>
      <c r="I2" s="1878"/>
      <c r="J2" s="1878"/>
      <c r="K2" s="1878"/>
      <c r="L2" s="1878"/>
      <c r="M2" s="1878"/>
      <c r="N2" s="1878"/>
      <c r="O2" s="1878"/>
      <c r="P2" s="1878"/>
      <c r="Q2" s="1878"/>
      <c r="R2" s="1878"/>
      <c r="S2" s="1878"/>
      <c r="T2" s="1878"/>
      <c r="U2" s="1878"/>
      <c r="V2" s="1878"/>
      <c r="W2" s="1878"/>
      <c r="X2" s="1878"/>
      <c r="Y2" s="1878"/>
      <c r="Z2" s="1878"/>
      <c r="AA2" s="1878"/>
      <c r="AB2" s="1878"/>
      <c r="AC2" s="1878"/>
      <c r="AD2" s="1878"/>
      <c r="AE2" s="1878"/>
      <c r="AF2" s="1878"/>
      <c r="AG2" s="1878"/>
      <c r="AH2" s="1878"/>
      <c r="AI2" s="1878"/>
      <c r="AJ2" s="1878"/>
      <c r="AK2" s="1878"/>
      <c r="AL2" s="1878"/>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9" t="s">
        <v>1390</v>
      </c>
      <c r="E7" s="1879"/>
      <c r="F7" s="1879"/>
      <c r="G7" s="1879"/>
      <c r="H7" s="1879"/>
      <c r="I7" s="1879"/>
      <c r="J7" s="1879"/>
      <c r="K7" s="1879"/>
      <c r="L7" s="1879"/>
      <c r="M7" s="1879"/>
      <c r="N7" s="1879"/>
      <c r="O7" s="1879"/>
      <c r="P7" s="1879"/>
      <c r="Q7" s="1879"/>
      <c r="R7" s="1879"/>
      <c r="S7" s="1879"/>
      <c r="T7" s="1879"/>
      <c r="U7" s="1879"/>
      <c r="V7" s="1879"/>
      <c r="W7" s="1879"/>
      <c r="X7" s="1879"/>
      <c r="Y7" s="1879"/>
      <c r="Z7" s="1879"/>
      <c r="AA7" s="1879"/>
      <c r="AB7" s="1879"/>
      <c r="AC7" s="1879"/>
      <c r="AD7" s="1879"/>
      <c r="AE7" s="1879"/>
      <c r="AF7" s="1879"/>
      <c r="AG7" s="1879"/>
      <c r="AH7" s="1879"/>
      <c r="AI7" s="1879"/>
      <c r="AJ7" s="1879"/>
      <c r="AK7" s="1879"/>
      <c r="AL7" s="745"/>
    </row>
    <row r="8" spans="1:38">
      <c r="A8" s="327"/>
      <c r="B8" s="325"/>
      <c r="C8" s="326"/>
      <c r="D8" s="1879"/>
      <c r="E8" s="1879"/>
      <c r="F8" s="1879"/>
      <c r="G8" s="1879"/>
      <c r="H8" s="1879"/>
      <c r="I8" s="1879"/>
      <c r="J8" s="1879"/>
      <c r="K8" s="1879"/>
      <c r="L8" s="1879"/>
      <c r="M8" s="1879"/>
      <c r="N8" s="1879"/>
      <c r="O8" s="1879"/>
      <c r="P8" s="1879"/>
      <c r="Q8" s="1879"/>
      <c r="R8" s="1879"/>
      <c r="S8" s="1879"/>
      <c r="T8" s="1879"/>
      <c r="U8" s="1879"/>
      <c r="V8" s="1879"/>
      <c r="W8" s="1879"/>
      <c r="X8" s="1879"/>
      <c r="Y8" s="1879"/>
      <c r="Z8" s="1879"/>
      <c r="AA8" s="1879"/>
      <c r="AB8" s="1879"/>
      <c r="AC8" s="1879"/>
      <c r="AD8" s="1879"/>
      <c r="AE8" s="1879"/>
      <c r="AF8" s="1879"/>
      <c r="AG8" s="1879"/>
      <c r="AH8" s="1879"/>
      <c r="AI8" s="1879"/>
      <c r="AJ8" s="1879"/>
      <c r="AK8" s="1879"/>
      <c r="AL8" s="745"/>
    </row>
    <row r="9" spans="1:38">
      <c r="A9" s="327"/>
      <c r="B9" s="325"/>
      <c r="C9" s="326"/>
      <c r="D9" s="1879"/>
      <c r="E9" s="1879"/>
      <c r="F9" s="1879"/>
      <c r="G9" s="1879"/>
      <c r="H9" s="1879"/>
      <c r="I9" s="1879"/>
      <c r="J9" s="1879"/>
      <c r="K9" s="1879"/>
      <c r="L9" s="1879"/>
      <c r="M9" s="1879"/>
      <c r="N9" s="1879"/>
      <c r="O9" s="1879"/>
      <c r="P9" s="1879"/>
      <c r="Q9" s="1879"/>
      <c r="R9" s="1879"/>
      <c r="S9" s="1879"/>
      <c r="T9" s="1879"/>
      <c r="U9" s="1879"/>
      <c r="V9" s="1879"/>
      <c r="W9" s="1879"/>
      <c r="X9" s="1879"/>
      <c r="Y9" s="1879"/>
      <c r="Z9" s="1879"/>
      <c r="AA9" s="1879"/>
      <c r="AB9" s="1879"/>
      <c r="AC9" s="1879"/>
      <c r="AD9" s="1879"/>
      <c r="AE9" s="1879"/>
      <c r="AF9" s="1879"/>
      <c r="AG9" s="1879"/>
      <c r="AH9" s="1879"/>
      <c r="AI9" s="1879"/>
      <c r="AJ9" s="1879"/>
      <c r="AK9" s="1879"/>
      <c r="AL9" s="745"/>
    </row>
    <row r="10" spans="1:38">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2.95" customHeight="1">
      <c r="A11" s="327"/>
      <c r="B11" s="325"/>
      <c r="C11" s="326"/>
      <c r="D11" s="1879" t="s">
        <v>1394</v>
      </c>
      <c r="E11" s="1879"/>
      <c r="F11" s="1879"/>
      <c r="G11" s="1879"/>
      <c r="H11" s="1879"/>
      <c r="I11" s="1879"/>
      <c r="J11" s="1879"/>
      <c r="K11" s="1879"/>
      <c r="L11" s="1879"/>
      <c r="M11" s="1879"/>
      <c r="N11" s="1879"/>
      <c r="O11" s="1879"/>
      <c r="P11" s="1879"/>
      <c r="Q11" s="1879"/>
      <c r="R11" s="1879"/>
      <c r="S11" s="1879"/>
      <c r="T11" s="1879"/>
      <c r="U11" s="1879"/>
      <c r="V11" s="1879"/>
      <c r="W11" s="1879"/>
      <c r="X11" s="1879"/>
      <c r="Y11" s="1879"/>
      <c r="Z11" s="1879"/>
      <c r="AA11" s="1879"/>
      <c r="AB11" s="1879"/>
      <c r="AC11" s="1879"/>
      <c r="AD11" s="1879"/>
      <c r="AE11" s="1879"/>
      <c r="AF11" s="1879"/>
      <c r="AG11" s="1879"/>
      <c r="AH11" s="1879"/>
      <c r="AI11" s="1879"/>
      <c r="AJ11" s="1879"/>
      <c r="AK11" s="1879"/>
      <c r="AL11" s="745"/>
    </row>
    <row r="12" spans="1:38">
      <c r="A12" s="327"/>
      <c r="B12" s="325"/>
      <c r="C12" s="326"/>
      <c r="D12" s="1879"/>
      <c r="E12" s="1879"/>
      <c r="F12" s="1879"/>
      <c r="G12" s="1879"/>
      <c r="H12" s="1879"/>
      <c r="I12" s="1879"/>
      <c r="J12" s="1879"/>
      <c r="K12" s="1879"/>
      <c r="L12" s="1879"/>
      <c r="M12" s="1879"/>
      <c r="N12" s="1879"/>
      <c r="O12" s="1879"/>
      <c r="P12" s="1879"/>
      <c r="Q12" s="1879"/>
      <c r="R12" s="1879"/>
      <c r="S12" s="1879"/>
      <c r="T12" s="1879"/>
      <c r="U12" s="1879"/>
      <c r="V12" s="1879"/>
      <c r="W12" s="1879"/>
      <c r="X12" s="1879"/>
      <c r="Y12" s="1879"/>
      <c r="Z12" s="1879"/>
      <c r="AA12" s="1879"/>
      <c r="AB12" s="1879"/>
      <c r="AC12" s="1879"/>
      <c r="AD12" s="1879"/>
      <c r="AE12" s="1879"/>
      <c r="AF12" s="1879"/>
      <c r="AG12" s="1879"/>
      <c r="AH12" s="1879"/>
      <c r="AI12" s="1879"/>
      <c r="AJ12" s="1879"/>
      <c r="AK12" s="1879"/>
      <c r="AL12" s="745"/>
    </row>
    <row r="13" spans="1:38" s="716" customFormat="1">
      <c r="A13" s="327"/>
      <c r="B13" s="325"/>
      <c r="C13" s="326"/>
      <c r="D13" s="1879"/>
      <c r="E13" s="1879"/>
      <c r="F13" s="1879"/>
      <c r="G13" s="1879"/>
      <c r="H13" s="1879"/>
      <c r="I13" s="1879"/>
      <c r="J13" s="1879"/>
      <c r="K13" s="1879"/>
      <c r="L13" s="1879"/>
      <c r="M13" s="1879"/>
      <c r="N13" s="1879"/>
      <c r="O13" s="1879"/>
      <c r="P13" s="1879"/>
      <c r="Q13" s="1879"/>
      <c r="R13" s="1879"/>
      <c r="S13" s="1879"/>
      <c r="T13" s="1879"/>
      <c r="U13" s="1879"/>
      <c r="V13" s="1879"/>
      <c r="W13" s="1879"/>
      <c r="X13" s="1879"/>
      <c r="Y13" s="1879"/>
      <c r="Z13" s="1879"/>
      <c r="AA13" s="1879"/>
      <c r="AB13" s="1879"/>
      <c r="AC13" s="1879"/>
      <c r="AD13" s="1879"/>
      <c r="AE13" s="1879"/>
      <c r="AF13" s="1879"/>
      <c r="AG13" s="1879"/>
      <c r="AH13" s="1879"/>
      <c r="AI13" s="1879"/>
      <c r="AJ13" s="1879"/>
      <c r="AK13" s="1879"/>
      <c r="AL13" s="745"/>
    </row>
    <row r="14" spans="1:38" s="716" customFormat="1" ht="13.15" customHeight="1">
      <c r="A14" s="327"/>
      <c r="B14" s="325"/>
      <c r="C14" s="326"/>
      <c r="E14" s="1881" t="s">
        <v>2170</v>
      </c>
      <c r="F14" s="1881"/>
      <c r="G14" s="1881"/>
      <c r="H14" s="1881"/>
      <c r="I14" s="1881"/>
      <c r="J14" s="1881"/>
      <c r="K14" s="1881"/>
      <c r="L14" s="1881"/>
      <c r="M14" s="1881"/>
      <c r="N14" s="1881"/>
      <c r="O14" s="1881"/>
      <c r="P14" s="1881"/>
      <c r="Q14" s="1881"/>
      <c r="R14" s="1881"/>
      <c r="S14" s="1881"/>
      <c r="T14" s="1881"/>
      <c r="U14" s="1881"/>
      <c r="V14" s="1881"/>
      <c r="W14" s="1881"/>
      <c r="X14" s="1881"/>
      <c r="Y14" s="1881"/>
      <c r="Z14" s="1881"/>
      <c r="AA14" s="1881"/>
      <c r="AB14" s="1881"/>
      <c r="AC14" s="1881"/>
      <c r="AD14" s="1881"/>
      <c r="AE14" s="1881"/>
      <c r="AF14" s="1881"/>
      <c r="AG14" s="1881"/>
      <c r="AH14" s="1881"/>
      <c r="AI14" s="1881"/>
      <c r="AJ14" s="1881"/>
      <c r="AK14" s="1881"/>
      <c r="AL14" s="745"/>
    </row>
    <row r="15" spans="1:38" s="716" customFormat="1" ht="13.15" customHeight="1">
      <c r="A15" s="327"/>
      <c r="B15" s="325"/>
      <c r="C15" s="326"/>
      <c r="E15" s="1881"/>
      <c r="F15" s="1881"/>
      <c r="G15" s="1881"/>
      <c r="H15" s="1881"/>
      <c r="I15" s="1881"/>
      <c r="J15" s="1881"/>
      <c r="K15" s="1881"/>
      <c r="L15" s="1881"/>
      <c r="M15" s="1881"/>
      <c r="N15" s="1881"/>
      <c r="O15" s="1881"/>
      <c r="P15" s="1881"/>
      <c r="Q15" s="1881"/>
      <c r="R15" s="1881"/>
      <c r="S15" s="1881"/>
      <c r="T15" s="1881"/>
      <c r="U15" s="1881"/>
      <c r="V15" s="1881"/>
      <c r="W15" s="1881"/>
      <c r="X15" s="1881"/>
      <c r="Y15" s="1881"/>
      <c r="Z15" s="1881"/>
      <c r="AA15" s="1881"/>
      <c r="AB15" s="1881"/>
      <c r="AC15" s="1881"/>
      <c r="AD15" s="1881"/>
      <c r="AE15" s="1881"/>
      <c r="AF15" s="1881"/>
      <c r="AG15" s="1881"/>
      <c r="AH15" s="1881"/>
      <c r="AI15" s="1881"/>
      <c r="AJ15" s="1881"/>
      <c r="AK15" s="1881"/>
      <c r="AL15" s="745"/>
    </row>
    <row r="16" spans="1:38" s="716" customFormat="1">
      <c r="A16" s="327"/>
      <c r="B16" s="325"/>
      <c r="C16" s="326"/>
      <c r="D16" s="745"/>
      <c r="E16" s="1881"/>
      <c r="F16" s="1881"/>
      <c r="G16" s="1881"/>
      <c r="H16" s="1881"/>
      <c r="I16" s="1881"/>
      <c r="J16" s="1881"/>
      <c r="K16" s="1881"/>
      <c r="L16" s="1881"/>
      <c r="M16" s="1881"/>
      <c r="N16" s="1881"/>
      <c r="O16" s="1881"/>
      <c r="P16" s="1881"/>
      <c r="Q16" s="1881"/>
      <c r="R16" s="1881"/>
      <c r="S16" s="1881"/>
      <c r="T16" s="1881"/>
      <c r="U16" s="1881"/>
      <c r="V16" s="1881"/>
      <c r="W16" s="1881"/>
      <c r="X16" s="1881"/>
      <c r="Y16" s="1881"/>
      <c r="Z16" s="1881"/>
      <c r="AA16" s="1881"/>
      <c r="AB16" s="1881"/>
      <c r="AC16" s="1881"/>
      <c r="AD16" s="1881"/>
      <c r="AE16" s="1881"/>
      <c r="AF16" s="1881"/>
      <c r="AG16" s="1881"/>
      <c r="AH16" s="1881"/>
      <c r="AI16" s="1881"/>
      <c r="AJ16" s="1881"/>
      <c r="AK16" s="1881"/>
      <c r="AL16" s="745"/>
    </row>
    <row r="17" spans="1:38" s="716" customFormat="1">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15" customHeight="1">
      <c r="A18" s="327"/>
      <c r="B18" s="325"/>
      <c r="C18" s="326"/>
      <c r="D18" s="1881" t="s">
        <v>1522</v>
      </c>
      <c r="E18" s="1881"/>
      <c r="F18" s="1881"/>
      <c r="G18" s="1881"/>
      <c r="H18" s="1881"/>
      <c r="I18" s="1881"/>
      <c r="J18" s="1881"/>
      <c r="K18" s="1881"/>
      <c r="L18" s="1881"/>
      <c r="M18" s="1881"/>
      <c r="N18" s="1881"/>
      <c r="O18" s="1881"/>
      <c r="P18" s="1881"/>
      <c r="Q18" s="1881"/>
      <c r="R18" s="1881"/>
      <c r="S18" s="1881"/>
      <c r="T18" s="1881"/>
      <c r="U18" s="1881"/>
      <c r="V18" s="1881"/>
      <c r="W18" s="1881"/>
      <c r="X18" s="1881"/>
      <c r="Y18" s="1881"/>
      <c r="Z18" s="1881"/>
      <c r="AA18" s="1881"/>
      <c r="AB18" s="1881"/>
      <c r="AC18" s="1881"/>
      <c r="AD18" s="1881"/>
      <c r="AE18" s="1881"/>
      <c r="AF18" s="1881"/>
      <c r="AG18" s="1881"/>
      <c r="AH18" s="1881"/>
      <c r="AI18" s="1881"/>
      <c r="AJ18" s="1881"/>
      <c r="AK18" s="1881"/>
      <c r="AL18" s="325"/>
    </row>
    <row r="19" spans="1:38">
      <c r="A19" s="327"/>
      <c r="B19" s="325"/>
      <c r="C19" s="326"/>
      <c r="D19" s="1881"/>
      <c r="E19" s="1881"/>
      <c r="F19" s="1881"/>
      <c r="G19" s="1881"/>
      <c r="H19" s="1881"/>
      <c r="I19" s="1881"/>
      <c r="J19" s="1881"/>
      <c r="K19" s="1881"/>
      <c r="L19" s="1881"/>
      <c r="M19" s="1881"/>
      <c r="N19" s="1881"/>
      <c r="O19" s="1881"/>
      <c r="P19" s="1881"/>
      <c r="Q19" s="1881"/>
      <c r="R19" s="1881"/>
      <c r="S19" s="1881"/>
      <c r="T19" s="1881"/>
      <c r="U19" s="1881"/>
      <c r="V19" s="1881"/>
      <c r="W19" s="1881"/>
      <c r="X19" s="1881"/>
      <c r="Y19" s="1881"/>
      <c r="Z19" s="1881"/>
      <c r="AA19" s="1881"/>
      <c r="AB19" s="1881"/>
      <c r="AC19" s="1881"/>
      <c r="AD19" s="1881"/>
      <c r="AE19" s="1881"/>
      <c r="AF19" s="1881"/>
      <c r="AG19" s="1881"/>
      <c r="AH19" s="1881"/>
      <c r="AI19" s="1881"/>
      <c r="AJ19" s="1881"/>
      <c r="AK19" s="1881"/>
      <c r="AL19" s="325"/>
    </row>
    <row r="20" spans="1:38" s="716" customFormat="1">
      <c r="A20" s="327"/>
      <c r="B20" s="325"/>
      <c r="C20" s="326"/>
      <c r="D20" s="1881"/>
      <c r="E20" s="1881"/>
      <c r="F20" s="1881"/>
      <c r="G20" s="1881"/>
      <c r="H20" s="1881"/>
      <c r="I20" s="1881"/>
      <c r="J20" s="1881"/>
      <c r="K20" s="1881"/>
      <c r="L20" s="1881"/>
      <c r="M20" s="1881"/>
      <c r="N20" s="1881"/>
      <c r="O20" s="1881"/>
      <c r="P20" s="1881"/>
      <c r="Q20" s="1881"/>
      <c r="R20" s="1881"/>
      <c r="S20" s="1881"/>
      <c r="T20" s="1881"/>
      <c r="U20" s="1881"/>
      <c r="V20" s="1881"/>
      <c r="W20" s="1881"/>
      <c r="X20" s="1881"/>
      <c r="Y20" s="1881"/>
      <c r="Z20" s="1881"/>
      <c r="AA20" s="1881"/>
      <c r="AB20" s="1881"/>
      <c r="AC20" s="1881"/>
      <c r="AD20" s="1881"/>
      <c r="AE20" s="1881"/>
      <c r="AF20" s="1881"/>
      <c r="AG20" s="1881"/>
      <c r="AH20" s="1881"/>
      <c r="AI20" s="1881"/>
      <c r="AJ20" s="1881"/>
      <c r="AK20" s="1881"/>
      <c r="AL20" s="325"/>
    </row>
    <row r="21" spans="1:38" s="716" customFormat="1" ht="13.15" customHeight="1">
      <c r="A21" s="327"/>
      <c r="B21" s="325"/>
      <c r="C21" s="326"/>
      <c r="D21" s="1881"/>
      <c r="E21" s="1881"/>
      <c r="F21" s="1881"/>
      <c r="G21" s="1881"/>
      <c r="H21" s="1881"/>
      <c r="I21" s="1881"/>
      <c r="J21" s="1881"/>
      <c r="K21" s="1881"/>
      <c r="L21" s="1881"/>
      <c r="M21" s="1881"/>
      <c r="N21" s="1881"/>
      <c r="O21" s="1881"/>
      <c r="P21" s="1881"/>
      <c r="Q21" s="1881"/>
      <c r="R21" s="1881"/>
      <c r="S21" s="1881"/>
      <c r="T21" s="1881"/>
      <c r="U21" s="1881"/>
      <c r="V21" s="1881"/>
      <c r="W21" s="1881"/>
      <c r="X21" s="1881"/>
      <c r="Y21" s="1881"/>
      <c r="Z21" s="1881"/>
      <c r="AA21" s="1881"/>
      <c r="AB21" s="1881"/>
      <c r="AC21" s="1881"/>
      <c r="AD21" s="1881"/>
      <c r="AE21" s="1881"/>
      <c r="AF21" s="1881"/>
      <c r="AG21" s="1881"/>
      <c r="AH21" s="1881"/>
      <c r="AI21" s="1881"/>
      <c r="AJ21" s="1881"/>
      <c r="AK21" s="1881"/>
      <c r="AL21" s="325"/>
    </row>
    <row r="22" spans="1:38" s="716" customFormat="1">
      <c r="A22" s="327"/>
      <c r="B22" s="325"/>
      <c r="C22" s="326"/>
      <c r="D22" s="1881"/>
      <c r="E22" s="1881"/>
      <c r="F22" s="1881"/>
      <c r="G22" s="1881"/>
      <c r="H22" s="1881"/>
      <c r="I22" s="1881"/>
      <c r="J22" s="1881"/>
      <c r="K22" s="1881"/>
      <c r="L22" s="1881"/>
      <c r="M22" s="1881"/>
      <c r="N22" s="1881"/>
      <c r="O22" s="1881"/>
      <c r="P22" s="1881"/>
      <c r="Q22" s="1881"/>
      <c r="R22" s="1881"/>
      <c r="S22" s="1881"/>
      <c r="T22" s="1881"/>
      <c r="U22" s="1881"/>
      <c r="V22" s="1881"/>
      <c r="W22" s="1881"/>
      <c r="X22" s="1881"/>
      <c r="Y22" s="1881"/>
      <c r="Z22" s="1881"/>
      <c r="AA22" s="1881"/>
      <c r="AB22" s="1881"/>
      <c r="AC22" s="1881"/>
      <c r="AD22" s="1881"/>
      <c r="AE22" s="1881"/>
      <c r="AF22" s="1881"/>
      <c r="AG22" s="1881"/>
      <c r="AH22" s="1881"/>
      <c r="AI22" s="1881"/>
      <c r="AJ22" s="1881"/>
      <c r="AK22" s="1881"/>
      <c r="AL22" s="325"/>
    </row>
    <row r="23" spans="1:38" s="716" customFormat="1">
      <c r="A23" s="327"/>
      <c r="B23" s="325"/>
      <c r="C23" s="326"/>
      <c r="D23" s="1881"/>
      <c r="E23" s="1881"/>
      <c r="F23" s="1881"/>
      <c r="G23" s="1881"/>
      <c r="H23" s="1881"/>
      <c r="I23" s="1881"/>
      <c r="J23" s="1881"/>
      <c r="K23" s="1881"/>
      <c r="L23" s="1881"/>
      <c r="M23" s="1881"/>
      <c r="N23" s="1881"/>
      <c r="O23" s="1881"/>
      <c r="P23" s="1881"/>
      <c r="Q23" s="1881"/>
      <c r="R23" s="1881"/>
      <c r="S23" s="1881"/>
      <c r="T23" s="1881"/>
      <c r="U23" s="1881"/>
      <c r="V23" s="1881"/>
      <c r="W23" s="1881"/>
      <c r="X23" s="1881"/>
      <c r="Y23" s="1881"/>
      <c r="Z23" s="1881"/>
      <c r="AA23" s="1881"/>
      <c r="AB23" s="1881"/>
      <c r="AC23" s="1881"/>
      <c r="AD23" s="1881"/>
      <c r="AE23" s="1881"/>
      <c r="AF23" s="1881"/>
      <c r="AG23" s="1881"/>
      <c r="AH23" s="1881"/>
      <c r="AI23" s="1881"/>
      <c r="AJ23" s="1881"/>
      <c r="AK23" s="1881"/>
      <c r="AL23" s="325"/>
    </row>
    <row r="24" spans="1:38">
      <c r="A24" s="327"/>
      <c r="B24" s="325"/>
      <c r="C24" s="326"/>
      <c r="D24" s="1881"/>
      <c r="E24" s="1881"/>
      <c r="F24" s="1881"/>
      <c r="G24" s="1881"/>
      <c r="H24" s="1881"/>
      <c r="I24" s="1881"/>
      <c r="J24" s="1881"/>
      <c r="K24" s="1881"/>
      <c r="L24" s="1881"/>
      <c r="M24" s="1881"/>
      <c r="N24" s="1881"/>
      <c r="O24" s="1881"/>
      <c r="P24" s="1881"/>
      <c r="Q24" s="1881"/>
      <c r="R24" s="1881"/>
      <c r="S24" s="1881"/>
      <c r="T24" s="1881"/>
      <c r="U24" s="1881"/>
      <c r="V24" s="1881"/>
      <c r="W24" s="1881"/>
      <c r="X24" s="1881"/>
      <c r="Y24" s="1881"/>
      <c r="Z24" s="1881"/>
      <c r="AA24" s="1881"/>
      <c r="AB24" s="1881"/>
      <c r="AC24" s="1881"/>
      <c r="AD24" s="1881"/>
      <c r="AE24" s="1881"/>
      <c r="AF24" s="1881"/>
      <c r="AG24" s="1881"/>
      <c r="AH24" s="1881"/>
      <c r="AI24" s="1881"/>
      <c r="AJ24" s="1881"/>
      <c r="AK24" s="1881"/>
      <c r="AL24" s="325"/>
    </row>
    <row r="25" spans="1:38" s="716" customFormat="1">
      <c r="A25" s="327"/>
      <c r="B25" s="325"/>
      <c r="C25" s="326"/>
      <c r="D25" s="1881"/>
      <c r="E25" s="1881"/>
      <c r="F25" s="1881"/>
      <c r="G25" s="1881"/>
      <c r="H25" s="1881"/>
      <c r="I25" s="1881"/>
      <c r="J25" s="1881"/>
      <c r="K25" s="1881"/>
      <c r="L25" s="1881"/>
      <c r="M25" s="1881"/>
      <c r="N25" s="1881"/>
      <c r="O25" s="1881"/>
      <c r="P25" s="1881"/>
      <c r="Q25" s="1881"/>
      <c r="R25" s="1881"/>
      <c r="S25" s="1881"/>
      <c r="T25" s="1881"/>
      <c r="U25" s="1881"/>
      <c r="V25" s="1881"/>
      <c r="W25" s="1881"/>
      <c r="X25" s="1881"/>
      <c r="Y25" s="1881"/>
      <c r="Z25" s="1881"/>
      <c r="AA25" s="1881"/>
      <c r="AB25" s="1881"/>
      <c r="AC25" s="1881"/>
      <c r="AD25" s="1881"/>
      <c r="AE25" s="1881"/>
      <c r="AF25" s="1881"/>
      <c r="AG25" s="1881"/>
      <c r="AH25" s="1881"/>
      <c r="AI25" s="1881"/>
      <c r="AJ25" s="1881"/>
      <c r="AK25" s="1881"/>
      <c r="AL25" s="325"/>
    </row>
    <row r="26" spans="1:38" s="716" customFormat="1">
      <c r="A26" s="327"/>
      <c r="B26" s="325"/>
      <c r="C26" s="326"/>
      <c r="D26" s="1881"/>
      <c r="E26" s="1881"/>
      <c r="F26" s="1881"/>
      <c r="G26" s="1881"/>
      <c r="H26" s="1881"/>
      <c r="I26" s="1881"/>
      <c r="J26" s="1881"/>
      <c r="K26" s="1881"/>
      <c r="L26" s="1881"/>
      <c r="M26" s="1881"/>
      <c r="N26" s="1881"/>
      <c r="O26" s="1881"/>
      <c r="P26" s="1881"/>
      <c r="Q26" s="1881"/>
      <c r="R26" s="1881"/>
      <c r="S26" s="1881"/>
      <c r="T26" s="1881"/>
      <c r="U26" s="1881"/>
      <c r="V26" s="1881"/>
      <c r="W26" s="1881"/>
      <c r="X26" s="1881"/>
      <c r="Y26" s="1881"/>
      <c r="Z26" s="1881"/>
      <c r="AA26" s="1881"/>
      <c r="AB26" s="1881"/>
      <c r="AC26" s="1881"/>
      <c r="AD26" s="1881"/>
      <c r="AE26" s="1881"/>
      <c r="AF26" s="1881"/>
      <c r="AG26" s="1881"/>
      <c r="AH26" s="1881"/>
      <c r="AI26" s="1881"/>
      <c r="AJ26" s="1881"/>
      <c r="AK26" s="1881"/>
      <c r="AL26" s="325"/>
    </row>
    <row r="27" spans="1:38" s="716" customFormat="1" ht="11.85" customHeight="1">
      <c r="A27" s="327"/>
      <c r="B27" s="325"/>
      <c r="C27" s="326"/>
      <c r="D27" s="1881"/>
      <c r="E27" s="1881"/>
      <c r="F27" s="1881"/>
      <c r="G27" s="1881"/>
      <c r="H27" s="1881"/>
      <c r="I27" s="1881"/>
      <c r="J27" s="1881"/>
      <c r="K27" s="1881"/>
      <c r="L27" s="1881"/>
      <c r="M27" s="1881"/>
      <c r="N27" s="1881"/>
      <c r="O27" s="1881"/>
      <c r="P27" s="1881"/>
      <c r="Q27" s="1881"/>
      <c r="R27" s="1881"/>
      <c r="S27" s="1881"/>
      <c r="T27" s="1881"/>
      <c r="U27" s="1881"/>
      <c r="V27" s="1881"/>
      <c r="W27" s="1881"/>
      <c r="X27" s="1881"/>
      <c r="Y27" s="1881"/>
      <c r="Z27" s="1881"/>
      <c r="AA27" s="1881"/>
      <c r="AB27" s="1881"/>
      <c r="AC27" s="1881"/>
      <c r="AD27" s="1881"/>
      <c r="AE27" s="1881"/>
      <c r="AF27" s="1881"/>
      <c r="AG27" s="1881"/>
      <c r="AH27" s="1881"/>
      <c r="AI27" s="1881"/>
      <c r="AJ27" s="1881"/>
      <c r="AK27" s="1881"/>
      <c r="AL27" s="325"/>
    </row>
    <row r="28" spans="1:38" s="716" customFormat="1" ht="13.15" customHeight="1">
      <c r="A28" s="327"/>
      <c r="B28" s="325"/>
      <c r="C28" s="326"/>
      <c r="E28" s="1881" t="s">
        <v>2171</v>
      </c>
      <c r="F28" s="1881"/>
      <c r="G28" s="1881"/>
      <c r="H28" s="1881"/>
      <c r="I28" s="1881"/>
      <c r="J28" s="1881"/>
      <c r="K28" s="1881"/>
      <c r="L28" s="1881"/>
      <c r="M28" s="1881"/>
      <c r="N28" s="1881"/>
      <c r="O28" s="1881"/>
      <c r="P28" s="1881"/>
      <c r="Q28" s="1881"/>
      <c r="R28" s="1881"/>
      <c r="S28" s="1881"/>
      <c r="T28" s="1881"/>
      <c r="U28" s="1881"/>
      <c r="V28" s="1881"/>
      <c r="W28" s="1881"/>
      <c r="X28" s="1881"/>
      <c r="Y28" s="1881"/>
      <c r="Z28" s="1881"/>
      <c r="AA28" s="1881"/>
      <c r="AB28" s="1881"/>
      <c r="AC28" s="1881"/>
      <c r="AD28" s="1881"/>
      <c r="AE28" s="1881"/>
      <c r="AF28" s="1881"/>
      <c r="AG28" s="1881"/>
      <c r="AH28" s="1881"/>
      <c r="AI28" s="1881"/>
      <c r="AJ28" s="1881"/>
      <c r="AK28" s="1881"/>
      <c r="AL28" s="325"/>
    </row>
    <row r="29" spans="1:38" s="716" customFormat="1" ht="13.15" customHeight="1">
      <c r="A29" s="327"/>
      <c r="B29" s="325"/>
      <c r="C29" s="326"/>
      <c r="E29" s="1881"/>
      <c r="F29" s="1881"/>
      <c r="G29" s="1881"/>
      <c r="H29" s="1881"/>
      <c r="I29" s="1881"/>
      <c r="J29" s="1881"/>
      <c r="K29" s="1881"/>
      <c r="L29" s="1881"/>
      <c r="M29" s="1881"/>
      <c r="N29" s="1881"/>
      <c r="O29" s="1881"/>
      <c r="P29" s="1881"/>
      <c r="Q29" s="1881"/>
      <c r="R29" s="1881"/>
      <c r="S29" s="1881"/>
      <c r="T29" s="1881"/>
      <c r="U29" s="1881"/>
      <c r="V29" s="1881"/>
      <c r="W29" s="1881"/>
      <c r="X29" s="1881"/>
      <c r="Y29" s="1881"/>
      <c r="Z29" s="1881"/>
      <c r="AA29" s="1881"/>
      <c r="AB29" s="1881"/>
      <c r="AC29" s="1881"/>
      <c r="AD29" s="1881"/>
      <c r="AE29" s="1881"/>
      <c r="AF29" s="1881"/>
      <c r="AG29" s="1881"/>
      <c r="AH29" s="1881"/>
      <c r="AI29" s="1881"/>
      <c r="AJ29" s="1881"/>
      <c r="AK29" s="1881"/>
      <c r="AL29" s="325"/>
    </row>
    <row r="30" spans="1:38" s="716" customFormat="1">
      <c r="A30" s="327"/>
      <c r="B30" s="325"/>
      <c r="C30" s="326"/>
      <c r="D30" s="745"/>
      <c r="E30" s="1881"/>
      <c r="F30" s="1881"/>
      <c r="G30" s="1881"/>
      <c r="H30" s="1881"/>
      <c r="I30" s="1881"/>
      <c r="J30" s="1881"/>
      <c r="K30" s="1881"/>
      <c r="L30" s="1881"/>
      <c r="M30" s="1881"/>
      <c r="N30" s="1881"/>
      <c r="O30" s="1881"/>
      <c r="P30" s="1881"/>
      <c r="Q30" s="1881"/>
      <c r="R30" s="1881"/>
      <c r="S30" s="1881"/>
      <c r="T30" s="1881"/>
      <c r="U30" s="1881"/>
      <c r="V30" s="1881"/>
      <c r="W30" s="1881"/>
      <c r="X30" s="1881"/>
      <c r="Y30" s="1881"/>
      <c r="Z30" s="1881"/>
      <c r="AA30" s="1881"/>
      <c r="AB30" s="1881"/>
      <c r="AC30" s="1881"/>
      <c r="AD30" s="1881"/>
      <c r="AE30" s="1881"/>
      <c r="AF30" s="1881"/>
      <c r="AG30" s="1881"/>
      <c r="AH30" s="1881"/>
      <c r="AI30" s="1881"/>
      <c r="AJ30" s="1881"/>
      <c r="AK30" s="1881"/>
      <c r="AL30" s="325"/>
    </row>
    <row r="31" spans="1:38" s="716" customFormat="1">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15" customHeight="1">
      <c r="A32" s="327"/>
      <c r="B32" s="325"/>
      <c r="C32" s="326"/>
      <c r="D32" s="1882" t="s">
        <v>1395</v>
      </c>
      <c r="E32" s="1882"/>
      <c r="F32" s="1882"/>
      <c r="G32" s="1882"/>
      <c r="H32" s="1882"/>
      <c r="I32" s="1882"/>
      <c r="J32" s="1882"/>
      <c r="K32" s="1882"/>
      <c r="L32" s="1882"/>
      <c r="M32" s="1882"/>
      <c r="N32" s="1882"/>
      <c r="O32" s="1882"/>
      <c r="P32" s="1882"/>
      <c r="Q32" s="1882"/>
      <c r="R32" s="1882"/>
      <c r="S32" s="1882"/>
      <c r="T32" s="1882"/>
      <c r="U32" s="1882"/>
      <c r="V32" s="1882"/>
      <c r="W32" s="1882"/>
      <c r="X32" s="1882"/>
      <c r="Y32" s="1882"/>
      <c r="Z32" s="1882"/>
      <c r="AA32" s="1882"/>
      <c r="AB32" s="1882"/>
      <c r="AC32" s="1882"/>
      <c r="AD32" s="1882"/>
      <c r="AE32" s="1882"/>
      <c r="AF32" s="1882"/>
      <c r="AG32" s="1882"/>
      <c r="AH32" s="1882"/>
      <c r="AI32" s="1882"/>
      <c r="AJ32" s="1882"/>
      <c r="AK32" s="1882"/>
      <c r="AL32" s="325"/>
    </row>
    <row r="33" spans="1:38" s="716" customFormat="1">
      <c r="A33" s="327"/>
      <c r="B33" s="325"/>
      <c r="C33" s="326"/>
      <c r="D33" s="745"/>
      <c r="E33" s="1888" t="s">
        <v>2410</v>
      </c>
      <c r="F33" s="1888"/>
      <c r="G33" s="1888"/>
      <c r="H33" s="1888"/>
      <c r="I33" s="1888"/>
      <c r="J33" s="1888"/>
      <c r="K33" s="1888"/>
      <c r="L33" s="1888"/>
      <c r="M33" s="1888"/>
      <c r="N33" s="1888"/>
      <c r="O33" s="1888"/>
      <c r="P33" s="1888"/>
      <c r="Q33" s="1888"/>
      <c r="R33" s="1888"/>
      <c r="S33" s="1888"/>
      <c r="T33" s="1888"/>
      <c r="U33" s="1888"/>
      <c r="V33" s="1888"/>
      <c r="W33" s="1888"/>
      <c r="X33" s="1888"/>
      <c r="Y33" s="1888"/>
      <c r="Z33" s="1888"/>
      <c r="AA33" s="1888"/>
      <c r="AB33" s="1888"/>
      <c r="AC33" s="1888"/>
      <c r="AD33" s="1888"/>
      <c r="AE33" s="1888"/>
      <c r="AF33" s="1888"/>
      <c r="AG33" s="1888"/>
      <c r="AH33" s="1888"/>
      <c r="AI33" s="1888"/>
      <c r="AJ33" s="1888"/>
      <c r="AK33" s="1888"/>
      <c r="AL33" s="325"/>
    </row>
    <row r="34" spans="1:38">
      <c r="A34" s="149"/>
      <c r="C34" s="5"/>
    </row>
    <row r="35" spans="1:38">
      <c r="A35" s="149"/>
      <c r="D35" s="1880" t="s">
        <v>2411</v>
      </c>
      <c r="E35" s="1880"/>
      <c r="F35" s="1880"/>
      <c r="G35" s="1880"/>
      <c r="H35" s="1880"/>
      <c r="I35" s="1880"/>
      <c r="J35" s="1880"/>
      <c r="K35" s="1880"/>
      <c r="L35" s="1880"/>
      <c r="M35" s="1880"/>
      <c r="N35" s="1880"/>
      <c r="O35" s="1880"/>
      <c r="P35" s="1880"/>
      <c r="Q35" s="1880"/>
      <c r="R35" s="1880"/>
      <c r="S35" s="1880"/>
      <c r="T35" s="1880"/>
      <c r="U35" s="1880"/>
      <c r="V35" s="1880"/>
      <c r="W35" s="1880"/>
      <c r="X35" s="1880"/>
      <c r="Y35" s="1880"/>
      <c r="Z35" s="1880"/>
      <c r="AA35" s="1880"/>
      <c r="AB35" s="1880"/>
      <c r="AC35" s="1880"/>
      <c r="AD35" s="1880"/>
      <c r="AE35" s="1880"/>
      <c r="AF35" s="1880"/>
      <c r="AG35" s="1880"/>
      <c r="AH35" s="1880"/>
      <c r="AI35" s="1880"/>
      <c r="AJ35" s="1880"/>
      <c r="AK35" s="1880"/>
    </row>
    <row r="36" spans="1:38">
      <c r="A36" s="149"/>
      <c r="D36" s="1880"/>
      <c r="E36" s="1880"/>
      <c r="F36" s="1880"/>
      <c r="G36" s="1880"/>
      <c r="H36" s="1880"/>
      <c r="I36" s="1880"/>
      <c r="J36" s="1880"/>
      <c r="K36" s="1880"/>
      <c r="L36" s="1880"/>
      <c r="M36" s="1880"/>
      <c r="N36" s="1880"/>
      <c r="O36" s="1880"/>
      <c r="P36" s="1880"/>
      <c r="Q36" s="1880"/>
      <c r="R36" s="1880"/>
      <c r="S36" s="1880"/>
      <c r="T36" s="1880"/>
      <c r="U36" s="1880"/>
      <c r="V36" s="1880"/>
      <c r="W36" s="1880"/>
      <c r="X36" s="1880"/>
      <c r="Y36" s="1880"/>
      <c r="Z36" s="1880"/>
      <c r="AA36" s="1880"/>
      <c r="AB36" s="1880"/>
      <c r="AC36" s="1880"/>
      <c r="AD36" s="1880"/>
      <c r="AE36" s="1880"/>
      <c r="AF36" s="1880"/>
      <c r="AG36" s="1880"/>
      <c r="AH36" s="1880"/>
      <c r="AI36" s="1880"/>
      <c r="AJ36" s="1880"/>
      <c r="AK36" s="1880"/>
    </row>
    <row r="37" spans="1:38">
      <c r="A37" s="149"/>
      <c r="D37" s="250"/>
      <c r="E37" s="1887" t="s">
        <v>1094</v>
      </c>
      <c r="F37" s="1887"/>
      <c r="G37" s="1887"/>
      <c r="H37" s="1887"/>
      <c r="I37" s="1887"/>
      <c r="J37" s="1887"/>
      <c r="K37" s="1887"/>
      <c r="L37" s="1887"/>
      <c r="M37" s="1887"/>
      <c r="N37" s="1887"/>
      <c r="O37" s="1887"/>
      <c r="P37" s="1887"/>
      <c r="Q37" s="1887"/>
      <c r="R37" s="1887"/>
      <c r="S37" s="1887"/>
      <c r="T37" s="1887"/>
      <c r="U37" s="1887"/>
      <c r="V37" s="1887"/>
      <c r="W37" s="1887"/>
      <c r="X37" s="1887"/>
      <c r="Y37" s="1887"/>
      <c r="Z37" s="1887"/>
      <c r="AA37" s="1887"/>
      <c r="AB37" s="1887"/>
      <c r="AC37" s="1887"/>
      <c r="AD37" s="1887"/>
      <c r="AE37" s="1887"/>
      <c r="AF37" s="1887"/>
      <c r="AG37" s="1887"/>
      <c r="AH37" s="1887"/>
      <c r="AI37" s="1887"/>
      <c r="AJ37" s="1887"/>
      <c r="AK37" s="1887"/>
    </row>
    <row r="38" spans="1:38">
      <c r="A38" s="149"/>
      <c r="D38" s="250"/>
      <c r="E38" s="1887" t="s">
        <v>1393</v>
      </c>
      <c r="F38" s="1887"/>
      <c r="G38" s="1887"/>
      <c r="H38" s="1887"/>
      <c r="I38" s="1887"/>
      <c r="J38" s="1887"/>
      <c r="K38" s="1887"/>
      <c r="L38" s="1887"/>
      <c r="M38" s="1887"/>
      <c r="N38" s="1887"/>
      <c r="O38" s="1887"/>
      <c r="P38" s="1887"/>
      <c r="Q38" s="1887"/>
      <c r="R38" s="1887"/>
      <c r="S38" s="1887"/>
      <c r="T38" s="1887"/>
      <c r="U38" s="1887"/>
      <c r="V38" s="1887"/>
      <c r="W38" s="1887"/>
      <c r="X38" s="1887"/>
      <c r="Y38" s="1887"/>
      <c r="Z38" s="1887"/>
      <c r="AA38" s="1887"/>
      <c r="AB38" s="1887"/>
      <c r="AC38" s="1887"/>
      <c r="AD38" s="1887"/>
      <c r="AE38" s="1887"/>
      <c r="AF38" s="1887"/>
      <c r="AG38" s="1887"/>
      <c r="AH38" s="1887"/>
      <c r="AI38" s="1887"/>
      <c r="AJ38" s="1887"/>
      <c r="AK38" s="188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81" customFormat="1" ht="13.15" customHeight="1">
      <c r="A42" s="149"/>
      <c r="B42"/>
      <c r="C42" s="5"/>
      <c r="D42" s="149"/>
      <c r="E42" s="149" t="s">
        <v>690</v>
      </c>
      <c r="F42" s="1881" t="s">
        <v>1360</v>
      </c>
    </row>
    <row r="43" spans="1:38" s="1881" customFormat="1" ht="13.15" customHeight="1">
      <c r="A43" s="149"/>
      <c r="B43" s="716"/>
      <c r="C43" s="5"/>
      <c r="D43" s="149"/>
      <c r="E43" s="149"/>
    </row>
    <row r="44" spans="1:38">
      <c r="A44" s="149"/>
      <c r="C44" s="5"/>
      <c r="D44" s="149"/>
      <c r="E44" s="149"/>
      <c r="F44" s="151" t="s">
        <v>725</v>
      </c>
      <c r="G44" s="149" t="s">
        <v>181</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15" customHeight="1">
      <c r="A45" s="149"/>
      <c r="B45"/>
      <c r="C45" s="5"/>
      <c r="D45" s="149"/>
      <c r="E45" s="6" t="s">
        <v>358</v>
      </c>
      <c r="F45" s="1892" t="s">
        <v>1474</v>
      </c>
      <c r="G45" s="1892"/>
      <c r="H45" s="1892"/>
      <c r="I45" s="1892"/>
      <c r="J45" s="1892"/>
      <c r="K45" s="1892"/>
      <c r="L45" s="1892"/>
      <c r="M45" s="1892"/>
      <c r="N45" s="1892"/>
      <c r="O45" s="1892"/>
      <c r="P45" s="1892"/>
      <c r="Q45" s="1892"/>
      <c r="R45" s="1892"/>
      <c r="S45" s="1892"/>
      <c r="T45" s="1892"/>
      <c r="U45" s="1892"/>
      <c r="V45" s="1892"/>
      <c r="W45" s="1892"/>
      <c r="X45" s="1892"/>
      <c r="Y45" s="1892"/>
      <c r="Z45" s="1892"/>
      <c r="AA45" s="1892"/>
      <c r="AB45" s="1892"/>
      <c r="AC45" s="1892"/>
      <c r="AD45" s="1892"/>
      <c r="AE45" s="1892"/>
      <c r="AF45" s="1892"/>
      <c r="AG45" s="1892"/>
      <c r="AH45" s="1892"/>
      <c r="AI45" s="1892"/>
      <c r="AJ45" s="1892"/>
      <c r="AK45" s="1892"/>
      <c r="AL45" s="1892"/>
    </row>
    <row r="46" spans="1:38" s="769" customFormat="1">
      <c r="A46" s="149"/>
      <c r="B46" s="716"/>
      <c r="C46" s="5"/>
      <c r="D46" s="149"/>
      <c r="E46" s="149"/>
      <c r="F46" s="1892"/>
      <c r="G46" s="1892"/>
      <c r="H46" s="1892"/>
      <c r="I46" s="1892"/>
      <c r="J46" s="1892"/>
      <c r="K46" s="1892"/>
      <c r="L46" s="1892"/>
      <c r="M46" s="1892"/>
      <c r="N46" s="1892"/>
      <c r="O46" s="1892"/>
      <c r="P46" s="1892"/>
      <c r="Q46" s="1892"/>
      <c r="R46" s="1892"/>
      <c r="S46" s="1892"/>
      <c r="T46" s="1892"/>
      <c r="U46" s="1892"/>
      <c r="V46" s="1892"/>
      <c r="W46" s="1892"/>
      <c r="X46" s="1892"/>
      <c r="Y46" s="1892"/>
      <c r="Z46" s="1892"/>
      <c r="AA46" s="1892"/>
      <c r="AB46" s="1892"/>
      <c r="AC46" s="1892"/>
      <c r="AD46" s="1892"/>
      <c r="AE46" s="1892"/>
      <c r="AF46" s="1892"/>
      <c r="AG46" s="1892"/>
      <c r="AH46" s="1892"/>
      <c r="AI46" s="1892"/>
      <c r="AJ46" s="1892"/>
      <c r="AK46" s="1892"/>
      <c r="AL46" s="1892"/>
    </row>
    <row r="47" spans="1:38" s="769" customFormat="1" ht="13.15" customHeight="1">
      <c r="A47" s="149"/>
      <c r="B47" s="716"/>
      <c r="C47" s="5"/>
      <c r="D47" s="149"/>
      <c r="E47" s="149"/>
      <c r="F47" s="1892"/>
      <c r="G47" s="1892"/>
      <c r="H47" s="1892"/>
      <c r="I47" s="1892"/>
      <c r="J47" s="1892"/>
      <c r="K47" s="1892"/>
      <c r="L47" s="1892"/>
      <c r="M47" s="1892"/>
      <c r="N47" s="1892"/>
      <c r="O47" s="1892"/>
      <c r="P47" s="1892"/>
      <c r="Q47" s="1892"/>
      <c r="R47" s="1892"/>
      <c r="S47" s="1892"/>
      <c r="T47" s="1892"/>
      <c r="U47" s="1892"/>
      <c r="V47" s="1892"/>
      <c r="W47" s="1892"/>
      <c r="X47" s="1892"/>
      <c r="Y47" s="1892"/>
      <c r="Z47" s="1892"/>
      <c r="AA47" s="1892"/>
      <c r="AB47" s="1892"/>
      <c r="AC47" s="1892"/>
      <c r="AD47" s="1892"/>
      <c r="AE47" s="1892"/>
      <c r="AF47" s="1892"/>
      <c r="AG47" s="1892"/>
      <c r="AH47" s="1892"/>
      <c r="AI47" s="1892"/>
      <c r="AJ47" s="1892"/>
      <c r="AK47" s="1892"/>
      <c r="AL47" s="1892"/>
    </row>
    <row r="48" spans="1:38">
      <c r="A48" s="149"/>
      <c r="C48" s="5"/>
      <c r="D48" s="149"/>
      <c r="E48" s="149"/>
      <c r="F48" s="769" t="s">
        <v>725</v>
      </c>
      <c r="G48" s="6" t="s">
        <v>687</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6" customFormat="1">
      <c r="A50" s="149"/>
      <c r="C50" s="5"/>
      <c r="D50" s="149"/>
      <c r="E50" s="6" t="s">
        <v>359</v>
      </c>
      <c r="F50" s="1881" t="s">
        <v>1475</v>
      </c>
      <c r="G50" s="1881"/>
      <c r="H50" s="1881"/>
      <c r="I50" s="1881"/>
      <c r="J50" s="1881"/>
      <c r="K50" s="1881"/>
      <c r="L50" s="1881"/>
      <c r="M50" s="1881"/>
      <c r="N50" s="1881"/>
      <c r="O50" s="1881"/>
      <c r="P50" s="1881"/>
      <c r="Q50" s="1881"/>
      <c r="R50" s="1881"/>
      <c r="S50" s="1881"/>
      <c r="T50" s="1881"/>
      <c r="U50" s="1881"/>
      <c r="V50" s="1881"/>
      <c r="W50" s="1881"/>
      <c r="X50" s="1881"/>
      <c r="Y50" s="1881"/>
      <c r="Z50" s="1881"/>
      <c r="AA50" s="1881"/>
      <c r="AB50" s="1881"/>
      <c r="AC50" s="1881"/>
      <c r="AD50" s="1881"/>
      <c r="AE50" s="1881"/>
      <c r="AF50" s="1881"/>
      <c r="AG50" s="1881"/>
      <c r="AH50" s="1881"/>
      <c r="AI50" s="1881"/>
      <c r="AJ50" s="1881"/>
      <c r="AK50" s="1881"/>
    </row>
    <row r="51" spans="1:38">
      <c r="A51" s="149"/>
      <c r="C51" s="5"/>
      <c r="D51" s="149"/>
      <c r="E51" s="149"/>
      <c r="F51" s="1881"/>
      <c r="G51" s="1881"/>
      <c r="H51" s="1881"/>
      <c r="I51" s="1881"/>
      <c r="J51" s="1881"/>
      <c r="K51" s="1881"/>
      <c r="L51" s="1881"/>
      <c r="M51" s="1881"/>
      <c r="N51" s="1881"/>
      <c r="O51" s="1881"/>
      <c r="P51" s="1881"/>
      <c r="Q51" s="1881"/>
      <c r="R51" s="1881"/>
      <c r="S51" s="1881"/>
      <c r="T51" s="1881"/>
      <c r="U51" s="1881"/>
      <c r="V51" s="1881"/>
      <c r="W51" s="1881"/>
      <c r="X51" s="1881"/>
      <c r="Y51" s="1881"/>
      <c r="Z51" s="1881"/>
      <c r="AA51" s="1881"/>
      <c r="AB51" s="1881"/>
      <c r="AC51" s="1881"/>
      <c r="AD51" s="1881"/>
      <c r="AE51" s="1881"/>
      <c r="AF51" s="1881"/>
      <c r="AG51" s="1881"/>
      <c r="AH51" s="1881"/>
      <c r="AI51" s="1881"/>
      <c r="AJ51" s="1881"/>
      <c r="AK51" s="1881"/>
    </row>
    <row r="52" spans="1:38">
      <c r="A52" s="149"/>
      <c r="C52" s="5"/>
      <c r="D52" s="149"/>
      <c r="F52" s="1881"/>
      <c r="G52" s="1881"/>
      <c r="H52" s="1881"/>
      <c r="I52" s="1881"/>
      <c r="J52" s="1881"/>
      <c r="K52" s="1881"/>
      <c r="L52" s="1881"/>
      <c r="M52" s="1881"/>
      <c r="N52" s="1881"/>
      <c r="O52" s="1881"/>
      <c r="P52" s="1881"/>
      <c r="Q52" s="1881"/>
      <c r="R52" s="1881"/>
      <c r="S52" s="1881"/>
      <c r="T52" s="1881"/>
      <c r="U52" s="1881"/>
      <c r="V52" s="1881"/>
      <c r="W52" s="1881"/>
      <c r="X52" s="1881"/>
      <c r="Y52" s="1881"/>
      <c r="Z52" s="1881"/>
      <c r="AA52" s="1881"/>
      <c r="AB52" s="1881"/>
      <c r="AC52" s="1881"/>
      <c r="AD52" s="1881"/>
      <c r="AE52" s="1881"/>
      <c r="AF52" s="1881"/>
      <c r="AG52" s="1881"/>
      <c r="AH52" s="1881"/>
      <c r="AI52" s="1881"/>
      <c r="AJ52" s="1881"/>
      <c r="AK52" s="188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83" t="s">
        <v>1396</v>
      </c>
      <c r="H56" s="1883"/>
      <c r="I56" s="1883"/>
      <c r="J56" s="1883"/>
      <c r="K56" s="1883"/>
      <c r="L56" s="1883"/>
      <c r="M56" s="1883"/>
      <c r="N56" s="1883"/>
      <c r="O56" s="1883"/>
      <c r="P56" s="1883"/>
      <c r="Q56" s="1883"/>
      <c r="R56" s="1883"/>
      <c r="S56" s="1883"/>
      <c r="T56" s="1883"/>
      <c r="U56" s="1883"/>
      <c r="V56" s="1883"/>
      <c r="W56" s="1883"/>
      <c r="X56" s="1883"/>
      <c r="Y56" s="1883"/>
      <c r="Z56" s="1883"/>
      <c r="AA56" s="1883"/>
      <c r="AB56" s="1883"/>
      <c r="AC56" s="1883"/>
      <c r="AD56" s="1883"/>
      <c r="AE56" s="1883"/>
      <c r="AF56" s="1883"/>
      <c r="AG56" s="1883"/>
      <c r="AH56" s="1883"/>
      <c r="AI56" s="1883"/>
      <c r="AJ56" s="1883"/>
      <c r="AK56" s="1883"/>
      <c r="AL56" s="325"/>
    </row>
    <row r="57" spans="1:38" s="716" customFormat="1" ht="13.15" customHeight="1">
      <c r="A57" s="327"/>
      <c r="B57" s="325"/>
      <c r="C57" s="326"/>
      <c r="D57" s="326"/>
      <c r="E57" s="327"/>
      <c r="F57" s="331"/>
      <c r="G57" s="776" t="s">
        <v>1398</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c r="A58" s="327"/>
      <c r="B58" s="325"/>
      <c r="C58" s="326"/>
      <c r="D58" s="326"/>
      <c r="E58" s="327"/>
      <c r="F58" s="331"/>
      <c r="G58" s="1883" t="s">
        <v>610</v>
      </c>
      <c r="H58" s="1883"/>
      <c r="I58" s="1883"/>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15" customHeight="1">
      <c r="A59" s="327"/>
      <c r="B59" s="326"/>
      <c r="C59" s="326"/>
      <c r="D59" s="326"/>
      <c r="E59" s="327"/>
      <c r="F59" s="331" t="s">
        <v>542</v>
      </c>
      <c r="G59" s="1891" t="s">
        <v>1476</v>
      </c>
      <c r="H59" s="1891"/>
      <c r="I59" s="1891"/>
      <c r="J59" s="1891"/>
      <c r="K59" s="1891"/>
      <c r="L59" s="1891"/>
      <c r="M59" s="1891"/>
      <c r="N59" s="1891"/>
      <c r="O59" s="1891"/>
      <c r="P59" s="1891"/>
      <c r="Q59" s="1891"/>
      <c r="R59" s="1891"/>
      <c r="S59" s="1891"/>
      <c r="T59" s="1891"/>
      <c r="U59" s="1891"/>
      <c r="V59" s="1891"/>
      <c r="W59" s="1891"/>
      <c r="X59" s="1891"/>
      <c r="Y59" s="1891"/>
      <c r="Z59" s="1891"/>
      <c r="AA59" s="1891"/>
      <c r="AB59" s="1891"/>
      <c r="AC59" s="1891"/>
      <c r="AD59" s="1891"/>
      <c r="AE59" s="1891"/>
      <c r="AF59" s="1891"/>
      <c r="AG59" s="1891"/>
      <c r="AH59" s="1891"/>
      <c r="AI59" s="1891"/>
      <c r="AJ59" s="1891"/>
      <c r="AK59" s="1891"/>
      <c r="AL59" s="1891"/>
    </row>
    <row r="60" spans="1:38" s="2" customFormat="1">
      <c r="A60" s="327"/>
      <c r="B60" s="325"/>
      <c r="C60" s="326"/>
      <c r="D60" s="326"/>
      <c r="E60" s="327"/>
      <c r="F60" s="331"/>
      <c r="G60" s="1891"/>
      <c r="H60" s="1891"/>
      <c r="I60" s="1891"/>
      <c r="J60" s="1891"/>
      <c r="K60" s="1891"/>
      <c r="L60" s="1891"/>
      <c r="M60" s="1891"/>
      <c r="N60" s="1891"/>
      <c r="O60" s="1891"/>
      <c r="P60" s="1891"/>
      <c r="Q60" s="1891"/>
      <c r="R60" s="1891"/>
      <c r="S60" s="1891"/>
      <c r="T60" s="1891"/>
      <c r="U60" s="1891"/>
      <c r="V60" s="1891"/>
      <c r="W60" s="1891"/>
      <c r="X60" s="1891"/>
      <c r="Y60" s="1891"/>
      <c r="Z60" s="1891"/>
      <c r="AA60" s="1891"/>
      <c r="AB60" s="1891"/>
      <c r="AC60" s="1891"/>
      <c r="AD60" s="1891"/>
      <c r="AE60" s="1891"/>
      <c r="AF60" s="1891"/>
      <c r="AG60" s="1891"/>
      <c r="AH60" s="1891"/>
      <c r="AI60" s="1891"/>
      <c r="AJ60" s="1891"/>
      <c r="AK60" s="1891"/>
      <c r="AL60" s="1891"/>
    </row>
    <row r="61" spans="1:38">
      <c r="A61" s="329"/>
      <c r="B61" s="328"/>
      <c r="C61" s="330"/>
      <c r="D61" s="330"/>
      <c r="E61" s="329"/>
      <c r="F61" s="332"/>
      <c r="G61" s="777" t="s">
        <v>1521</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81" t="s">
        <v>1362</v>
      </c>
      <c r="H66" s="1881"/>
      <c r="I66" s="1881"/>
      <c r="J66" s="1881"/>
      <c r="K66" s="1881"/>
      <c r="L66" s="1881"/>
      <c r="M66" s="1881"/>
      <c r="N66" s="1881"/>
      <c r="O66" s="1881"/>
      <c r="P66" s="1881"/>
      <c r="Q66" s="1881"/>
      <c r="R66" s="1881"/>
      <c r="S66" s="1881"/>
      <c r="T66" s="1881"/>
      <c r="U66" s="1881"/>
      <c r="V66" s="1881"/>
      <c r="W66" s="1881"/>
      <c r="X66" s="1881"/>
      <c r="Y66" s="1881"/>
      <c r="Z66" s="1881"/>
      <c r="AA66" s="1881"/>
      <c r="AB66" s="1881"/>
      <c r="AC66" s="1881"/>
      <c r="AD66" s="1881"/>
      <c r="AE66" s="1881"/>
      <c r="AF66" s="1881"/>
      <c r="AG66" s="1881"/>
      <c r="AH66" s="1881"/>
      <c r="AI66" s="1881"/>
      <c r="AJ66" s="1881"/>
      <c r="AK66" s="1881"/>
    </row>
    <row r="67" spans="1:37">
      <c r="A67" s="149"/>
      <c r="C67" s="5"/>
      <c r="D67" s="149"/>
      <c r="E67" s="149"/>
      <c r="F67" s="9"/>
      <c r="G67" s="1881"/>
      <c r="H67" s="1881"/>
      <c r="I67" s="1881"/>
      <c r="J67" s="1881"/>
      <c r="K67" s="1881"/>
      <c r="L67" s="1881"/>
      <c r="M67" s="1881"/>
      <c r="N67" s="1881"/>
      <c r="O67" s="1881"/>
      <c r="P67" s="1881"/>
      <c r="Q67" s="1881"/>
      <c r="R67" s="1881"/>
      <c r="S67" s="1881"/>
      <c r="T67" s="1881"/>
      <c r="U67" s="1881"/>
      <c r="V67" s="1881"/>
      <c r="W67" s="1881"/>
      <c r="X67" s="1881"/>
      <c r="Y67" s="1881"/>
      <c r="Z67" s="1881"/>
      <c r="AA67" s="1881"/>
      <c r="AB67" s="1881"/>
      <c r="AC67" s="1881"/>
      <c r="AD67" s="1881"/>
      <c r="AE67" s="1881"/>
      <c r="AF67" s="1881"/>
      <c r="AG67" s="1881"/>
      <c r="AH67" s="1881"/>
      <c r="AI67" s="1881"/>
      <c r="AJ67" s="1881"/>
      <c r="AK67" s="1881"/>
    </row>
    <row r="68" spans="1:37">
      <c r="A68" s="149"/>
      <c r="C68" s="5"/>
      <c r="D68" s="149"/>
      <c r="E68" s="149"/>
      <c r="F68" s="9"/>
      <c r="G68" s="1881"/>
      <c r="H68" s="1881"/>
      <c r="I68" s="1881"/>
      <c r="J68" s="1881"/>
      <c r="K68" s="1881"/>
      <c r="L68" s="1881"/>
      <c r="M68" s="1881"/>
      <c r="N68" s="1881"/>
      <c r="O68" s="1881"/>
      <c r="P68" s="1881"/>
      <c r="Q68" s="1881"/>
      <c r="R68" s="1881"/>
      <c r="S68" s="1881"/>
      <c r="T68" s="1881"/>
      <c r="U68" s="1881"/>
      <c r="V68" s="1881"/>
      <c r="W68" s="1881"/>
      <c r="X68" s="1881"/>
      <c r="Y68" s="1881"/>
      <c r="Z68" s="1881"/>
      <c r="AA68" s="1881"/>
      <c r="AB68" s="1881"/>
      <c r="AC68" s="1881"/>
      <c r="AD68" s="1881"/>
      <c r="AE68" s="1881"/>
      <c r="AF68" s="1881"/>
      <c r="AG68" s="1881"/>
      <c r="AH68" s="1881"/>
      <c r="AI68" s="1881"/>
      <c r="AJ68" s="1881"/>
      <c r="AK68" s="1881"/>
    </row>
    <row r="69" spans="1:37" ht="13.15" customHeight="1">
      <c r="A69" s="149"/>
      <c r="C69" s="5"/>
      <c r="D69" s="149"/>
      <c r="E69" s="149"/>
      <c r="F69" s="9" t="s">
        <v>542</v>
      </c>
      <c r="G69" s="1881" t="s">
        <v>1363</v>
      </c>
      <c r="H69" s="1881"/>
      <c r="I69" s="1881"/>
      <c r="J69" s="1881"/>
      <c r="K69" s="1881"/>
      <c r="L69" s="1881"/>
      <c r="M69" s="1881"/>
      <c r="N69" s="1881"/>
      <c r="O69" s="1881"/>
      <c r="P69" s="1881"/>
      <c r="Q69" s="1881"/>
      <c r="R69" s="1881"/>
      <c r="S69" s="1881"/>
      <c r="T69" s="1881"/>
      <c r="U69" s="1881"/>
      <c r="V69" s="1881"/>
      <c r="W69" s="1881"/>
      <c r="X69" s="1881"/>
      <c r="Y69" s="1881"/>
      <c r="Z69" s="1881"/>
      <c r="AA69" s="1881"/>
      <c r="AB69" s="1881"/>
      <c r="AC69" s="1881"/>
      <c r="AD69" s="1881"/>
      <c r="AE69" s="1881"/>
      <c r="AF69" s="1881"/>
      <c r="AG69" s="1881"/>
      <c r="AH69" s="1881"/>
      <c r="AI69" s="1881"/>
      <c r="AJ69" s="1881"/>
      <c r="AK69" s="1881"/>
    </row>
    <row r="70" spans="1:37">
      <c r="A70" s="149"/>
      <c r="C70" s="5"/>
      <c r="D70" s="149"/>
      <c r="E70" s="149"/>
      <c r="F70" s="379"/>
      <c r="G70" s="1881"/>
      <c r="H70" s="1881"/>
      <c r="I70" s="1881"/>
      <c r="J70" s="1881"/>
      <c r="K70" s="1881"/>
      <c r="L70" s="1881"/>
      <c r="M70" s="1881"/>
      <c r="N70" s="1881"/>
      <c r="O70" s="1881"/>
      <c r="P70" s="1881"/>
      <c r="Q70" s="1881"/>
      <c r="R70" s="1881"/>
      <c r="S70" s="1881"/>
      <c r="T70" s="1881"/>
      <c r="U70" s="1881"/>
      <c r="V70" s="1881"/>
      <c r="W70" s="1881"/>
      <c r="X70" s="1881"/>
      <c r="Y70" s="1881"/>
      <c r="Z70" s="1881"/>
      <c r="AA70" s="1881"/>
      <c r="AB70" s="1881"/>
      <c r="AC70" s="1881"/>
      <c r="AD70" s="1881"/>
      <c r="AE70" s="1881"/>
      <c r="AF70" s="1881"/>
      <c r="AG70" s="1881"/>
      <c r="AH70" s="1881"/>
      <c r="AI70" s="1881"/>
      <c r="AJ70" s="1881"/>
      <c r="AK70" s="1881"/>
    </row>
    <row r="71" spans="1:37">
      <c r="A71" s="149"/>
      <c r="C71" s="5"/>
      <c r="D71" s="149"/>
      <c r="E71" s="149" t="s">
        <v>358</v>
      </c>
      <c r="F71" s="149" t="s">
        <v>442</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c r="A72" s="149"/>
      <c r="C72" s="5"/>
      <c r="D72" s="149"/>
      <c r="E72" s="149"/>
      <c r="F72" s="249" t="s">
        <v>725</v>
      </c>
      <c r="G72" s="1881" t="s">
        <v>1364</v>
      </c>
      <c r="H72" s="1881"/>
      <c r="I72" s="1881"/>
      <c r="J72" s="1881"/>
      <c r="K72" s="1881"/>
      <c r="L72" s="1881"/>
      <c r="M72" s="1881"/>
      <c r="N72" s="1881"/>
      <c r="O72" s="1881"/>
      <c r="P72" s="1881"/>
      <c r="Q72" s="1881"/>
      <c r="R72" s="1881"/>
      <c r="S72" s="1881"/>
      <c r="T72" s="1881"/>
      <c r="U72" s="1881"/>
      <c r="V72" s="1881"/>
      <c r="W72" s="1881"/>
      <c r="X72" s="1881"/>
      <c r="Y72" s="1881"/>
      <c r="Z72" s="1881"/>
      <c r="AA72" s="1881"/>
      <c r="AB72" s="1881"/>
      <c r="AC72" s="1881"/>
      <c r="AD72" s="1881"/>
      <c r="AE72" s="1881"/>
      <c r="AF72" s="1881"/>
      <c r="AG72" s="1881"/>
      <c r="AH72" s="1881"/>
      <c r="AI72" s="1881"/>
      <c r="AJ72" s="1881"/>
      <c r="AK72" s="1881"/>
    </row>
    <row r="73" spans="1:37">
      <c r="A73" s="149"/>
      <c r="C73" s="5"/>
      <c r="D73" s="149"/>
      <c r="E73" s="149"/>
      <c r="F73" s="249"/>
      <c r="G73" s="1881"/>
      <c r="H73" s="1881"/>
      <c r="I73" s="1881"/>
      <c r="J73" s="1881"/>
      <c r="K73" s="1881"/>
      <c r="L73" s="1881"/>
      <c r="M73" s="1881"/>
      <c r="N73" s="1881"/>
      <c r="O73" s="1881"/>
      <c r="P73" s="1881"/>
      <c r="Q73" s="1881"/>
      <c r="R73" s="1881"/>
      <c r="S73" s="1881"/>
      <c r="T73" s="1881"/>
      <c r="U73" s="1881"/>
      <c r="V73" s="1881"/>
      <c r="W73" s="1881"/>
      <c r="X73" s="1881"/>
      <c r="Y73" s="1881"/>
      <c r="Z73" s="1881"/>
      <c r="AA73" s="1881"/>
      <c r="AB73" s="1881"/>
      <c r="AC73" s="1881"/>
      <c r="AD73" s="1881"/>
      <c r="AE73" s="1881"/>
      <c r="AF73" s="1881"/>
      <c r="AG73" s="1881"/>
      <c r="AH73" s="1881"/>
      <c r="AI73" s="1881"/>
      <c r="AJ73" s="1881"/>
      <c r="AK73" s="1881"/>
    </row>
    <row r="74" spans="1:37">
      <c r="A74" s="149"/>
      <c r="C74" s="5"/>
      <c r="D74" s="149"/>
      <c r="E74" s="149"/>
      <c r="F74" s="249" t="s">
        <v>542</v>
      </c>
      <c r="G74" s="1881" t="s">
        <v>1365</v>
      </c>
      <c r="H74" s="1881"/>
      <c r="I74" s="1881"/>
      <c r="J74" s="1881"/>
      <c r="K74" s="1881"/>
      <c r="L74" s="1881"/>
      <c r="M74" s="1881"/>
      <c r="N74" s="1881"/>
      <c r="O74" s="1881"/>
      <c r="P74" s="1881"/>
      <c r="Q74" s="1881"/>
      <c r="R74" s="1881"/>
      <c r="S74" s="1881"/>
      <c r="T74" s="1881"/>
      <c r="U74" s="1881"/>
      <c r="V74" s="1881"/>
      <c r="W74" s="1881"/>
      <c r="X74" s="1881"/>
      <c r="Y74" s="1881"/>
      <c r="Z74" s="1881"/>
      <c r="AA74" s="1881"/>
      <c r="AB74" s="1881"/>
      <c r="AC74" s="1881"/>
      <c r="AD74" s="1881"/>
      <c r="AE74" s="1881"/>
      <c r="AF74" s="1881"/>
      <c r="AG74" s="1881"/>
      <c r="AH74" s="1881"/>
      <c r="AI74" s="1881"/>
      <c r="AJ74" s="1881"/>
      <c r="AK74" s="1881"/>
    </row>
    <row r="75" spans="1:37">
      <c r="A75" s="149"/>
      <c r="C75" s="5"/>
      <c r="D75" s="149"/>
      <c r="E75" s="149"/>
      <c r="F75" s="249"/>
      <c r="G75" s="1881"/>
      <c r="H75" s="1881"/>
      <c r="I75" s="1881"/>
      <c r="J75" s="1881"/>
      <c r="K75" s="1881"/>
      <c r="L75" s="1881"/>
      <c r="M75" s="1881"/>
      <c r="N75" s="1881"/>
      <c r="O75" s="1881"/>
      <c r="P75" s="1881"/>
      <c r="Q75" s="1881"/>
      <c r="R75" s="1881"/>
      <c r="S75" s="1881"/>
      <c r="T75" s="1881"/>
      <c r="U75" s="1881"/>
      <c r="V75" s="1881"/>
      <c r="W75" s="1881"/>
      <c r="X75" s="1881"/>
      <c r="Y75" s="1881"/>
      <c r="Z75" s="1881"/>
      <c r="AA75" s="1881"/>
      <c r="AB75" s="1881"/>
      <c r="AC75" s="1881"/>
      <c r="AD75" s="1881"/>
      <c r="AE75" s="1881"/>
      <c r="AF75" s="1881"/>
      <c r="AG75" s="1881"/>
      <c r="AH75" s="1881"/>
      <c r="AI75" s="1881"/>
      <c r="AJ75" s="1881"/>
      <c r="AK75" s="1881"/>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81" t="s">
        <v>1366</v>
      </c>
      <c r="H82" s="1881"/>
      <c r="I82" s="1881"/>
      <c r="J82" s="1881"/>
      <c r="K82" s="1881"/>
      <c r="L82" s="1881"/>
      <c r="M82" s="1881"/>
      <c r="N82" s="1881"/>
      <c r="O82" s="1881"/>
      <c r="P82" s="1881"/>
      <c r="Q82" s="1881"/>
      <c r="R82" s="1881"/>
      <c r="S82" s="1881"/>
      <c r="T82" s="1881"/>
      <c r="U82" s="1881"/>
      <c r="V82" s="1881"/>
      <c r="W82" s="1881"/>
      <c r="X82" s="1881"/>
      <c r="Y82" s="1881"/>
      <c r="Z82" s="1881"/>
      <c r="AA82" s="1881"/>
      <c r="AB82" s="1881"/>
      <c r="AC82" s="1881"/>
      <c r="AD82" s="1881"/>
      <c r="AE82" s="1881"/>
      <c r="AF82" s="1881"/>
      <c r="AG82" s="1881"/>
      <c r="AH82" s="1881"/>
      <c r="AI82" s="1881"/>
      <c r="AJ82" s="1881"/>
      <c r="AK82" s="1881"/>
    </row>
    <row r="83" spans="1:37">
      <c r="A83" s="149"/>
      <c r="C83" s="5"/>
      <c r="D83" s="149"/>
      <c r="E83" s="149"/>
      <c r="F83" s="149"/>
      <c r="G83" s="1881"/>
      <c r="H83" s="1881"/>
      <c r="I83" s="1881"/>
      <c r="J83" s="1881"/>
      <c r="K83" s="1881"/>
      <c r="L83" s="1881"/>
      <c r="M83" s="1881"/>
      <c r="N83" s="1881"/>
      <c r="O83" s="1881"/>
      <c r="P83" s="1881"/>
      <c r="Q83" s="1881"/>
      <c r="R83" s="1881"/>
      <c r="S83" s="1881"/>
      <c r="T83" s="1881"/>
      <c r="U83" s="1881"/>
      <c r="V83" s="1881"/>
      <c r="W83" s="1881"/>
      <c r="X83" s="1881"/>
      <c r="Y83" s="1881"/>
      <c r="Z83" s="1881"/>
      <c r="AA83" s="1881"/>
      <c r="AB83" s="1881"/>
      <c r="AC83" s="1881"/>
      <c r="AD83" s="1881"/>
      <c r="AE83" s="1881"/>
      <c r="AF83" s="1881"/>
      <c r="AG83" s="1881"/>
      <c r="AH83" s="1881"/>
      <c r="AI83" s="1881"/>
      <c r="AJ83" s="1881"/>
      <c r="AK83" s="1881"/>
    </row>
    <row r="84" spans="1:37" s="716" customFormat="1">
      <c r="A84" s="149"/>
      <c r="C84" s="5"/>
      <c r="D84" s="149"/>
      <c r="E84" s="149"/>
      <c r="F84" s="149"/>
      <c r="G84" s="1881"/>
      <c r="H84" s="1881"/>
      <c r="I84" s="1881"/>
      <c r="J84" s="1881"/>
      <c r="K84" s="1881"/>
      <c r="L84" s="1881"/>
      <c r="M84" s="1881"/>
      <c r="N84" s="1881"/>
      <c r="O84" s="1881"/>
      <c r="P84" s="1881"/>
      <c r="Q84" s="1881"/>
      <c r="R84" s="1881"/>
      <c r="S84" s="1881"/>
      <c r="T84" s="1881"/>
      <c r="U84" s="1881"/>
      <c r="V84" s="1881"/>
      <c r="W84" s="1881"/>
      <c r="X84" s="1881"/>
      <c r="Y84" s="1881"/>
      <c r="Z84" s="1881"/>
      <c r="AA84" s="1881"/>
      <c r="AB84" s="1881"/>
      <c r="AC84" s="1881"/>
      <c r="AD84" s="1881"/>
      <c r="AE84" s="1881"/>
      <c r="AF84" s="1881"/>
      <c r="AG84" s="1881"/>
      <c r="AH84" s="1881"/>
      <c r="AI84" s="1881"/>
      <c r="AJ84" s="1881"/>
      <c r="AK84" s="1881"/>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81" t="s">
        <v>1367</v>
      </c>
      <c r="H86" s="1881"/>
      <c r="I86" s="1881"/>
      <c r="J86" s="1881"/>
      <c r="K86" s="1881"/>
      <c r="L86" s="1881"/>
      <c r="M86" s="1881"/>
      <c r="N86" s="1881"/>
      <c r="O86" s="1881"/>
      <c r="P86" s="1881"/>
      <c r="Q86" s="1881"/>
      <c r="R86" s="1881"/>
      <c r="S86" s="1881"/>
      <c r="T86" s="1881"/>
      <c r="U86" s="1881"/>
      <c r="V86" s="1881"/>
      <c r="W86" s="1881"/>
      <c r="X86" s="1881"/>
      <c r="Y86" s="1881"/>
      <c r="Z86" s="1881"/>
      <c r="AA86" s="1881"/>
      <c r="AB86" s="1881"/>
      <c r="AC86" s="1881"/>
      <c r="AD86" s="1881"/>
      <c r="AE86" s="1881"/>
      <c r="AF86" s="1881"/>
      <c r="AG86" s="1881"/>
      <c r="AH86" s="1881"/>
      <c r="AI86" s="1881"/>
      <c r="AJ86" s="1881"/>
      <c r="AK86" s="1881"/>
    </row>
    <row r="87" spans="1:37">
      <c r="A87" s="149"/>
      <c r="C87" s="5"/>
      <c r="D87" s="149"/>
      <c r="E87" s="149"/>
      <c r="F87" s="149"/>
      <c r="G87" s="1881"/>
      <c r="H87" s="1881"/>
      <c r="I87" s="1881"/>
      <c r="J87" s="1881"/>
      <c r="K87" s="1881"/>
      <c r="L87" s="1881"/>
      <c r="M87" s="1881"/>
      <c r="N87" s="1881"/>
      <c r="O87" s="1881"/>
      <c r="P87" s="1881"/>
      <c r="Q87" s="1881"/>
      <c r="R87" s="1881"/>
      <c r="S87" s="1881"/>
      <c r="T87" s="1881"/>
      <c r="U87" s="1881"/>
      <c r="V87" s="1881"/>
      <c r="W87" s="1881"/>
      <c r="X87" s="1881"/>
      <c r="Y87" s="1881"/>
      <c r="Z87" s="1881"/>
      <c r="AA87" s="1881"/>
      <c r="AB87" s="1881"/>
      <c r="AC87" s="1881"/>
      <c r="AD87" s="1881"/>
      <c r="AE87" s="1881"/>
      <c r="AF87" s="1881"/>
      <c r="AG87" s="1881"/>
      <c r="AH87" s="1881"/>
      <c r="AI87" s="1881"/>
      <c r="AJ87" s="1881"/>
      <c r="AK87" s="1881"/>
    </row>
    <row r="88" spans="1:37">
      <c r="A88" s="149"/>
      <c r="C88" s="5"/>
      <c r="D88" s="149"/>
      <c r="E88" s="149"/>
      <c r="G88" s="1881"/>
      <c r="H88" s="1881"/>
      <c r="I88" s="1881"/>
      <c r="J88" s="1881"/>
      <c r="K88" s="1881"/>
      <c r="L88" s="1881"/>
      <c r="M88" s="1881"/>
      <c r="N88" s="1881"/>
      <c r="O88" s="1881"/>
      <c r="P88" s="1881"/>
      <c r="Q88" s="1881"/>
      <c r="R88" s="1881"/>
      <c r="S88" s="1881"/>
      <c r="T88" s="1881"/>
      <c r="U88" s="1881"/>
      <c r="V88" s="1881"/>
      <c r="W88" s="1881"/>
      <c r="X88" s="1881"/>
      <c r="Y88" s="1881"/>
      <c r="Z88" s="1881"/>
      <c r="AA88" s="1881"/>
      <c r="AB88" s="1881"/>
      <c r="AC88" s="1881"/>
      <c r="AD88" s="1881"/>
      <c r="AE88" s="1881"/>
      <c r="AF88" s="1881"/>
      <c r="AG88" s="1881"/>
      <c r="AH88" s="1881"/>
      <c r="AI88" s="1881"/>
      <c r="AJ88" s="1881"/>
      <c r="AK88" s="1881"/>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89" t="s">
        <v>1368</v>
      </c>
      <c r="H90" s="1889"/>
      <c r="I90" s="1889"/>
      <c r="J90" s="1889"/>
      <c r="K90" s="1889"/>
      <c r="L90" s="1889"/>
      <c r="M90" s="1889"/>
      <c r="N90" s="1889"/>
      <c r="O90" s="1889"/>
      <c r="P90" s="1889"/>
      <c r="Q90" s="1889"/>
      <c r="R90" s="1889"/>
      <c r="S90" s="1889"/>
      <c r="T90" s="1889"/>
      <c r="U90" s="1889"/>
      <c r="V90" s="1889"/>
      <c r="W90" s="1889"/>
      <c r="X90" s="1889"/>
      <c r="Y90" s="1889"/>
      <c r="Z90" s="1889"/>
      <c r="AA90" s="1889"/>
      <c r="AB90" s="1889"/>
      <c r="AC90" s="1889"/>
      <c r="AD90" s="1889"/>
      <c r="AE90" s="1889"/>
      <c r="AF90" s="1889"/>
      <c r="AG90" s="1889"/>
      <c r="AH90" s="1889"/>
      <c r="AI90" s="1889"/>
      <c r="AJ90" s="1889"/>
      <c r="AK90" s="1889"/>
    </row>
    <row r="91" spans="1:37" s="716" customFormat="1">
      <c r="A91" s="149"/>
      <c r="C91" s="5"/>
      <c r="D91" s="149"/>
      <c r="E91" s="149"/>
      <c r="G91" s="1889"/>
      <c r="H91" s="1889"/>
      <c r="I91" s="1889"/>
      <c r="J91" s="1889"/>
      <c r="K91" s="1889"/>
      <c r="L91" s="1889"/>
      <c r="M91" s="1889"/>
      <c r="N91" s="1889"/>
      <c r="O91" s="1889"/>
      <c r="P91" s="1889"/>
      <c r="Q91" s="1889"/>
      <c r="R91" s="1889"/>
      <c r="S91" s="1889"/>
      <c r="T91" s="1889"/>
      <c r="U91" s="1889"/>
      <c r="V91" s="1889"/>
      <c r="W91" s="1889"/>
      <c r="X91" s="1889"/>
      <c r="Y91" s="1889"/>
      <c r="Z91" s="1889"/>
      <c r="AA91" s="1889"/>
      <c r="AB91" s="1889"/>
      <c r="AC91" s="1889"/>
      <c r="AD91" s="1889"/>
      <c r="AE91" s="1889"/>
      <c r="AF91" s="1889"/>
      <c r="AG91" s="1889"/>
      <c r="AH91" s="1889"/>
      <c r="AI91" s="1889"/>
      <c r="AJ91" s="1889"/>
      <c r="AK91" s="1889"/>
    </row>
    <row r="92" spans="1:37">
      <c r="A92" s="149"/>
      <c r="C92" s="5"/>
      <c r="D92" s="149"/>
      <c r="E92" s="149"/>
      <c r="G92" s="1889"/>
      <c r="H92" s="1889"/>
      <c r="I92" s="1889"/>
      <c r="J92" s="1889"/>
      <c r="K92" s="1889"/>
      <c r="L92" s="1889"/>
      <c r="M92" s="1889"/>
      <c r="N92" s="1889"/>
      <c r="O92" s="1889"/>
      <c r="P92" s="1889"/>
      <c r="Q92" s="1889"/>
      <c r="R92" s="1889"/>
      <c r="S92" s="1889"/>
      <c r="T92" s="1889"/>
      <c r="U92" s="1889"/>
      <c r="V92" s="1889"/>
      <c r="W92" s="1889"/>
      <c r="X92" s="1889"/>
      <c r="Y92" s="1889"/>
      <c r="Z92" s="1889"/>
      <c r="AA92" s="1889"/>
      <c r="AB92" s="1889"/>
      <c r="AC92" s="1889"/>
      <c r="AD92" s="1889"/>
      <c r="AE92" s="1889"/>
      <c r="AF92" s="1889"/>
      <c r="AG92" s="1889"/>
      <c r="AH92" s="1889"/>
      <c r="AI92" s="1889"/>
      <c r="AJ92" s="1889"/>
      <c r="AK92" s="1889"/>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81" t="s">
        <v>1369</v>
      </c>
      <c r="H94" s="1881"/>
      <c r="I94" s="1881"/>
      <c r="J94" s="1881"/>
      <c r="K94" s="1881"/>
      <c r="L94" s="1881"/>
      <c r="M94" s="1881"/>
      <c r="N94" s="1881"/>
      <c r="O94" s="1881"/>
      <c r="P94" s="1881"/>
      <c r="Q94" s="1881"/>
      <c r="R94" s="1881"/>
      <c r="S94" s="1881"/>
      <c r="T94" s="1881"/>
      <c r="U94" s="1881"/>
      <c r="V94" s="1881"/>
      <c r="W94" s="1881"/>
      <c r="X94" s="1881"/>
      <c r="Y94" s="1881"/>
      <c r="Z94" s="1881"/>
      <c r="AA94" s="1881"/>
      <c r="AB94" s="1881"/>
      <c r="AC94" s="1881"/>
      <c r="AD94" s="1881"/>
      <c r="AE94" s="1881"/>
      <c r="AF94" s="1881"/>
      <c r="AG94" s="1881"/>
      <c r="AH94" s="1881"/>
      <c r="AI94" s="1881"/>
      <c r="AJ94" s="1881"/>
      <c r="AK94" s="1881"/>
    </row>
    <row r="95" spans="1:37">
      <c r="A95" s="149"/>
      <c r="C95" s="5"/>
      <c r="D95" s="149"/>
      <c r="E95" s="149"/>
      <c r="G95" s="1881"/>
      <c r="H95" s="1881"/>
      <c r="I95" s="1881"/>
      <c r="J95" s="1881"/>
      <c r="K95" s="1881"/>
      <c r="L95" s="1881"/>
      <c r="M95" s="1881"/>
      <c r="N95" s="1881"/>
      <c r="O95" s="1881"/>
      <c r="P95" s="1881"/>
      <c r="Q95" s="1881"/>
      <c r="R95" s="1881"/>
      <c r="S95" s="1881"/>
      <c r="T95" s="1881"/>
      <c r="U95" s="1881"/>
      <c r="V95" s="1881"/>
      <c r="W95" s="1881"/>
      <c r="X95" s="1881"/>
      <c r="Y95" s="1881"/>
      <c r="Z95" s="1881"/>
      <c r="AA95" s="1881"/>
      <c r="AB95" s="1881"/>
      <c r="AC95" s="1881"/>
      <c r="AD95" s="1881"/>
      <c r="AE95" s="1881"/>
      <c r="AF95" s="1881"/>
      <c r="AG95" s="1881"/>
      <c r="AH95" s="1881"/>
      <c r="AI95" s="1881"/>
      <c r="AJ95" s="1881"/>
      <c r="AK95" s="1881"/>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81" t="s">
        <v>1370</v>
      </c>
      <c r="H97" s="1881"/>
      <c r="I97" s="1881"/>
      <c r="J97" s="1881"/>
      <c r="K97" s="1881"/>
      <c r="L97" s="1881"/>
      <c r="M97" s="1881"/>
      <c r="N97" s="1881"/>
      <c r="O97" s="1881"/>
      <c r="P97" s="1881"/>
      <c r="Q97" s="1881"/>
      <c r="R97" s="1881"/>
      <c r="S97" s="1881"/>
      <c r="T97" s="1881"/>
      <c r="U97" s="1881"/>
      <c r="V97" s="1881"/>
      <c r="W97" s="1881"/>
      <c r="X97" s="1881"/>
      <c r="Y97" s="1881"/>
      <c r="Z97" s="1881"/>
      <c r="AA97" s="1881"/>
      <c r="AB97" s="1881"/>
      <c r="AC97" s="1881"/>
      <c r="AD97" s="1881"/>
      <c r="AE97" s="1881"/>
      <c r="AF97" s="1881"/>
      <c r="AG97" s="1881"/>
      <c r="AH97" s="1881"/>
      <c r="AI97" s="1881"/>
      <c r="AJ97" s="1881"/>
      <c r="AK97" s="1881"/>
    </row>
    <row r="98" spans="1:38">
      <c r="A98" s="149"/>
      <c r="C98" s="183"/>
      <c r="D98" s="182"/>
      <c r="E98" s="182"/>
      <c r="F98" s="2"/>
      <c r="G98" s="1881"/>
      <c r="H98" s="1881"/>
      <c r="I98" s="1881"/>
      <c r="J98" s="1881"/>
      <c r="K98" s="1881"/>
      <c r="L98" s="1881"/>
      <c r="M98" s="1881"/>
      <c r="N98" s="1881"/>
      <c r="O98" s="1881"/>
      <c r="P98" s="1881"/>
      <c r="Q98" s="1881"/>
      <c r="R98" s="1881"/>
      <c r="S98" s="1881"/>
      <c r="T98" s="1881"/>
      <c r="U98" s="1881"/>
      <c r="V98" s="1881"/>
      <c r="W98" s="1881"/>
      <c r="X98" s="1881"/>
      <c r="Y98" s="1881"/>
      <c r="Z98" s="1881"/>
      <c r="AA98" s="1881"/>
      <c r="AB98" s="1881"/>
      <c r="AC98" s="1881"/>
      <c r="AD98" s="1881"/>
      <c r="AE98" s="1881"/>
      <c r="AF98" s="1881"/>
      <c r="AG98" s="1881"/>
      <c r="AH98" s="1881"/>
      <c r="AI98" s="1881"/>
      <c r="AJ98" s="1881"/>
      <c r="AK98" s="1881"/>
      <c r="AL98" s="2"/>
    </row>
    <row r="99" spans="1:38">
      <c r="A99" s="149"/>
      <c r="C99" s="183"/>
      <c r="D99" s="182"/>
      <c r="E99" s="182"/>
      <c r="F99" s="2"/>
      <c r="G99" s="1881"/>
      <c r="H99" s="1881"/>
      <c r="I99" s="1881"/>
      <c r="J99" s="1881"/>
      <c r="K99" s="1881"/>
      <c r="L99" s="1881"/>
      <c r="M99" s="1881"/>
      <c r="N99" s="1881"/>
      <c r="O99" s="1881"/>
      <c r="P99" s="1881"/>
      <c r="Q99" s="1881"/>
      <c r="R99" s="1881"/>
      <c r="S99" s="1881"/>
      <c r="T99" s="1881"/>
      <c r="U99" s="1881"/>
      <c r="V99" s="1881"/>
      <c r="W99" s="1881"/>
      <c r="X99" s="1881"/>
      <c r="Y99" s="1881"/>
      <c r="Z99" s="1881"/>
      <c r="AA99" s="1881"/>
      <c r="AB99" s="1881"/>
      <c r="AC99" s="1881"/>
      <c r="AD99" s="1881"/>
      <c r="AE99" s="1881"/>
      <c r="AF99" s="1881"/>
      <c r="AG99" s="1881"/>
      <c r="AH99" s="1881"/>
      <c r="AI99" s="1881"/>
      <c r="AJ99" s="1881"/>
      <c r="AK99" s="1881"/>
      <c r="AL99" s="2"/>
    </row>
    <row r="100" spans="1:38">
      <c r="A100" s="149"/>
      <c r="C100" s="2"/>
      <c r="D100" s="490"/>
      <c r="E100" s="1890" t="s">
        <v>1371</v>
      </c>
      <c r="F100" s="1890"/>
      <c r="G100" s="1890"/>
      <c r="H100" s="1890"/>
      <c r="I100" s="1890"/>
      <c r="J100" s="1890"/>
      <c r="K100" s="1890"/>
      <c r="L100" s="1890"/>
      <c r="M100" s="1890"/>
      <c r="N100" s="1890"/>
      <c r="O100" s="1890"/>
      <c r="P100" s="1890"/>
      <c r="Q100" s="1890"/>
      <c r="R100" s="1890"/>
      <c r="S100" s="1890"/>
      <c r="T100" s="1890"/>
      <c r="U100" s="1890"/>
      <c r="V100" s="1890"/>
      <c r="W100" s="1890"/>
      <c r="X100" s="1890"/>
      <c r="Y100" s="1890"/>
      <c r="Z100" s="1890"/>
      <c r="AA100" s="1890"/>
      <c r="AB100" s="1890"/>
      <c r="AC100" s="1890"/>
      <c r="AD100" s="1890"/>
      <c r="AE100" s="1890"/>
      <c r="AF100" s="1890"/>
      <c r="AG100" s="1890"/>
      <c r="AH100" s="1890"/>
      <c r="AI100" s="1890"/>
      <c r="AJ100" s="1890"/>
      <c r="AK100" s="1890"/>
      <c r="AL100" s="2"/>
    </row>
    <row r="101" spans="1:38">
      <c r="A101" s="149"/>
      <c r="D101" s="153"/>
      <c r="E101" s="1890"/>
      <c r="F101" s="1890"/>
      <c r="G101" s="1890"/>
      <c r="H101" s="1890"/>
      <c r="I101" s="1890"/>
      <c r="J101" s="1890"/>
      <c r="K101" s="1890"/>
      <c r="L101" s="1890"/>
      <c r="M101" s="1890"/>
      <c r="N101" s="1890"/>
      <c r="O101" s="1890"/>
      <c r="P101" s="1890"/>
      <c r="Q101" s="1890"/>
      <c r="R101" s="1890"/>
      <c r="S101" s="1890"/>
      <c r="T101" s="1890"/>
      <c r="U101" s="1890"/>
      <c r="V101" s="1890"/>
      <c r="W101" s="1890"/>
      <c r="X101" s="1890"/>
      <c r="Y101" s="1890"/>
      <c r="Z101" s="1890"/>
      <c r="AA101" s="1890"/>
      <c r="AB101" s="1890"/>
      <c r="AC101" s="1890"/>
      <c r="AD101" s="1890"/>
      <c r="AE101" s="1890"/>
      <c r="AF101" s="1890"/>
      <c r="AG101" s="1890"/>
      <c r="AH101" s="1890"/>
      <c r="AI101" s="1890"/>
      <c r="AJ101" s="1890"/>
      <c r="AK101" s="189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6" customFormat="1">
      <c r="D133" s="5"/>
      <c r="E133" s="883" t="s">
        <v>1489</v>
      </c>
      <c r="G133" s="5"/>
      <c r="H133" s="5"/>
      <c r="I133" s="5"/>
      <c r="J133" s="5"/>
      <c r="K133" s="5"/>
      <c r="L133" s="5"/>
      <c r="M133" s="5"/>
      <c r="N133" s="5"/>
    </row>
    <row r="134" spans="4:37" ht="12.75" customHeight="1">
      <c r="E134" s="883" t="s">
        <v>1487</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1488</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c r="D137" s="5" t="s">
        <v>547</v>
      </c>
      <c r="E137" s="5" t="s">
        <v>550</v>
      </c>
      <c r="F137" s="5"/>
    </row>
    <row r="138" spans="4:37">
      <c r="E138" s="882"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81" t="s">
        <v>1372</v>
      </c>
      <c r="H207" s="1881"/>
      <c r="I207" s="1881"/>
      <c r="J207" s="1881"/>
      <c r="K207" s="1881"/>
      <c r="L207" s="1881"/>
      <c r="M207" s="1881"/>
      <c r="N207" s="1881"/>
      <c r="O207" s="1881"/>
      <c r="P207" s="1881"/>
      <c r="Q207" s="1881"/>
      <c r="R207" s="1881"/>
      <c r="S207" s="1881"/>
      <c r="T207" s="1881"/>
      <c r="U207" s="1881"/>
      <c r="V207" s="1881"/>
      <c r="W207" s="1881"/>
      <c r="X207" s="1881"/>
      <c r="Y207" s="1881"/>
      <c r="Z207" s="1881"/>
      <c r="AA207" s="1881"/>
      <c r="AB207" s="1881"/>
      <c r="AC207" s="1881"/>
      <c r="AD207" s="1881"/>
      <c r="AE207" s="1881"/>
      <c r="AF207" s="1881"/>
      <c r="AG207" s="1881"/>
      <c r="AH207" s="1881"/>
      <c r="AI207" s="1881"/>
      <c r="AJ207" s="1881"/>
      <c r="AK207" s="1881"/>
    </row>
    <row r="208" spans="2:37">
      <c r="B208" s="149"/>
      <c r="C208" s="149"/>
      <c r="D208" s="5"/>
      <c r="G208" s="1881"/>
      <c r="H208" s="1881"/>
      <c r="I208" s="1881"/>
      <c r="J208" s="1881"/>
      <c r="K208" s="1881"/>
      <c r="L208" s="1881"/>
      <c r="M208" s="1881"/>
      <c r="N208" s="1881"/>
      <c r="O208" s="1881"/>
      <c r="P208" s="1881"/>
      <c r="Q208" s="1881"/>
      <c r="R208" s="1881"/>
      <c r="S208" s="1881"/>
      <c r="T208" s="1881"/>
      <c r="U208" s="1881"/>
      <c r="V208" s="1881"/>
      <c r="W208" s="1881"/>
      <c r="X208" s="1881"/>
      <c r="Y208" s="1881"/>
      <c r="Z208" s="1881"/>
      <c r="AA208" s="1881"/>
      <c r="AB208" s="1881"/>
      <c r="AC208" s="1881"/>
      <c r="AD208" s="1881"/>
      <c r="AE208" s="1881"/>
      <c r="AF208" s="1881"/>
      <c r="AG208" s="1881"/>
      <c r="AH208" s="1881"/>
      <c r="AI208" s="1881"/>
      <c r="AJ208" s="1881"/>
      <c r="AK208" s="1881"/>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6"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81" t="s">
        <v>1347</v>
      </c>
      <c r="G338" s="1881"/>
      <c r="H338" s="1881"/>
      <c r="I338" s="1881"/>
      <c r="J338" s="1881"/>
      <c r="K338" s="1881"/>
      <c r="L338" s="1881"/>
      <c r="M338" s="1881"/>
      <c r="N338" s="1881"/>
      <c r="O338" s="1881"/>
      <c r="P338" s="1881"/>
      <c r="Q338" s="1881"/>
      <c r="R338" s="1881"/>
      <c r="S338" s="1881"/>
      <c r="T338" s="1881"/>
      <c r="U338" s="1881"/>
      <c r="V338" s="1881"/>
      <c r="W338" s="1881"/>
      <c r="X338" s="1881"/>
      <c r="Y338" s="1881"/>
      <c r="Z338" s="1881"/>
      <c r="AA338" s="1881"/>
      <c r="AB338" s="1881"/>
      <c r="AC338" s="1881"/>
      <c r="AD338" s="1881"/>
      <c r="AE338" s="1881"/>
      <c r="AF338" s="1881"/>
      <c r="AG338" s="1881"/>
      <c r="AH338" s="1881"/>
      <c r="AI338" s="1881"/>
      <c r="AJ338" s="1881"/>
      <c r="AK338" s="1881"/>
    </row>
    <row r="339" spans="2:37">
      <c r="B339" s="5"/>
      <c r="E339" s="149"/>
      <c r="F339" s="1881"/>
      <c r="G339" s="1881"/>
      <c r="H339" s="1881"/>
      <c r="I339" s="1881"/>
      <c r="J339" s="1881"/>
      <c r="K339" s="1881"/>
      <c r="L339" s="1881"/>
      <c r="M339" s="1881"/>
      <c r="N339" s="1881"/>
      <c r="O339" s="1881"/>
      <c r="P339" s="1881"/>
      <c r="Q339" s="1881"/>
      <c r="R339" s="1881"/>
      <c r="S339" s="1881"/>
      <c r="T339" s="1881"/>
      <c r="U339" s="1881"/>
      <c r="V339" s="1881"/>
      <c r="W339" s="1881"/>
      <c r="X339" s="1881"/>
      <c r="Y339" s="1881"/>
      <c r="Z339" s="1881"/>
      <c r="AA339" s="1881"/>
      <c r="AB339" s="1881"/>
      <c r="AC339" s="1881"/>
      <c r="AD339" s="1881"/>
      <c r="AE339" s="1881"/>
      <c r="AF339" s="1881"/>
      <c r="AG339" s="1881"/>
      <c r="AH339" s="1881"/>
      <c r="AI339" s="1881"/>
      <c r="AJ339" s="1881"/>
      <c r="AK339" s="1881"/>
    </row>
    <row r="340" spans="2:37">
      <c r="B340" s="5"/>
      <c r="E340" s="149"/>
      <c r="F340" s="1881"/>
      <c r="G340" s="1881"/>
      <c r="H340" s="1881"/>
      <c r="I340" s="1881"/>
      <c r="J340" s="1881"/>
      <c r="K340" s="1881"/>
      <c r="L340" s="1881"/>
      <c r="M340" s="1881"/>
      <c r="N340" s="1881"/>
      <c r="O340" s="1881"/>
      <c r="P340" s="1881"/>
      <c r="Q340" s="1881"/>
      <c r="R340" s="1881"/>
      <c r="S340" s="1881"/>
      <c r="T340" s="1881"/>
      <c r="U340" s="1881"/>
      <c r="V340" s="1881"/>
      <c r="W340" s="1881"/>
      <c r="X340" s="1881"/>
      <c r="Y340" s="1881"/>
      <c r="Z340" s="1881"/>
      <c r="AA340" s="1881"/>
      <c r="AB340" s="1881"/>
      <c r="AC340" s="1881"/>
      <c r="AD340" s="1881"/>
      <c r="AE340" s="1881"/>
      <c r="AF340" s="1881"/>
      <c r="AG340" s="1881"/>
      <c r="AH340" s="1881"/>
      <c r="AI340" s="1881"/>
      <c r="AJ340" s="1881"/>
      <c r="AK340" s="1881"/>
    </row>
    <row r="341" spans="2:37">
      <c r="B341" s="5"/>
      <c r="F341" s="149"/>
      <c r="H341" s="149"/>
      <c r="I341" s="149"/>
      <c r="J341" s="149"/>
      <c r="K341" s="149"/>
      <c r="L341" s="149"/>
      <c r="M341" s="149"/>
      <c r="N341" s="149"/>
      <c r="O341" s="149"/>
      <c r="P341" s="149"/>
      <c r="Q341" s="149"/>
      <c r="R341" s="149"/>
      <c r="S341" s="149"/>
    </row>
    <row r="342" spans="2:37" s="716" customFormat="1">
      <c r="B342" s="5"/>
      <c r="C342" s="183" t="s">
        <v>452</v>
      </c>
      <c r="G342" s="195" t="s">
        <v>1443</v>
      </c>
      <c r="I342" s="183"/>
      <c r="J342" s="149"/>
      <c r="K342" s="149"/>
      <c r="L342" s="149"/>
      <c r="M342" s="149"/>
      <c r="N342" s="149"/>
      <c r="O342" s="149"/>
      <c r="P342" s="149"/>
      <c r="Q342" s="149"/>
      <c r="R342" s="149"/>
      <c r="S342" s="149"/>
    </row>
    <row r="343" spans="2:37" s="716" customFormat="1" ht="13.15" customHeight="1">
      <c r="B343" s="5"/>
      <c r="E343" s="1883" t="s">
        <v>1450</v>
      </c>
      <c r="F343" s="1883"/>
      <c r="G343" s="1883"/>
      <c r="H343" s="1883"/>
      <c r="I343" s="1883"/>
      <c r="J343" s="1883"/>
      <c r="K343" s="1883"/>
      <c r="L343" s="1883"/>
      <c r="M343" s="1883"/>
      <c r="N343" s="1883"/>
      <c r="O343" s="1883"/>
      <c r="P343" s="1883"/>
      <c r="Q343" s="1883"/>
      <c r="R343" s="1883"/>
      <c r="S343" s="1883"/>
      <c r="T343" s="1883"/>
      <c r="U343" s="1883"/>
      <c r="V343" s="1883"/>
      <c r="W343" s="1883"/>
      <c r="X343" s="1883"/>
      <c r="Y343" s="1883"/>
      <c r="Z343" s="1883"/>
      <c r="AA343" s="1883"/>
      <c r="AB343" s="1883"/>
      <c r="AC343" s="1883"/>
      <c r="AD343" s="1883"/>
      <c r="AE343" s="1883"/>
      <c r="AF343" s="1883"/>
      <c r="AG343" s="1883"/>
      <c r="AH343" s="1883"/>
      <c r="AI343" s="1883"/>
      <c r="AJ343" s="1883"/>
      <c r="AK343" s="1883"/>
    </row>
    <row r="344" spans="2:37" s="716" customFormat="1">
      <c r="B344" s="5"/>
      <c r="E344" s="1883"/>
      <c r="F344" s="1883"/>
      <c r="G344" s="1883"/>
      <c r="H344" s="1883"/>
      <c r="I344" s="1883"/>
      <c r="J344" s="1883"/>
      <c r="K344" s="1883"/>
      <c r="L344" s="1883"/>
      <c r="M344" s="1883"/>
      <c r="N344" s="1883"/>
      <c r="O344" s="1883"/>
      <c r="P344" s="1883"/>
      <c r="Q344" s="1883"/>
      <c r="R344" s="1883"/>
      <c r="S344" s="1883"/>
      <c r="T344" s="1883"/>
      <c r="U344" s="1883"/>
      <c r="V344" s="1883"/>
      <c r="W344" s="1883"/>
      <c r="X344" s="1883"/>
      <c r="Y344" s="1883"/>
      <c r="Z344" s="1883"/>
      <c r="AA344" s="1883"/>
      <c r="AB344" s="1883"/>
      <c r="AC344" s="1883"/>
      <c r="AD344" s="1883"/>
      <c r="AE344" s="1883"/>
      <c r="AF344" s="1883"/>
      <c r="AG344" s="1883"/>
      <c r="AH344" s="1883"/>
      <c r="AI344" s="1883"/>
      <c r="AJ344" s="1883"/>
      <c r="AK344" s="1883"/>
    </row>
    <row r="345" spans="2:37" s="716" customFormat="1">
      <c r="B345" s="5"/>
      <c r="E345" s="1883"/>
      <c r="F345" s="1883"/>
      <c r="G345" s="1883"/>
      <c r="H345" s="1883"/>
      <c r="I345" s="1883"/>
      <c r="J345" s="1883"/>
      <c r="K345" s="1883"/>
      <c r="L345" s="1883"/>
      <c r="M345" s="1883"/>
      <c r="N345" s="1883"/>
      <c r="O345" s="1883"/>
      <c r="P345" s="1883"/>
      <c r="Q345" s="1883"/>
      <c r="R345" s="1883"/>
      <c r="S345" s="1883"/>
      <c r="T345" s="1883"/>
      <c r="U345" s="1883"/>
      <c r="V345" s="1883"/>
      <c r="W345" s="1883"/>
      <c r="X345" s="1883"/>
      <c r="Y345" s="1883"/>
      <c r="Z345" s="1883"/>
      <c r="AA345" s="1883"/>
      <c r="AB345" s="1883"/>
      <c r="AC345" s="1883"/>
      <c r="AD345" s="1883"/>
      <c r="AE345" s="1883"/>
      <c r="AF345" s="1883"/>
      <c r="AG345" s="1883"/>
      <c r="AH345" s="1883"/>
      <c r="AI345" s="1883"/>
      <c r="AJ345" s="1883"/>
      <c r="AK345" s="1883"/>
    </row>
    <row r="346" spans="2:37" s="716" customFormat="1">
      <c r="B346" s="5"/>
      <c r="E346" s="1883"/>
      <c r="F346" s="1883"/>
      <c r="G346" s="1883"/>
      <c r="H346" s="1883"/>
      <c r="I346" s="1883"/>
      <c r="J346" s="1883"/>
      <c r="K346" s="1883"/>
      <c r="L346" s="1883"/>
      <c r="M346" s="1883"/>
      <c r="N346" s="1883"/>
      <c r="O346" s="1883"/>
      <c r="P346" s="1883"/>
      <c r="Q346" s="1883"/>
      <c r="R346" s="1883"/>
      <c r="S346" s="1883"/>
      <c r="T346" s="1883"/>
      <c r="U346" s="1883"/>
      <c r="V346" s="1883"/>
      <c r="W346" s="1883"/>
      <c r="X346" s="1883"/>
      <c r="Y346" s="1883"/>
      <c r="Z346" s="1883"/>
      <c r="AA346" s="1883"/>
      <c r="AB346" s="1883"/>
      <c r="AC346" s="1883"/>
      <c r="AD346" s="1883"/>
      <c r="AE346" s="1883"/>
      <c r="AF346" s="1883"/>
      <c r="AG346" s="1883"/>
      <c r="AH346" s="1883"/>
      <c r="AI346" s="1883"/>
      <c r="AJ346" s="1883"/>
      <c r="AK346" s="1883"/>
    </row>
    <row r="347" spans="2:37" s="716" customFormat="1">
      <c r="B347" s="5"/>
      <c r="E347" s="1883"/>
      <c r="F347" s="1883"/>
      <c r="G347" s="1883"/>
      <c r="H347" s="1883"/>
      <c r="I347" s="1883"/>
      <c r="J347" s="1883"/>
      <c r="K347" s="1883"/>
      <c r="L347" s="1883"/>
      <c r="M347" s="1883"/>
      <c r="N347" s="1883"/>
      <c r="O347" s="1883"/>
      <c r="P347" s="1883"/>
      <c r="Q347" s="1883"/>
      <c r="R347" s="1883"/>
      <c r="S347" s="1883"/>
      <c r="T347" s="1883"/>
      <c r="U347" s="1883"/>
      <c r="V347" s="1883"/>
      <c r="W347" s="1883"/>
      <c r="X347" s="1883"/>
      <c r="Y347" s="1883"/>
      <c r="Z347" s="1883"/>
      <c r="AA347" s="1883"/>
      <c r="AB347" s="1883"/>
      <c r="AC347" s="1883"/>
      <c r="AD347" s="1883"/>
      <c r="AE347" s="1883"/>
      <c r="AF347" s="1883"/>
      <c r="AG347" s="1883"/>
      <c r="AH347" s="1883"/>
      <c r="AI347" s="1883"/>
      <c r="AJ347" s="1883"/>
      <c r="AK347" s="1883"/>
    </row>
    <row r="348" spans="2:37" s="716" customFormat="1">
      <c r="B348" s="5"/>
      <c r="E348" s="6" t="s">
        <v>117</v>
      </c>
      <c r="F348" s="1881" t="s">
        <v>1452</v>
      </c>
      <c r="G348" s="1881"/>
      <c r="H348" s="1881"/>
      <c r="I348" s="1881"/>
      <c r="J348" s="1881"/>
      <c r="K348" s="1881"/>
      <c r="L348" s="1881"/>
      <c r="M348" s="1881"/>
      <c r="N348" s="1881"/>
      <c r="O348" s="1881"/>
      <c r="P348" s="1881"/>
      <c r="Q348" s="1881"/>
      <c r="R348" s="1881"/>
      <c r="S348" s="1881"/>
      <c r="T348" s="1881"/>
      <c r="U348" s="1881"/>
      <c r="V348" s="1881"/>
      <c r="W348" s="1881"/>
      <c r="X348" s="1881"/>
      <c r="Y348" s="1881"/>
      <c r="Z348" s="1881"/>
      <c r="AA348" s="1881"/>
      <c r="AB348" s="1881"/>
      <c r="AC348" s="1881"/>
      <c r="AD348" s="1881"/>
      <c r="AE348" s="1881"/>
      <c r="AF348" s="1881"/>
      <c r="AG348" s="1881"/>
      <c r="AH348" s="1881"/>
      <c r="AI348" s="1881"/>
      <c r="AJ348" s="1881"/>
      <c r="AK348" s="1881"/>
    </row>
    <row r="349" spans="2:37" s="716" customFormat="1">
      <c r="B349" s="5"/>
      <c r="E349" s="6"/>
      <c r="F349" s="1881"/>
      <c r="G349" s="1881"/>
      <c r="H349" s="1881"/>
      <c r="I349" s="1881"/>
      <c r="J349" s="1881"/>
      <c r="K349" s="1881"/>
      <c r="L349" s="1881"/>
      <c r="M349" s="1881"/>
      <c r="N349" s="1881"/>
      <c r="O349" s="1881"/>
      <c r="P349" s="1881"/>
      <c r="Q349" s="1881"/>
      <c r="R349" s="1881"/>
      <c r="S349" s="1881"/>
      <c r="T349" s="1881"/>
      <c r="U349" s="1881"/>
      <c r="V349" s="1881"/>
      <c r="W349" s="1881"/>
      <c r="X349" s="1881"/>
      <c r="Y349" s="1881"/>
      <c r="Z349" s="1881"/>
      <c r="AA349" s="1881"/>
      <c r="AB349" s="1881"/>
      <c r="AC349" s="1881"/>
      <c r="AD349" s="1881"/>
      <c r="AE349" s="1881"/>
      <c r="AF349" s="1881"/>
      <c r="AG349" s="1881"/>
      <c r="AH349" s="1881"/>
      <c r="AI349" s="1881"/>
      <c r="AJ349" s="1881"/>
      <c r="AK349" s="1881"/>
    </row>
    <row r="350" spans="2:37" s="716" customFormat="1">
      <c r="B350" s="5"/>
      <c r="E350" s="6"/>
      <c r="F350" s="1881"/>
      <c r="G350" s="1881"/>
      <c r="H350" s="1881"/>
      <c r="I350" s="1881"/>
      <c r="J350" s="1881"/>
      <c r="K350" s="1881"/>
      <c r="L350" s="1881"/>
      <c r="M350" s="1881"/>
      <c r="N350" s="1881"/>
      <c r="O350" s="1881"/>
      <c r="P350" s="1881"/>
      <c r="Q350" s="1881"/>
      <c r="R350" s="1881"/>
      <c r="S350" s="1881"/>
      <c r="T350" s="1881"/>
      <c r="U350" s="1881"/>
      <c r="V350" s="1881"/>
      <c r="W350" s="1881"/>
      <c r="X350" s="1881"/>
      <c r="Y350" s="1881"/>
      <c r="Z350" s="1881"/>
      <c r="AA350" s="1881"/>
      <c r="AB350" s="1881"/>
      <c r="AC350" s="1881"/>
      <c r="AD350" s="1881"/>
      <c r="AE350" s="1881"/>
      <c r="AF350" s="1881"/>
      <c r="AG350" s="1881"/>
      <c r="AH350" s="1881"/>
      <c r="AI350" s="1881"/>
      <c r="AJ350" s="1881"/>
      <c r="AK350" s="1881"/>
    </row>
    <row r="351" spans="2:37" s="716" customFormat="1">
      <c r="B351" s="5"/>
      <c r="E351" s="6"/>
      <c r="F351" s="1881"/>
      <c r="G351" s="1881"/>
      <c r="H351" s="1881"/>
      <c r="I351" s="1881"/>
      <c r="J351" s="1881"/>
      <c r="K351" s="1881"/>
      <c r="L351" s="1881"/>
      <c r="M351" s="1881"/>
      <c r="N351" s="1881"/>
      <c r="O351" s="1881"/>
      <c r="P351" s="1881"/>
      <c r="Q351" s="1881"/>
      <c r="R351" s="1881"/>
      <c r="S351" s="1881"/>
      <c r="T351" s="1881"/>
      <c r="U351" s="1881"/>
      <c r="V351" s="1881"/>
      <c r="W351" s="1881"/>
      <c r="X351" s="1881"/>
      <c r="Y351" s="1881"/>
      <c r="Z351" s="1881"/>
      <c r="AA351" s="1881"/>
      <c r="AB351" s="1881"/>
      <c r="AC351" s="1881"/>
      <c r="AD351" s="1881"/>
      <c r="AE351" s="1881"/>
      <c r="AF351" s="1881"/>
      <c r="AG351" s="1881"/>
      <c r="AH351" s="1881"/>
      <c r="AI351" s="1881"/>
      <c r="AJ351" s="1881"/>
      <c r="AK351" s="1881"/>
    </row>
    <row r="352" spans="2:37" s="716" customFormat="1">
      <c r="B352" s="5"/>
      <c r="E352" s="6" t="s">
        <v>118</v>
      </c>
      <c r="F352" s="1881" t="s">
        <v>1451</v>
      </c>
      <c r="G352" s="1881"/>
      <c r="H352" s="1881"/>
      <c r="I352" s="1881"/>
      <c r="J352" s="1881"/>
      <c r="K352" s="1881"/>
      <c r="L352" s="1881"/>
      <c r="M352" s="1881"/>
      <c r="N352" s="1881"/>
      <c r="O352" s="1881"/>
      <c r="P352" s="1881"/>
      <c r="Q352" s="1881"/>
      <c r="R352" s="1881"/>
      <c r="S352" s="1881"/>
      <c r="T352" s="1881"/>
      <c r="U352" s="1881"/>
      <c r="V352" s="1881"/>
      <c r="W352" s="1881"/>
      <c r="X352" s="1881"/>
      <c r="Y352" s="1881"/>
      <c r="Z352" s="1881"/>
      <c r="AA352" s="1881"/>
      <c r="AB352" s="1881"/>
      <c r="AC352" s="1881"/>
      <c r="AD352" s="1881"/>
      <c r="AE352" s="1881"/>
      <c r="AF352" s="1881"/>
      <c r="AG352" s="1881"/>
      <c r="AH352" s="1881"/>
      <c r="AI352" s="1881"/>
      <c r="AJ352" s="1881"/>
      <c r="AK352" s="1881"/>
    </row>
    <row r="353" spans="1:38" s="716" customFormat="1">
      <c r="B353" s="5"/>
      <c r="F353" s="1881"/>
      <c r="G353" s="1881"/>
      <c r="H353" s="1881"/>
      <c r="I353" s="1881"/>
      <c r="J353" s="1881"/>
      <c r="K353" s="1881"/>
      <c r="L353" s="1881"/>
      <c r="M353" s="1881"/>
      <c r="N353" s="1881"/>
      <c r="O353" s="1881"/>
      <c r="P353" s="1881"/>
      <c r="Q353" s="1881"/>
      <c r="R353" s="1881"/>
      <c r="S353" s="1881"/>
      <c r="T353" s="1881"/>
      <c r="U353" s="1881"/>
      <c r="V353" s="1881"/>
      <c r="W353" s="1881"/>
      <c r="X353" s="1881"/>
      <c r="Y353" s="1881"/>
      <c r="Z353" s="1881"/>
      <c r="AA353" s="1881"/>
      <c r="AB353" s="1881"/>
      <c r="AC353" s="1881"/>
      <c r="AD353" s="1881"/>
      <c r="AE353" s="1881"/>
      <c r="AF353" s="1881"/>
      <c r="AG353" s="1881"/>
      <c r="AH353" s="1881"/>
      <c r="AI353" s="1881"/>
      <c r="AJ353" s="1881"/>
      <c r="AK353" s="1881"/>
    </row>
    <row r="354" spans="1:38" s="716" customFormat="1">
      <c r="B354" s="5"/>
      <c r="F354" s="1881"/>
      <c r="G354" s="1881"/>
      <c r="H354" s="1881"/>
      <c r="I354" s="1881"/>
      <c r="J354" s="1881"/>
      <c r="K354" s="1881"/>
      <c r="L354" s="1881"/>
      <c r="M354" s="1881"/>
      <c r="N354" s="1881"/>
      <c r="O354" s="1881"/>
      <c r="P354" s="1881"/>
      <c r="Q354" s="1881"/>
      <c r="R354" s="1881"/>
      <c r="S354" s="1881"/>
      <c r="T354" s="1881"/>
      <c r="U354" s="1881"/>
      <c r="V354" s="1881"/>
      <c r="W354" s="1881"/>
      <c r="X354" s="1881"/>
      <c r="Y354" s="1881"/>
      <c r="Z354" s="1881"/>
      <c r="AA354" s="1881"/>
      <c r="AB354" s="1881"/>
      <c r="AC354" s="1881"/>
      <c r="AD354" s="1881"/>
      <c r="AE354" s="1881"/>
      <c r="AF354" s="1881"/>
      <c r="AG354" s="1881"/>
      <c r="AH354" s="1881"/>
      <c r="AI354" s="1881"/>
      <c r="AJ354" s="1881"/>
      <c r="AK354" s="1881"/>
    </row>
    <row r="355" spans="1:38" s="716"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15" customHeight="1">
      <c r="B358" s="5"/>
      <c r="C358" s="17" t="s">
        <v>1429</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1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6" customFormat="1">
      <c r="B367" s="5"/>
      <c r="E367" s="1884" t="s">
        <v>1441</v>
      </c>
      <c r="F367" s="1884"/>
      <c r="G367" s="1884"/>
      <c r="H367" s="1884"/>
      <c r="I367" s="1884"/>
      <c r="J367" s="1884"/>
      <c r="K367" s="1884"/>
      <c r="L367" s="1884"/>
      <c r="M367" s="1884"/>
      <c r="N367" s="1884"/>
      <c r="O367" s="1884"/>
      <c r="P367" s="1884"/>
      <c r="Q367" s="1884"/>
      <c r="R367" s="1884"/>
      <c r="S367" s="1884"/>
      <c r="T367" s="1884"/>
      <c r="U367" s="1884"/>
      <c r="V367" s="1884"/>
      <c r="W367" s="1884"/>
      <c r="X367" s="1884"/>
      <c r="Y367" s="1884"/>
      <c r="Z367" s="1884"/>
      <c r="AA367" s="1884"/>
      <c r="AB367" s="1884"/>
      <c r="AC367" s="1884"/>
      <c r="AD367" s="1884"/>
      <c r="AE367" s="1884"/>
      <c r="AF367" s="1884"/>
      <c r="AG367" s="1884"/>
      <c r="AH367" s="1884"/>
      <c r="AI367" s="1884"/>
      <c r="AJ367" s="1884"/>
      <c r="AK367" s="1884"/>
      <c r="AL367" s="1884"/>
    </row>
    <row r="368" spans="1:38" s="716" customFormat="1">
      <c r="B368" s="5"/>
      <c r="E368" s="1884"/>
      <c r="F368" s="1884"/>
      <c r="G368" s="1884"/>
      <c r="H368" s="1884"/>
      <c r="I368" s="1884"/>
      <c r="J368" s="1884"/>
      <c r="K368" s="1884"/>
      <c r="L368" s="1884"/>
      <c r="M368" s="1884"/>
      <c r="N368" s="1884"/>
      <c r="O368" s="1884"/>
      <c r="P368" s="1884"/>
      <c r="Q368" s="1884"/>
      <c r="R368" s="1884"/>
      <c r="S368" s="1884"/>
      <c r="T368" s="1884"/>
      <c r="U368" s="1884"/>
      <c r="V368" s="1884"/>
      <c r="W368" s="1884"/>
      <c r="X368" s="1884"/>
      <c r="Y368" s="1884"/>
      <c r="Z368" s="1884"/>
      <c r="AA368" s="1884"/>
      <c r="AB368" s="1884"/>
      <c r="AC368" s="1884"/>
      <c r="AD368" s="1884"/>
      <c r="AE368" s="1884"/>
      <c r="AF368" s="1884"/>
      <c r="AG368" s="1884"/>
      <c r="AH368" s="1884"/>
      <c r="AI368" s="1884"/>
      <c r="AJ368" s="1884"/>
      <c r="AK368" s="1884"/>
      <c r="AL368" s="1884"/>
    </row>
    <row r="369" spans="1:38" s="1886" customFormat="1">
      <c r="A369"/>
      <c r="B369" s="5"/>
      <c r="C369"/>
      <c r="D369"/>
      <c r="E369" s="1885" t="s">
        <v>1490</v>
      </c>
    </row>
    <row r="370" spans="1:38" s="1886" customFormat="1">
      <c r="A370" s="676"/>
      <c r="B370" s="183"/>
      <c r="C370" s="183"/>
      <c r="D370" s="676"/>
    </row>
    <row r="371" spans="1:38" s="716" customFormat="1">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c r="A381" s="716"/>
      <c r="B381" s="5"/>
      <c r="C381" s="716"/>
      <c r="D381" s="5" t="s">
        <v>547</v>
      </c>
      <c r="E381" s="5" t="s">
        <v>1491</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c r="A382" s="716"/>
      <c r="B382" s="5"/>
      <c r="C382" s="716"/>
      <c r="D382" s="5"/>
      <c r="E382" s="6" t="s">
        <v>788</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c r="A383" s="716"/>
      <c r="B383" s="5"/>
      <c r="C383" s="716"/>
      <c r="D383" s="5"/>
      <c r="E383" s="6" t="s">
        <v>1348</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c r="A385" s="716"/>
      <c r="B385" s="5"/>
      <c r="C385" s="716"/>
      <c r="D385" s="5" t="s">
        <v>311</v>
      </c>
      <c r="E385" s="5" t="s">
        <v>290</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c r="A386" s="676"/>
      <c r="B386" s="183"/>
      <c r="C386" s="676"/>
      <c r="D386" s="676"/>
      <c r="E386" s="677" t="s">
        <v>117</v>
      </c>
      <c r="F386" s="677" t="s">
        <v>1492</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c r="A387" s="676"/>
      <c r="B387" s="183"/>
      <c r="C387" s="676"/>
      <c r="D387" s="676"/>
      <c r="E387" s="677"/>
      <c r="F387" s="248" t="s">
        <v>1345</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c r="A388" s="676"/>
      <c r="B388" s="183"/>
      <c r="C388" s="676"/>
      <c r="D388" s="676"/>
      <c r="E388" s="677" t="s">
        <v>118</v>
      </c>
      <c r="F388" s="1882" t="s">
        <v>1502</v>
      </c>
      <c r="G388" s="1882"/>
      <c r="H388" s="1882"/>
      <c r="I388" s="1882"/>
      <c r="J388" s="1882"/>
      <c r="K388" s="1882"/>
      <c r="L388" s="1882"/>
      <c r="M388" s="1882"/>
      <c r="N388" s="1882"/>
      <c r="O388" s="1882"/>
      <c r="P388" s="1882"/>
      <c r="Q388" s="1882"/>
      <c r="R388" s="1882"/>
      <c r="S388" s="1882"/>
      <c r="T388" s="1882"/>
      <c r="U388" s="1882"/>
      <c r="V388" s="1882"/>
      <c r="W388" s="1882"/>
      <c r="X388" s="1882"/>
      <c r="Y388" s="1882"/>
      <c r="Z388" s="1882"/>
      <c r="AA388" s="1882"/>
      <c r="AB388" s="1882"/>
      <c r="AC388" s="1882"/>
      <c r="AD388" s="1882"/>
      <c r="AE388" s="1882"/>
      <c r="AF388" s="1882"/>
      <c r="AG388" s="1882"/>
      <c r="AH388" s="1882"/>
      <c r="AI388" s="1882"/>
      <c r="AJ388" s="1882"/>
      <c r="AK388" s="1882"/>
      <c r="AL388" s="676"/>
    </row>
    <row r="389" spans="1:38" s="716" customFormat="1">
      <c r="A389" s="676"/>
      <c r="B389" s="183"/>
      <c r="C389" s="676"/>
      <c r="D389" s="676"/>
      <c r="E389" s="677"/>
      <c r="F389" s="1882"/>
      <c r="G389" s="1882"/>
      <c r="H389" s="1882"/>
      <c r="I389" s="1882"/>
      <c r="J389" s="1882"/>
      <c r="K389" s="1882"/>
      <c r="L389" s="1882"/>
      <c r="M389" s="1882"/>
      <c r="N389" s="1882"/>
      <c r="O389" s="1882"/>
      <c r="P389" s="1882"/>
      <c r="Q389" s="1882"/>
      <c r="R389" s="1882"/>
      <c r="S389" s="1882"/>
      <c r="T389" s="1882"/>
      <c r="U389" s="1882"/>
      <c r="V389" s="1882"/>
      <c r="W389" s="1882"/>
      <c r="X389" s="1882"/>
      <c r="Y389" s="1882"/>
      <c r="Z389" s="1882"/>
      <c r="AA389" s="1882"/>
      <c r="AB389" s="1882"/>
      <c r="AC389" s="1882"/>
      <c r="AD389" s="1882"/>
      <c r="AE389" s="1882"/>
      <c r="AF389" s="1882"/>
      <c r="AG389" s="1882"/>
      <c r="AH389" s="1882"/>
      <c r="AI389" s="1882"/>
      <c r="AJ389" s="1882"/>
      <c r="AK389" s="1882"/>
      <c r="AL389" s="676"/>
    </row>
    <row r="390" spans="1:38" s="716" customFormat="1">
      <c r="A390" s="676"/>
      <c r="B390" s="183"/>
      <c r="C390" s="676"/>
      <c r="D390" s="676"/>
      <c r="E390" s="677"/>
      <c r="F390" s="1882"/>
      <c r="G390" s="1882"/>
      <c r="H390" s="1882"/>
      <c r="I390" s="1882"/>
      <c r="J390" s="1882"/>
      <c r="K390" s="1882"/>
      <c r="L390" s="1882"/>
      <c r="M390" s="1882"/>
      <c r="N390" s="1882"/>
      <c r="O390" s="1882"/>
      <c r="P390" s="1882"/>
      <c r="Q390" s="1882"/>
      <c r="R390" s="1882"/>
      <c r="S390" s="1882"/>
      <c r="T390" s="1882"/>
      <c r="U390" s="1882"/>
      <c r="V390" s="1882"/>
      <c r="W390" s="1882"/>
      <c r="X390" s="1882"/>
      <c r="Y390" s="1882"/>
      <c r="Z390" s="1882"/>
      <c r="AA390" s="1882"/>
      <c r="AB390" s="1882"/>
      <c r="AC390" s="1882"/>
      <c r="AD390" s="1882"/>
      <c r="AE390" s="1882"/>
      <c r="AF390" s="1882"/>
      <c r="AG390" s="1882"/>
      <c r="AH390" s="1882"/>
      <c r="AI390" s="1882"/>
      <c r="AJ390" s="1882"/>
      <c r="AK390" s="1882"/>
      <c r="AL390" s="676"/>
    </row>
    <row r="391" spans="1:38" s="716" customFormat="1">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c r="A392" s="676"/>
      <c r="B392" s="183"/>
      <c r="C392" s="183"/>
      <c r="D392" s="5" t="s">
        <v>450</v>
      </c>
      <c r="E392" s="5" t="s">
        <v>1511</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15" customHeight="1">
      <c r="A393" s="676"/>
      <c r="B393" s="183"/>
      <c r="C393" s="676"/>
      <c r="D393" s="5"/>
      <c r="E393" s="6" t="s">
        <v>1510</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c r="B394" s="5"/>
      <c r="E394" t="s">
        <v>1348</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4" zoomScaleNormal="100" workbookViewId="0">
      <selection activeCell="E13" sqref="E13"/>
    </sheetView>
  </sheetViews>
  <sheetFormatPr defaultColWidth="9.140625" defaultRowHeight="14.25"/>
  <cols>
    <col min="1" max="1" width="3.7109375" style="1333" customWidth="1"/>
    <col min="2" max="2" width="1.7109375" style="1333" customWidth="1"/>
    <col min="3" max="3" width="2.7109375" style="1333" customWidth="1"/>
    <col min="4" max="4" width="40.7109375" style="1333" customWidth="1"/>
    <col min="5" max="5" width="13.42578125" style="1333" customWidth="1"/>
    <col min="6" max="6" width="2.7109375" style="1337" customWidth="1"/>
    <col min="7" max="7" width="10.7109375" style="1333" customWidth="1"/>
    <col min="8" max="8" width="2.7109375" style="1337" customWidth="1"/>
    <col min="9" max="9" width="10.7109375" style="1333" customWidth="1"/>
    <col min="10" max="10" width="1.5703125" style="1333" customWidth="1"/>
    <col min="11" max="11" width="47.42578125" style="1334" customWidth="1"/>
    <col min="12" max="16384" width="9.140625" style="1333"/>
  </cols>
  <sheetData>
    <row r="1" spans="1:11" ht="30" customHeight="1">
      <c r="A1" s="3275" t="s">
        <v>1879</v>
      </c>
      <c r="B1" s="3275"/>
      <c r="C1" s="3275"/>
      <c r="D1" s="3275"/>
      <c r="E1" s="3275"/>
      <c r="F1" s="3275"/>
      <c r="G1" s="3275"/>
      <c r="H1" s="3275"/>
      <c r="I1" s="3275"/>
    </row>
    <row r="2" spans="1:11" ht="15">
      <c r="A2" s="1335"/>
      <c r="B2" s="1335"/>
      <c r="E2" s="1336"/>
      <c r="I2" s="1338"/>
      <c r="K2" s="1339"/>
    </row>
    <row r="3" spans="1:11">
      <c r="A3" s="1340" t="s">
        <v>1586</v>
      </c>
      <c r="B3" s="1340"/>
      <c r="C3" s="1333" t="s">
        <v>2182</v>
      </c>
      <c r="E3" s="1825">
        <f>ROUND(Application!AM564+'Basis &amp; Credits'!AB77,0)</f>
        <v>19509250</v>
      </c>
      <c r="F3" s="1341"/>
      <c r="K3" s="1412"/>
    </row>
    <row r="4" spans="1:11" s="1342" customFormat="1" ht="15" customHeight="1">
      <c r="C4" s="1342" t="s">
        <v>1880</v>
      </c>
      <c r="E4" s="1418">
        <f>Application!AD1037</f>
        <v>6.5789473684210523E-2</v>
      </c>
      <c r="F4" s="1343"/>
      <c r="H4" s="1344"/>
      <c r="K4" s="1631"/>
    </row>
    <row r="5" spans="1:11" s="1345" customFormat="1" ht="15" customHeight="1">
      <c r="A5" s="3276"/>
      <c r="B5" s="3276"/>
      <c r="D5" s="1345" t="s">
        <v>2183</v>
      </c>
      <c r="E5" s="1346">
        <f>IF('CDLAC Points System'!C274="Yes",0.2,0)</f>
        <v>0</v>
      </c>
      <c r="F5" s="1343"/>
      <c r="H5" s="1344"/>
      <c r="K5" s="1632"/>
    </row>
    <row r="6" spans="1:11" s="1345" customFormat="1" ht="15" customHeight="1">
      <c r="A6" s="1495"/>
      <c r="B6" s="1495"/>
      <c r="D6" s="1345" t="s">
        <v>2184</v>
      </c>
      <c r="E6" s="1346" t="str">
        <f>IF(AND((Application!W464&gt;=(0.5*Application!G753)),Application!D210="Special Needs",(OR(Application!M354="Yes",Application!M355="Yes"))),0.2," ")</f>
        <v xml:space="preserve"> </v>
      </c>
      <c r="F6" s="1343"/>
      <c r="H6" s="1344"/>
      <c r="K6" s="1632"/>
    </row>
    <row r="7" spans="1:11" ht="15">
      <c r="A7" s="1335"/>
      <c r="B7" s="1335"/>
      <c r="C7" s="1333" t="s">
        <v>2186</v>
      </c>
      <c r="E7" s="1416">
        <f>E3-(E3*(E4+(MAX(E5,E6))))</f>
        <v>18225746.710526317</v>
      </c>
      <c r="F7" s="1341"/>
      <c r="I7" s="1347"/>
      <c r="K7" s="1633"/>
    </row>
    <row r="8" spans="1:11" ht="15">
      <c r="A8" s="1335"/>
      <c r="B8" s="1335"/>
      <c r="E8" s="1347"/>
      <c r="F8" s="1348"/>
      <c r="G8" s="1349"/>
      <c r="H8" s="1350"/>
      <c r="I8" s="1347"/>
    </row>
    <row r="9" spans="1:11" s="1353" customFormat="1" ht="15" customHeight="1">
      <c r="A9" s="1351"/>
      <c r="B9" s="1351"/>
      <c r="C9" s="1352"/>
      <c r="E9" s="1354" t="s">
        <v>1881</v>
      </c>
      <c r="F9" s="1355"/>
      <c r="G9" s="1356" t="s">
        <v>1882</v>
      </c>
      <c r="H9" s="1350"/>
      <c r="I9" s="1356" t="s">
        <v>1883</v>
      </c>
      <c r="K9" s="1357"/>
    </row>
    <row r="10" spans="1:11">
      <c r="A10" s="1340" t="s">
        <v>1588</v>
      </c>
      <c r="B10" s="1340"/>
      <c r="C10" s="1333" t="s">
        <v>1884</v>
      </c>
      <c r="E10" s="1358" t="s">
        <v>1885</v>
      </c>
      <c r="F10" s="1350"/>
      <c r="G10" s="1358" t="s">
        <v>1886</v>
      </c>
      <c r="H10" s="1350"/>
      <c r="I10" s="1358" t="s">
        <v>1885</v>
      </c>
    </row>
    <row r="11" spans="1:11" ht="15">
      <c r="A11" s="1335"/>
      <c r="B11" s="1335"/>
      <c r="C11" s="1359" t="s">
        <v>1887</v>
      </c>
      <c r="D11" s="1359"/>
      <c r="E11" s="1413">
        <f>Application!BN635+Application!BN644+Application!CS658</f>
        <v>1</v>
      </c>
      <c r="G11" s="1360">
        <v>0.9</v>
      </c>
      <c r="H11" s="1361"/>
      <c r="I11" s="1362">
        <f>E11*G11</f>
        <v>0.9</v>
      </c>
      <c r="J11" s="1353"/>
      <c r="K11" s="1357"/>
    </row>
    <row r="12" spans="1:11" ht="15">
      <c r="A12" s="1335"/>
      <c r="B12" s="1335"/>
      <c r="C12" s="1353" t="s">
        <v>1888</v>
      </c>
      <c r="D12" s="1353"/>
      <c r="E12" s="1413">
        <f>Application!BS635+Application!BS644+Application!CX658</f>
        <v>58</v>
      </c>
      <c r="G12" s="1360">
        <v>1</v>
      </c>
      <c r="H12" s="1361"/>
      <c r="I12" s="1362">
        <f>E12*G12</f>
        <v>58</v>
      </c>
      <c r="J12" s="1353"/>
    </row>
    <row r="13" spans="1:11" ht="15">
      <c r="A13" s="1335"/>
      <c r="B13" s="1335"/>
      <c r="C13" s="1353" t="s">
        <v>1889</v>
      </c>
      <c r="D13" s="1353"/>
      <c r="E13" s="1413">
        <f>Application!BX635+Application!BX644+Application!DC658</f>
        <v>6</v>
      </c>
      <c r="G13" s="1360">
        <v>1.25</v>
      </c>
      <c r="H13" s="1361"/>
      <c r="I13" s="1362">
        <f>E13*G13</f>
        <v>7.5</v>
      </c>
      <c r="J13" s="1353"/>
    </row>
    <row r="14" spans="1:11" ht="15">
      <c r="A14" s="1335"/>
      <c r="B14" s="1335"/>
      <c r="C14" s="1353" t="s">
        <v>1890</v>
      </c>
      <c r="D14" s="1353"/>
      <c r="E14" s="1413">
        <f>Application!CC635+Application!CC644+Application!DH658</f>
        <v>0</v>
      </c>
      <c r="G14" s="1360">
        <f>1.5+0.25*0</f>
        <v>1.5</v>
      </c>
      <c r="H14" s="1361"/>
      <c r="I14" s="1362">
        <f>IF(E14/E16&lt;=30%,E14*G14,TRUNC(0.3*E16)*G14+(E14-TRUNC(0.3*E16))*G13)</f>
        <v>0</v>
      </c>
      <c r="J14" s="1353"/>
    </row>
    <row r="15" spans="1:11" ht="15">
      <c r="A15" s="1335"/>
      <c r="B15" s="1335"/>
      <c r="C15" s="1353" t="s">
        <v>1891</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ht="15">
      <c r="A16" s="1335"/>
      <c r="B16" s="1335"/>
      <c r="E16" s="1336">
        <f>SUM(E11:E15)</f>
        <v>65</v>
      </c>
      <c r="G16" s="1336"/>
      <c r="I16" s="1417">
        <f>SUM(I11:I15)</f>
        <v>66.400000000000006</v>
      </c>
    </row>
    <row r="17" spans="1:9" ht="15">
      <c r="A17" s="1335"/>
      <c r="B17" s="1335"/>
      <c r="E17" s="1336"/>
      <c r="I17" s="1364"/>
    </row>
    <row r="18" spans="1:9" ht="15">
      <c r="A18" s="1340" t="s">
        <v>1591</v>
      </c>
      <c r="B18" s="1340"/>
      <c r="C18" s="1365" t="s">
        <v>1892</v>
      </c>
      <c r="D18" s="1337"/>
      <c r="E18" s="1366">
        <f>E7/I16</f>
        <v>274484.13720672164</v>
      </c>
      <c r="F18" s="1367"/>
      <c r="G18" s="1368"/>
      <c r="H18" s="1369"/>
      <c r="I18" s="1364"/>
    </row>
    <row r="21" spans="1:9" ht="14.25" customHeight="1">
      <c r="A21" s="3277" t="s">
        <v>2181</v>
      </c>
      <c r="B21" s="3277"/>
      <c r="C21" s="3277"/>
      <c r="D21" s="3277"/>
      <c r="E21" s="3277"/>
      <c r="F21" s="3277"/>
      <c r="G21" s="3277"/>
      <c r="H21" s="3277"/>
      <c r="I21" s="3277"/>
    </row>
    <row r="22" spans="1:9">
      <c r="A22" s="3277"/>
      <c r="B22" s="3277"/>
      <c r="C22" s="3277"/>
      <c r="D22" s="3277"/>
      <c r="E22" s="3277"/>
      <c r="F22" s="3277"/>
      <c r="G22" s="3277"/>
      <c r="H22" s="3277"/>
      <c r="I22" s="3277"/>
    </row>
    <row r="23" spans="1:9">
      <c r="A23" s="3277"/>
      <c r="B23" s="3277"/>
      <c r="C23" s="3277"/>
      <c r="D23" s="3277"/>
      <c r="E23" s="3277"/>
      <c r="F23" s="3277"/>
      <c r="G23" s="3277"/>
      <c r="H23" s="3277"/>
      <c r="I23" s="3277"/>
    </row>
    <row r="24" spans="1:9">
      <c r="A24" s="3277"/>
      <c r="B24" s="3277"/>
      <c r="C24" s="3277"/>
      <c r="D24" s="3277"/>
      <c r="E24" s="3277"/>
      <c r="F24" s="3277"/>
      <c r="G24" s="3277"/>
      <c r="H24" s="3277"/>
      <c r="I24" s="3277"/>
    </row>
    <row r="26" spans="1:9" ht="20.100000000000001" customHeight="1">
      <c r="A26" s="1333"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67" zoomScaleNormal="100" zoomScaleSheetLayoutView="100" workbookViewId="0">
      <selection activeCell="AJ59" sqref="AJ59"/>
    </sheetView>
  </sheetViews>
  <sheetFormatPr defaultColWidth="0" defaultRowHeight="0" customHeight="1" zeroHeight="1"/>
  <cols>
    <col min="1" max="1" width="1.5703125" style="789" customWidth="1"/>
    <col min="2" max="2" width="0.85546875" style="789" customWidth="1"/>
    <col min="3" max="18" width="2.5703125" style="789" customWidth="1"/>
    <col min="19" max="19" width="4" style="789" customWidth="1"/>
    <col min="20" max="39" width="2.7109375" style="789" customWidth="1"/>
    <col min="40" max="40" width="1.5703125" style="789" customWidth="1"/>
    <col min="41" max="76" width="2.5703125" style="789" hidden="1"/>
    <col min="77" max="256" width="2.5703125" style="616" hidden="1"/>
    <col min="257" max="257" width="1.5703125" style="616" hidden="1" customWidth="1"/>
    <col min="258" max="258" width="0.85546875" style="616" hidden="1" customWidth="1"/>
    <col min="259" max="274" width="2.5703125" style="616" hidden="1" customWidth="1"/>
    <col min="275" max="275" width="4" style="616" hidden="1" customWidth="1"/>
    <col min="276" max="279" width="2.5703125" style="616" hidden="1" customWidth="1"/>
    <col min="280" max="280" width="2.42578125" style="616" hidden="1" customWidth="1"/>
    <col min="281" max="284" width="2.5703125" style="616" hidden="1" customWidth="1"/>
    <col min="285" max="285" width="2.42578125" style="616" hidden="1" customWidth="1"/>
    <col min="286" max="289" width="2.5703125" style="616" hidden="1" customWidth="1"/>
    <col min="290" max="295" width="2.42578125" style="616" hidden="1" customWidth="1"/>
    <col min="296" max="296" width="1.5703125" style="616" hidden="1" customWidth="1"/>
    <col min="297" max="512" width="2.5703125" style="616" hidden="1"/>
    <col min="513" max="513" width="1.5703125" style="616" hidden="1" customWidth="1"/>
    <col min="514" max="514" width="0.85546875" style="616" hidden="1" customWidth="1"/>
    <col min="515" max="530" width="2.5703125" style="616" hidden="1" customWidth="1"/>
    <col min="531" max="531" width="4" style="616" hidden="1" customWidth="1"/>
    <col min="532" max="535" width="2.5703125" style="616" hidden="1" customWidth="1"/>
    <col min="536" max="536" width="2.42578125" style="616" hidden="1" customWidth="1"/>
    <col min="537" max="540" width="2.5703125" style="616" hidden="1" customWidth="1"/>
    <col min="541" max="541" width="2.42578125" style="616" hidden="1" customWidth="1"/>
    <col min="542" max="545" width="2.5703125" style="616" hidden="1" customWidth="1"/>
    <col min="546" max="551" width="2.42578125" style="616" hidden="1" customWidth="1"/>
    <col min="552" max="552" width="1.5703125" style="616" hidden="1" customWidth="1"/>
    <col min="553" max="768" width="2.5703125" style="616" hidden="1"/>
    <col min="769" max="769" width="1.5703125" style="616" hidden="1" customWidth="1"/>
    <col min="770" max="770" width="0.85546875" style="616" hidden="1" customWidth="1"/>
    <col min="771" max="786" width="2.5703125" style="616" hidden="1" customWidth="1"/>
    <col min="787" max="787" width="4" style="616" hidden="1" customWidth="1"/>
    <col min="788" max="791" width="2.5703125" style="616" hidden="1" customWidth="1"/>
    <col min="792" max="792" width="2.42578125" style="616" hidden="1" customWidth="1"/>
    <col min="793" max="796" width="2.5703125" style="616" hidden="1" customWidth="1"/>
    <col min="797" max="797" width="2.42578125" style="616" hidden="1" customWidth="1"/>
    <col min="798" max="801" width="2.5703125" style="616" hidden="1" customWidth="1"/>
    <col min="802" max="807" width="2.42578125" style="616" hidden="1" customWidth="1"/>
    <col min="808" max="808" width="1.5703125" style="616" hidden="1" customWidth="1"/>
    <col min="809" max="1024" width="2.5703125" style="616" hidden="1"/>
    <col min="1025" max="1025" width="1.5703125" style="616" hidden="1" customWidth="1"/>
    <col min="1026" max="1026" width="0.85546875" style="616" hidden="1" customWidth="1"/>
    <col min="1027" max="1042" width="2.5703125" style="616" hidden="1" customWidth="1"/>
    <col min="1043" max="1043" width="4" style="616" hidden="1" customWidth="1"/>
    <col min="1044" max="1047" width="2.5703125" style="616" hidden="1" customWidth="1"/>
    <col min="1048" max="1048" width="2.42578125" style="616" hidden="1" customWidth="1"/>
    <col min="1049" max="1052" width="2.5703125" style="616" hidden="1" customWidth="1"/>
    <col min="1053" max="1053" width="2.42578125" style="616" hidden="1" customWidth="1"/>
    <col min="1054" max="1057" width="2.5703125" style="616" hidden="1" customWidth="1"/>
    <col min="1058" max="1063" width="2.42578125" style="616" hidden="1" customWidth="1"/>
    <col min="1064" max="1064" width="1.5703125" style="616" hidden="1" customWidth="1"/>
    <col min="1065" max="1280" width="2.5703125" style="616" hidden="1"/>
    <col min="1281" max="1281" width="1.5703125" style="616" hidden="1" customWidth="1"/>
    <col min="1282" max="1282" width="0.85546875" style="616" hidden="1" customWidth="1"/>
    <col min="1283" max="1298" width="2.5703125" style="616" hidden="1" customWidth="1"/>
    <col min="1299" max="1299" width="4" style="616" hidden="1" customWidth="1"/>
    <col min="1300" max="1303" width="2.5703125" style="616" hidden="1" customWidth="1"/>
    <col min="1304" max="1304" width="2.42578125" style="616" hidden="1" customWidth="1"/>
    <col min="1305" max="1308" width="2.5703125" style="616" hidden="1" customWidth="1"/>
    <col min="1309" max="1309" width="2.42578125" style="616" hidden="1" customWidth="1"/>
    <col min="1310" max="1313" width="2.5703125" style="616" hidden="1" customWidth="1"/>
    <col min="1314" max="1319" width="2.42578125" style="616" hidden="1" customWidth="1"/>
    <col min="1320" max="1320" width="1.5703125" style="616" hidden="1" customWidth="1"/>
    <col min="1321" max="1536" width="2.5703125" style="616" hidden="1"/>
    <col min="1537" max="1537" width="1.5703125" style="616" hidden="1" customWidth="1"/>
    <col min="1538" max="1538" width="0.85546875" style="616" hidden="1" customWidth="1"/>
    <col min="1539" max="1554" width="2.5703125" style="616" hidden="1" customWidth="1"/>
    <col min="1555" max="1555" width="4" style="616" hidden="1" customWidth="1"/>
    <col min="1556" max="1559" width="2.5703125" style="616" hidden="1" customWidth="1"/>
    <col min="1560" max="1560" width="2.42578125" style="616" hidden="1" customWidth="1"/>
    <col min="1561" max="1564" width="2.5703125" style="616" hidden="1" customWidth="1"/>
    <col min="1565" max="1565" width="2.42578125" style="616" hidden="1" customWidth="1"/>
    <col min="1566" max="1569" width="2.5703125" style="616" hidden="1" customWidth="1"/>
    <col min="1570" max="1575" width="2.42578125" style="616" hidden="1" customWidth="1"/>
    <col min="1576" max="1576" width="1.5703125" style="616" hidden="1" customWidth="1"/>
    <col min="1577" max="1792" width="2.5703125" style="616" hidden="1"/>
    <col min="1793" max="1793" width="1.5703125" style="616" hidden="1" customWidth="1"/>
    <col min="1794" max="1794" width="0.85546875" style="616" hidden="1" customWidth="1"/>
    <col min="1795" max="1810" width="2.5703125" style="616" hidden="1" customWidth="1"/>
    <col min="1811" max="1811" width="4" style="616" hidden="1" customWidth="1"/>
    <col min="1812" max="1815" width="2.5703125" style="616" hidden="1" customWidth="1"/>
    <col min="1816" max="1816" width="2.42578125" style="616" hidden="1" customWidth="1"/>
    <col min="1817" max="1820" width="2.5703125" style="616" hidden="1" customWidth="1"/>
    <col min="1821" max="1821" width="2.42578125" style="616" hidden="1" customWidth="1"/>
    <col min="1822" max="1825" width="2.5703125" style="616" hidden="1" customWidth="1"/>
    <col min="1826" max="1831" width="2.42578125" style="616" hidden="1" customWidth="1"/>
    <col min="1832" max="1832" width="1.5703125" style="616" hidden="1" customWidth="1"/>
    <col min="1833" max="2048" width="2.5703125" style="616" hidden="1"/>
    <col min="2049" max="2049" width="1.5703125" style="616" hidden="1" customWidth="1"/>
    <col min="2050" max="2050" width="0.85546875" style="616" hidden="1" customWidth="1"/>
    <col min="2051" max="2066" width="2.5703125" style="616" hidden="1" customWidth="1"/>
    <col min="2067" max="2067" width="4" style="616" hidden="1" customWidth="1"/>
    <col min="2068" max="2071" width="2.5703125" style="616" hidden="1" customWidth="1"/>
    <col min="2072" max="2072" width="2.42578125" style="616" hidden="1" customWidth="1"/>
    <col min="2073" max="2076" width="2.5703125" style="616" hidden="1" customWidth="1"/>
    <col min="2077" max="2077" width="2.42578125" style="616" hidden="1" customWidth="1"/>
    <col min="2078" max="2081" width="2.5703125" style="616" hidden="1" customWidth="1"/>
    <col min="2082" max="2087" width="2.42578125" style="616" hidden="1" customWidth="1"/>
    <col min="2088" max="2088" width="1.5703125" style="616" hidden="1" customWidth="1"/>
    <col min="2089" max="2304" width="2.5703125" style="616" hidden="1"/>
    <col min="2305" max="2305" width="1.5703125" style="616" hidden="1" customWidth="1"/>
    <col min="2306" max="2306" width="0.85546875" style="616" hidden="1" customWidth="1"/>
    <col min="2307" max="2322" width="2.5703125" style="616" hidden="1" customWidth="1"/>
    <col min="2323" max="2323" width="4" style="616" hidden="1" customWidth="1"/>
    <col min="2324" max="2327" width="2.5703125" style="616" hidden="1" customWidth="1"/>
    <col min="2328" max="2328" width="2.42578125" style="616" hidden="1" customWidth="1"/>
    <col min="2329" max="2332" width="2.5703125" style="616" hidden="1" customWidth="1"/>
    <col min="2333" max="2333" width="2.42578125" style="616" hidden="1" customWidth="1"/>
    <col min="2334" max="2337" width="2.5703125" style="616" hidden="1" customWidth="1"/>
    <col min="2338" max="2343" width="2.42578125" style="616" hidden="1" customWidth="1"/>
    <col min="2344" max="2344" width="1.5703125" style="616" hidden="1" customWidth="1"/>
    <col min="2345" max="2560" width="2.5703125" style="616" hidden="1"/>
    <col min="2561" max="2561" width="1.5703125" style="616" hidden="1" customWidth="1"/>
    <col min="2562" max="2562" width="0.85546875" style="616" hidden="1" customWidth="1"/>
    <col min="2563" max="2578" width="2.5703125" style="616" hidden="1" customWidth="1"/>
    <col min="2579" max="2579" width="4" style="616" hidden="1" customWidth="1"/>
    <col min="2580" max="2583" width="2.5703125" style="616" hidden="1" customWidth="1"/>
    <col min="2584" max="2584" width="2.42578125" style="616" hidden="1" customWidth="1"/>
    <col min="2585" max="2588" width="2.5703125" style="616" hidden="1" customWidth="1"/>
    <col min="2589" max="2589" width="2.42578125" style="616" hidden="1" customWidth="1"/>
    <col min="2590" max="2593" width="2.5703125" style="616" hidden="1" customWidth="1"/>
    <col min="2594" max="2599" width="2.42578125" style="616" hidden="1" customWidth="1"/>
    <col min="2600" max="2600" width="1.5703125" style="616" hidden="1" customWidth="1"/>
    <col min="2601" max="2816" width="2.5703125" style="616" hidden="1"/>
    <col min="2817" max="2817" width="1.5703125" style="616" hidden="1" customWidth="1"/>
    <col min="2818" max="2818" width="0.85546875" style="616" hidden="1" customWidth="1"/>
    <col min="2819" max="2834" width="2.5703125" style="616" hidden="1" customWidth="1"/>
    <col min="2835" max="2835" width="4" style="616" hidden="1" customWidth="1"/>
    <col min="2836" max="2839" width="2.5703125" style="616" hidden="1" customWidth="1"/>
    <col min="2840" max="2840" width="2.42578125" style="616" hidden="1" customWidth="1"/>
    <col min="2841" max="2844" width="2.5703125" style="616" hidden="1" customWidth="1"/>
    <col min="2845" max="2845" width="2.42578125" style="616" hidden="1" customWidth="1"/>
    <col min="2846" max="2849" width="2.5703125" style="616" hidden="1" customWidth="1"/>
    <col min="2850" max="2855" width="2.42578125" style="616" hidden="1" customWidth="1"/>
    <col min="2856" max="2856" width="1.5703125" style="616" hidden="1" customWidth="1"/>
    <col min="2857" max="3072" width="2.5703125" style="616" hidden="1"/>
    <col min="3073" max="3073" width="1.5703125" style="616" hidden="1" customWidth="1"/>
    <col min="3074" max="3074" width="0.85546875" style="616" hidden="1" customWidth="1"/>
    <col min="3075" max="3090" width="2.5703125" style="616" hidden="1" customWidth="1"/>
    <col min="3091" max="3091" width="4" style="616" hidden="1" customWidth="1"/>
    <col min="3092" max="3095" width="2.5703125" style="616" hidden="1" customWidth="1"/>
    <col min="3096" max="3096" width="2.42578125" style="616" hidden="1" customWidth="1"/>
    <col min="3097" max="3100" width="2.5703125" style="616" hidden="1" customWidth="1"/>
    <col min="3101" max="3101" width="2.42578125" style="616" hidden="1" customWidth="1"/>
    <col min="3102" max="3105" width="2.5703125" style="616" hidden="1" customWidth="1"/>
    <col min="3106" max="3111" width="2.42578125" style="616" hidden="1" customWidth="1"/>
    <col min="3112" max="3112" width="1.5703125" style="616" hidden="1" customWidth="1"/>
    <col min="3113" max="3328" width="2.5703125" style="616" hidden="1"/>
    <col min="3329" max="3329" width="1.5703125" style="616" hidden="1" customWidth="1"/>
    <col min="3330" max="3330" width="0.85546875" style="616" hidden="1" customWidth="1"/>
    <col min="3331" max="3346" width="2.5703125" style="616" hidden="1" customWidth="1"/>
    <col min="3347" max="3347" width="4" style="616" hidden="1" customWidth="1"/>
    <col min="3348" max="3351" width="2.5703125" style="616" hidden="1" customWidth="1"/>
    <col min="3352" max="3352" width="2.42578125" style="616" hidden="1" customWidth="1"/>
    <col min="3353" max="3356" width="2.5703125" style="616" hidden="1" customWidth="1"/>
    <col min="3357" max="3357" width="2.42578125" style="616" hidden="1" customWidth="1"/>
    <col min="3358" max="3361" width="2.5703125" style="616" hidden="1" customWidth="1"/>
    <col min="3362" max="3367" width="2.42578125" style="616" hidden="1" customWidth="1"/>
    <col min="3368" max="3368" width="1.5703125" style="616" hidden="1" customWidth="1"/>
    <col min="3369" max="3584" width="2.5703125" style="616" hidden="1"/>
    <col min="3585" max="3585" width="1.5703125" style="616" hidden="1" customWidth="1"/>
    <col min="3586" max="3586" width="0.85546875" style="616" hidden="1" customWidth="1"/>
    <col min="3587" max="3602" width="2.5703125" style="616" hidden="1" customWidth="1"/>
    <col min="3603" max="3603" width="4" style="616" hidden="1" customWidth="1"/>
    <col min="3604" max="3607" width="2.5703125" style="616" hidden="1" customWidth="1"/>
    <col min="3608" max="3608" width="2.42578125" style="616" hidden="1" customWidth="1"/>
    <col min="3609" max="3612" width="2.5703125" style="616" hidden="1" customWidth="1"/>
    <col min="3613" max="3613" width="2.42578125" style="616" hidden="1" customWidth="1"/>
    <col min="3614" max="3617" width="2.5703125" style="616" hidden="1" customWidth="1"/>
    <col min="3618" max="3623" width="2.42578125" style="616" hidden="1" customWidth="1"/>
    <col min="3624" max="3624" width="1.5703125" style="616" hidden="1" customWidth="1"/>
    <col min="3625" max="3840" width="2.5703125" style="616" hidden="1"/>
    <col min="3841" max="3841" width="1.5703125" style="616" hidden="1" customWidth="1"/>
    <col min="3842" max="3842" width="0.85546875" style="616" hidden="1" customWidth="1"/>
    <col min="3843" max="3858" width="2.5703125" style="616" hidden="1" customWidth="1"/>
    <col min="3859" max="3859" width="4" style="616" hidden="1" customWidth="1"/>
    <col min="3860" max="3863" width="2.5703125" style="616" hidden="1" customWidth="1"/>
    <col min="3864" max="3864" width="2.42578125" style="616" hidden="1" customWidth="1"/>
    <col min="3865" max="3868" width="2.5703125" style="616" hidden="1" customWidth="1"/>
    <col min="3869" max="3869" width="2.42578125" style="616" hidden="1" customWidth="1"/>
    <col min="3870" max="3873" width="2.5703125" style="616" hidden="1" customWidth="1"/>
    <col min="3874" max="3879" width="2.42578125" style="616" hidden="1" customWidth="1"/>
    <col min="3880" max="3880" width="1.5703125" style="616" hidden="1" customWidth="1"/>
    <col min="3881" max="4096" width="2.5703125" style="616" hidden="1"/>
    <col min="4097" max="4097" width="1.5703125" style="616" hidden="1" customWidth="1"/>
    <col min="4098" max="4098" width="0.85546875" style="616" hidden="1" customWidth="1"/>
    <col min="4099" max="4114" width="2.5703125" style="616" hidden="1" customWidth="1"/>
    <col min="4115" max="4115" width="4" style="616" hidden="1" customWidth="1"/>
    <col min="4116" max="4119" width="2.5703125" style="616" hidden="1" customWidth="1"/>
    <col min="4120" max="4120" width="2.42578125" style="616" hidden="1" customWidth="1"/>
    <col min="4121" max="4124" width="2.5703125" style="616" hidden="1" customWidth="1"/>
    <col min="4125" max="4125" width="2.42578125" style="616" hidden="1" customWidth="1"/>
    <col min="4126" max="4129" width="2.5703125" style="616" hidden="1" customWidth="1"/>
    <col min="4130" max="4135" width="2.42578125" style="616" hidden="1" customWidth="1"/>
    <col min="4136" max="4136" width="1.5703125" style="616" hidden="1" customWidth="1"/>
    <col min="4137" max="4352" width="2.5703125" style="616" hidden="1"/>
    <col min="4353" max="4353" width="1.5703125" style="616" hidden="1" customWidth="1"/>
    <col min="4354" max="4354" width="0.85546875" style="616" hidden="1" customWidth="1"/>
    <col min="4355" max="4370" width="2.5703125" style="616" hidden="1" customWidth="1"/>
    <col min="4371" max="4371" width="4" style="616" hidden="1" customWidth="1"/>
    <col min="4372" max="4375" width="2.5703125" style="616" hidden="1" customWidth="1"/>
    <col min="4376" max="4376" width="2.42578125" style="616" hidden="1" customWidth="1"/>
    <col min="4377" max="4380" width="2.5703125" style="616" hidden="1" customWidth="1"/>
    <col min="4381" max="4381" width="2.42578125" style="616" hidden="1" customWidth="1"/>
    <col min="4382" max="4385" width="2.5703125" style="616" hidden="1" customWidth="1"/>
    <col min="4386" max="4391" width="2.42578125" style="616" hidden="1" customWidth="1"/>
    <col min="4392" max="4392" width="1.5703125" style="616" hidden="1" customWidth="1"/>
    <col min="4393" max="4608" width="2.5703125" style="616" hidden="1"/>
    <col min="4609" max="4609" width="1.5703125" style="616" hidden="1" customWidth="1"/>
    <col min="4610" max="4610" width="0.85546875" style="616" hidden="1" customWidth="1"/>
    <col min="4611" max="4626" width="2.5703125" style="616" hidden="1" customWidth="1"/>
    <col min="4627" max="4627" width="4" style="616" hidden="1" customWidth="1"/>
    <col min="4628" max="4631" width="2.5703125" style="616" hidden="1" customWidth="1"/>
    <col min="4632" max="4632" width="2.42578125" style="616" hidden="1" customWidth="1"/>
    <col min="4633" max="4636" width="2.5703125" style="616" hidden="1" customWidth="1"/>
    <col min="4637" max="4637" width="2.42578125" style="616" hidden="1" customWidth="1"/>
    <col min="4638" max="4641" width="2.5703125" style="616" hidden="1" customWidth="1"/>
    <col min="4642" max="4647" width="2.42578125" style="616" hidden="1" customWidth="1"/>
    <col min="4648" max="4648" width="1.5703125" style="616" hidden="1" customWidth="1"/>
    <col min="4649" max="4864" width="2.5703125" style="616" hidden="1"/>
    <col min="4865" max="4865" width="1.5703125" style="616" hidden="1" customWidth="1"/>
    <col min="4866" max="4866" width="0.85546875" style="616" hidden="1" customWidth="1"/>
    <col min="4867" max="4882" width="2.5703125" style="616" hidden="1" customWidth="1"/>
    <col min="4883" max="4883" width="4" style="616" hidden="1" customWidth="1"/>
    <col min="4884" max="4887" width="2.5703125" style="616" hidden="1" customWidth="1"/>
    <col min="4888" max="4888" width="2.42578125" style="616" hidden="1" customWidth="1"/>
    <col min="4889" max="4892" width="2.5703125" style="616" hidden="1" customWidth="1"/>
    <col min="4893" max="4893" width="2.42578125" style="616" hidden="1" customWidth="1"/>
    <col min="4894" max="4897" width="2.5703125" style="616" hidden="1" customWidth="1"/>
    <col min="4898" max="4903" width="2.42578125" style="616" hidden="1" customWidth="1"/>
    <col min="4904" max="4904" width="1.5703125" style="616" hidden="1" customWidth="1"/>
    <col min="4905" max="5120" width="2.5703125" style="616" hidden="1"/>
    <col min="5121" max="5121" width="1.5703125" style="616" hidden="1" customWidth="1"/>
    <col min="5122" max="5122" width="0.85546875" style="616" hidden="1" customWidth="1"/>
    <col min="5123" max="5138" width="2.5703125" style="616" hidden="1" customWidth="1"/>
    <col min="5139" max="5139" width="4" style="616" hidden="1" customWidth="1"/>
    <col min="5140" max="5143" width="2.5703125" style="616" hidden="1" customWidth="1"/>
    <col min="5144" max="5144" width="2.42578125" style="616" hidden="1" customWidth="1"/>
    <col min="5145" max="5148" width="2.5703125" style="616" hidden="1" customWidth="1"/>
    <col min="5149" max="5149" width="2.42578125" style="616" hidden="1" customWidth="1"/>
    <col min="5150" max="5153" width="2.5703125" style="616" hidden="1" customWidth="1"/>
    <col min="5154" max="5159" width="2.42578125" style="616" hidden="1" customWidth="1"/>
    <col min="5160" max="5160" width="1.5703125" style="616" hidden="1" customWidth="1"/>
    <col min="5161" max="5376" width="2.5703125" style="616" hidden="1"/>
    <col min="5377" max="5377" width="1.5703125" style="616" hidden="1" customWidth="1"/>
    <col min="5378" max="5378" width="0.85546875" style="616" hidden="1" customWidth="1"/>
    <col min="5379" max="5394" width="2.5703125" style="616" hidden="1" customWidth="1"/>
    <col min="5395" max="5395" width="4" style="616" hidden="1" customWidth="1"/>
    <col min="5396" max="5399" width="2.5703125" style="616" hidden="1" customWidth="1"/>
    <col min="5400" max="5400" width="2.42578125" style="616" hidden="1" customWidth="1"/>
    <col min="5401" max="5404" width="2.5703125" style="616" hidden="1" customWidth="1"/>
    <col min="5405" max="5405" width="2.42578125" style="616" hidden="1" customWidth="1"/>
    <col min="5406" max="5409" width="2.5703125" style="616" hidden="1" customWidth="1"/>
    <col min="5410" max="5415" width="2.42578125" style="616" hidden="1" customWidth="1"/>
    <col min="5416" max="5416" width="1.5703125" style="616" hidden="1" customWidth="1"/>
    <col min="5417" max="5632" width="2.5703125" style="616" hidden="1"/>
    <col min="5633" max="5633" width="1.5703125" style="616" hidden="1" customWidth="1"/>
    <col min="5634" max="5634" width="0.85546875" style="616" hidden="1" customWidth="1"/>
    <col min="5635" max="5650" width="2.5703125" style="616" hidden="1" customWidth="1"/>
    <col min="5651" max="5651" width="4" style="616" hidden="1" customWidth="1"/>
    <col min="5652" max="5655" width="2.5703125" style="616" hidden="1" customWidth="1"/>
    <col min="5656" max="5656" width="2.42578125" style="616" hidden="1" customWidth="1"/>
    <col min="5657" max="5660" width="2.5703125" style="616" hidden="1" customWidth="1"/>
    <col min="5661" max="5661" width="2.42578125" style="616" hidden="1" customWidth="1"/>
    <col min="5662" max="5665" width="2.5703125" style="616" hidden="1" customWidth="1"/>
    <col min="5666" max="5671" width="2.42578125" style="616" hidden="1" customWidth="1"/>
    <col min="5672" max="5672" width="1.5703125" style="616" hidden="1" customWidth="1"/>
    <col min="5673" max="5888" width="2.5703125" style="616" hidden="1"/>
    <col min="5889" max="5889" width="1.5703125" style="616" hidden="1" customWidth="1"/>
    <col min="5890" max="5890" width="0.85546875" style="616" hidden="1" customWidth="1"/>
    <col min="5891" max="5906" width="2.5703125" style="616" hidden="1" customWidth="1"/>
    <col min="5907" max="5907" width="4" style="616" hidden="1" customWidth="1"/>
    <col min="5908" max="5911" width="2.5703125" style="616" hidden="1" customWidth="1"/>
    <col min="5912" max="5912" width="2.42578125" style="616" hidden="1" customWidth="1"/>
    <col min="5913" max="5916" width="2.5703125" style="616" hidden="1" customWidth="1"/>
    <col min="5917" max="5917" width="2.42578125" style="616" hidden="1" customWidth="1"/>
    <col min="5918" max="5921" width="2.5703125" style="616" hidden="1" customWidth="1"/>
    <col min="5922" max="5927" width="2.42578125" style="616" hidden="1" customWidth="1"/>
    <col min="5928" max="5928" width="1.5703125" style="616" hidden="1" customWidth="1"/>
    <col min="5929" max="6144" width="2.5703125" style="616" hidden="1"/>
    <col min="6145" max="6145" width="1.5703125" style="616" hidden="1" customWidth="1"/>
    <col min="6146" max="6146" width="0.85546875" style="616" hidden="1" customWidth="1"/>
    <col min="6147" max="6162" width="2.5703125" style="616" hidden="1" customWidth="1"/>
    <col min="6163" max="6163" width="4" style="616" hidden="1" customWidth="1"/>
    <col min="6164" max="6167" width="2.5703125" style="616" hidden="1" customWidth="1"/>
    <col min="6168" max="6168" width="2.42578125" style="616" hidden="1" customWidth="1"/>
    <col min="6169" max="6172" width="2.5703125" style="616" hidden="1" customWidth="1"/>
    <col min="6173" max="6173" width="2.42578125" style="616" hidden="1" customWidth="1"/>
    <col min="6174" max="6177" width="2.5703125" style="616" hidden="1" customWidth="1"/>
    <col min="6178" max="6183" width="2.42578125" style="616" hidden="1" customWidth="1"/>
    <col min="6184" max="6184" width="1.5703125" style="616" hidden="1" customWidth="1"/>
    <col min="6185" max="6400" width="2.5703125" style="616" hidden="1"/>
    <col min="6401" max="6401" width="1.5703125" style="616" hidden="1" customWidth="1"/>
    <col min="6402" max="6402" width="0.85546875" style="616" hidden="1" customWidth="1"/>
    <col min="6403" max="6418" width="2.5703125" style="616" hidden="1" customWidth="1"/>
    <col min="6419" max="6419" width="4" style="616" hidden="1" customWidth="1"/>
    <col min="6420" max="6423" width="2.5703125" style="616" hidden="1" customWidth="1"/>
    <col min="6424" max="6424" width="2.42578125" style="616" hidden="1" customWidth="1"/>
    <col min="6425" max="6428" width="2.5703125" style="616" hidden="1" customWidth="1"/>
    <col min="6429" max="6429" width="2.42578125" style="616" hidden="1" customWidth="1"/>
    <col min="6430" max="6433" width="2.5703125" style="616" hidden="1" customWidth="1"/>
    <col min="6434" max="6439" width="2.42578125" style="616" hidden="1" customWidth="1"/>
    <col min="6440" max="6440" width="1.5703125" style="616" hidden="1" customWidth="1"/>
    <col min="6441" max="6656" width="2.5703125" style="616" hidden="1"/>
    <col min="6657" max="6657" width="1.5703125" style="616" hidden="1" customWidth="1"/>
    <col min="6658" max="6658" width="0.85546875" style="616" hidden="1" customWidth="1"/>
    <col min="6659" max="6674" width="2.5703125" style="616" hidden="1" customWidth="1"/>
    <col min="6675" max="6675" width="4" style="616" hidden="1" customWidth="1"/>
    <col min="6676" max="6679" width="2.5703125" style="616" hidden="1" customWidth="1"/>
    <col min="6680" max="6680" width="2.42578125" style="616" hidden="1" customWidth="1"/>
    <col min="6681" max="6684" width="2.5703125" style="616" hidden="1" customWidth="1"/>
    <col min="6685" max="6685" width="2.42578125" style="616" hidden="1" customWidth="1"/>
    <col min="6686" max="6689" width="2.5703125" style="616" hidden="1" customWidth="1"/>
    <col min="6690" max="6695" width="2.42578125" style="616" hidden="1" customWidth="1"/>
    <col min="6696" max="6696" width="1.5703125" style="616" hidden="1" customWidth="1"/>
    <col min="6697" max="6912" width="2.5703125" style="616" hidden="1"/>
    <col min="6913" max="6913" width="1.5703125" style="616" hidden="1" customWidth="1"/>
    <col min="6914" max="6914" width="0.85546875" style="616" hidden="1" customWidth="1"/>
    <col min="6915" max="6930" width="2.5703125" style="616" hidden="1" customWidth="1"/>
    <col min="6931" max="6931" width="4" style="616" hidden="1" customWidth="1"/>
    <col min="6932" max="6935" width="2.5703125" style="616" hidden="1" customWidth="1"/>
    <col min="6936" max="6936" width="2.42578125" style="616" hidden="1" customWidth="1"/>
    <col min="6937" max="6940" width="2.5703125" style="616" hidden="1" customWidth="1"/>
    <col min="6941" max="6941" width="2.42578125" style="616" hidden="1" customWidth="1"/>
    <col min="6942" max="6945" width="2.5703125" style="616" hidden="1" customWidth="1"/>
    <col min="6946" max="6951" width="2.42578125" style="616" hidden="1" customWidth="1"/>
    <col min="6952" max="6952" width="1.5703125" style="616" hidden="1" customWidth="1"/>
    <col min="6953" max="7168" width="2.5703125" style="616" hidden="1"/>
    <col min="7169" max="7169" width="1.5703125" style="616" hidden="1" customWidth="1"/>
    <col min="7170" max="7170" width="0.85546875" style="616" hidden="1" customWidth="1"/>
    <col min="7171" max="7186" width="2.5703125" style="616" hidden="1" customWidth="1"/>
    <col min="7187" max="7187" width="4" style="616" hidden="1" customWidth="1"/>
    <col min="7188" max="7191" width="2.5703125" style="616" hidden="1" customWidth="1"/>
    <col min="7192" max="7192" width="2.42578125" style="616" hidden="1" customWidth="1"/>
    <col min="7193" max="7196" width="2.5703125" style="616" hidden="1" customWidth="1"/>
    <col min="7197" max="7197" width="2.42578125" style="616" hidden="1" customWidth="1"/>
    <col min="7198" max="7201" width="2.5703125" style="616" hidden="1" customWidth="1"/>
    <col min="7202" max="7207" width="2.42578125" style="616" hidden="1" customWidth="1"/>
    <col min="7208" max="7208" width="1.5703125" style="616" hidden="1" customWidth="1"/>
    <col min="7209" max="7424" width="2.5703125" style="616" hidden="1"/>
    <col min="7425" max="7425" width="1.5703125" style="616" hidden="1" customWidth="1"/>
    <col min="7426" max="7426" width="0.85546875" style="616" hidden="1" customWidth="1"/>
    <col min="7427" max="7442" width="2.5703125" style="616" hidden="1" customWidth="1"/>
    <col min="7443" max="7443" width="4" style="616" hidden="1" customWidth="1"/>
    <col min="7444" max="7447" width="2.5703125" style="616" hidden="1" customWidth="1"/>
    <col min="7448" max="7448" width="2.42578125" style="616" hidden="1" customWidth="1"/>
    <col min="7449" max="7452" width="2.5703125" style="616" hidden="1" customWidth="1"/>
    <col min="7453" max="7453" width="2.42578125" style="616" hidden="1" customWidth="1"/>
    <col min="7454" max="7457" width="2.5703125" style="616" hidden="1" customWidth="1"/>
    <col min="7458" max="7463" width="2.42578125" style="616" hidden="1" customWidth="1"/>
    <col min="7464" max="7464" width="1.5703125" style="616" hidden="1" customWidth="1"/>
    <col min="7465" max="7680" width="2.5703125" style="616" hidden="1"/>
    <col min="7681" max="7681" width="1.5703125" style="616" hidden="1" customWidth="1"/>
    <col min="7682" max="7682" width="0.85546875" style="616" hidden="1" customWidth="1"/>
    <col min="7683" max="7698" width="2.5703125" style="616" hidden="1" customWidth="1"/>
    <col min="7699" max="7699" width="4" style="616" hidden="1" customWidth="1"/>
    <col min="7700" max="7703" width="2.5703125" style="616" hidden="1" customWidth="1"/>
    <col min="7704" max="7704" width="2.42578125" style="616" hidden="1" customWidth="1"/>
    <col min="7705" max="7708" width="2.5703125" style="616" hidden="1" customWidth="1"/>
    <col min="7709" max="7709" width="2.42578125" style="616" hidden="1" customWidth="1"/>
    <col min="7710" max="7713" width="2.5703125" style="616" hidden="1" customWidth="1"/>
    <col min="7714" max="7719" width="2.42578125" style="616" hidden="1" customWidth="1"/>
    <col min="7720" max="7720" width="1.5703125" style="616" hidden="1" customWidth="1"/>
    <col min="7721" max="7936" width="2.5703125" style="616" hidden="1"/>
    <col min="7937" max="7937" width="1.5703125" style="616" hidden="1" customWidth="1"/>
    <col min="7938" max="7938" width="0.85546875" style="616" hidden="1" customWidth="1"/>
    <col min="7939" max="7954" width="2.5703125" style="616" hidden="1" customWidth="1"/>
    <col min="7955" max="7955" width="4" style="616" hidden="1" customWidth="1"/>
    <col min="7956" max="7959" width="2.5703125" style="616" hidden="1" customWidth="1"/>
    <col min="7960" max="7960" width="2.42578125" style="616" hidden="1" customWidth="1"/>
    <col min="7961" max="7964" width="2.5703125" style="616" hidden="1" customWidth="1"/>
    <col min="7965" max="7965" width="2.42578125" style="616" hidden="1" customWidth="1"/>
    <col min="7966" max="7969" width="2.5703125" style="616" hidden="1" customWidth="1"/>
    <col min="7970" max="7975" width="2.42578125" style="616" hidden="1" customWidth="1"/>
    <col min="7976" max="7976" width="1.5703125" style="616" hidden="1" customWidth="1"/>
    <col min="7977" max="8192" width="2.5703125" style="616" hidden="1"/>
    <col min="8193" max="8193" width="1.5703125" style="616" hidden="1" customWidth="1"/>
    <col min="8194" max="8194" width="0.85546875" style="616" hidden="1" customWidth="1"/>
    <col min="8195" max="8210" width="2.5703125" style="616" hidden="1" customWidth="1"/>
    <col min="8211" max="8211" width="4" style="616" hidden="1" customWidth="1"/>
    <col min="8212" max="8215" width="2.5703125" style="616" hidden="1" customWidth="1"/>
    <col min="8216" max="8216" width="2.42578125" style="616" hidden="1" customWidth="1"/>
    <col min="8217" max="8220" width="2.5703125" style="616" hidden="1" customWidth="1"/>
    <col min="8221" max="8221" width="2.42578125" style="616" hidden="1" customWidth="1"/>
    <col min="8222" max="8225" width="2.5703125" style="616" hidden="1" customWidth="1"/>
    <col min="8226" max="8231" width="2.42578125" style="616" hidden="1" customWidth="1"/>
    <col min="8232" max="8232" width="1.5703125" style="616" hidden="1" customWidth="1"/>
    <col min="8233" max="8448" width="2.5703125" style="616" hidden="1"/>
    <col min="8449" max="8449" width="1.5703125" style="616" hidden="1" customWidth="1"/>
    <col min="8450" max="8450" width="0.85546875" style="616" hidden="1" customWidth="1"/>
    <col min="8451" max="8466" width="2.5703125" style="616" hidden="1" customWidth="1"/>
    <col min="8467" max="8467" width="4" style="616" hidden="1" customWidth="1"/>
    <col min="8468" max="8471" width="2.5703125" style="616" hidden="1" customWidth="1"/>
    <col min="8472" max="8472" width="2.42578125" style="616" hidden="1" customWidth="1"/>
    <col min="8473" max="8476" width="2.5703125" style="616" hidden="1" customWidth="1"/>
    <col min="8477" max="8477" width="2.42578125" style="616" hidden="1" customWidth="1"/>
    <col min="8478" max="8481" width="2.5703125" style="616" hidden="1" customWidth="1"/>
    <col min="8482" max="8487" width="2.42578125" style="616" hidden="1" customWidth="1"/>
    <col min="8488" max="8488" width="1.5703125" style="616" hidden="1" customWidth="1"/>
    <col min="8489" max="8704" width="2.5703125" style="616" hidden="1"/>
    <col min="8705" max="8705" width="1.5703125" style="616" hidden="1" customWidth="1"/>
    <col min="8706" max="8706" width="0.85546875" style="616" hidden="1" customWidth="1"/>
    <col min="8707" max="8722" width="2.5703125" style="616" hidden="1" customWidth="1"/>
    <col min="8723" max="8723" width="4" style="616" hidden="1" customWidth="1"/>
    <col min="8724" max="8727" width="2.5703125" style="616" hidden="1" customWidth="1"/>
    <col min="8728" max="8728" width="2.42578125" style="616" hidden="1" customWidth="1"/>
    <col min="8729" max="8732" width="2.5703125" style="616" hidden="1" customWidth="1"/>
    <col min="8733" max="8733" width="2.42578125" style="616" hidden="1" customWidth="1"/>
    <col min="8734" max="8737" width="2.5703125" style="616" hidden="1" customWidth="1"/>
    <col min="8738" max="8743" width="2.42578125" style="616" hidden="1" customWidth="1"/>
    <col min="8744" max="8744" width="1.5703125" style="616" hidden="1" customWidth="1"/>
    <col min="8745" max="8960" width="2.5703125" style="616" hidden="1"/>
    <col min="8961" max="8961" width="1.5703125" style="616" hidden="1" customWidth="1"/>
    <col min="8962" max="8962" width="0.85546875" style="616" hidden="1" customWidth="1"/>
    <col min="8963" max="8978" width="2.5703125" style="616" hidden="1" customWidth="1"/>
    <col min="8979" max="8979" width="4" style="616" hidden="1" customWidth="1"/>
    <col min="8980" max="8983" width="2.5703125" style="616" hidden="1" customWidth="1"/>
    <col min="8984" max="8984" width="2.42578125" style="616" hidden="1" customWidth="1"/>
    <col min="8985" max="8988" width="2.5703125" style="616" hidden="1" customWidth="1"/>
    <col min="8989" max="8989" width="2.42578125" style="616" hidden="1" customWidth="1"/>
    <col min="8990" max="8993" width="2.5703125" style="616" hidden="1" customWidth="1"/>
    <col min="8994" max="8999" width="2.42578125" style="616" hidden="1" customWidth="1"/>
    <col min="9000" max="9000" width="1.5703125" style="616" hidden="1" customWidth="1"/>
    <col min="9001" max="9216" width="2.5703125" style="616" hidden="1"/>
    <col min="9217" max="9217" width="1.5703125" style="616" hidden="1" customWidth="1"/>
    <col min="9218" max="9218" width="0.85546875" style="616" hidden="1" customWidth="1"/>
    <col min="9219" max="9234" width="2.5703125" style="616" hidden="1" customWidth="1"/>
    <col min="9235" max="9235" width="4" style="616" hidden="1" customWidth="1"/>
    <col min="9236" max="9239" width="2.5703125" style="616" hidden="1" customWidth="1"/>
    <col min="9240" max="9240" width="2.42578125" style="616" hidden="1" customWidth="1"/>
    <col min="9241" max="9244" width="2.5703125" style="616" hidden="1" customWidth="1"/>
    <col min="9245" max="9245" width="2.42578125" style="616" hidden="1" customWidth="1"/>
    <col min="9246" max="9249" width="2.5703125" style="616" hidden="1" customWidth="1"/>
    <col min="9250" max="9255" width="2.42578125" style="616" hidden="1" customWidth="1"/>
    <col min="9256" max="9256" width="1.5703125" style="616" hidden="1" customWidth="1"/>
    <col min="9257" max="9472" width="2.5703125" style="616" hidden="1"/>
    <col min="9473" max="9473" width="1.5703125" style="616" hidden="1" customWidth="1"/>
    <col min="9474" max="9474" width="0.85546875" style="616" hidden="1" customWidth="1"/>
    <col min="9475" max="9490" width="2.5703125" style="616" hidden="1" customWidth="1"/>
    <col min="9491" max="9491" width="4" style="616" hidden="1" customWidth="1"/>
    <col min="9492" max="9495" width="2.5703125" style="616" hidden="1" customWidth="1"/>
    <col min="9496" max="9496" width="2.42578125" style="616" hidden="1" customWidth="1"/>
    <col min="9497" max="9500" width="2.5703125" style="616" hidden="1" customWidth="1"/>
    <col min="9501" max="9501" width="2.42578125" style="616" hidden="1" customWidth="1"/>
    <col min="9502" max="9505" width="2.5703125" style="616" hidden="1" customWidth="1"/>
    <col min="9506" max="9511" width="2.42578125" style="616" hidden="1" customWidth="1"/>
    <col min="9512" max="9512" width="1.5703125" style="616" hidden="1" customWidth="1"/>
    <col min="9513" max="9728" width="2.5703125" style="616" hidden="1"/>
    <col min="9729" max="9729" width="1.5703125" style="616" hidden="1" customWidth="1"/>
    <col min="9730" max="9730" width="0.85546875" style="616" hidden="1" customWidth="1"/>
    <col min="9731" max="9746" width="2.5703125" style="616" hidden="1" customWidth="1"/>
    <col min="9747" max="9747" width="4" style="616" hidden="1" customWidth="1"/>
    <col min="9748" max="9751" width="2.5703125" style="616" hidden="1" customWidth="1"/>
    <col min="9752" max="9752" width="2.42578125" style="616" hidden="1" customWidth="1"/>
    <col min="9753" max="9756" width="2.5703125" style="616" hidden="1" customWidth="1"/>
    <col min="9757" max="9757" width="2.42578125" style="616" hidden="1" customWidth="1"/>
    <col min="9758" max="9761" width="2.5703125" style="616" hidden="1" customWidth="1"/>
    <col min="9762" max="9767" width="2.42578125" style="616" hidden="1" customWidth="1"/>
    <col min="9768" max="9768" width="1.5703125" style="616" hidden="1" customWidth="1"/>
    <col min="9769" max="9984" width="2.5703125" style="616" hidden="1"/>
    <col min="9985" max="9985" width="1.5703125" style="616" hidden="1" customWidth="1"/>
    <col min="9986" max="9986" width="0.85546875" style="616" hidden="1" customWidth="1"/>
    <col min="9987" max="10002" width="2.5703125" style="616" hidden="1" customWidth="1"/>
    <col min="10003" max="10003" width="4" style="616" hidden="1" customWidth="1"/>
    <col min="10004" max="10007" width="2.5703125" style="616" hidden="1" customWidth="1"/>
    <col min="10008" max="10008" width="2.42578125" style="616" hidden="1" customWidth="1"/>
    <col min="10009" max="10012" width="2.5703125" style="616" hidden="1" customWidth="1"/>
    <col min="10013" max="10013" width="2.42578125" style="616" hidden="1" customWidth="1"/>
    <col min="10014" max="10017" width="2.5703125" style="616" hidden="1" customWidth="1"/>
    <col min="10018" max="10023" width="2.42578125" style="616" hidden="1" customWidth="1"/>
    <col min="10024" max="10024" width="1.5703125" style="616" hidden="1" customWidth="1"/>
    <col min="10025" max="10240" width="2.5703125" style="616" hidden="1"/>
    <col min="10241" max="10241" width="1.5703125" style="616" hidden="1" customWidth="1"/>
    <col min="10242" max="10242" width="0.85546875" style="616" hidden="1" customWidth="1"/>
    <col min="10243" max="10258" width="2.5703125" style="616" hidden="1" customWidth="1"/>
    <col min="10259" max="10259" width="4" style="616" hidden="1" customWidth="1"/>
    <col min="10260" max="10263" width="2.5703125" style="616" hidden="1" customWidth="1"/>
    <col min="10264" max="10264" width="2.42578125" style="616" hidden="1" customWidth="1"/>
    <col min="10265" max="10268" width="2.5703125" style="616" hidden="1" customWidth="1"/>
    <col min="10269" max="10269" width="2.42578125" style="616" hidden="1" customWidth="1"/>
    <col min="10270" max="10273" width="2.5703125" style="616" hidden="1" customWidth="1"/>
    <col min="10274" max="10279" width="2.42578125" style="616" hidden="1" customWidth="1"/>
    <col min="10280" max="10280" width="1.5703125" style="616" hidden="1" customWidth="1"/>
    <col min="10281" max="10496" width="2.5703125" style="616" hidden="1"/>
    <col min="10497" max="10497" width="1.5703125" style="616" hidden="1" customWidth="1"/>
    <col min="10498" max="10498" width="0.85546875" style="616" hidden="1" customWidth="1"/>
    <col min="10499" max="10514" width="2.5703125" style="616" hidden="1" customWidth="1"/>
    <col min="10515" max="10515" width="4" style="616" hidden="1" customWidth="1"/>
    <col min="10516" max="10519" width="2.5703125" style="616" hidden="1" customWidth="1"/>
    <col min="10520" max="10520" width="2.42578125" style="616" hidden="1" customWidth="1"/>
    <col min="10521" max="10524" width="2.5703125" style="616" hidden="1" customWidth="1"/>
    <col min="10525" max="10525" width="2.42578125" style="616" hidden="1" customWidth="1"/>
    <col min="10526" max="10529" width="2.5703125" style="616" hidden="1" customWidth="1"/>
    <col min="10530" max="10535" width="2.42578125" style="616" hidden="1" customWidth="1"/>
    <col min="10536" max="10536" width="1.5703125" style="616" hidden="1" customWidth="1"/>
    <col min="10537" max="10752" width="2.5703125" style="616" hidden="1"/>
    <col min="10753" max="10753" width="1.5703125" style="616" hidden="1" customWidth="1"/>
    <col min="10754" max="10754" width="0.85546875" style="616" hidden="1" customWidth="1"/>
    <col min="10755" max="10770" width="2.5703125" style="616" hidden="1" customWidth="1"/>
    <col min="10771" max="10771" width="4" style="616" hidden="1" customWidth="1"/>
    <col min="10772" max="10775" width="2.5703125" style="616" hidden="1" customWidth="1"/>
    <col min="10776" max="10776" width="2.42578125" style="616" hidden="1" customWidth="1"/>
    <col min="10777" max="10780" width="2.5703125" style="616" hidden="1" customWidth="1"/>
    <col min="10781" max="10781" width="2.42578125" style="616" hidden="1" customWidth="1"/>
    <col min="10782" max="10785" width="2.5703125" style="616" hidden="1" customWidth="1"/>
    <col min="10786" max="10791" width="2.42578125" style="616" hidden="1" customWidth="1"/>
    <col min="10792" max="10792" width="1.5703125" style="616" hidden="1" customWidth="1"/>
    <col min="10793" max="11008" width="2.5703125" style="616" hidden="1"/>
    <col min="11009" max="11009" width="1.5703125" style="616" hidden="1" customWidth="1"/>
    <col min="11010" max="11010" width="0.85546875" style="616" hidden="1" customWidth="1"/>
    <col min="11011" max="11026" width="2.5703125" style="616" hidden="1" customWidth="1"/>
    <col min="11027" max="11027" width="4" style="616" hidden="1" customWidth="1"/>
    <col min="11028" max="11031" width="2.5703125" style="616" hidden="1" customWidth="1"/>
    <col min="11032" max="11032" width="2.42578125" style="616" hidden="1" customWidth="1"/>
    <col min="11033" max="11036" width="2.5703125" style="616" hidden="1" customWidth="1"/>
    <col min="11037" max="11037" width="2.42578125" style="616" hidden="1" customWidth="1"/>
    <col min="11038" max="11041" width="2.5703125" style="616" hidden="1" customWidth="1"/>
    <col min="11042" max="11047" width="2.42578125" style="616" hidden="1" customWidth="1"/>
    <col min="11048" max="11048" width="1.5703125" style="616" hidden="1" customWidth="1"/>
    <col min="11049" max="11264" width="2.5703125" style="616" hidden="1"/>
    <col min="11265" max="11265" width="1.5703125" style="616" hidden="1" customWidth="1"/>
    <col min="11266" max="11266" width="0.85546875" style="616" hidden="1" customWidth="1"/>
    <col min="11267" max="11282" width="2.5703125" style="616" hidden="1" customWidth="1"/>
    <col min="11283" max="11283" width="4" style="616" hidden="1" customWidth="1"/>
    <col min="11284" max="11287" width="2.5703125" style="616" hidden="1" customWidth="1"/>
    <col min="11288" max="11288" width="2.42578125" style="616" hidden="1" customWidth="1"/>
    <col min="11289" max="11292" width="2.5703125" style="616" hidden="1" customWidth="1"/>
    <col min="11293" max="11293" width="2.42578125" style="616" hidden="1" customWidth="1"/>
    <col min="11294" max="11297" width="2.5703125" style="616" hidden="1" customWidth="1"/>
    <col min="11298" max="11303" width="2.42578125" style="616" hidden="1" customWidth="1"/>
    <col min="11304" max="11304" width="1.5703125" style="616" hidden="1" customWidth="1"/>
    <col min="11305" max="11520" width="2.5703125" style="616" hidden="1"/>
    <col min="11521" max="11521" width="1.5703125" style="616" hidden="1" customWidth="1"/>
    <col min="11522" max="11522" width="0.85546875" style="616" hidden="1" customWidth="1"/>
    <col min="11523" max="11538" width="2.5703125" style="616" hidden="1" customWidth="1"/>
    <col min="11539" max="11539" width="4" style="616" hidden="1" customWidth="1"/>
    <col min="11540" max="11543" width="2.5703125" style="616" hidden="1" customWidth="1"/>
    <col min="11544" max="11544" width="2.42578125" style="616" hidden="1" customWidth="1"/>
    <col min="11545" max="11548" width="2.5703125" style="616" hidden="1" customWidth="1"/>
    <col min="11549" max="11549" width="2.42578125" style="616" hidden="1" customWidth="1"/>
    <col min="11550" max="11553" width="2.5703125" style="616" hidden="1" customWidth="1"/>
    <col min="11554" max="11559" width="2.42578125" style="616" hidden="1" customWidth="1"/>
    <col min="11560" max="11560" width="1.5703125" style="616" hidden="1" customWidth="1"/>
    <col min="11561" max="11776" width="2.5703125" style="616" hidden="1"/>
    <col min="11777" max="11777" width="1.5703125" style="616" hidden="1" customWidth="1"/>
    <col min="11778" max="11778" width="0.85546875" style="616" hidden="1" customWidth="1"/>
    <col min="11779" max="11794" width="2.5703125" style="616" hidden="1" customWidth="1"/>
    <col min="11795" max="11795" width="4" style="616" hidden="1" customWidth="1"/>
    <col min="11796" max="11799" width="2.5703125" style="616" hidden="1" customWidth="1"/>
    <col min="11800" max="11800" width="2.42578125" style="616" hidden="1" customWidth="1"/>
    <col min="11801" max="11804" width="2.5703125" style="616" hidden="1" customWidth="1"/>
    <col min="11805" max="11805" width="2.42578125" style="616" hidden="1" customWidth="1"/>
    <col min="11806" max="11809" width="2.5703125" style="616" hidden="1" customWidth="1"/>
    <col min="11810" max="11815" width="2.42578125" style="616" hidden="1" customWidth="1"/>
    <col min="11816" max="11816" width="1.5703125" style="616" hidden="1" customWidth="1"/>
    <col min="11817" max="12032" width="2.5703125" style="616" hidden="1"/>
    <col min="12033" max="12033" width="1.5703125" style="616" hidden="1" customWidth="1"/>
    <col min="12034" max="12034" width="0.85546875" style="616" hidden="1" customWidth="1"/>
    <col min="12035" max="12050" width="2.5703125" style="616" hidden="1" customWidth="1"/>
    <col min="12051" max="12051" width="4" style="616" hidden="1" customWidth="1"/>
    <col min="12052" max="12055" width="2.5703125" style="616" hidden="1" customWidth="1"/>
    <col min="12056" max="12056" width="2.42578125" style="616" hidden="1" customWidth="1"/>
    <col min="12057" max="12060" width="2.5703125" style="616" hidden="1" customWidth="1"/>
    <col min="12061" max="12061" width="2.42578125" style="616" hidden="1" customWidth="1"/>
    <col min="12062" max="12065" width="2.5703125" style="616" hidden="1" customWidth="1"/>
    <col min="12066" max="12071" width="2.42578125" style="616" hidden="1" customWidth="1"/>
    <col min="12072" max="12072" width="1.5703125" style="616" hidden="1" customWidth="1"/>
    <col min="12073" max="12288" width="2.5703125" style="616" hidden="1"/>
    <col min="12289" max="12289" width="1.5703125" style="616" hidden="1" customWidth="1"/>
    <col min="12290" max="12290" width="0.85546875" style="616" hidden="1" customWidth="1"/>
    <col min="12291" max="12306" width="2.5703125" style="616" hidden="1" customWidth="1"/>
    <col min="12307" max="12307" width="4" style="616" hidden="1" customWidth="1"/>
    <col min="12308" max="12311" width="2.5703125" style="616" hidden="1" customWidth="1"/>
    <col min="12312" max="12312" width="2.42578125" style="616" hidden="1" customWidth="1"/>
    <col min="12313" max="12316" width="2.5703125" style="616" hidden="1" customWidth="1"/>
    <col min="12317" max="12317" width="2.42578125" style="616" hidden="1" customWidth="1"/>
    <col min="12318" max="12321" width="2.5703125" style="616" hidden="1" customWidth="1"/>
    <col min="12322" max="12327" width="2.42578125" style="616" hidden="1" customWidth="1"/>
    <col min="12328" max="12328" width="1.5703125" style="616" hidden="1" customWidth="1"/>
    <col min="12329" max="12544" width="2.5703125" style="616" hidden="1"/>
    <col min="12545" max="12545" width="1.5703125" style="616" hidden="1" customWidth="1"/>
    <col min="12546" max="12546" width="0.85546875" style="616" hidden="1" customWidth="1"/>
    <col min="12547" max="12562" width="2.5703125" style="616" hidden="1" customWidth="1"/>
    <col min="12563" max="12563" width="4" style="616" hidden="1" customWidth="1"/>
    <col min="12564" max="12567" width="2.5703125" style="616" hidden="1" customWidth="1"/>
    <col min="12568" max="12568" width="2.42578125" style="616" hidden="1" customWidth="1"/>
    <col min="12569" max="12572" width="2.5703125" style="616" hidden="1" customWidth="1"/>
    <col min="12573" max="12573" width="2.42578125" style="616" hidden="1" customWidth="1"/>
    <col min="12574" max="12577" width="2.5703125" style="616" hidden="1" customWidth="1"/>
    <col min="12578" max="12583" width="2.42578125" style="616" hidden="1" customWidth="1"/>
    <col min="12584" max="12584" width="1.5703125" style="616" hidden="1" customWidth="1"/>
    <col min="12585" max="12800" width="2.5703125" style="616" hidden="1"/>
    <col min="12801" max="12801" width="1.5703125" style="616" hidden="1" customWidth="1"/>
    <col min="12802" max="12802" width="0.85546875" style="616" hidden="1" customWidth="1"/>
    <col min="12803" max="12818" width="2.5703125" style="616" hidden="1" customWidth="1"/>
    <col min="12819" max="12819" width="4" style="616" hidden="1" customWidth="1"/>
    <col min="12820" max="12823" width="2.5703125" style="616" hidden="1" customWidth="1"/>
    <col min="12824" max="12824" width="2.42578125" style="616" hidden="1" customWidth="1"/>
    <col min="12825" max="12828" width="2.5703125" style="616" hidden="1" customWidth="1"/>
    <col min="12829" max="12829" width="2.42578125" style="616" hidden="1" customWidth="1"/>
    <col min="12830" max="12833" width="2.5703125" style="616" hidden="1" customWidth="1"/>
    <col min="12834" max="12839" width="2.42578125" style="616" hidden="1" customWidth="1"/>
    <col min="12840" max="12840" width="1.5703125" style="616" hidden="1" customWidth="1"/>
    <col min="12841" max="13056" width="2.5703125" style="616" hidden="1"/>
    <col min="13057" max="13057" width="1.5703125" style="616" hidden="1" customWidth="1"/>
    <col min="13058" max="13058" width="0.85546875" style="616" hidden="1" customWidth="1"/>
    <col min="13059" max="13074" width="2.5703125" style="616" hidden="1" customWidth="1"/>
    <col min="13075" max="13075" width="4" style="616" hidden="1" customWidth="1"/>
    <col min="13076" max="13079" width="2.5703125" style="616" hidden="1" customWidth="1"/>
    <col min="13080" max="13080" width="2.42578125" style="616" hidden="1" customWidth="1"/>
    <col min="13081" max="13084" width="2.5703125" style="616" hidden="1" customWidth="1"/>
    <col min="13085" max="13085" width="2.42578125" style="616" hidden="1" customWidth="1"/>
    <col min="13086" max="13089" width="2.5703125" style="616" hidden="1" customWidth="1"/>
    <col min="13090" max="13095" width="2.42578125" style="616" hidden="1" customWidth="1"/>
    <col min="13096" max="13096" width="1.5703125" style="616" hidden="1" customWidth="1"/>
    <col min="13097" max="13312" width="2.5703125" style="616" hidden="1"/>
    <col min="13313" max="13313" width="1.5703125" style="616" hidden="1" customWidth="1"/>
    <col min="13314" max="13314" width="0.85546875" style="616" hidden="1" customWidth="1"/>
    <col min="13315" max="13330" width="2.5703125" style="616" hidden="1" customWidth="1"/>
    <col min="13331" max="13331" width="4" style="616" hidden="1" customWidth="1"/>
    <col min="13332" max="13335" width="2.5703125" style="616" hidden="1" customWidth="1"/>
    <col min="13336" max="13336" width="2.42578125" style="616" hidden="1" customWidth="1"/>
    <col min="13337" max="13340" width="2.5703125" style="616" hidden="1" customWidth="1"/>
    <col min="13341" max="13341" width="2.42578125" style="616" hidden="1" customWidth="1"/>
    <col min="13342" max="13345" width="2.5703125" style="616" hidden="1" customWidth="1"/>
    <col min="13346" max="13351" width="2.42578125" style="616" hidden="1" customWidth="1"/>
    <col min="13352" max="13352" width="1.5703125" style="616" hidden="1" customWidth="1"/>
    <col min="13353" max="13568" width="2.5703125" style="616" hidden="1"/>
    <col min="13569" max="13569" width="1.5703125" style="616" hidden="1" customWidth="1"/>
    <col min="13570" max="13570" width="0.85546875" style="616" hidden="1" customWidth="1"/>
    <col min="13571" max="13586" width="2.5703125" style="616" hidden="1" customWidth="1"/>
    <col min="13587" max="13587" width="4" style="616" hidden="1" customWidth="1"/>
    <col min="13588" max="13591" width="2.5703125" style="616" hidden="1" customWidth="1"/>
    <col min="13592" max="13592" width="2.42578125" style="616" hidden="1" customWidth="1"/>
    <col min="13593" max="13596" width="2.5703125" style="616" hidden="1" customWidth="1"/>
    <col min="13597" max="13597" width="2.42578125" style="616" hidden="1" customWidth="1"/>
    <col min="13598" max="13601" width="2.5703125" style="616" hidden="1" customWidth="1"/>
    <col min="13602" max="13607" width="2.42578125" style="616" hidden="1" customWidth="1"/>
    <col min="13608" max="13608" width="1.5703125" style="616" hidden="1" customWidth="1"/>
    <col min="13609" max="13824" width="2.5703125" style="616" hidden="1"/>
    <col min="13825" max="13825" width="1.5703125" style="616" hidden="1" customWidth="1"/>
    <col min="13826" max="13826" width="0.85546875" style="616" hidden="1" customWidth="1"/>
    <col min="13827" max="13842" width="2.5703125" style="616" hidden="1" customWidth="1"/>
    <col min="13843" max="13843" width="4" style="616" hidden="1" customWidth="1"/>
    <col min="13844" max="13847" width="2.5703125" style="616" hidden="1" customWidth="1"/>
    <col min="13848" max="13848" width="2.42578125" style="616" hidden="1" customWidth="1"/>
    <col min="13849" max="13852" width="2.5703125" style="616" hidden="1" customWidth="1"/>
    <col min="13853" max="13853" width="2.42578125" style="616" hidden="1" customWidth="1"/>
    <col min="13854" max="13857" width="2.5703125" style="616" hidden="1" customWidth="1"/>
    <col min="13858" max="13863" width="2.42578125" style="616" hidden="1" customWidth="1"/>
    <col min="13864" max="13864" width="1.5703125" style="616" hidden="1" customWidth="1"/>
    <col min="13865" max="14080" width="2.5703125" style="616" hidden="1"/>
    <col min="14081" max="14081" width="1.5703125" style="616" hidden="1" customWidth="1"/>
    <col min="14082" max="14082" width="0.85546875" style="616" hidden="1" customWidth="1"/>
    <col min="14083" max="14098" width="2.5703125" style="616" hidden="1" customWidth="1"/>
    <col min="14099" max="14099" width="4" style="616" hidden="1" customWidth="1"/>
    <col min="14100" max="14103" width="2.5703125" style="616" hidden="1" customWidth="1"/>
    <col min="14104" max="14104" width="2.42578125" style="616" hidden="1" customWidth="1"/>
    <col min="14105" max="14108" width="2.5703125" style="616" hidden="1" customWidth="1"/>
    <col min="14109" max="14109" width="2.42578125" style="616" hidden="1" customWidth="1"/>
    <col min="14110" max="14113" width="2.5703125" style="616" hidden="1" customWidth="1"/>
    <col min="14114" max="14119" width="2.42578125" style="616" hidden="1" customWidth="1"/>
    <col min="14120" max="14120" width="1.5703125" style="616" hidden="1" customWidth="1"/>
    <col min="14121" max="14336" width="2.5703125" style="616" hidden="1"/>
    <col min="14337" max="14337" width="1.5703125" style="616" hidden="1" customWidth="1"/>
    <col min="14338" max="14338" width="0.85546875" style="616" hidden="1" customWidth="1"/>
    <col min="14339" max="14354" width="2.5703125" style="616" hidden="1" customWidth="1"/>
    <col min="14355" max="14355" width="4" style="616" hidden="1" customWidth="1"/>
    <col min="14356" max="14359" width="2.5703125" style="616" hidden="1" customWidth="1"/>
    <col min="14360" max="14360" width="2.42578125" style="616" hidden="1" customWidth="1"/>
    <col min="14361" max="14364" width="2.5703125" style="616" hidden="1" customWidth="1"/>
    <col min="14365" max="14365" width="2.42578125" style="616" hidden="1" customWidth="1"/>
    <col min="14366" max="14369" width="2.5703125" style="616" hidden="1" customWidth="1"/>
    <col min="14370" max="14375" width="2.42578125" style="616" hidden="1" customWidth="1"/>
    <col min="14376" max="14376" width="1.5703125" style="616" hidden="1" customWidth="1"/>
    <col min="14377" max="14592" width="2.5703125" style="616" hidden="1"/>
    <col min="14593" max="14593" width="1.5703125" style="616" hidden="1" customWidth="1"/>
    <col min="14594" max="14594" width="0.85546875" style="616" hidden="1" customWidth="1"/>
    <col min="14595" max="14610" width="2.5703125" style="616" hidden="1" customWidth="1"/>
    <col min="14611" max="14611" width="4" style="616" hidden="1" customWidth="1"/>
    <col min="14612" max="14615" width="2.5703125" style="616" hidden="1" customWidth="1"/>
    <col min="14616" max="14616" width="2.42578125" style="616" hidden="1" customWidth="1"/>
    <col min="14617" max="14620" width="2.5703125" style="616" hidden="1" customWidth="1"/>
    <col min="14621" max="14621" width="2.42578125" style="616" hidden="1" customWidth="1"/>
    <col min="14622" max="14625" width="2.5703125" style="616" hidden="1" customWidth="1"/>
    <col min="14626" max="14631" width="2.42578125" style="616" hidden="1" customWidth="1"/>
    <col min="14632" max="14632" width="1.5703125" style="616" hidden="1" customWidth="1"/>
    <col min="14633" max="14848" width="2.5703125" style="616" hidden="1"/>
    <col min="14849" max="14849" width="1.5703125" style="616" hidden="1" customWidth="1"/>
    <col min="14850" max="14850" width="0.85546875" style="616" hidden="1" customWidth="1"/>
    <col min="14851" max="14866" width="2.5703125" style="616" hidden="1" customWidth="1"/>
    <col min="14867" max="14867" width="4" style="616" hidden="1" customWidth="1"/>
    <col min="14868" max="14871" width="2.5703125" style="616" hidden="1" customWidth="1"/>
    <col min="14872" max="14872" width="2.42578125" style="616" hidden="1" customWidth="1"/>
    <col min="14873" max="14876" width="2.5703125" style="616" hidden="1" customWidth="1"/>
    <col min="14877" max="14877" width="2.42578125" style="616" hidden="1" customWidth="1"/>
    <col min="14878" max="14881" width="2.5703125" style="616" hidden="1" customWidth="1"/>
    <col min="14882" max="14887" width="2.42578125" style="616" hidden="1" customWidth="1"/>
    <col min="14888" max="14888" width="1.5703125" style="616" hidden="1" customWidth="1"/>
    <col min="14889" max="15104" width="2.5703125" style="616" hidden="1"/>
    <col min="15105" max="15105" width="1.5703125" style="616" hidden="1" customWidth="1"/>
    <col min="15106" max="15106" width="0.85546875" style="616" hidden="1" customWidth="1"/>
    <col min="15107" max="15122" width="2.5703125" style="616" hidden="1" customWidth="1"/>
    <col min="15123" max="15123" width="4" style="616" hidden="1" customWidth="1"/>
    <col min="15124" max="15127" width="2.5703125" style="616" hidden="1" customWidth="1"/>
    <col min="15128" max="15128" width="2.42578125" style="616" hidden="1" customWidth="1"/>
    <col min="15129" max="15132" width="2.5703125" style="616" hidden="1" customWidth="1"/>
    <col min="15133" max="15133" width="2.42578125" style="616" hidden="1" customWidth="1"/>
    <col min="15134" max="15137" width="2.5703125" style="616" hidden="1" customWidth="1"/>
    <col min="15138" max="15143" width="2.42578125" style="616" hidden="1" customWidth="1"/>
    <col min="15144" max="15144" width="1.5703125" style="616" hidden="1" customWidth="1"/>
    <col min="15145" max="15360" width="2.5703125" style="616" hidden="1"/>
    <col min="15361" max="15361" width="1.5703125" style="616" hidden="1" customWidth="1"/>
    <col min="15362" max="15362" width="0.85546875" style="616" hidden="1" customWidth="1"/>
    <col min="15363" max="15378" width="2.5703125" style="616" hidden="1" customWidth="1"/>
    <col min="15379" max="15379" width="4" style="616" hidden="1" customWidth="1"/>
    <col min="15380" max="15383" width="2.5703125" style="616" hidden="1" customWidth="1"/>
    <col min="15384" max="15384" width="2.42578125" style="616" hidden="1" customWidth="1"/>
    <col min="15385" max="15388" width="2.5703125" style="616" hidden="1" customWidth="1"/>
    <col min="15389" max="15389" width="2.42578125" style="616" hidden="1" customWidth="1"/>
    <col min="15390" max="15393" width="2.5703125" style="616" hidden="1" customWidth="1"/>
    <col min="15394" max="15399" width="2.42578125" style="616" hidden="1" customWidth="1"/>
    <col min="15400" max="15400" width="1.5703125" style="616" hidden="1" customWidth="1"/>
    <col min="15401" max="15616" width="2.5703125" style="616" hidden="1"/>
    <col min="15617" max="15617" width="1.5703125" style="616" hidden="1" customWidth="1"/>
    <col min="15618" max="15618" width="0.85546875" style="616" hidden="1" customWidth="1"/>
    <col min="15619" max="15634" width="2.5703125" style="616" hidden="1" customWidth="1"/>
    <col min="15635" max="15635" width="4" style="616" hidden="1" customWidth="1"/>
    <col min="15636" max="15639" width="2.5703125" style="616" hidden="1" customWidth="1"/>
    <col min="15640" max="15640" width="2.42578125" style="616" hidden="1" customWidth="1"/>
    <col min="15641" max="15644" width="2.5703125" style="616" hidden="1" customWidth="1"/>
    <col min="15645" max="15645" width="2.42578125" style="616" hidden="1" customWidth="1"/>
    <col min="15646" max="15649" width="2.5703125" style="616" hidden="1" customWidth="1"/>
    <col min="15650" max="15655" width="2.42578125" style="616" hidden="1" customWidth="1"/>
    <col min="15656" max="15656" width="1.5703125" style="616" hidden="1" customWidth="1"/>
    <col min="15657" max="15872" width="2.5703125" style="616" hidden="1"/>
    <col min="15873" max="15873" width="1.5703125" style="616" hidden="1" customWidth="1"/>
    <col min="15874" max="15874" width="0.85546875" style="616" hidden="1" customWidth="1"/>
    <col min="15875" max="15890" width="2.5703125" style="616" hidden="1" customWidth="1"/>
    <col min="15891" max="15891" width="4" style="616" hidden="1" customWidth="1"/>
    <col min="15892" max="15895" width="2.5703125" style="616" hidden="1" customWidth="1"/>
    <col min="15896" max="15896" width="2.42578125" style="616" hidden="1" customWidth="1"/>
    <col min="15897" max="15900" width="2.5703125" style="616" hidden="1" customWidth="1"/>
    <col min="15901" max="15901" width="2.42578125" style="616" hidden="1" customWidth="1"/>
    <col min="15902" max="15905" width="2.5703125" style="616" hidden="1" customWidth="1"/>
    <col min="15906" max="15911" width="2.42578125" style="616" hidden="1" customWidth="1"/>
    <col min="15912" max="15912" width="1.5703125" style="616" hidden="1" customWidth="1"/>
    <col min="15913" max="16128" width="2.5703125" style="616" hidden="1"/>
    <col min="16129" max="16129" width="1.5703125" style="616" hidden="1" customWidth="1"/>
    <col min="16130" max="16130" width="0.85546875" style="616" hidden="1" customWidth="1"/>
    <col min="16131" max="16146" width="2.5703125" style="616" hidden="1" customWidth="1"/>
    <col min="16147" max="16147" width="4" style="616" hidden="1" customWidth="1"/>
    <col min="16148" max="16151" width="2.5703125" style="616" hidden="1" customWidth="1"/>
    <col min="16152" max="16152" width="2.42578125" style="616" hidden="1" customWidth="1"/>
    <col min="16153" max="16156" width="2.5703125" style="616" hidden="1" customWidth="1"/>
    <col min="16157" max="16157" width="2.42578125" style="616" hidden="1" customWidth="1"/>
    <col min="16158" max="16161" width="2.5703125" style="616" hidden="1" customWidth="1"/>
    <col min="16162" max="16167" width="2.42578125" style="616" hidden="1" customWidth="1"/>
    <col min="16168" max="16168" width="1.5703125" style="616" hidden="1" customWidth="1"/>
    <col min="16169" max="16384" width="2.5703125" style="616" hidden="1"/>
  </cols>
  <sheetData>
    <row r="1" spans="1:98" ht="12.75" customHeight="1">
      <c r="A1" s="3334" t="s">
        <v>1523</v>
      </c>
      <c r="B1" s="3334"/>
      <c r="C1" s="3334"/>
      <c r="D1" s="3334"/>
      <c r="E1" s="3334"/>
      <c r="F1" s="3334"/>
      <c r="G1" s="3334"/>
      <c r="H1" s="3334"/>
      <c r="I1" s="3334"/>
      <c r="J1" s="3334"/>
      <c r="K1" s="3334"/>
      <c r="L1" s="3334"/>
      <c r="M1" s="3334"/>
      <c r="N1" s="3334"/>
      <c r="O1" s="3334"/>
      <c r="P1" s="3334"/>
      <c r="Q1" s="3334"/>
      <c r="R1" s="3334"/>
      <c r="S1" s="3334"/>
      <c r="T1" s="3334"/>
      <c r="U1" s="3334"/>
      <c r="V1" s="3334"/>
      <c r="W1" s="3334"/>
      <c r="X1" s="3334"/>
      <c r="Y1" s="3334"/>
      <c r="Z1" s="3334"/>
      <c r="AA1" s="3334"/>
      <c r="AB1" s="3334"/>
      <c r="AC1" s="3334"/>
      <c r="AD1" s="3334"/>
      <c r="AE1" s="3334"/>
      <c r="AF1" s="3334"/>
      <c r="AG1" s="3334"/>
      <c r="AH1" s="3334"/>
      <c r="AI1" s="3334"/>
      <c r="AJ1" s="3334"/>
      <c r="AK1" s="3334"/>
      <c r="AL1" s="3334"/>
      <c r="AM1" s="3334"/>
      <c r="AN1" s="3334"/>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5" thickBot="1">
      <c r="A2" s="3335"/>
      <c r="B2" s="3335"/>
      <c r="C2" s="3335"/>
      <c r="D2" s="3335"/>
      <c r="E2" s="3335"/>
      <c r="F2" s="3335"/>
      <c r="G2" s="3335"/>
      <c r="H2" s="3335"/>
      <c r="I2" s="3335"/>
      <c r="J2" s="3335"/>
      <c r="K2" s="3335"/>
      <c r="L2" s="3335"/>
      <c r="M2" s="3335"/>
      <c r="N2" s="3335"/>
      <c r="O2" s="3335"/>
      <c r="P2" s="3335"/>
      <c r="Q2" s="3335"/>
      <c r="R2" s="3335"/>
      <c r="S2" s="3335"/>
      <c r="T2" s="3335"/>
      <c r="U2" s="3335"/>
      <c r="V2" s="3335"/>
      <c r="W2" s="3335"/>
      <c r="X2" s="3335"/>
      <c r="Y2" s="3335"/>
      <c r="Z2" s="3335"/>
      <c r="AA2" s="3335"/>
      <c r="AB2" s="3335"/>
      <c r="AC2" s="3335"/>
      <c r="AD2" s="3335"/>
      <c r="AE2" s="3335"/>
      <c r="AF2" s="3335"/>
      <c r="AG2" s="3335"/>
      <c r="AH2" s="3335"/>
      <c r="AI2" s="3335"/>
      <c r="AJ2" s="3335"/>
      <c r="AK2" s="3335"/>
      <c r="AL2" s="3335"/>
      <c r="AM2" s="3335"/>
      <c r="AN2" s="3335"/>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2.75">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2.75">
      <c r="A5" s="621" t="s">
        <v>328</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2.75">
      <c r="A6" s="621"/>
      <c r="B6" s="616"/>
      <c r="C6" s="671" t="s">
        <v>1453</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15" customHeight="1">
      <c r="A7" s="616"/>
      <c r="B7" s="622"/>
      <c r="C7" s="623"/>
      <c r="D7" s="623"/>
      <c r="E7" s="623"/>
      <c r="F7" s="623"/>
      <c r="G7" s="623"/>
      <c r="H7" s="623"/>
      <c r="I7" s="623"/>
      <c r="J7" s="623"/>
      <c r="K7" s="623"/>
      <c r="L7" s="623"/>
      <c r="M7" s="623"/>
      <c r="N7" s="623"/>
      <c r="O7" s="623"/>
      <c r="P7" s="623"/>
      <c r="Q7" s="623"/>
      <c r="R7" s="623"/>
      <c r="S7" s="623"/>
      <c r="T7" s="3309" t="str">
        <f xml:space="preserve"> IF(T25=100%,'Sources and Basis Breakdown'!G2,'Sources and Basis Breakdown'!F2)</f>
        <v>30% PVC for New Const/
Rehabilitation
NON-DDA/
NON-QCT Building(s)</v>
      </c>
      <c r="U7" s="3309"/>
      <c r="V7" s="3309"/>
      <c r="W7" s="3309"/>
      <c r="X7" s="3309"/>
      <c r="Y7" s="3309" t="str">
        <f>IF(T25=100%," ",'Sources and Basis Breakdown'!G2)</f>
        <v xml:space="preserve"> </v>
      </c>
      <c r="Z7" s="3309"/>
      <c r="AA7" s="3309"/>
      <c r="AB7" s="3309"/>
      <c r="AC7" s="3309"/>
      <c r="AD7" s="3309" t="str">
        <f xml:space="preserve"> IF(T25=100%, 'Sources and Basis Breakdown'!J2,'Sources and Basis Breakdown'!I2)</f>
        <v>30% PVC for Acquisition
NON-DDA/
NON-QCT Building(s)</v>
      </c>
      <c r="AE7" s="3309"/>
      <c r="AF7" s="3309"/>
      <c r="AG7" s="3309"/>
      <c r="AH7" s="3309"/>
      <c r="AI7" s="3309" t="str">
        <f>IF(T25=100%," ",'Sources and Basis Breakdown'!J2)</f>
        <v xml:space="preserve"> </v>
      </c>
      <c r="AJ7" s="3309"/>
      <c r="AK7" s="3309"/>
      <c r="AL7" s="3309"/>
      <c r="AM7" s="3309"/>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09"/>
      <c r="U8" s="3309"/>
      <c r="V8" s="3309"/>
      <c r="W8" s="3309"/>
      <c r="X8" s="3309"/>
      <c r="Y8" s="3309"/>
      <c r="Z8" s="3309"/>
      <c r="AA8" s="3309"/>
      <c r="AB8" s="3309"/>
      <c r="AC8" s="3309"/>
      <c r="AD8" s="3309"/>
      <c r="AE8" s="3309"/>
      <c r="AF8" s="3309"/>
      <c r="AG8" s="3309"/>
      <c r="AH8" s="3309"/>
      <c r="AI8" s="3309"/>
      <c r="AJ8" s="3309"/>
      <c r="AK8" s="3309"/>
      <c r="AL8" s="3309"/>
      <c r="AM8" s="3309"/>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75">
      <c r="A9" s="616"/>
      <c r="B9" s="624"/>
      <c r="C9" s="625"/>
      <c r="D9" s="625"/>
      <c r="E9" s="625"/>
      <c r="F9" s="625"/>
      <c r="G9" s="625"/>
      <c r="H9" s="625"/>
      <c r="I9" s="625"/>
      <c r="J9" s="625"/>
      <c r="K9" s="625"/>
      <c r="L9" s="625"/>
      <c r="M9" s="625"/>
      <c r="N9" s="625"/>
      <c r="O9" s="625"/>
      <c r="P9" s="625"/>
      <c r="Q9" s="625"/>
      <c r="R9" s="625"/>
      <c r="S9" s="625"/>
      <c r="T9" s="3309"/>
      <c r="U9" s="3309"/>
      <c r="V9" s="3309"/>
      <c r="W9" s="3309"/>
      <c r="X9" s="3309"/>
      <c r="Y9" s="3309"/>
      <c r="Z9" s="3309"/>
      <c r="AA9" s="3309"/>
      <c r="AB9" s="3309"/>
      <c r="AC9" s="3309"/>
      <c r="AD9" s="3309"/>
      <c r="AE9" s="3309"/>
      <c r="AF9" s="3309"/>
      <c r="AG9" s="3309"/>
      <c r="AH9" s="3309"/>
      <c r="AI9" s="3309"/>
      <c r="AJ9" s="3309"/>
      <c r="AK9" s="3309"/>
      <c r="AL9" s="3309"/>
      <c r="AM9" s="3309"/>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65" customHeight="1">
      <c r="A10" s="616"/>
      <c r="B10" s="626"/>
      <c r="C10" s="627"/>
      <c r="D10" s="627"/>
      <c r="E10" s="627"/>
      <c r="F10" s="627"/>
      <c r="G10" s="627"/>
      <c r="H10" s="627"/>
      <c r="I10" s="627"/>
      <c r="J10" s="627"/>
      <c r="K10" s="627"/>
      <c r="L10" s="627"/>
      <c r="M10" s="627"/>
      <c r="N10" s="627"/>
      <c r="O10" s="627"/>
      <c r="P10" s="627"/>
      <c r="Q10" s="627"/>
      <c r="R10" s="627"/>
      <c r="S10" s="627"/>
      <c r="T10" s="3309"/>
      <c r="U10" s="3309"/>
      <c r="V10" s="3309"/>
      <c r="W10" s="3309"/>
      <c r="X10" s="3309"/>
      <c r="Y10" s="3309"/>
      <c r="Z10" s="3309"/>
      <c r="AA10" s="3309"/>
      <c r="AB10" s="3309"/>
      <c r="AC10" s="3309"/>
      <c r="AD10" s="3309"/>
      <c r="AE10" s="3309"/>
      <c r="AF10" s="3309"/>
      <c r="AG10" s="3309"/>
      <c r="AH10" s="3309"/>
      <c r="AI10" s="3309"/>
      <c r="AJ10" s="3309"/>
      <c r="AK10" s="3309"/>
      <c r="AL10" s="3309"/>
      <c r="AM10" s="3309"/>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2.75">
      <c r="A11" s="616"/>
      <c r="B11" s="3291" t="s">
        <v>393</v>
      </c>
      <c r="C11" s="3292"/>
      <c r="D11" s="3292"/>
      <c r="E11" s="3292"/>
      <c r="F11" s="3292"/>
      <c r="G11" s="3292"/>
      <c r="H11" s="3292"/>
      <c r="I11" s="3292"/>
      <c r="J11" s="3292"/>
      <c r="K11" s="3292"/>
      <c r="L11" s="3292"/>
      <c r="M11" s="3292"/>
      <c r="N11" s="3292"/>
      <c r="O11" s="3292"/>
      <c r="P11" s="3292"/>
      <c r="Q11" s="3292"/>
      <c r="R11" s="3292"/>
      <c r="S11" s="3293"/>
      <c r="T11" s="3336">
        <f>IF('Sources and Basis Breakdown'!F107=0,'Sources and Basis Breakdown'!E107,'Sources and Basis Breakdown'!F107)</f>
        <v>25392287</v>
      </c>
      <c r="U11" s="3337"/>
      <c r="V11" s="3337"/>
      <c r="W11" s="3337"/>
      <c r="X11" s="3337"/>
      <c r="Y11" s="3336">
        <f>IF(Y7=" ",0,IF('Sources and Basis Breakdown'!G107+'Sources and Basis Breakdown'!F107='Sources and Basis Breakdown'!E107,'Sources and Basis Breakdown'!G107,0))</f>
        <v>0</v>
      </c>
      <c r="Z11" s="3337"/>
      <c r="AA11" s="3337"/>
      <c r="AB11" s="3337"/>
      <c r="AC11" s="3337"/>
      <c r="AD11" s="3337">
        <f>IF('Sources and Basis Breakdown'!I107=0,'Sources and Basis Breakdown'!H107,'Sources and Basis Breakdown'!I107)</f>
        <v>0</v>
      </c>
      <c r="AE11" s="3337"/>
      <c r="AF11" s="3337"/>
      <c r="AG11" s="3337"/>
      <c r="AH11" s="3337"/>
      <c r="AI11" s="3337">
        <f>IF(Y7=" ",0,IF('Sources and Basis Breakdown'!I107+'Sources and Basis Breakdown'!J107='Sources and Basis Breakdown'!H107,'Sources and Basis Breakdown'!J107,0))</f>
        <v>0</v>
      </c>
      <c r="AJ11" s="3337"/>
      <c r="AK11" s="3337"/>
      <c r="AL11" s="3337"/>
      <c r="AM11" s="3337"/>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2.75">
      <c r="A12" s="616"/>
      <c r="B12" s="3340" t="s">
        <v>530</v>
      </c>
      <c r="C12" s="3341"/>
      <c r="D12" s="3341"/>
      <c r="E12" s="3341"/>
      <c r="F12" s="3341"/>
      <c r="G12" s="3341"/>
      <c r="H12" s="3341"/>
      <c r="I12" s="3341"/>
      <c r="J12" s="3341"/>
      <c r="K12" s="3341"/>
      <c r="L12" s="3341"/>
      <c r="M12" s="3341"/>
      <c r="N12" s="3341"/>
      <c r="O12" s="3341"/>
      <c r="P12" s="3341"/>
      <c r="Q12" s="3341"/>
      <c r="R12" s="3341"/>
      <c r="S12" s="3342"/>
      <c r="T12" s="3329"/>
      <c r="U12" s="3330"/>
      <c r="V12" s="3330"/>
      <c r="W12" s="3330"/>
      <c r="X12" s="3331"/>
      <c r="Y12" s="3329"/>
      <c r="Z12" s="3330"/>
      <c r="AA12" s="3330"/>
      <c r="AB12" s="3330"/>
      <c r="AC12" s="3331"/>
      <c r="AD12" s="3329"/>
      <c r="AE12" s="3330"/>
      <c r="AF12" s="3330"/>
      <c r="AG12" s="3330"/>
      <c r="AH12" s="3331"/>
      <c r="AI12" s="3329"/>
      <c r="AJ12" s="3330"/>
      <c r="AK12" s="3330"/>
      <c r="AL12" s="3330"/>
      <c r="AM12" s="3331"/>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75">
      <c r="A13" s="616"/>
      <c r="B13" s="668"/>
      <c r="C13" s="3343" t="s">
        <v>531</v>
      </c>
      <c r="D13" s="3343"/>
      <c r="E13" s="3343"/>
      <c r="F13" s="3343"/>
      <c r="G13" s="3343"/>
      <c r="H13" s="3343"/>
      <c r="I13" s="3343"/>
      <c r="J13" s="3343"/>
      <c r="K13" s="3343"/>
      <c r="L13" s="3343"/>
      <c r="M13" s="3343"/>
      <c r="N13" s="3343"/>
      <c r="O13" s="3343"/>
      <c r="P13" s="3343"/>
      <c r="Q13" s="3343"/>
      <c r="R13" s="3343"/>
      <c r="S13" s="3344"/>
      <c r="T13" s="3332"/>
      <c r="U13" s="3333"/>
      <c r="V13" s="3333"/>
      <c r="W13" s="3333"/>
      <c r="X13" s="3333"/>
      <c r="Y13" s="3332"/>
      <c r="Z13" s="3333"/>
      <c r="AA13" s="3333"/>
      <c r="AB13" s="3333"/>
      <c r="AC13" s="3333"/>
      <c r="AD13" s="3333"/>
      <c r="AE13" s="3333"/>
      <c r="AF13" s="3333"/>
      <c r="AG13" s="3333"/>
      <c r="AH13" s="3333"/>
      <c r="AI13" s="3333"/>
      <c r="AJ13" s="3333"/>
      <c r="AK13" s="3333"/>
      <c r="AL13" s="3333"/>
      <c r="AM13" s="3333"/>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75">
      <c r="A14" s="616"/>
      <c r="B14" s="668"/>
      <c r="C14" s="3343" t="s">
        <v>532</v>
      </c>
      <c r="D14" s="3343"/>
      <c r="E14" s="3343"/>
      <c r="F14" s="3343"/>
      <c r="G14" s="3343"/>
      <c r="H14" s="3343"/>
      <c r="I14" s="3343"/>
      <c r="J14" s="3343"/>
      <c r="K14" s="3343"/>
      <c r="L14" s="3343"/>
      <c r="M14" s="3343"/>
      <c r="N14" s="3343"/>
      <c r="O14" s="3343"/>
      <c r="P14" s="3343"/>
      <c r="Q14" s="3343"/>
      <c r="R14" s="3343"/>
      <c r="S14" s="3344"/>
      <c r="T14" s="3318"/>
      <c r="U14" s="3319"/>
      <c r="V14" s="3319"/>
      <c r="W14" s="3319"/>
      <c r="X14" s="3319"/>
      <c r="Y14" s="3318"/>
      <c r="Z14" s="3319"/>
      <c r="AA14" s="3319"/>
      <c r="AB14" s="3319"/>
      <c r="AC14" s="3319"/>
      <c r="AD14" s="3319"/>
      <c r="AE14" s="3319"/>
      <c r="AF14" s="3319"/>
      <c r="AG14" s="3319"/>
      <c r="AH14" s="3319"/>
      <c r="AI14" s="3319"/>
      <c r="AJ14" s="3319"/>
      <c r="AK14" s="3319"/>
      <c r="AL14" s="3319"/>
      <c r="AM14" s="3319"/>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75">
      <c r="A15" s="616"/>
      <c r="B15" s="668"/>
      <c r="C15" s="3343" t="s">
        <v>533</v>
      </c>
      <c r="D15" s="3343"/>
      <c r="E15" s="3343"/>
      <c r="F15" s="3343"/>
      <c r="G15" s="3343"/>
      <c r="H15" s="3343"/>
      <c r="I15" s="3343"/>
      <c r="J15" s="3343"/>
      <c r="K15" s="3343"/>
      <c r="L15" s="3343"/>
      <c r="M15" s="3343"/>
      <c r="N15" s="3343"/>
      <c r="O15" s="3343"/>
      <c r="P15" s="3343"/>
      <c r="Q15" s="3343"/>
      <c r="R15" s="3343"/>
      <c r="S15" s="3344"/>
      <c r="T15" s="3318"/>
      <c r="U15" s="3319"/>
      <c r="V15" s="3319"/>
      <c r="W15" s="3319"/>
      <c r="X15" s="3319"/>
      <c r="Y15" s="3318"/>
      <c r="Z15" s="3319"/>
      <c r="AA15" s="3319"/>
      <c r="AB15" s="3319"/>
      <c r="AC15" s="3319"/>
      <c r="AD15" s="3319"/>
      <c r="AE15" s="3319"/>
      <c r="AF15" s="3319"/>
      <c r="AG15" s="3319"/>
      <c r="AH15" s="3319"/>
      <c r="AI15" s="3319"/>
      <c r="AJ15" s="3319"/>
      <c r="AK15" s="3319"/>
      <c r="AL15" s="3319"/>
      <c r="AM15" s="3319"/>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75">
      <c r="A16" s="616"/>
      <c r="B16" s="668"/>
      <c r="C16" s="3343" t="s">
        <v>864</v>
      </c>
      <c r="D16" s="3343"/>
      <c r="E16" s="3343"/>
      <c r="F16" s="3343"/>
      <c r="G16" s="3343"/>
      <c r="H16" s="3343"/>
      <c r="I16" s="3343"/>
      <c r="J16" s="3343"/>
      <c r="K16" s="3343"/>
      <c r="L16" s="3343"/>
      <c r="M16" s="3343"/>
      <c r="N16" s="3343"/>
      <c r="O16" s="3343"/>
      <c r="P16" s="3343"/>
      <c r="Q16" s="3343"/>
      <c r="R16" s="3343"/>
      <c r="S16" s="3344"/>
      <c r="T16" s="3318"/>
      <c r="U16" s="3319"/>
      <c r="V16" s="3319"/>
      <c r="W16" s="3319"/>
      <c r="X16" s="3319"/>
      <c r="Y16" s="3318"/>
      <c r="Z16" s="3319"/>
      <c r="AA16" s="3319"/>
      <c r="AB16" s="3319"/>
      <c r="AC16" s="3319"/>
      <c r="AD16" s="3319"/>
      <c r="AE16" s="3319"/>
      <c r="AF16" s="3319"/>
      <c r="AG16" s="3319"/>
      <c r="AH16" s="3319"/>
      <c r="AI16" s="3319"/>
      <c r="AJ16" s="3319"/>
      <c r="AK16" s="3319"/>
      <c r="AL16" s="3319"/>
      <c r="AM16" s="3319"/>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75">
      <c r="A17" s="616"/>
      <c r="B17" s="668"/>
      <c r="C17" s="3343" t="s">
        <v>534</v>
      </c>
      <c r="D17" s="3343"/>
      <c r="E17" s="3343"/>
      <c r="F17" s="3343"/>
      <c r="G17" s="3343"/>
      <c r="H17" s="3343"/>
      <c r="I17" s="3343"/>
      <c r="J17" s="3343"/>
      <c r="K17" s="3343"/>
      <c r="L17" s="3343"/>
      <c r="M17" s="3343"/>
      <c r="N17" s="3343"/>
      <c r="O17" s="3343"/>
      <c r="P17" s="3343"/>
      <c r="Q17" s="3343"/>
      <c r="R17" s="3343"/>
      <c r="S17" s="3344"/>
      <c r="T17" s="3318"/>
      <c r="U17" s="3319"/>
      <c r="V17" s="3319"/>
      <c r="W17" s="3319"/>
      <c r="X17" s="3319"/>
      <c r="Y17" s="3318"/>
      <c r="Z17" s="3319"/>
      <c r="AA17" s="3319"/>
      <c r="AB17" s="3319"/>
      <c r="AC17" s="3319"/>
      <c r="AD17" s="3319"/>
      <c r="AE17" s="3319"/>
      <c r="AF17" s="3319"/>
      <c r="AG17" s="3319"/>
      <c r="AH17" s="3319"/>
      <c r="AI17" s="3319"/>
      <c r="AJ17" s="3319"/>
      <c r="AK17" s="3319"/>
      <c r="AL17" s="3319"/>
      <c r="AM17" s="3319"/>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75">
      <c r="A18" s="616"/>
      <c r="B18" s="669"/>
      <c r="C18" s="3338" t="s">
        <v>1039</v>
      </c>
      <c r="D18" s="3338"/>
      <c r="E18" s="3338"/>
      <c r="F18" s="3338"/>
      <c r="G18" s="3338"/>
      <c r="H18" s="3338"/>
      <c r="I18" s="3338"/>
      <c r="J18" s="3338"/>
      <c r="K18" s="3338"/>
      <c r="L18" s="3338"/>
      <c r="M18" s="3338"/>
      <c r="N18" s="3338"/>
      <c r="O18" s="3338"/>
      <c r="P18" s="3338"/>
      <c r="Q18" s="3338"/>
      <c r="R18" s="3338"/>
      <c r="S18" s="3339"/>
      <c r="T18" s="3318"/>
      <c r="U18" s="3319"/>
      <c r="V18" s="3319"/>
      <c r="W18" s="3319"/>
      <c r="X18" s="3319"/>
      <c r="Y18" s="3318"/>
      <c r="Z18" s="3319"/>
      <c r="AA18" s="3319"/>
      <c r="AB18" s="3319"/>
      <c r="AC18" s="3319"/>
      <c r="AD18" s="3319"/>
      <c r="AE18" s="3319"/>
      <c r="AF18" s="3319"/>
      <c r="AG18" s="3319"/>
      <c r="AH18" s="3319"/>
      <c r="AI18" s="3319"/>
      <c r="AJ18" s="3319"/>
      <c r="AK18" s="3319"/>
      <c r="AL18" s="3319"/>
      <c r="AM18" s="3319"/>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75">
      <c r="A19" s="616"/>
      <c r="B19" s="669"/>
      <c r="C19" s="3338" t="s">
        <v>1039</v>
      </c>
      <c r="D19" s="3338"/>
      <c r="E19" s="3338"/>
      <c r="F19" s="3338"/>
      <c r="G19" s="3338"/>
      <c r="H19" s="3338"/>
      <c r="I19" s="3338"/>
      <c r="J19" s="3338"/>
      <c r="K19" s="3338"/>
      <c r="L19" s="3338"/>
      <c r="M19" s="3338"/>
      <c r="N19" s="3338"/>
      <c r="O19" s="3338"/>
      <c r="P19" s="3338"/>
      <c r="Q19" s="3338"/>
      <c r="R19" s="3338"/>
      <c r="S19" s="3339"/>
      <c r="T19" s="3318"/>
      <c r="U19" s="3319"/>
      <c r="V19" s="3319"/>
      <c r="W19" s="3319"/>
      <c r="X19" s="3319"/>
      <c r="Y19" s="3318"/>
      <c r="Z19" s="3319"/>
      <c r="AA19" s="3319"/>
      <c r="AB19" s="3319"/>
      <c r="AC19" s="3319"/>
      <c r="AD19" s="3319"/>
      <c r="AE19" s="3319"/>
      <c r="AF19" s="3319"/>
      <c r="AG19" s="3319"/>
      <c r="AH19" s="3319"/>
      <c r="AI19" s="3319"/>
      <c r="AJ19" s="3319"/>
      <c r="AK19" s="3319"/>
      <c r="AL19" s="3319"/>
      <c r="AM19" s="3319"/>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2.75">
      <c r="A20" s="616"/>
      <c r="B20" s="3291" t="s">
        <v>535</v>
      </c>
      <c r="C20" s="3292"/>
      <c r="D20" s="3292"/>
      <c r="E20" s="3292"/>
      <c r="F20" s="3292"/>
      <c r="G20" s="3292"/>
      <c r="H20" s="3292"/>
      <c r="I20" s="3292"/>
      <c r="J20" s="3292"/>
      <c r="K20" s="3292"/>
      <c r="L20" s="3292"/>
      <c r="M20" s="3292"/>
      <c r="N20" s="3292"/>
      <c r="O20" s="3292"/>
      <c r="P20" s="3292"/>
      <c r="Q20" s="3292"/>
      <c r="R20" s="3292"/>
      <c r="S20" s="3293"/>
      <c r="T20" s="3308">
        <f>SUM(T13:X19)</f>
        <v>0</v>
      </c>
      <c r="U20" s="3311"/>
      <c r="V20" s="3311"/>
      <c r="W20" s="3311"/>
      <c r="X20" s="3311"/>
      <c r="Y20" s="3308">
        <f>SUM(Y13:AC19)</f>
        <v>0</v>
      </c>
      <c r="Z20" s="3311"/>
      <c r="AA20" s="3311"/>
      <c r="AB20" s="3311"/>
      <c r="AC20" s="3311"/>
      <c r="AD20" s="3306">
        <f>SUM(AD13:AH19)</f>
        <v>0</v>
      </c>
      <c r="AE20" s="3307"/>
      <c r="AF20" s="3307"/>
      <c r="AG20" s="3307"/>
      <c r="AH20" s="3308"/>
      <c r="AI20" s="3306">
        <f>SUM(AI13:AM19)</f>
        <v>0</v>
      </c>
      <c r="AJ20" s="3307"/>
      <c r="AK20" s="3307"/>
      <c r="AL20" s="3307"/>
      <c r="AM20" s="3308"/>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2.75">
      <c r="A21" s="616"/>
      <c r="B21" s="3291" t="s">
        <v>1495</v>
      </c>
      <c r="C21" s="3292"/>
      <c r="D21" s="3292"/>
      <c r="E21" s="3292"/>
      <c r="F21" s="3292"/>
      <c r="G21" s="3292"/>
      <c r="H21" s="3292"/>
      <c r="I21" s="3292"/>
      <c r="J21" s="3292"/>
      <c r="K21" s="3292"/>
      <c r="L21" s="3292"/>
      <c r="M21" s="3292"/>
      <c r="N21" s="3292"/>
      <c r="O21" s="3292"/>
      <c r="P21" s="3292"/>
      <c r="Q21" s="3292"/>
      <c r="R21" s="3292"/>
      <c r="S21" s="3293"/>
      <c r="T21" s="3318"/>
      <c r="U21" s="3319"/>
      <c r="V21" s="3319"/>
      <c r="W21" s="3319"/>
      <c r="X21" s="3319"/>
      <c r="Y21" s="3318"/>
      <c r="Z21" s="3319"/>
      <c r="AA21" s="3319"/>
      <c r="AB21" s="3319"/>
      <c r="AC21" s="3319"/>
      <c r="AD21" s="3329"/>
      <c r="AE21" s="3330"/>
      <c r="AF21" s="3330"/>
      <c r="AG21" s="3330"/>
      <c r="AH21" s="3331"/>
      <c r="AI21" s="3329"/>
      <c r="AJ21" s="3330"/>
      <c r="AK21" s="3330"/>
      <c r="AL21" s="3330"/>
      <c r="AM21" s="3331"/>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2.75">
      <c r="A22" s="616"/>
      <c r="B22" s="3291" t="s">
        <v>536</v>
      </c>
      <c r="C22" s="3292"/>
      <c r="D22" s="3292"/>
      <c r="E22" s="3292"/>
      <c r="F22" s="3292"/>
      <c r="G22" s="3292"/>
      <c r="H22" s="3292"/>
      <c r="I22" s="3292"/>
      <c r="J22" s="3292"/>
      <c r="K22" s="3292"/>
      <c r="L22" s="3292"/>
      <c r="M22" s="3292"/>
      <c r="N22" s="3292"/>
      <c r="O22" s="3292"/>
      <c r="P22" s="3292"/>
      <c r="Q22" s="3292"/>
      <c r="R22" s="3292"/>
      <c r="S22" s="3293"/>
      <c r="T22" s="3314">
        <f>(T20+T21)*-1</f>
        <v>0</v>
      </c>
      <c r="U22" s="3315"/>
      <c r="V22" s="3315"/>
      <c r="W22" s="3315"/>
      <c r="X22" s="3315"/>
      <c r="Y22" s="3314">
        <f>(Y20+Y21)*-1</f>
        <v>0</v>
      </c>
      <c r="Z22" s="3315"/>
      <c r="AA22" s="3315"/>
      <c r="AB22" s="3315"/>
      <c r="AC22" s="3315"/>
      <c r="AD22" s="3316">
        <f>(AD20)*-1</f>
        <v>0</v>
      </c>
      <c r="AE22" s="3317"/>
      <c r="AF22" s="3317"/>
      <c r="AG22" s="3317"/>
      <c r="AH22" s="3314"/>
      <c r="AI22" s="3316">
        <f>(AI20)*-1</f>
        <v>0</v>
      </c>
      <c r="AJ22" s="3317"/>
      <c r="AK22" s="3317"/>
      <c r="AL22" s="3317"/>
      <c r="AM22" s="3314"/>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2.75">
      <c r="A23" s="617"/>
      <c r="B23" s="3347" t="s">
        <v>537</v>
      </c>
      <c r="C23" s="3348"/>
      <c r="D23" s="3348"/>
      <c r="E23" s="3348"/>
      <c r="F23" s="3348"/>
      <c r="G23" s="3348"/>
      <c r="H23" s="3348"/>
      <c r="I23" s="3348"/>
      <c r="J23" s="3348"/>
      <c r="K23" s="3348"/>
      <c r="L23" s="3348"/>
      <c r="M23" s="3348"/>
      <c r="N23" s="3348"/>
      <c r="O23" s="3348"/>
      <c r="P23" s="3348"/>
      <c r="Q23" s="3348"/>
      <c r="R23" s="3348"/>
      <c r="S23" s="3349"/>
      <c r="T23" s="3308">
        <f>T11+T22</f>
        <v>25392287</v>
      </c>
      <c r="U23" s="3311"/>
      <c r="V23" s="3311"/>
      <c r="W23" s="3311"/>
      <c r="X23" s="3311"/>
      <c r="Y23" s="3308">
        <f>Y11+Y22</f>
        <v>0</v>
      </c>
      <c r="Z23" s="3311"/>
      <c r="AA23" s="3311"/>
      <c r="AB23" s="3311"/>
      <c r="AC23" s="3311"/>
      <c r="AD23" s="3308">
        <f>AD11+AD22</f>
        <v>0</v>
      </c>
      <c r="AE23" s="3311"/>
      <c r="AF23" s="3311"/>
      <c r="AG23" s="3311"/>
      <c r="AH23" s="3311"/>
      <c r="AI23" s="3308">
        <f>AI11+AI22</f>
        <v>0</v>
      </c>
      <c r="AJ23" s="3311"/>
      <c r="AK23" s="3311"/>
      <c r="AL23" s="3311"/>
      <c r="AM23" s="3311"/>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2.75">
      <c r="A24" s="616"/>
      <c r="B24" s="3291" t="s">
        <v>1040</v>
      </c>
      <c r="C24" s="3292"/>
      <c r="D24" s="3292"/>
      <c r="E24" s="3292"/>
      <c r="F24" s="3292"/>
      <c r="G24" s="3292"/>
      <c r="H24" s="3292"/>
      <c r="I24" s="3292"/>
      <c r="J24" s="3292"/>
      <c r="K24" s="3292"/>
      <c r="L24" s="3292"/>
      <c r="M24" s="3292"/>
      <c r="N24" s="3292"/>
      <c r="O24" s="3292"/>
      <c r="P24" s="3292"/>
      <c r="Q24" s="3292"/>
      <c r="R24" s="3292"/>
      <c r="S24" s="3293"/>
      <c r="T24" s="3306">
        <f>Application!AJ1032</f>
        <v>52785264.210000001</v>
      </c>
      <c r="U24" s="3307"/>
      <c r="V24" s="3307"/>
      <c r="W24" s="3307"/>
      <c r="X24" s="3307"/>
      <c r="Y24" s="3307"/>
      <c r="Z24" s="3307"/>
      <c r="AA24" s="3307"/>
      <c r="AB24" s="3307"/>
      <c r="AC24" s="3307"/>
      <c r="AD24" s="3307"/>
      <c r="AE24" s="3307"/>
      <c r="AF24" s="3307"/>
      <c r="AG24" s="3307"/>
      <c r="AH24" s="3307"/>
      <c r="AI24" s="3307"/>
      <c r="AJ24" s="3307"/>
      <c r="AK24" s="3307"/>
      <c r="AL24" s="3307"/>
      <c r="AM24" s="3308"/>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75">
      <c r="A25" s="616"/>
      <c r="B25" s="3350" t="s">
        <v>1496</v>
      </c>
      <c r="C25" s="3351"/>
      <c r="D25" s="3351"/>
      <c r="E25" s="3351"/>
      <c r="F25" s="3351"/>
      <c r="G25" s="3351"/>
      <c r="H25" s="3351"/>
      <c r="I25" s="3351"/>
      <c r="J25" s="3351"/>
      <c r="K25" s="3351"/>
      <c r="L25" s="3351"/>
      <c r="M25" s="3351"/>
      <c r="N25" s="3351"/>
      <c r="O25" s="3351"/>
      <c r="P25" s="3351"/>
      <c r="Q25" s="3351"/>
      <c r="R25" s="3351"/>
      <c r="S25" s="3352"/>
      <c r="T25" s="3324">
        <f>IF(OR(Application!T195="yes",Application!T194="yes"),1.3,1)</f>
        <v>1</v>
      </c>
      <c r="U25" s="3325"/>
      <c r="V25" s="3325"/>
      <c r="W25" s="3325"/>
      <c r="X25" s="3325"/>
      <c r="Y25" s="3324">
        <v>1</v>
      </c>
      <c r="Z25" s="3325"/>
      <c r="AA25" s="3325"/>
      <c r="AB25" s="3325"/>
      <c r="AC25" s="3325"/>
      <c r="AD25" s="3324">
        <v>1</v>
      </c>
      <c r="AE25" s="3325"/>
      <c r="AF25" s="3325"/>
      <c r="AG25" s="3325"/>
      <c r="AH25" s="3326"/>
      <c r="AI25" s="3324">
        <v>1</v>
      </c>
      <c r="AJ25" s="3325"/>
      <c r="AK25" s="3325"/>
      <c r="AL25" s="3325"/>
      <c r="AM25" s="3326"/>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2.75">
      <c r="A26" s="616"/>
      <c r="B26" s="3291" t="s">
        <v>538</v>
      </c>
      <c r="C26" s="3292"/>
      <c r="D26" s="3292"/>
      <c r="E26" s="3292"/>
      <c r="F26" s="3292"/>
      <c r="G26" s="3292"/>
      <c r="H26" s="3292"/>
      <c r="I26" s="3292"/>
      <c r="J26" s="3292"/>
      <c r="K26" s="3292"/>
      <c r="L26" s="3292"/>
      <c r="M26" s="3292"/>
      <c r="N26" s="3292"/>
      <c r="O26" s="3292"/>
      <c r="P26" s="3292"/>
      <c r="Q26" s="3292"/>
      <c r="R26" s="3292"/>
      <c r="S26" s="3293"/>
      <c r="T26" s="3327">
        <f>T23*T25</f>
        <v>25392287</v>
      </c>
      <c r="U26" s="3328"/>
      <c r="V26" s="3328"/>
      <c r="W26" s="3328"/>
      <c r="X26" s="3328"/>
      <c r="Y26" s="3327">
        <f>Y23*Y25</f>
        <v>0</v>
      </c>
      <c r="Z26" s="3328"/>
      <c r="AA26" s="3328"/>
      <c r="AB26" s="3328"/>
      <c r="AC26" s="3328"/>
      <c r="AD26" s="3327">
        <f>AD23*AD25</f>
        <v>0</v>
      </c>
      <c r="AE26" s="3328"/>
      <c r="AF26" s="3328"/>
      <c r="AG26" s="3328"/>
      <c r="AH26" s="3328"/>
      <c r="AI26" s="3327">
        <f>AI23*AI25</f>
        <v>0</v>
      </c>
      <c r="AJ26" s="3328"/>
      <c r="AK26" s="3328"/>
      <c r="AL26" s="3328"/>
      <c r="AM26" s="3328"/>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75">
      <c r="A27" s="628"/>
      <c r="B27" s="3353" t="s">
        <v>447</v>
      </c>
      <c r="C27" s="3354"/>
      <c r="D27" s="3354"/>
      <c r="E27" s="3354"/>
      <c r="F27" s="3354"/>
      <c r="G27" s="3354"/>
      <c r="H27" s="3354"/>
      <c r="I27" s="3354"/>
      <c r="J27" s="3354"/>
      <c r="K27" s="3354"/>
      <c r="L27" s="3354"/>
      <c r="M27" s="3354"/>
      <c r="N27" s="3354"/>
      <c r="O27" s="3354"/>
      <c r="P27" s="3354"/>
      <c r="Q27" s="3354"/>
      <c r="R27" s="3354"/>
      <c r="S27" s="3355"/>
      <c r="T27" s="3322">
        <f>Application!$AG$444</f>
        <v>1</v>
      </c>
      <c r="U27" s="3323"/>
      <c r="V27" s="3323"/>
      <c r="W27" s="3323"/>
      <c r="X27" s="3323"/>
      <c r="Y27" s="3322">
        <f>Application!$AG$444</f>
        <v>1</v>
      </c>
      <c r="Z27" s="3323"/>
      <c r="AA27" s="3323"/>
      <c r="AB27" s="3323"/>
      <c r="AC27" s="3323"/>
      <c r="AD27" s="3322">
        <f>Application!$AG$444</f>
        <v>1</v>
      </c>
      <c r="AE27" s="3323"/>
      <c r="AF27" s="3323"/>
      <c r="AG27" s="3323"/>
      <c r="AH27" s="3323"/>
      <c r="AI27" s="3322">
        <f>Application!$AG$444</f>
        <v>1</v>
      </c>
      <c r="AJ27" s="3323"/>
      <c r="AK27" s="3323"/>
      <c r="AL27" s="3323"/>
      <c r="AM27" s="3323"/>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291" t="s">
        <v>539</v>
      </c>
      <c r="C28" s="3292"/>
      <c r="D28" s="3292"/>
      <c r="E28" s="3292"/>
      <c r="F28" s="3292"/>
      <c r="G28" s="3292"/>
      <c r="H28" s="3292"/>
      <c r="I28" s="3292"/>
      <c r="J28" s="3292"/>
      <c r="K28" s="3292"/>
      <c r="L28" s="3292"/>
      <c r="M28" s="3292"/>
      <c r="N28" s="3292"/>
      <c r="O28" s="3292"/>
      <c r="P28" s="3292"/>
      <c r="Q28" s="3292"/>
      <c r="R28" s="3292"/>
      <c r="S28" s="3293"/>
      <c r="T28" s="3320">
        <f>IF(ISERROR((T26*T27)),0,(T26*T27))</f>
        <v>25392287</v>
      </c>
      <c r="U28" s="3321"/>
      <c r="V28" s="3321"/>
      <c r="W28" s="3321"/>
      <c r="X28" s="3321"/>
      <c r="Y28" s="3320">
        <f>IF(ISERROR((Y26*Y27)),0,(Y26*Y27))</f>
        <v>0</v>
      </c>
      <c r="Z28" s="3321"/>
      <c r="AA28" s="3321"/>
      <c r="AB28" s="3321"/>
      <c r="AC28" s="3321"/>
      <c r="AD28" s="3320">
        <f>IF(ISERROR((AD26*AD27)),0,(AD26*AD27))</f>
        <v>0</v>
      </c>
      <c r="AE28" s="3321"/>
      <c r="AF28" s="3321"/>
      <c r="AG28" s="3321"/>
      <c r="AH28" s="3321"/>
      <c r="AI28" s="3320">
        <f>IF(ISERROR((AI26*AI27)),0,(AI26*AI27))</f>
        <v>0</v>
      </c>
      <c r="AJ28" s="3321"/>
      <c r="AK28" s="3321"/>
      <c r="AL28" s="3321"/>
      <c r="AM28" s="3321"/>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2.75">
      <c r="A29" s="616"/>
      <c r="B29" s="3291" t="s">
        <v>556</v>
      </c>
      <c r="C29" s="3292"/>
      <c r="D29" s="3292"/>
      <c r="E29" s="3292"/>
      <c r="F29" s="3292"/>
      <c r="G29" s="3292"/>
      <c r="H29" s="3292"/>
      <c r="I29" s="3292"/>
      <c r="J29" s="3292"/>
      <c r="K29" s="3292"/>
      <c r="L29" s="3292"/>
      <c r="M29" s="3292"/>
      <c r="N29" s="3292"/>
      <c r="O29" s="3292"/>
      <c r="P29" s="3292"/>
      <c r="Q29" s="3292"/>
      <c r="R29" s="3292"/>
      <c r="S29" s="3293"/>
      <c r="T29" s="3306">
        <f>T28+Y28+AD28+AI28</f>
        <v>25392287</v>
      </c>
      <c r="U29" s="3307"/>
      <c r="V29" s="3307"/>
      <c r="W29" s="3307"/>
      <c r="X29" s="3307"/>
      <c r="Y29" s="3307"/>
      <c r="Z29" s="3307"/>
      <c r="AA29" s="3307"/>
      <c r="AB29" s="3307"/>
      <c r="AC29" s="3307"/>
      <c r="AD29" s="3307"/>
      <c r="AE29" s="3307"/>
      <c r="AF29" s="3307"/>
      <c r="AG29" s="3307"/>
      <c r="AH29" s="3307"/>
      <c r="AI29" s="3307"/>
      <c r="AJ29" s="3307"/>
      <c r="AK29" s="3307"/>
      <c r="AL29" s="3307"/>
      <c r="AM29" s="3308"/>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313" t="s">
        <v>1498</v>
      </c>
      <c r="C30" s="3313"/>
      <c r="D30" s="3313"/>
      <c r="E30" s="3313"/>
      <c r="F30" s="3313"/>
      <c r="G30" s="3313"/>
      <c r="H30" s="3313"/>
      <c r="I30" s="3313"/>
      <c r="J30" s="3313"/>
      <c r="K30" s="3313"/>
      <c r="L30" s="3313"/>
      <c r="M30" s="3313"/>
      <c r="N30" s="3313"/>
      <c r="O30" s="3313"/>
      <c r="P30" s="3313"/>
      <c r="Q30" s="3313"/>
      <c r="R30" s="3313"/>
      <c r="S30" s="3313"/>
      <c r="T30" s="3313"/>
      <c r="U30" s="3313"/>
      <c r="V30" s="3313"/>
      <c r="W30" s="3313"/>
      <c r="X30" s="3313"/>
      <c r="Y30" s="3313"/>
      <c r="Z30" s="3313"/>
      <c r="AA30" s="3313"/>
      <c r="AB30" s="3313"/>
      <c r="AC30" s="3313"/>
      <c r="AD30" s="3313"/>
      <c r="AE30" s="3313"/>
      <c r="AF30" s="3313"/>
      <c r="AG30" s="3313"/>
      <c r="AH30" s="3313"/>
      <c r="AI30" s="3313"/>
      <c r="AJ30" s="3313"/>
      <c r="AK30" s="3313"/>
      <c r="AL30" s="3313"/>
      <c r="AM30" s="3313"/>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313" t="s">
        <v>1497</v>
      </c>
      <c r="C31" s="3313"/>
      <c r="D31" s="3313"/>
      <c r="E31" s="3313"/>
      <c r="F31" s="3313"/>
      <c r="G31" s="3313"/>
      <c r="H31" s="3313"/>
      <c r="I31" s="3313"/>
      <c r="J31" s="3313"/>
      <c r="K31" s="3313"/>
      <c r="L31" s="3313"/>
      <c r="M31" s="3313"/>
      <c r="N31" s="3313"/>
      <c r="O31" s="3313"/>
      <c r="P31" s="3313"/>
      <c r="Q31" s="3313"/>
      <c r="R31" s="3313"/>
      <c r="S31" s="3313"/>
      <c r="T31" s="3313"/>
      <c r="U31" s="3313"/>
      <c r="V31" s="3313"/>
      <c r="W31" s="3313"/>
      <c r="X31" s="3313"/>
      <c r="Y31" s="3313"/>
      <c r="Z31" s="3313"/>
      <c r="AA31" s="3313"/>
      <c r="AB31" s="3313"/>
      <c r="AC31" s="3313"/>
      <c r="AD31" s="3313"/>
      <c r="AE31" s="3313"/>
      <c r="AF31" s="3313"/>
      <c r="AG31" s="3313"/>
      <c r="AH31" s="3313"/>
      <c r="AI31" s="3313"/>
      <c r="AJ31" s="3313"/>
      <c r="AK31" s="3313"/>
      <c r="AL31" s="3313"/>
      <c r="AM31" s="3313"/>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75">
      <c r="A32" s="616"/>
      <c r="B32" s="667"/>
      <c r="C32" s="861" t="s">
        <v>405</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7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2.75">
      <c r="A34" s="621" t="s">
        <v>611</v>
      </c>
      <c r="B34" s="616"/>
      <c r="C34" s="621" t="s">
        <v>601</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09" t="s">
        <v>1346</v>
      </c>
      <c r="Z35" s="3309"/>
      <c r="AA35" s="3309"/>
      <c r="AB35" s="3309"/>
      <c r="AC35" s="3309"/>
      <c r="AD35" s="3310" t="s">
        <v>380</v>
      </c>
      <c r="AE35" s="3310"/>
      <c r="AF35" s="3310"/>
      <c r="AG35" s="3310"/>
      <c r="AH35" s="3310"/>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09"/>
      <c r="Z36" s="3309"/>
      <c r="AA36" s="3309"/>
      <c r="AB36" s="3309"/>
      <c r="AC36" s="3309"/>
      <c r="AD36" s="3310"/>
      <c r="AE36" s="3310"/>
      <c r="AF36" s="3310"/>
      <c r="AG36" s="3310"/>
      <c r="AH36" s="3310"/>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7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09"/>
      <c r="Z37" s="3309"/>
      <c r="AA37" s="3309"/>
      <c r="AB37" s="3309"/>
      <c r="AC37" s="3309"/>
      <c r="AD37" s="3310"/>
      <c r="AE37" s="3310"/>
      <c r="AF37" s="3310"/>
      <c r="AG37" s="3310"/>
      <c r="AH37" s="3310"/>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291" t="s">
        <v>539</v>
      </c>
      <c r="C38" s="3292"/>
      <c r="D38" s="3292"/>
      <c r="E38" s="3292"/>
      <c r="F38" s="3292"/>
      <c r="G38" s="3292"/>
      <c r="H38" s="3292"/>
      <c r="I38" s="3292"/>
      <c r="J38" s="3292"/>
      <c r="K38" s="3292"/>
      <c r="L38" s="3292"/>
      <c r="M38" s="3292"/>
      <c r="N38" s="3292"/>
      <c r="O38" s="3292"/>
      <c r="P38" s="3292"/>
      <c r="Q38" s="3292"/>
      <c r="R38" s="3292"/>
      <c r="S38" s="3292"/>
      <c r="T38" s="3292"/>
      <c r="U38" s="3292"/>
      <c r="V38" s="3292"/>
      <c r="W38" s="3292"/>
      <c r="X38" s="3293"/>
      <c r="Y38" s="3311">
        <f>IF(T24&gt;=(T23+Y23+AD23+AI23),T28+Y28,0)</f>
        <v>25392287</v>
      </c>
      <c r="Z38" s="3311"/>
      <c r="AA38" s="3311"/>
      <c r="AB38" s="3311"/>
      <c r="AC38" s="3311"/>
      <c r="AD38" s="3311">
        <f>IF(T24&gt;=(T23+Y23+AD23+AI23),AD28+AI28,0)</f>
        <v>0</v>
      </c>
      <c r="AE38" s="3311"/>
      <c r="AF38" s="3311"/>
      <c r="AG38" s="3311"/>
      <c r="AH38" s="3311"/>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2.75">
      <c r="A39" s="616"/>
      <c r="B39" s="3291" t="s">
        <v>2180</v>
      </c>
      <c r="C39" s="3292"/>
      <c r="D39" s="3292"/>
      <c r="E39" s="3292"/>
      <c r="F39" s="3292"/>
      <c r="G39" s="3292"/>
      <c r="H39" s="3292"/>
      <c r="I39" s="3292"/>
      <c r="J39" s="3292"/>
      <c r="K39" s="3292"/>
      <c r="L39" s="3292"/>
      <c r="M39" s="3292"/>
      <c r="N39" s="3292"/>
      <c r="O39" s="3292"/>
      <c r="P39" s="3292"/>
      <c r="Q39" s="3292"/>
      <c r="R39" s="3292"/>
      <c r="S39" s="3292"/>
      <c r="T39" s="3292"/>
      <c r="U39" s="3292"/>
      <c r="V39" s="3292"/>
      <c r="W39" s="3292"/>
      <c r="X39" s="3293"/>
      <c r="Y39" s="3312">
        <v>0.04</v>
      </c>
      <c r="Z39" s="3312"/>
      <c r="AA39" s="3312"/>
      <c r="AB39" s="3312"/>
      <c r="AC39" s="3312"/>
      <c r="AD39" s="3312">
        <v>0.04</v>
      </c>
      <c r="AE39" s="3312"/>
      <c r="AF39" s="3312"/>
      <c r="AG39" s="3312"/>
      <c r="AH39" s="3312"/>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291" t="s">
        <v>677</v>
      </c>
      <c r="C40" s="3292"/>
      <c r="D40" s="3292"/>
      <c r="E40" s="3292"/>
      <c r="F40" s="3292"/>
      <c r="G40" s="3292"/>
      <c r="H40" s="3292"/>
      <c r="I40" s="3292"/>
      <c r="J40" s="3292"/>
      <c r="K40" s="3292"/>
      <c r="L40" s="3292"/>
      <c r="M40" s="3292"/>
      <c r="N40" s="3292"/>
      <c r="O40" s="3292"/>
      <c r="P40" s="3292"/>
      <c r="Q40" s="3292"/>
      <c r="R40" s="3292"/>
      <c r="S40" s="3292"/>
      <c r="T40" s="3292"/>
      <c r="U40" s="3292"/>
      <c r="V40" s="3292"/>
      <c r="W40" s="3292"/>
      <c r="X40" s="3293"/>
      <c r="Y40" s="3311">
        <f>ROUND(Y38*Y39,0)</f>
        <v>1015691</v>
      </c>
      <c r="Z40" s="3311"/>
      <c r="AA40" s="3311"/>
      <c r="AB40" s="3311"/>
      <c r="AC40" s="3311"/>
      <c r="AD40" s="3308">
        <f>ROUND(AD38*AD39,0)</f>
        <v>0</v>
      </c>
      <c r="AE40" s="3311"/>
      <c r="AF40" s="3311"/>
      <c r="AG40" s="3311"/>
      <c r="AH40" s="3311"/>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2.75">
      <c r="A41" s="616"/>
      <c r="B41" s="3291" t="s">
        <v>678</v>
      </c>
      <c r="C41" s="3292"/>
      <c r="D41" s="3292"/>
      <c r="E41" s="3292"/>
      <c r="F41" s="3292"/>
      <c r="G41" s="3292"/>
      <c r="H41" s="3292"/>
      <c r="I41" s="3292"/>
      <c r="J41" s="3292"/>
      <c r="K41" s="3292"/>
      <c r="L41" s="3292"/>
      <c r="M41" s="3292"/>
      <c r="N41" s="3292"/>
      <c r="O41" s="3292"/>
      <c r="P41" s="3292"/>
      <c r="Q41" s="3292"/>
      <c r="R41" s="3292"/>
      <c r="S41" s="3292"/>
      <c r="T41" s="3292"/>
      <c r="U41" s="3292"/>
      <c r="V41" s="3292"/>
      <c r="W41" s="3292"/>
      <c r="X41" s="3293"/>
      <c r="Y41" s="3356">
        <f>Y40+AD40</f>
        <v>1015691</v>
      </c>
      <c r="Z41" s="3357"/>
      <c r="AA41" s="3357"/>
      <c r="AB41" s="3357"/>
      <c r="AC41" s="3357"/>
      <c r="AD41" s="3357"/>
      <c r="AE41" s="3357"/>
      <c r="AF41" s="3357"/>
      <c r="AG41" s="3357"/>
      <c r="AH41" s="3358"/>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7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5" thickBot="1">
      <c r="A44" s="3305" t="s">
        <v>1512</v>
      </c>
      <c r="B44" s="3305"/>
      <c r="C44" s="3305"/>
      <c r="D44" s="3305"/>
      <c r="E44" s="3305"/>
      <c r="F44" s="3305"/>
      <c r="G44" s="3305"/>
      <c r="H44" s="3305"/>
      <c r="I44" s="3305"/>
      <c r="J44" s="3305"/>
      <c r="K44" s="3305"/>
      <c r="L44" s="3305"/>
      <c r="M44" s="3305"/>
      <c r="N44" s="3305"/>
      <c r="O44" s="3305"/>
      <c r="P44" s="3305"/>
      <c r="Q44" s="3305"/>
      <c r="R44" s="3305"/>
      <c r="S44" s="3305"/>
      <c r="T44" s="3305"/>
      <c r="U44" s="3305"/>
      <c r="V44" s="3305"/>
      <c r="W44" s="3305"/>
      <c r="X44" s="3305"/>
      <c r="Y44" s="3305"/>
      <c r="Z44" s="3305"/>
      <c r="AA44" s="3305"/>
      <c r="AB44" s="3305"/>
      <c r="AC44" s="3305"/>
      <c r="AD44" s="3305"/>
      <c r="AE44" s="3305"/>
      <c r="AF44" s="3305"/>
      <c r="AG44" s="3305"/>
      <c r="AH44" s="3305"/>
      <c r="AI44" s="3305"/>
      <c r="AJ44" s="3305"/>
      <c r="AK44" s="3305"/>
      <c r="AL44" s="3305"/>
      <c r="AM44" s="3305"/>
      <c r="AN44" s="3305"/>
      <c r="AO44" s="3305"/>
      <c r="AP44" s="3305"/>
      <c r="AQ44" s="3305"/>
      <c r="AR44" s="3305"/>
      <c r="AS44" s="3305"/>
      <c r="AT44" s="3305"/>
      <c r="AU44" s="3305"/>
      <c r="AV44" s="3305"/>
      <c r="AW44" s="3305"/>
      <c r="AX44" s="3305"/>
      <c r="AY44" s="3305"/>
      <c r="AZ44" s="3305"/>
      <c r="BA44" s="3305"/>
      <c r="BB44" s="3305"/>
      <c r="BC44" s="3305"/>
      <c r="BD44" s="3305"/>
      <c r="BE44" s="3305"/>
      <c r="BF44" s="3305"/>
      <c r="BG44" s="3305"/>
      <c r="BH44" s="3305"/>
      <c r="BI44" s="3305"/>
      <c r="BJ44" s="3305"/>
      <c r="BK44" s="3305"/>
      <c r="BL44" s="3305"/>
      <c r="BM44" s="3305"/>
      <c r="BN44" s="3305"/>
      <c r="BO44" s="3305"/>
      <c r="BP44" s="3305"/>
      <c r="BQ44" s="3305"/>
      <c r="BR44" s="3305"/>
      <c r="BS44" s="3305"/>
      <c r="BT44" s="3305"/>
      <c r="BU44" s="3305"/>
      <c r="BV44" s="3305"/>
      <c r="BW44" s="3305"/>
      <c r="BX44" s="330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1" t="s">
        <v>621</v>
      </c>
      <c r="B46" s="616"/>
      <c r="C46" s="621" t="s">
        <v>288</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2.75">
      <c r="A47" s="616"/>
      <c r="B47" s="616"/>
      <c r="C47" s="616"/>
      <c r="D47" s="621" t="s">
        <v>289</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299">
        <f>'Sources and Uses Budget'!B105-'Sources and Uses Budget'!B15</f>
        <v>30278078</v>
      </c>
      <c r="AC47" s="3300"/>
      <c r="AD47" s="3300"/>
      <c r="AE47" s="3300"/>
      <c r="AF47" s="3301"/>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299">
        <f>Application!AO649-MIN('Sources and Uses Budget'!B15,Application!AG394)</f>
        <v>15743774</v>
      </c>
      <c r="AC48" s="3300"/>
      <c r="AD48" s="3300"/>
      <c r="AE48" s="3300"/>
      <c r="AF48" s="3301"/>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2.75">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299">
        <f>AB47-AB48</f>
        <v>14534304</v>
      </c>
      <c r="AC49" s="3300"/>
      <c r="AD49" s="3300"/>
      <c r="AE49" s="3300"/>
      <c r="AF49" s="3301"/>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2.75">
      <c r="A50" s="616"/>
      <c r="B50" s="616"/>
      <c r="C50" s="616"/>
      <c r="D50" s="621" t="s">
        <v>718</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287">
        <v>0.95499999999999996</v>
      </c>
      <c r="AC50" s="3288"/>
      <c r="AD50" s="3288"/>
      <c r="AE50" s="3288"/>
      <c r="AF50" s="3289"/>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298" t="s">
        <v>2376</v>
      </c>
      <c r="F51" s="3298"/>
      <c r="G51" s="3298"/>
      <c r="H51" s="3298"/>
      <c r="I51" s="3298"/>
      <c r="J51" s="3298"/>
      <c r="K51" s="3298"/>
      <c r="L51" s="3298"/>
      <c r="M51" s="3298"/>
      <c r="N51" s="3298"/>
      <c r="O51" s="3298"/>
      <c r="P51" s="3298"/>
      <c r="Q51" s="3298"/>
      <c r="R51" s="3298"/>
      <c r="S51" s="3298"/>
      <c r="T51" s="3298"/>
      <c r="U51" s="3298"/>
      <c r="V51" s="3298"/>
      <c r="W51" s="3298"/>
      <c r="X51" s="3298"/>
      <c r="Y51" s="3298"/>
      <c r="Z51" s="3298"/>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298"/>
      <c r="F52" s="3298"/>
      <c r="G52" s="3298"/>
      <c r="H52" s="3298"/>
      <c r="I52" s="3298"/>
      <c r="J52" s="3298"/>
      <c r="K52" s="3298"/>
      <c r="L52" s="3298"/>
      <c r="M52" s="3298"/>
      <c r="N52" s="3298"/>
      <c r="O52" s="3298"/>
      <c r="P52" s="3298"/>
      <c r="Q52" s="3298"/>
      <c r="R52" s="3298"/>
      <c r="S52" s="3298"/>
      <c r="T52" s="3298"/>
      <c r="U52" s="3298"/>
      <c r="V52" s="3298"/>
      <c r="W52" s="3298"/>
      <c r="X52" s="3298"/>
      <c r="Y52" s="3298"/>
      <c r="Z52" s="3298"/>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341</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299">
        <f>ROUND(IF(ISERROR((AB49/AB50)),0,(AB49/AB50)),0)</f>
        <v>15219166</v>
      </c>
      <c r="AC54" s="3300"/>
      <c r="AD54" s="3300"/>
      <c r="AE54" s="3300"/>
      <c r="AF54" s="3301"/>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342</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299">
        <f>(AB54/10)</f>
        <v>1521916.6</v>
      </c>
      <c r="AC55" s="3300"/>
      <c r="AD55" s="3300"/>
      <c r="AE55" s="3300"/>
      <c r="AF55" s="3301"/>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2.75">
      <c r="A56" s="616"/>
      <c r="B56" s="616"/>
      <c r="C56" s="616"/>
      <c r="D56" s="621" t="s">
        <v>797</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302">
        <f>(IF((Y41&lt;AB55),Y41,AB55))</f>
        <v>1015691</v>
      </c>
      <c r="AC56" s="3303"/>
      <c r="AD56" s="3303"/>
      <c r="AE56" s="3303"/>
      <c r="AF56" s="3304"/>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2.75">
      <c r="A57" s="616"/>
      <c r="B57" s="616"/>
      <c r="C57" s="616"/>
      <c r="D57" s="621" t="s">
        <v>796</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299">
        <f>ROUND((10*AB56*AB50),0)</f>
        <v>9699849</v>
      </c>
      <c r="AC57" s="3300"/>
      <c r="AD57" s="3300"/>
      <c r="AE57" s="3300"/>
      <c r="AF57" s="3301"/>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2.75">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795</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283">
        <f>AB49-AB57</f>
        <v>4834455</v>
      </c>
      <c r="AC59" s="3283"/>
      <c r="AD59" s="3283"/>
      <c r="AE59" s="3283"/>
      <c r="AF59" s="3283"/>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5" thickBot="1">
      <c r="A61" s="3305" t="str">
        <f>IF(Application!AP204="yes","Farmworker State Credit", "State Credit" )</f>
        <v>State Credit</v>
      </c>
      <c r="B61" s="3305"/>
      <c r="C61" s="3305"/>
      <c r="D61" s="3305"/>
      <c r="E61" s="3305"/>
      <c r="F61" s="3305"/>
      <c r="G61" s="3305"/>
      <c r="H61" s="3305"/>
      <c r="I61" s="3305"/>
      <c r="J61" s="3305"/>
      <c r="K61" s="3305"/>
      <c r="L61" s="3305"/>
      <c r="M61" s="3305"/>
      <c r="N61" s="3305"/>
      <c r="O61" s="3305"/>
      <c r="P61" s="3305"/>
      <c r="Q61" s="3305"/>
      <c r="R61" s="3305"/>
      <c r="S61" s="3305"/>
      <c r="T61" s="3305"/>
      <c r="U61" s="3305"/>
      <c r="V61" s="3305"/>
      <c r="W61" s="3305"/>
      <c r="X61" s="3305"/>
      <c r="Y61" s="3305"/>
      <c r="Z61" s="3305"/>
      <c r="AA61" s="3305"/>
      <c r="AB61" s="3305"/>
      <c r="AC61" s="3305"/>
      <c r="AD61" s="3305"/>
      <c r="AE61" s="3305"/>
      <c r="AF61" s="3305"/>
      <c r="AG61" s="3305"/>
      <c r="AH61" s="3305"/>
      <c r="AI61" s="3305"/>
      <c r="AJ61" s="3305"/>
      <c r="AK61" s="3305"/>
      <c r="AL61" s="3305"/>
      <c r="AM61" s="3305"/>
      <c r="AN61" s="3305"/>
      <c r="AO61" s="3305"/>
      <c r="AP61" s="3305"/>
      <c r="AQ61" s="3305"/>
      <c r="AR61" s="3305"/>
      <c r="AS61" s="3305"/>
      <c r="AT61" s="3305"/>
      <c r="AU61" s="3305"/>
      <c r="AV61" s="3305"/>
      <c r="AW61" s="3305"/>
      <c r="AX61" s="3305"/>
      <c r="AY61" s="3305"/>
      <c r="AZ61" s="3305"/>
      <c r="BA61" s="3305"/>
      <c r="BB61" s="3305"/>
      <c r="BC61" s="3305"/>
      <c r="BD61" s="3305"/>
      <c r="BE61" s="3305"/>
      <c r="BF61" s="3305"/>
      <c r="BG61" s="3305"/>
      <c r="BH61" s="3305"/>
      <c r="BI61" s="3305"/>
      <c r="BJ61" s="3305"/>
      <c r="BK61" s="3305"/>
      <c r="BL61" s="3305"/>
      <c r="BM61" s="3305"/>
      <c r="BN61" s="3305"/>
      <c r="BO61" s="3305"/>
      <c r="BP61" s="3305"/>
      <c r="BQ61" s="3305"/>
      <c r="BR61" s="3305"/>
      <c r="BS61" s="3305"/>
      <c r="BT61" s="3305"/>
      <c r="BU61" s="3305"/>
      <c r="BV61" s="3305"/>
      <c r="BW61" s="3305"/>
      <c r="BX61" s="330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1" t="s">
        <v>624</v>
      </c>
      <c r="B63" s="616"/>
      <c r="C63" s="326" t="s">
        <v>1479</v>
      </c>
      <c r="D63" s="616"/>
      <c r="E63" s="616"/>
      <c r="F63" s="616"/>
      <c r="G63" s="616"/>
      <c r="H63" s="616"/>
      <c r="I63" s="616"/>
      <c r="J63" s="616"/>
      <c r="K63" s="616"/>
      <c r="L63" s="616"/>
      <c r="M63" s="616"/>
      <c r="N63" s="616"/>
      <c r="O63" s="616"/>
      <c r="P63" s="616"/>
      <c r="Q63" s="616"/>
      <c r="R63" s="616"/>
      <c r="S63" s="616"/>
      <c r="T63" s="616"/>
      <c r="U63" s="616"/>
      <c r="V63" s="616"/>
      <c r="W63" s="616"/>
      <c r="X63" s="616"/>
      <c r="Y63" s="3294" t="s">
        <v>1068</v>
      </c>
      <c r="Z63" s="3294"/>
      <c r="AA63" s="3294"/>
      <c r="AB63" s="3294"/>
      <c r="AC63" s="3294"/>
      <c r="AD63" s="3294" t="s">
        <v>380</v>
      </c>
      <c r="AE63" s="3294"/>
      <c r="AF63" s="3294"/>
      <c r="AG63" s="3294"/>
      <c r="AH63" s="3294"/>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2.75">
      <c r="A64" s="616"/>
      <c r="B64" s="616"/>
      <c r="C64" s="641"/>
      <c r="D64" s="642" t="s">
        <v>1480</v>
      </c>
      <c r="E64" s="643"/>
      <c r="F64" s="643"/>
      <c r="G64" s="643"/>
      <c r="H64" s="643"/>
      <c r="I64" s="643"/>
      <c r="J64" s="643"/>
      <c r="K64" s="643"/>
      <c r="L64" s="644"/>
      <c r="M64" s="644"/>
      <c r="N64" s="644"/>
      <c r="O64" s="644"/>
      <c r="P64" s="644"/>
      <c r="Q64" s="644"/>
      <c r="R64" s="644"/>
      <c r="S64" s="644"/>
      <c r="T64" s="644"/>
      <c r="U64" s="644"/>
      <c r="V64" s="644"/>
      <c r="W64" s="644"/>
      <c r="X64" s="644"/>
      <c r="Y64" s="3295">
        <f>IF(Application!Z204="(select)",0,((T23*T27)+Y28))</f>
        <v>25392287</v>
      </c>
      <c r="Z64" s="3296"/>
      <c r="AA64" s="3296"/>
      <c r="AB64" s="3296"/>
      <c r="AC64" s="3297"/>
      <c r="AD64" s="3295">
        <f>IF(AND(Application!AP204="yes",Application!M357="yes"),AD28+AI28,0)</f>
        <v>0</v>
      </c>
      <c r="AE64" s="3296"/>
      <c r="AF64" s="3296"/>
      <c r="AG64" s="3296"/>
      <c r="AH64" s="3297"/>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3" t="s">
        <v>2372</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3" t="s">
        <v>2373</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2.75">
      <c r="A67" s="616"/>
      <c r="B67" s="616"/>
      <c r="C67" s="621"/>
      <c r="D67" s="621" t="s">
        <v>276</v>
      </c>
      <c r="E67" s="645"/>
      <c r="F67" s="645"/>
      <c r="G67" s="645"/>
      <c r="H67" s="645"/>
      <c r="I67" s="645"/>
      <c r="J67" s="645"/>
      <c r="K67" s="645"/>
      <c r="L67" s="645"/>
      <c r="M67" s="645"/>
      <c r="N67" s="645"/>
      <c r="O67" s="645"/>
      <c r="P67" s="645"/>
      <c r="Q67" s="645"/>
      <c r="R67" s="645"/>
      <c r="S67" s="645"/>
      <c r="T67" s="645"/>
      <c r="U67" s="645"/>
      <c r="V67" s="645"/>
      <c r="W67" s="645"/>
      <c r="X67" s="645"/>
      <c r="Y67" s="3284">
        <f>IF(Application!AP204="yes",0.75,IF(Application!Z203="15% set-aside",0.13,IF(Application!Z203="15% set-aside with qualifying low value rehab",0.95,0.3)))</f>
        <v>0.3</v>
      </c>
      <c r="Z67" s="3284"/>
      <c r="AA67" s="3284"/>
      <c r="AB67" s="3284"/>
      <c r="AC67" s="3284"/>
      <c r="AD67" s="3284">
        <f>IF(Application!AP204="yes",0.75,IF(Application!Z203="15% set-aside with qualifying low value rehab", 0.95,0.13))</f>
        <v>0.13</v>
      </c>
      <c r="AE67" s="3284"/>
      <c r="AF67" s="3284"/>
      <c r="AG67" s="3284"/>
      <c r="AH67" s="3284"/>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2.75">
      <c r="A68" s="616"/>
      <c r="B68" s="616"/>
      <c r="C68" s="621"/>
      <c r="D68" s="334" t="s">
        <v>1481</v>
      </c>
      <c r="E68" s="616"/>
      <c r="F68" s="616"/>
      <c r="G68" s="616"/>
      <c r="H68" s="616"/>
      <c r="I68" s="616"/>
      <c r="J68" s="616"/>
      <c r="K68" s="616"/>
      <c r="L68" s="616"/>
      <c r="M68" s="616"/>
      <c r="N68" s="616"/>
      <c r="O68" s="616"/>
      <c r="P68" s="616"/>
      <c r="Q68" s="616"/>
      <c r="R68" s="616"/>
      <c r="S68" s="616"/>
      <c r="T68" s="616"/>
      <c r="U68" s="616"/>
      <c r="V68" s="616"/>
      <c r="W68" s="616"/>
      <c r="X68" s="616"/>
      <c r="Y68" s="3285">
        <f>ROUND(Y64*Y67,0)</f>
        <v>7617686</v>
      </c>
      <c r="Z68" s="3286"/>
      <c r="AA68" s="3286"/>
      <c r="AB68" s="3286"/>
      <c r="AC68" s="3286"/>
      <c r="AD68" s="3285" t="str">
        <f>IF(Application!D210="At-Risk",AD64*AD67,"$0")</f>
        <v>$0</v>
      </c>
      <c r="AE68" s="3286"/>
      <c r="AF68" s="3286"/>
      <c r="AG68" s="3286"/>
      <c r="AH68" s="3286"/>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2.75">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2.75">
      <c r="A70" s="621" t="s">
        <v>625</v>
      </c>
      <c r="B70" s="616"/>
      <c r="C70" s="334" t="s">
        <v>290</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2.75">
      <c r="A71" s="641"/>
      <c r="B71" s="617"/>
      <c r="C71" s="641"/>
      <c r="D71" s="330" t="s">
        <v>1482</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287">
        <v>0.8</v>
      </c>
      <c r="AC71" s="3288"/>
      <c r="AD71" s="3288"/>
      <c r="AE71" s="3288"/>
      <c r="AF71" s="3289"/>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290" t="s">
        <v>1483</v>
      </c>
      <c r="F72" s="3290"/>
      <c r="G72" s="3290"/>
      <c r="H72" s="3290"/>
      <c r="I72" s="3290"/>
      <c r="J72" s="3290"/>
      <c r="K72" s="3290"/>
      <c r="L72" s="3290"/>
      <c r="M72" s="3290"/>
      <c r="N72" s="3290"/>
      <c r="O72" s="3290"/>
      <c r="P72" s="3290"/>
      <c r="Q72" s="3290"/>
      <c r="R72" s="3290"/>
      <c r="S72" s="3290"/>
      <c r="T72" s="3290"/>
      <c r="U72" s="3290"/>
      <c r="V72" s="3290"/>
      <c r="W72" s="3290"/>
      <c r="X72" s="3290"/>
      <c r="Y72" s="3290"/>
      <c r="Z72" s="3290"/>
      <c r="AA72" s="3290"/>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290"/>
      <c r="F73" s="3290"/>
      <c r="G73" s="3290"/>
      <c r="H73" s="3290"/>
      <c r="I73" s="3290"/>
      <c r="J73" s="3290"/>
      <c r="K73" s="3290"/>
      <c r="L73" s="3290"/>
      <c r="M73" s="3290"/>
      <c r="N73" s="3290"/>
      <c r="O73" s="3290"/>
      <c r="P73" s="3290"/>
      <c r="Q73" s="3290"/>
      <c r="R73" s="3290"/>
      <c r="S73" s="3290"/>
      <c r="T73" s="3290"/>
      <c r="U73" s="3290"/>
      <c r="V73" s="3290"/>
      <c r="W73" s="3290"/>
      <c r="X73" s="3290"/>
      <c r="Y73" s="3290"/>
      <c r="Z73" s="3290"/>
      <c r="AA73" s="3290"/>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290"/>
      <c r="F74" s="3290"/>
      <c r="G74" s="3290"/>
      <c r="H74" s="3290"/>
      <c r="I74" s="3290"/>
      <c r="J74" s="3290"/>
      <c r="K74" s="3290"/>
      <c r="L74" s="3290"/>
      <c r="M74" s="3290"/>
      <c r="N74" s="3290"/>
      <c r="O74" s="3290"/>
      <c r="P74" s="3290"/>
      <c r="Q74" s="3290"/>
      <c r="R74" s="3290"/>
      <c r="S74" s="3290"/>
      <c r="T74" s="3290"/>
      <c r="U74" s="3290"/>
      <c r="V74" s="3290"/>
      <c r="W74" s="3290"/>
      <c r="X74" s="3290"/>
      <c r="Y74" s="3290"/>
      <c r="Z74" s="3290"/>
      <c r="AA74" s="3290"/>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1484</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278">
        <f>ROUND(IF(ISERROR((AB59/AB71)),0,(AB59/AB71)),0)</f>
        <v>6043069</v>
      </c>
      <c r="AC76" s="3278"/>
      <c r="AD76" s="3278"/>
      <c r="AE76" s="3278"/>
      <c r="AF76" s="3278"/>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1485</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279">
        <f>IF((Y68+AD68&lt;AB76),Y68+AD68,AB76)</f>
        <v>6043069</v>
      </c>
      <c r="AC77" s="3280"/>
      <c r="AD77" s="3280"/>
      <c r="AE77" s="3280"/>
      <c r="AF77" s="3281"/>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1486</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282">
        <f>AB77*AB71</f>
        <v>4834455.2</v>
      </c>
      <c r="AC78" s="3282"/>
      <c r="AD78" s="3282"/>
      <c r="AE78" s="3282"/>
      <c r="AF78" s="3282"/>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795</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283">
        <f>AB49-(AB57+AB78)</f>
        <v>-0.19999999925494194</v>
      </c>
      <c r="AC80" s="3283"/>
      <c r="AD80" s="3283"/>
      <c r="AE80" s="3283"/>
      <c r="AF80" s="3283"/>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3305"/>
      <c r="B83" s="3305"/>
      <c r="C83" s="3305"/>
      <c r="D83" s="3305"/>
      <c r="E83" s="3305"/>
      <c r="F83" s="3305"/>
      <c r="G83" s="3305"/>
      <c r="H83" s="3305"/>
      <c r="I83" s="3305"/>
      <c r="J83" s="3305"/>
      <c r="K83" s="3305"/>
      <c r="L83" s="3305"/>
      <c r="M83" s="3305"/>
      <c r="N83" s="3305"/>
      <c r="O83" s="3305"/>
      <c r="P83" s="3305"/>
      <c r="Q83" s="3305"/>
      <c r="R83" s="3305"/>
      <c r="S83" s="3305"/>
      <c r="T83" s="3305"/>
      <c r="U83" s="3305"/>
      <c r="V83" s="3305"/>
      <c r="W83" s="3305"/>
      <c r="X83" s="3305"/>
      <c r="Y83" s="3305"/>
      <c r="Z83" s="3305"/>
      <c r="AA83" s="3305"/>
      <c r="AB83" s="3305"/>
      <c r="AC83" s="3305"/>
      <c r="AD83" s="3305"/>
      <c r="AE83" s="3305"/>
      <c r="AF83" s="3305"/>
      <c r="AG83" s="3305"/>
      <c r="AH83" s="3305"/>
      <c r="AI83" s="3305"/>
      <c r="AJ83" s="3305"/>
      <c r="AK83" s="3305"/>
      <c r="AL83" s="3305"/>
      <c r="AM83" s="3305"/>
      <c r="AN83" s="3305"/>
      <c r="AO83" s="3305"/>
      <c r="AP83" s="3305"/>
      <c r="AQ83" s="3305"/>
      <c r="AR83" s="3305"/>
      <c r="AS83" s="3305"/>
      <c r="AT83" s="3305"/>
      <c r="AU83" s="3305"/>
      <c r="AV83" s="3305"/>
      <c r="AW83" s="3305"/>
      <c r="AX83" s="3305"/>
      <c r="AY83" s="3305"/>
      <c r="AZ83" s="3305"/>
      <c r="BA83" s="3305"/>
      <c r="BB83" s="3305"/>
      <c r="BC83" s="3305"/>
      <c r="BD83" s="3305"/>
      <c r="BE83" s="3305"/>
      <c r="BF83" s="3305"/>
      <c r="BG83" s="3305"/>
      <c r="BH83" s="3305"/>
      <c r="BI83" s="3305"/>
      <c r="BJ83" s="3305"/>
      <c r="BK83" s="3305"/>
      <c r="BL83" s="3305"/>
      <c r="BM83" s="3305"/>
      <c r="BN83" s="3305"/>
      <c r="BO83" s="3305"/>
      <c r="BP83" s="3305"/>
      <c r="BQ83" s="3305"/>
      <c r="BR83" s="3305"/>
      <c r="BS83" s="3305"/>
      <c r="BT83" s="3305"/>
      <c r="BU83" s="3305"/>
      <c r="BV83" s="3305"/>
      <c r="BW83" s="3305"/>
      <c r="BX83" s="3305"/>
    </row>
    <row r="84" spans="1:98" ht="13.5" thickTop="1"/>
    <row r="85" spans="1:98" ht="12.75">
      <c r="A85" s="793"/>
      <c r="C85" s="334"/>
      <c r="Z85" s="618"/>
      <c r="AA85" s="618"/>
      <c r="AB85" s="618"/>
      <c r="AC85" s="618"/>
      <c r="AD85" s="618"/>
      <c r="AE85" s="618"/>
      <c r="AF85" s="618"/>
      <c r="AG85" s="618"/>
      <c r="AH85" s="618"/>
    </row>
    <row r="86" spans="1:98" ht="12.75">
      <c r="D86" s="334"/>
      <c r="Z86" s="618"/>
      <c r="AA86" s="618"/>
      <c r="AB86" s="3346"/>
      <c r="AC86" s="3346"/>
      <c r="AD86" s="3346"/>
      <c r="AE86" s="3346"/>
      <c r="AF86" s="3346"/>
      <c r="AG86" s="618"/>
      <c r="AH86" s="618"/>
    </row>
    <row r="87" spans="1:98" ht="13.5" thickBot="1">
      <c r="D87" s="334"/>
      <c r="Z87" s="618"/>
      <c r="AA87" s="618"/>
      <c r="AB87" s="3345"/>
      <c r="AC87" s="3345"/>
      <c r="AD87" s="3345"/>
      <c r="AE87" s="3345"/>
      <c r="AF87" s="3345"/>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5" thickTop="1">
      <c r="Z88" s="618"/>
      <c r="AA88" s="618"/>
      <c r="AB88" s="618"/>
      <c r="AC88" s="618"/>
      <c r="AD88" s="618"/>
      <c r="AE88" s="618"/>
      <c r="AF88" s="618"/>
      <c r="AG88" s="618"/>
      <c r="AH88" s="618"/>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4" zoomScaleNormal="100" zoomScaleSheetLayoutView="80" workbookViewId="0">
      <selection activeCell="I18" sqref="I18"/>
    </sheetView>
  </sheetViews>
  <sheetFormatPr defaultColWidth="9" defaultRowHeight="14.25" zeroHeight="1"/>
  <cols>
    <col min="1" max="2" width="2.5703125" style="1423" customWidth="1"/>
    <col min="3" max="3" width="3.85546875" style="1423" customWidth="1"/>
    <col min="4" max="4" width="15.42578125" style="1423" customWidth="1"/>
    <col min="5" max="5" width="32.5703125" style="1423" customWidth="1"/>
    <col min="6" max="7" width="15.5703125" style="1423" customWidth="1"/>
    <col min="8" max="8" width="25.5703125" style="1423" customWidth="1"/>
    <col min="9" max="9" width="34.28515625" style="1423" customWidth="1"/>
    <col min="10" max="10" width="33.28515625" style="1423" customWidth="1"/>
    <col min="11" max="13" width="2.5703125" style="1423" customWidth="1"/>
    <col min="14" max="14" width="29.7109375" style="1423" customWidth="1"/>
    <col min="15" max="24" width="2.5703125" style="1423" customWidth="1"/>
    <col min="25" max="33" width="9" style="1423" customWidth="1"/>
    <col min="34" max="16384" width="9" style="1423"/>
  </cols>
  <sheetData>
    <row r="1" spans="1:33" ht="15">
      <c r="A1" s="3361" t="s">
        <v>1936</v>
      </c>
      <c r="B1" s="3361"/>
      <c r="C1" s="3361"/>
      <c r="D1" s="3361"/>
      <c r="E1" s="3361"/>
      <c r="F1" s="3361"/>
      <c r="G1" s="3361"/>
      <c r="H1" s="3361"/>
      <c r="I1" s="3361"/>
      <c r="J1" s="3361"/>
      <c r="K1" s="3361"/>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ht="15">
      <c r="A2" s="3361"/>
      <c r="B2" s="3361"/>
      <c r="C2" s="3361"/>
      <c r="D2" s="3361"/>
      <c r="E2" s="3361"/>
      <c r="F2" s="3361"/>
      <c r="G2" s="3361"/>
      <c r="H2" s="3361"/>
      <c r="I2" s="3361"/>
      <c r="J2" s="3361"/>
      <c r="K2" s="3361"/>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62" t="s">
        <v>1937</v>
      </c>
      <c r="D4" s="3362"/>
      <c r="E4" s="3362"/>
      <c r="F4" s="3362"/>
      <c r="G4" s="3362"/>
      <c r="H4" s="3362"/>
      <c r="I4" s="3362"/>
      <c r="J4" s="3362"/>
    </row>
    <row r="5" spans="1:33">
      <c r="C5" s="3362"/>
      <c r="D5" s="3362"/>
      <c r="E5" s="3362"/>
      <c r="F5" s="3362"/>
      <c r="G5" s="3362"/>
      <c r="H5" s="3362"/>
      <c r="I5" s="3362"/>
      <c r="J5" s="3362"/>
    </row>
    <row r="6" spans="1:33">
      <c r="C6" s="1425"/>
      <c r="D6" s="1425"/>
      <c r="E6" s="1425"/>
      <c r="F6" s="1425"/>
      <c r="G6" s="1425"/>
      <c r="H6" s="1425"/>
      <c r="I6" s="1425"/>
      <c r="J6" s="1425"/>
    </row>
    <row r="7" spans="1:33">
      <c r="C7" s="1426" t="s">
        <v>1938</v>
      </c>
      <c r="D7" s="1425"/>
      <c r="E7" s="3363" t="str">
        <f>Application!H16</f>
        <v>National Community Renaissance of California</v>
      </c>
      <c r="F7" s="3363"/>
      <c r="G7" s="3363"/>
      <c r="H7" s="1425"/>
      <c r="I7" s="1426" t="s">
        <v>1939</v>
      </c>
      <c r="J7" s="1427">
        <f>Application!AG437+Application!AG439</f>
        <v>64</v>
      </c>
    </row>
    <row r="8" spans="1:33">
      <c r="C8" s="1426" t="s">
        <v>1940</v>
      </c>
      <c r="D8" s="1425"/>
      <c r="E8" s="3363" t="str">
        <f>Application!H18</f>
        <v>Santa Angelina Senior Community</v>
      </c>
      <c r="F8" s="3363"/>
      <c r="G8" s="3363"/>
      <c r="H8" s="1425"/>
      <c r="I8" s="1426" t="s">
        <v>1941</v>
      </c>
      <c r="J8" s="1428">
        <f>Application!CS663</f>
        <v>69</v>
      </c>
    </row>
    <row r="9" spans="1:33" ht="14.25" customHeight="1">
      <c r="C9" s="1426" t="s">
        <v>1942</v>
      </c>
      <c r="D9" s="1425"/>
      <c r="E9" s="3364" t="str">
        <f>Application!D210</f>
        <v>Seniors</v>
      </c>
      <c r="F9" s="3364"/>
      <c r="G9" s="3364"/>
      <c r="H9" s="1425"/>
      <c r="I9" s="1426" t="s">
        <v>1943</v>
      </c>
      <c r="J9" s="1429"/>
      <c r="N9" s="1430"/>
    </row>
    <row r="10" spans="1:33" ht="26.85" customHeight="1">
      <c r="C10" s="3362" t="s">
        <v>1944</v>
      </c>
      <c r="D10" s="3362"/>
      <c r="E10" s="3365" t="str">
        <f>Application!D213</f>
        <v>N/A</v>
      </c>
      <c r="F10" s="3365"/>
      <c r="G10" s="3365"/>
      <c r="H10" s="1425"/>
      <c r="I10" s="1431" t="s">
        <v>1945</v>
      </c>
      <c r="J10" s="1432">
        <f>IF(J9&gt;0,J8-J9,J8)</f>
        <v>69</v>
      </c>
      <c r="N10" s="1430"/>
    </row>
    <row r="11" spans="1:33">
      <c r="C11" s="1433"/>
      <c r="N11" s="1430"/>
    </row>
    <row r="12" spans="1:33" ht="15" customHeight="1">
      <c r="C12" s="3366" t="s">
        <v>1946</v>
      </c>
      <c r="D12" s="3367"/>
      <c r="E12" s="3368"/>
      <c r="F12" s="3359" t="s">
        <v>1947</v>
      </c>
      <c r="G12" s="3359" t="s">
        <v>1948</v>
      </c>
      <c r="H12" s="3372" t="s">
        <v>2162</v>
      </c>
      <c r="I12" s="3359" t="s">
        <v>2161</v>
      </c>
      <c r="J12" s="3359" t="s">
        <v>1949</v>
      </c>
      <c r="N12" s="1430"/>
    </row>
    <row r="13" spans="1:33" ht="68.25" customHeight="1">
      <c r="C13" s="3369"/>
      <c r="D13" s="3370"/>
      <c r="E13" s="3371"/>
      <c r="F13" s="3360"/>
      <c r="G13" s="3360"/>
      <c r="H13" s="3373"/>
      <c r="I13" s="3360"/>
      <c r="J13" s="3360"/>
    </row>
    <row r="14" spans="1:33" ht="15" customHeight="1">
      <c r="C14" s="1434" t="s">
        <v>1950</v>
      </c>
      <c r="D14" s="1435"/>
      <c r="E14" s="1435"/>
      <c r="F14" s="1436"/>
      <c r="G14" s="1436"/>
      <c r="H14" s="1437"/>
      <c r="I14" s="1437"/>
      <c r="J14" s="1437"/>
    </row>
    <row r="15" spans="1:33">
      <c r="C15" s="1438" t="s">
        <v>1951</v>
      </c>
      <c r="D15" s="1423" t="s">
        <v>1952</v>
      </c>
      <c r="F15" s="1439" t="s">
        <v>2681</v>
      </c>
      <c r="G15" s="1440">
        <v>16380</v>
      </c>
      <c r="H15" s="1441" t="s">
        <v>2665</v>
      </c>
      <c r="I15" s="1441" t="s">
        <v>2666</v>
      </c>
      <c r="J15" s="1441" t="s">
        <v>2667</v>
      </c>
    </row>
    <row r="16" spans="1:33">
      <c r="C16" s="1438" t="s">
        <v>1953</v>
      </c>
      <c r="D16" s="1423" t="s">
        <v>1954</v>
      </c>
      <c r="F16" s="1439"/>
      <c r="G16" s="1442"/>
      <c r="H16" s="1441"/>
      <c r="I16" s="1441"/>
      <c r="J16" s="1441"/>
    </row>
    <row r="17" spans="3:10">
      <c r="C17" s="1438" t="s">
        <v>1837</v>
      </c>
      <c r="D17" s="1423" t="s">
        <v>1955</v>
      </c>
      <c r="F17" s="1439" t="s">
        <v>2680</v>
      </c>
      <c r="G17" s="1442">
        <v>7020</v>
      </c>
      <c r="H17" s="1441" t="s">
        <v>2665</v>
      </c>
      <c r="I17" s="1441" t="s">
        <v>2666</v>
      </c>
      <c r="J17" s="1441" t="s">
        <v>2667</v>
      </c>
    </row>
    <row r="18" spans="3:10">
      <c r="C18" s="1438" t="s">
        <v>1956</v>
      </c>
      <c r="D18" s="1424" t="s">
        <v>1957</v>
      </c>
      <c r="E18" s="1424"/>
      <c r="F18" s="1439"/>
      <c r="G18" s="1442"/>
      <c r="H18" s="1441"/>
      <c r="I18" s="1441"/>
      <c r="J18" s="1441"/>
    </row>
    <row r="19" spans="3:10">
      <c r="C19" s="1438" t="s">
        <v>1958</v>
      </c>
      <c r="D19" s="1424" t="s">
        <v>1959</v>
      </c>
      <c r="E19" s="1424"/>
      <c r="F19" s="1439"/>
      <c r="G19" s="1442"/>
      <c r="H19" s="1441"/>
      <c r="I19" s="1441"/>
      <c r="J19" s="1441"/>
    </row>
    <row r="20" spans="3:10">
      <c r="C20" s="1438" t="s">
        <v>1960</v>
      </c>
      <c r="D20" s="1424" t="s">
        <v>1961</v>
      </c>
      <c r="E20" s="1443"/>
      <c r="F20" s="1444"/>
      <c r="G20" s="1442"/>
      <c r="H20" s="1441"/>
      <c r="I20" s="1441"/>
      <c r="J20" s="1441"/>
    </row>
    <row r="21" spans="3:10">
      <c r="C21" s="1445"/>
      <c r="D21" s="1446"/>
      <c r="E21" s="1447"/>
      <c r="F21" s="1444"/>
      <c r="G21" s="1442"/>
      <c r="H21" s="1441"/>
      <c r="I21" s="1441"/>
      <c r="J21" s="1441"/>
    </row>
    <row r="22" spans="3:10">
      <c r="C22" s="1448" t="s">
        <v>1962</v>
      </c>
      <c r="D22" s="1449"/>
      <c r="E22" s="1449"/>
      <c r="F22" s="1450"/>
      <c r="G22" s="1451"/>
      <c r="H22" s="1452"/>
      <c r="I22" s="1452"/>
      <c r="J22" s="1452"/>
    </row>
    <row r="23" spans="3:10">
      <c r="C23" s="1438" t="s">
        <v>1963</v>
      </c>
      <c r="D23" s="1424" t="s">
        <v>1964</v>
      </c>
      <c r="E23" s="1424"/>
      <c r="F23" s="1439"/>
      <c r="G23" s="1442"/>
      <c r="H23" s="1441"/>
      <c r="I23" s="1441"/>
      <c r="J23" s="1441"/>
    </row>
    <row r="24" spans="3:10">
      <c r="C24" s="1438" t="s">
        <v>1965</v>
      </c>
      <c r="D24" s="1424" t="s">
        <v>1966</v>
      </c>
      <c r="E24" s="1424"/>
      <c r="F24" s="1439"/>
      <c r="G24" s="1442"/>
      <c r="H24" s="1441"/>
      <c r="I24" s="1441"/>
      <c r="J24" s="1441"/>
    </row>
    <row r="25" spans="3:10">
      <c r="C25" s="1438" t="s">
        <v>1967</v>
      </c>
      <c r="D25" s="1423" t="s">
        <v>1955</v>
      </c>
      <c r="E25" s="1424"/>
      <c r="F25" s="1439"/>
      <c r="G25" s="1442"/>
      <c r="H25" s="1441"/>
      <c r="I25" s="1441"/>
      <c r="J25" s="1441"/>
    </row>
    <row r="26" spans="3:10">
      <c r="C26" s="1438" t="s">
        <v>1968</v>
      </c>
      <c r="D26" s="1424" t="s">
        <v>1969</v>
      </c>
      <c r="E26" s="1424"/>
      <c r="F26" s="1439"/>
      <c r="G26" s="1442"/>
      <c r="H26" s="1441"/>
      <c r="I26" s="1441"/>
      <c r="J26" s="1441"/>
    </row>
    <row r="27" spans="3:10">
      <c r="C27" s="1438" t="s">
        <v>1970</v>
      </c>
      <c r="D27" s="1424" t="s">
        <v>1959</v>
      </c>
      <c r="E27" s="1424"/>
      <c r="F27" s="1439"/>
      <c r="G27" s="1442"/>
      <c r="H27" s="1441"/>
      <c r="I27" s="1441"/>
      <c r="J27" s="1441"/>
    </row>
    <row r="28" spans="3:10">
      <c r="C28" s="1438" t="s">
        <v>1971</v>
      </c>
      <c r="D28" s="1424" t="s">
        <v>1961</v>
      </c>
      <c r="E28" s="1424"/>
      <c r="F28" s="1439"/>
      <c r="G28" s="1442"/>
      <c r="H28" s="1441"/>
      <c r="I28" s="1441"/>
      <c r="J28" s="1441"/>
    </row>
    <row r="29" spans="3:10">
      <c r="C29" s="1453"/>
      <c r="D29" s="1433"/>
      <c r="E29" s="1433"/>
      <c r="F29" s="1439"/>
      <c r="G29" s="1442"/>
      <c r="H29" s="1441"/>
      <c r="I29" s="1441"/>
      <c r="J29" s="1441"/>
    </row>
    <row r="30" spans="3:10" ht="15">
      <c r="C30" s="1454" t="s">
        <v>1972</v>
      </c>
      <c r="D30" s="1449"/>
      <c r="E30" s="1449"/>
      <c r="F30" s="1455"/>
      <c r="G30" s="1456"/>
      <c r="H30" s="1457"/>
      <c r="I30" s="1457"/>
      <c r="J30" s="1457"/>
    </row>
    <row r="31" spans="3:10">
      <c r="C31" s="1438"/>
      <c r="D31" s="1458"/>
      <c r="E31" s="1458"/>
      <c r="F31" s="1439"/>
      <c r="G31" s="1442"/>
      <c r="H31" s="1441"/>
      <c r="I31" s="1441"/>
      <c r="J31" s="1441"/>
    </row>
    <row r="32" spans="3:10">
      <c r="C32" s="1438"/>
      <c r="D32" s="1458"/>
      <c r="E32" s="1458"/>
      <c r="F32" s="1439"/>
      <c r="G32" s="1442"/>
      <c r="H32" s="1441"/>
      <c r="I32" s="1441"/>
      <c r="J32" s="1441"/>
    </row>
    <row r="33" spans="3:10">
      <c r="C33" s="1438"/>
      <c r="D33" s="1459"/>
      <c r="E33" s="1458"/>
      <c r="F33" s="1439"/>
      <c r="G33" s="1442"/>
      <c r="H33" s="1441"/>
      <c r="I33" s="1441"/>
      <c r="J33" s="1441"/>
    </row>
    <row r="34" spans="3:10">
      <c r="C34" s="1438"/>
      <c r="F34" s="1460"/>
      <c r="G34" s="1460"/>
      <c r="H34" s="1460"/>
      <c r="I34" s="1460"/>
      <c r="J34" s="1460"/>
    </row>
    <row r="35" spans="3:10" ht="15">
      <c r="C35" s="1461" t="s">
        <v>968</v>
      </c>
      <c r="D35" s="1462"/>
      <c r="E35" s="1462"/>
      <c r="F35" s="1463"/>
      <c r="G35" s="1464">
        <f>SUM(G15:G33)</f>
        <v>23400</v>
      </c>
      <c r="H35" s="1465"/>
      <c r="I35" s="1465"/>
      <c r="J35" s="1465"/>
    </row>
    <row r="36" spans="3:10"/>
    <row r="37" spans="3:10" ht="16.5">
      <c r="C37" s="1466" t="s">
        <v>1973</v>
      </c>
    </row>
    <row r="38" spans="3:10" s="1468" customFormat="1" ht="17.25" customHeight="1">
      <c r="C38" s="1467" t="s">
        <v>1974</v>
      </c>
    </row>
    <row r="39" spans="3:10" s="1468" customFormat="1" ht="15">
      <c r="C39" s="1468" t="s">
        <v>1975</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3" zoomScaleNormal="100" zoomScaleSheetLayoutView="100" workbookViewId="0">
      <selection activeCell="E71" sqref="E71"/>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851244</v>
      </c>
      <c r="G4" s="354">
        <f>E4*$C$4</f>
        <v>872525.1</v>
      </c>
      <c r="I4" s="354">
        <f>G4*$C$4</f>
        <v>894338.22749999992</v>
      </c>
      <c r="K4" s="354">
        <f>I4*$C$4</f>
        <v>916696.68318749988</v>
      </c>
      <c r="M4" s="354">
        <f>K4*$C$4</f>
        <v>939614.10026718734</v>
      </c>
      <c r="O4" s="354">
        <f>M4*$C$4</f>
        <v>963104.45277386694</v>
      </c>
      <c r="Q4" s="354">
        <f>O4*$C$4</f>
        <v>987182.06409321353</v>
      </c>
      <c r="S4" s="354">
        <f>Q4*$C$4</f>
        <v>1011861.6156955438</v>
      </c>
      <c r="U4" s="354">
        <f>S4*$C$4</f>
        <v>1037158.1560879323</v>
      </c>
      <c r="W4" s="354">
        <f>U4*$C$4</f>
        <v>1063087.1099901304</v>
      </c>
      <c r="Y4" s="354">
        <f>W4*$C$4</f>
        <v>1089664.2877398836</v>
      </c>
      <c r="AA4" s="354">
        <f>Y4*$C$4</f>
        <v>1116905.8949333807</v>
      </c>
      <c r="AC4" s="354">
        <f>AA4*$C$4</f>
        <v>1144828.5423067152</v>
      </c>
      <c r="AE4" s="354">
        <f>AC4*$C$4</f>
        <v>1173449.255864383</v>
      </c>
      <c r="AG4" s="354">
        <f>AE4*$C$4</f>
        <v>1202785.4872609924</v>
      </c>
    </row>
    <row r="5" spans="1:34" s="339" customFormat="1" ht="14.25">
      <c r="B5" s="339" t="s">
        <v>901</v>
      </c>
      <c r="C5" s="375">
        <f>IF(Application!$D$210="Special Needs",0.1,0.05)</f>
        <v>0.05</v>
      </c>
      <c r="E5" s="356">
        <f>-E4*$C$5</f>
        <v>-42562.200000000004</v>
      </c>
      <c r="F5" s="356"/>
      <c r="G5" s="356">
        <f>-G4*$C$5</f>
        <v>-43626.255000000005</v>
      </c>
      <c r="H5" s="356"/>
      <c r="I5" s="356">
        <f>-I4*$C$5</f>
        <v>-44716.911374999996</v>
      </c>
      <c r="J5" s="356"/>
      <c r="K5" s="356">
        <f>-K4*$C$5</f>
        <v>-45834.834159374994</v>
      </c>
      <c r="L5" s="356"/>
      <c r="M5" s="356">
        <f>-M4*$C$5</f>
        <v>-46980.705013359373</v>
      </c>
      <c r="N5" s="356"/>
      <c r="O5" s="356">
        <f>-O4*$C$5</f>
        <v>-48155.222638693347</v>
      </c>
      <c r="P5" s="356"/>
      <c r="Q5" s="356">
        <f>-Q4*$C$5</f>
        <v>-49359.103204660678</v>
      </c>
      <c r="R5" s="356"/>
      <c r="S5" s="356">
        <f>-S4*$C$5</f>
        <v>-50593.080784777194</v>
      </c>
      <c r="T5" s="356"/>
      <c r="U5" s="356">
        <f>-U4*$C$5</f>
        <v>-51857.907804396615</v>
      </c>
      <c r="V5" s="356"/>
      <c r="W5" s="356">
        <f>-W4*$C$5</f>
        <v>-53154.355499506521</v>
      </c>
      <c r="X5" s="356"/>
      <c r="Y5" s="356">
        <f>-Y4*$C$5</f>
        <v>-54483.214386994186</v>
      </c>
      <c r="Z5" s="356"/>
      <c r="AA5" s="356">
        <f>-AA4*$C$5</f>
        <v>-55845.294746669038</v>
      </c>
      <c r="AB5" s="356"/>
      <c r="AC5" s="356">
        <f>-AC4*$C$5</f>
        <v>-57241.427115335762</v>
      </c>
      <c r="AD5" s="356"/>
      <c r="AE5" s="356">
        <f>-AE4*$C$5</f>
        <v>-58672.462793219151</v>
      </c>
      <c r="AF5" s="356"/>
      <c r="AG5" s="356">
        <f>-AG4*$C$5</f>
        <v>-60139.274363049626</v>
      </c>
    </row>
    <row r="6" spans="1:34" s="339" customFormat="1" ht="14.25">
      <c r="A6" s="339" t="s">
        <v>899</v>
      </c>
      <c r="C6" s="374">
        <v>1.0249999999999999</v>
      </c>
      <c r="E6" s="357">
        <f>Application!Z807</f>
        <v>208908</v>
      </c>
      <c r="F6" s="357"/>
      <c r="G6" s="357">
        <f>E6*$C$6</f>
        <v>214130.69999999998</v>
      </c>
      <c r="H6" s="357"/>
      <c r="I6" s="357">
        <f>G6*$C$6</f>
        <v>219483.96749999997</v>
      </c>
      <c r="J6" s="357"/>
      <c r="K6" s="357">
        <f>I6*$C$6</f>
        <v>224971.06668749996</v>
      </c>
      <c r="L6" s="357"/>
      <c r="M6" s="357">
        <f>K6*$C$6</f>
        <v>230595.34335468744</v>
      </c>
      <c r="N6" s="357"/>
      <c r="O6" s="357">
        <f>M6*$C$6</f>
        <v>236360.22693855461</v>
      </c>
      <c r="P6" s="357"/>
      <c r="Q6" s="357">
        <f>O6*$C$6</f>
        <v>242269.23261201844</v>
      </c>
      <c r="R6" s="357"/>
      <c r="S6" s="357">
        <f>Q6*$C$6</f>
        <v>248325.96342731887</v>
      </c>
      <c r="T6" s="357"/>
      <c r="U6" s="357">
        <f>S6*$C$6</f>
        <v>254534.11251300183</v>
      </c>
      <c r="V6" s="357"/>
      <c r="W6" s="357">
        <f>U6*$C$6</f>
        <v>260897.46532582687</v>
      </c>
      <c r="X6" s="357"/>
      <c r="Y6" s="357">
        <f>W6*$C$6</f>
        <v>267419.90195897251</v>
      </c>
      <c r="Z6" s="357"/>
      <c r="AA6" s="357">
        <f>Y6*$C$6</f>
        <v>274105.3995079468</v>
      </c>
      <c r="AB6" s="357"/>
      <c r="AC6" s="357">
        <f>AA6*$C$6</f>
        <v>280958.03449564544</v>
      </c>
      <c r="AD6" s="357"/>
      <c r="AE6" s="357">
        <f>AC6*$C$6</f>
        <v>287981.98535803653</v>
      </c>
      <c r="AF6" s="357"/>
      <c r="AG6" s="357">
        <f>AE6*$C$6</f>
        <v>295181.5349919874</v>
      </c>
    </row>
    <row r="7" spans="1:34" s="339" customFormat="1" ht="14.25">
      <c r="B7" s="339" t="s">
        <v>901</v>
      </c>
      <c r="C7" s="375">
        <f>IF(Application!$D$210="Special Needs",0.1,0.05)</f>
        <v>0.05</v>
      </c>
      <c r="E7" s="356">
        <f>-E6*$C$7</f>
        <v>-10445.400000000001</v>
      </c>
      <c r="F7" s="356"/>
      <c r="G7" s="356">
        <f>-G6*$C$7</f>
        <v>-10706.535</v>
      </c>
      <c r="H7" s="356"/>
      <c r="I7" s="356">
        <f>-I6*$C$7</f>
        <v>-10974.198375</v>
      </c>
      <c r="J7" s="356"/>
      <c r="K7" s="356">
        <f>-K6*$C$7</f>
        <v>-11248.553334374999</v>
      </c>
      <c r="L7" s="356"/>
      <c r="M7" s="356">
        <f>-M6*$C$7</f>
        <v>-11529.767167734373</v>
      </c>
      <c r="N7" s="356"/>
      <c r="O7" s="356">
        <f>-O6*$C$7</f>
        <v>-11818.011346927731</v>
      </c>
      <c r="P7" s="356"/>
      <c r="Q7" s="356">
        <f>-Q6*$C$7</f>
        <v>-12113.461630600923</v>
      </c>
      <c r="R7" s="356"/>
      <c r="S7" s="356">
        <f>-S6*$C$7</f>
        <v>-12416.298171365945</v>
      </c>
      <c r="T7" s="356"/>
      <c r="U7" s="356">
        <f>-U6*$C$7</f>
        <v>-12726.705625650093</v>
      </c>
      <c r="V7" s="356"/>
      <c r="W7" s="356">
        <f>-W6*$C$7</f>
        <v>-13044.873266291344</v>
      </c>
      <c r="X7" s="356"/>
      <c r="Y7" s="356">
        <f>-Y6*$C$7</f>
        <v>-13370.995097948626</v>
      </c>
      <c r="Z7" s="356"/>
      <c r="AA7" s="356">
        <f>-AA6*$C$7</f>
        <v>-13705.269975397341</v>
      </c>
      <c r="AB7" s="356"/>
      <c r="AC7" s="356">
        <f>-AC6*$C$7</f>
        <v>-14047.901724782272</v>
      </c>
      <c r="AD7" s="356"/>
      <c r="AE7" s="356">
        <f>-AE6*$C$7</f>
        <v>-14399.099267901827</v>
      </c>
      <c r="AF7" s="356"/>
      <c r="AG7" s="356">
        <f>-AG6*$C$7</f>
        <v>-14759.076749599371</v>
      </c>
    </row>
    <row r="8" spans="1:34" s="339" customFormat="1" ht="14.25">
      <c r="A8" s="339" t="s">
        <v>296</v>
      </c>
      <c r="C8" s="374">
        <v>1.02</v>
      </c>
      <c r="E8" s="357">
        <f>Application!Z815</f>
        <v>5460</v>
      </c>
      <c r="F8" s="357"/>
      <c r="G8" s="357">
        <f>E8*$C$8</f>
        <v>5569.2</v>
      </c>
      <c r="H8" s="357"/>
      <c r="I8" s="357">
        <f>G8*$C$8</f>
        <v>5680.5839999999998</v>
      </c>
      <c r="J8" s="357"/>
      <c r="K8" s="357">
        <f>I8*$C$8</f>
        <v>5794.1956799999998</v>
      </c>
      <c r="L8" s="357"/>
      <c r="M8" s="357">
        <f>K8*$C$8</f>
        <v>5910.0795935999995</v>
      </c>
      <c r="N8" s="357"/>
      <c r="O8" s="357">
        <f>M8*$C$8</f>
        <v>6028.2811854719994</v>
      </c>
      <c r="P8" s="357"/>
      <c r="Q8" s="357">
        <f>O8*$C$8</f>
        <v>6148.8468091814393</v>
      </c>
      <c r="R8" s="357"/>
      <c r="S8" s="357">
        <f>Q8*$C$8</f>
        <v>6271.8237453650681</v>
      </c>
      <c r="T8" s="357"/>
      <c r="U8" s="357">
        <f>S8*$C$8</f>
        <v>6397.2602202723692</v>
      </c>
      <c r="V8" s="357"/>
      <c r="W8" s="357">
        <f>U8*$C$8</f>
        <v>6525.2054246778171</v>
      </c>
      <c r="X8" s="357"/>
      <c r="Y8" s="357">
        <f>W8*$C$8</f>
        <v>6655.7095331713736</v>
      </c>
      <c r="Z8" s="357"/>
      <c r="AA8" s="357">
        <f>Y8*$C$8</f>
        <v>6788.8237238348011</v>
      </c>
      <c r="AB8" s="357"/>
      <c r="AC8" s="357">
        <f>AA8*$C$8</f>
        <v>6924.6001983114975</v>
      </c>
      <c r="AD8" s="357"/>
      <c r="AE8" s="357">
        <f>AC8*$C$8</f>
        <v>7063.0922022777277</v>
      </c>
      <c r="AF8" s="357"/>
      <c r="AG8" s="357">
        <f>AE8*$C$8</f>
        <v>7204.3540463232821</v>
      </c>
    </row>
    <row r="9" spans="1:34" s="339" customFormat="1" ht="14.25">
      <c r="B9" s="339" t="s">
        <v>901</v>
      </c>
      <c r="C9" s="375">
        <f>IF(Application!$D$210="Special Needs",0.1,0.05)</f>
        <v>0.05</v>
      </c>
      <c r="E9" s="373">
        <f>-E8*$C$9</f>
        <v>-273</v>
      </c>
      <c r="F9" s="356"/>
      <c r="G9" s="373">
        <f>-G8*$C$9</f>
        <v>-278.45999999999998</v>
      </c>
      <c r="H9" s="356"/>
      <c r="I9" s="373">
        <f>-I8*$C$9</f>
        <v>-284.0292</v>
      </c>
      <c r="J9" s="356"/>
      <c r="K9" s="373">
        <f>-K8*$C$9</f>
        <v>-289.70978400000001</v>
      </c>
      <c r="L9" s="356"/>
      <c r="M9" s="373">
        <f>-M8*$C$9</f>
        <v>-295.50397967999999</v>
      </c>
      <c r="N9" s="356"/>
      <c r="O9" s="373">
        <f>-O8*$C$9</f>
        <v>-301.4140592736</v>
      </c>
      <c r="P9" s="356"/>
      <c r="Q9" s="373">
        <f>-Q8*$C$9</f>
        <v>-307.442340459072</v>
      </c>
      <c r="R9" s="356"/>
      <c r="S9" s="373">
        <f>-S8*$C$9</f>
        <v>-313.59118726825341</v>
      </c>
      <c r="T9" s="356"/>
      <c r="U9" s="373">
        <f>-U8*$C$9</f>
        <v>-319.86301101361846</v>
      </c>
      <c r="V9" s="356"/>
      <c r="W9" s="373">
        <f>-W8*$C$9</f>
        <v>-326.26027123389088</v>
      </c>
      <c r="X9" s="356"/>
      <c r="Y9" s="373">
        <f>-Y8*$C$9</f>
        <v>-332.78547665856871</v>
      </c>
      <c r="Z9" s="356"/>
      <c r="AA9" s="373">
        <f>-AA8*$C$9</f>
        <v>-339.44118619174009</v>
      </c>
      <c r="AB9" s="356"/>
      <c r="AC9" s="373">
        <f>-AC8*$C$9</f>
        <v>-346.2300099155749</v>
      </c>
      <c r="AD9" s="356"/>
      <c r="AE9" s="373">
        <f>-AE8*$C$9</f>
        <v>-353.15461011388641</v>
      </c>
      <c r="AF9" s="356"/>
      <c r="AG9" s="373">
        <f>-AG8*$C$9</f>
        <v>-360.21770231616415</v>
      </c>
    </row>
    <row r="10" spans="1:34" s="358" customFormat="1" ht="15">
      <c r="A10" s="358" t="s">
        <v>922</v>
      </c>
      <c r="C10" s="349"/>
      <c r="E10" s="358">
        <f>SUM(E4:E9)</f>
        <v>1012331.4</v>
      </c>
      <c r="G10" s="358">
        <f>SUM(G4:G9)</f>
        <v>1037613.7499999999</v>
      </c>
      <c r="I10" s="358">
        <f>SUM(I4:I9)</f>
        <v>1063527.64005</v>
      </c>
      <c r="K10" s="358">
        <f>SUM(K4:K9)</f>
        <v>1090088.8482772498</v>
      </c>
      <c r="M10" s="358">
        <f>SUM(M4:M9)</f>
        <v>1117313.547054701</v>
      </c>
      <c r="O10" s="358">
        <f>SUM(O4:O9)</f>
        <v>1145218.3128529985</v>
      </c>
      <c r="Q10" s="358">
        <f>SUM(Q4:Q9)</f>
        <v>1173820.1363386926</v>
      </c>
      <c r="S10" s="358">
        <f>SUM(S4:S9)</f>
        <v>1203136.4327248165</v>
      </c>
      <c r="U10" s="358">
        <f>SUM(U4:U9)</f>
        <v>1233185.0523801462</v>
      </c>
      <c r="W10" s="358">
        <f>SUM(W4:W9)</f>
        <v>1263984.2917036032</v>
      </c>
      <c r="Y10" s="358">
        <f>SUM(Y4:Y9)</f>
        <v>1295552.9042704261</v>
      </c>
      <c r="AA10" s="358">
        <f>SUM(AA4:AA9)</f>
        <v>1327910.1122569041</v>
      </c>
      <c r="AC10" s="358">
        <f>SUM(AC4:AC9)</f>
        <v>1361075.6181506384</v>
      </c>
      <c r="AE10" s="358">
        <f>SUM(AE4:AE9)</f>
        <v>1395069.6167534622</v>
      </c>
      <c r="AG10" s="358">
        <f>SUM(AG4:AG9)</f>
        <v>1429912.8074843383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51000</v>
      </c>
      <c r="G14" s="354">
        <f>E14*$C$13</f>
        <v>52784.999999999993</v>
      </c>
      <c r="I14" s="354">
        <f>G14*$C$13</f>
        <v>54632.474999999991</v>
      </c>
      <c r="K14" s="354">
        <f>I14*$C$13</f>
        <v>56544.611624999983</v>
      </c>
      <c r="M14" s="354">
        <f>K14*$C$13</f>
        <v>58523.673031874976</v>
      </c>
      <c r="O14" s="354">
        <f>M14*$C$13</f>
        <v>60572.001587990599</v>
      </c>
      <c r="Q14" s="354">
        <f>O14*$C$13</f>
        <v>62692.021643570268</v>
      </c>
      <c r="S14" s="354">
        <f>Q14*$C$13</f>
        <v>64886.242401095224</v>
      </c>
      <c r="U14" s="354">
        <f>S14*$C$13</f>
        <v>67157.260885133554</v>
      </c>
      <c r="W14" s="354">
        <f>U14*$C$13</f>
        <v>69507.765016113219</v>
      </c>
      <c r="Y14" s="354">
        <f>W14*$C$13</f>
        <v>71940.536791677179</v>
      </c>
      <c r="AA14" s="354">
        <f>Y14*$C$13</f>
        <v>74458.455579385874</v>
      </c>
      <c r="AC14" s="354">
        <f>AA14*$C$13</f>
        <v>77064.501524664374</v>
      </c>
      <c r="AE14" s="354">
        <f>AC14*$C$13</f>
        <v>79761.759078027622</v>
      </c>
      <c r="AG14" s="354">
        <f>AE14*$C$13</f>
        <v>82553.420645758582</v>
      </c>
    </row>
    <row r="15" spans="1:34" s="339" customFormat="1" ht="14.25">
      <c r="A15" s="339" t="s">
        <v>354</v>
      </c>
      <c r="C15" s="368"/>
      <c r="E15" s="357">
        <f>Application!W847</f>
        <v>54600</v>
      </c>
      <c r="F15" s="357"/>
      <c r="G15" s="357">
        <f t="shared" ref="G15:AG20" si="0">E15*$C$13</f>
        <v>56510.999999999993</v>
      </c>
      <c r="H15" s="357"/>
      <c r="I15" s="357">
        <f t="shared" si="0"/>
        <v>58488.884999999987</v>
      </c>
      <c r="J15" s="357"/>
      <c r="K15" s="357">
        <f t="shared" si="0"/>
        <v>60535.995974999983</v>
      </c>
      <c r="L15" s="357"/>
      <c r="M15" s="357">
        <f t="shared" si="0"/>
        <v>62654.755834124975</v>
      </c>
      <c r="N15" s="357"/>
      <c r="O15" s="357">
        <f t="shared" si="0"/>
        <v>64847.672288319343</v>
      </c>
      <c r="P15" s="357"/>
      <c r="Q15" s="357">
        <f t="shared" si="0"/>
        <v>67117.340818410521</v>
      </c>
      <c r="R15" s="357"/>
      <c r="S15" s="357">
        <f t="shared" si="0"/>
        <v>69466.447747054888</v>
      </c>
      <c r="T15" s="357"/>
      <c r="U15" s="357">
        <f t="shared" si="0"/>
        <v>71897.773418201803</v>
      </c>
      <c r="V15" s="357"/>
      <c r="W15" s="357">
        <f t="shared" si="0"/>
        <v>74414.195487838864</v>
      </c>
      <c r="X15" s="357"/>
      <c r="Y15" s="357">
        <f t="shared" si="0"/>
        <v>77018.692329913218</v>
      </c>
      <c r="Z15" s="357"/>
      <c r="AA15" s="357">
        <f t="shared" si="0"/>
        <v>79714.346561460174</v>
      </c>
      <c r="AB15" s="357"/>
      <c r="AC15" s="357">
        <f t="shared" si="0"/>
        <v>82504.34869111127</v>
      </c>
      <c r="AD15" s="357"/>
      <c r="AE15" s="357">
        <f t="shared" si="0"/>
        <v>85392.000895300152</v>
      </c>
      <c r="AF15" s="357"/>
      <c r="AG15" s="357">
        <f t="shared" si="0"/>
        <v>88380.720926635651</v>
      </c>
    </row>
    <row r="16" spans="1:34" s="339" customFormat="1" ht="14.25">
      <c r="A16" s="339" t="s">
        <v>594</v>
      </c>
      <c r="C16" s="368"/>
      <c r="E16" s="357">
        <f>Application!W853</f>
        <v>61000</v>
      </c>
      <c r="F16" s="357"/>
      <c r="G16" s="357">
        <f t="shared" si="0"/>
        <v>63134.999999999993</v>
      </c>
      <c r="H16" s="357"/>
      <c r="I16" s="357">
        <f t="shared" si="0"/>
        <v>65344.724999999984</v>
      </c>
      <c r="J16" s="357"/>
      <c r="K16" s="357">
        <f t="shared" si="0"/>
        <v>67631.790374999982</v>
      </c>
      <c r="L16" s="357"/>
      <c r="M16" s="357">
        <f t="shared" si="0"/>
        <v>69998.903038124976</v>
      </c>
      <c r="N16" s="357"/>
      <c r="O16" s="357">
        <f t="shared" si="0"/>
        <v>72448.864644459347</v>
      </c>
      <c r="P16" s="357"/>
      <c r="Q16" s="357">
        <f t="shared" si="0"/>
        <v>74984.574907015412</v>
      </c>
      <c r="R16" s="357"/>
      <c r="S16" s="357">
        <f t="shared" si="0"/>
        <v>77609.035028760947</v>
      </c>
      <c r="T16" s="357"/>
      <c r="U16" s="357">
        <f t="shared" si="0"/>
        <v>80325.351254767578</v>
      </c>
      <c r="V16" s="357"/>
      <c r="W16" s="357">
        <f t="shared" si="0"/>
        <v>83136.738548684443</v>
      </c>
      <c r="X16" s="357"/>
      <c r="Y16" s="357">
        <f t="shared" si="0"/>
        <v>86046.524397888395</v>
      </c>
      <c r="Z16" s="357"/>
      <c r="AA16" s="357">
        <f t="shared" si="0"/>
        <v>89058.152751814487</v>
      </c>
      <c r="AB16" s="357"/>
      <c r="AC16" s="357">
        <f t="shared" si="0"/>
        <v>92175.188098127983</v>
      </c>
      <c r="AD16" s="357"/>
      <c r="AE16" s="357">
        <f t="shared" si="0"/>
        <v>95401.319681562454</v>
      </c>
      <c r="AF16" s="357"/>
      <c r="AG16" s="357">
        <f t="shared" si="0"/>
        <v>98740.365870417139</v>
      </c>
    </row>
    <row r="17" spans="1:33" s="339" customFormat="1" ht="14.25">
      <c r="A17" s="339" t="s">
        <v>905</v>
      </c>
      <c r="C17" s="368"/>
      <c r="E17" s="357">
        <f>Application!W860</f>
        <v>135000</v>
      </c>
      <c r="F17" s="357"/>
      <c r="G17" s="357">
        <f t="shared" si="0"/>
        <v>139725</v>
      </c>
      <c r="H17" s="357"/>
      <c r="I17" s="357">
        <f t="shared" si="0"/>
        <v>144615.375</v>
      </c>
      <c r="J17" s="357"/>
      <c r="K17" s="357">
        <f t="shared" si="0"/>
        <v>149676.91312499999</v>
      </c>
      <c r="L17" s="357"/>
      <c r="M17" s="357">
        <f t="shared" si="0"/>
        <v>154915.60508437498</v>
      </c>
      <c r="N17" s="357"/>
      <c r="O17" s="357">
        <f t="shared" si="0"/>
        <v>160337.65126232809</v>
      </c>
      <c r="P17" s="357"/>
      <c r="Q17" s="357">
        <f t="shared" si="0"/>
        <v>165949.46905650955</v>
      </c>
      <c r="R17" s="357"/>
      <c r="S17" s="357">
        <f t="shared" si="0"/>
        <v>171757.70047348738</v>
      </c>
      <c r="T17" s="357"/>
      <c r="U17" s="357">
        <f t="shared" si="0"/>
        <v>177769.21999005941</v>
      </c>
      <c r="V17" s="357"/>
      <c r="W17" s="357">
        <f t="shared" si="0"/>
        <v>183991.14268971147</v>
      </c>
      <c r="X17" s="357"/>
      <c r="Y17" s="357">
        <f t="shared" si="0"/>
        <v>190430.83268385136</v>
      </c>
      <c r="Z17" s="357"/>
      <c r="AA17" s="357">
        <f t="shared" si="0"/>
        <v>197095.91182778616</v>
      </c>
      <c r="AB17" s="357"/>
      <c r="AC17" s="357">
        <f t="shared" si="0"/>
        <v>203994.26874175866</v>
      </c>
      <c r="AD17" s="357"/>
      <c r="AE17" s="357">
        <f t="shared" si="0"/>
        <v>211134.06814772019</v>
      </c>
      <c r="AF17" s="357"/>
      <c r="AG17" s="357">
        <f t="shared" si="0"/>
        <v>218523.76053289039</v>
      </c>
    </row>
    <row r="18" spans="1:33" s="339" customFormat="1" ht="14.25">
      <c r="A18" s="339" t="s">
        <v>160</v>
      </c>
      <c r="C18" s="368"/>
      <c r="E18" s="357">
        <f>Application!W861</f>
        <v>22750</v>
      </c>
      <c r="F18" s="357"/>
      <c r="G18" s="357">
        <f t="shared" si="0"/>
        <v>23546.25</v>
      </c>
      <c r="H18" s="357"/>
      <c r="I18" s="357">
        <f t="shared" si="0"/>
        <v>24370.368749999998</v>
      </c>
      <c r="J18" s="357"/>
      <c r="K18" s="357">
        <f t="shared" si="0"/>
        <v>25223.331656249997</v>
      </c>
      <c r="L18" s="357"/>
      <c r="M18" s="357">
        <f t="shared" si="0"/>
        <v>26106.148264218744</v>
      </c>
      <c r="N18" s="357"/>
      <c r="O18" s="357">
        <f t="shared" si="0"/>
        <v>27019.863453466398</v>
      </c>
      <c r="P18" s="357"/>
      <c r="Q18" s="357">
        <f t="shared" si="0"/>
        <v>27965.558674337721</v>
      </c>
      <c r="R18" s="357"/>
      <c r="S18" s="357">
        <f t="shared" si="0"/>
        <v>28944.35322793954</v>
      </c>
      <c r="T18" s="357"/>
      <c r="U18" s="357">
        <f t="shared" si="0"/>
        <v>29957.40559091742</v>
      </c>
      <c r="V18" s="357"/>
      <c r="W18" s="357">
        <f t="shared" si="0"/>
        <v>31005.914786599529</v>
      </c>
      <c r="X18" s="357"/>
      <c r="Y18" s="357">
        <f t="shared" si="0"/>
        <v>32091.121804130511</v>
      </c>
      <c r="Z18" s="357"/>
      <c r="AA18" s="357">
        <f t="shared" si="0"/>
        <v>33214.311067275077</v>
      </c>
      <c r="AB18" s="357"/>
      <c r="AC18" s="357">
        <f t="shared" si="0"/>
        <v>34376.811954629702</v>
      </c>
      <c r="AD18" s="357"/>
      <c r="AE18" s="357">
        <f t="shared" si="0"/>
        <v>35580.000373041737</v>
      </c>
      <c r="AF18" s="357"/>
      <c r="AG18" s="357">
        <f t="shared" si="0"/>
        <v>36825.300386098199</v>
      </c>
    </row>
    <row r="19" spans="1:33" s="339" customFormat="1" ht="14.25">
      <c r="A19" s="339" t="s">
        <v>409</v>
      </c>
      <c r="C19" s="368"/>
      <c r="E19" s="357">
        <f>Application!W870</f>
        <v>58000</v>
      </c>
      <c r="F19" s="357"/>
      <c r="G19" s="357">
        <f t="shared" si="0"/>
        <v>60029.999999999993</v>
      </c>
      <c r="H19" s="357"/>
      <c r="I19" s="357">
        <f t="shared" si="0"/>
        <v>62131.049999999988</v>
      </c>
      <c r="J19" s="357"/>
      <c r="K19" s="357">
        <f t="shared" si="0"/>
        <v>64305.636749999983</v>
      </c>
      <c r="L19" s="357"/>
      <c r="M19" s="357">
        <f t="shared" si="0"/>
        <v>66556.334036249973</v>
      </c>
      <c r="N19" s="357"/>
      <c r="O19" s="357">
        <f t="shared" si="0"/>
        <v>68885.805727518717</v>
      </c>
      <c r="P19" s="357"/>
      <c r="Q19" s="357">
        <f t="shared" si="0"/>
        <v>71296.808927981867</v>
      </c>
      <c r="R19" s="357"/>
      <c r="S19" s="357">
        <f t="shared" si="0"/>
        <v>73792.197240461232</v>
      </c>
      <c r="T19" s="357"/>
      <c r="U19" s="357">
        <f t="shared" si="0"/>
        <v>76374.924143877375</v>
      </c>
      <c r="V19" s="357"/>
      <c r="W19" s="357">
        <f t="shared" si="0"/>
        <v>79048.046488913082</v>
      </c>
      <c r="X19" s="357"/>
      <c r="Y19" s="357">
        <f t="shared" si="0"/>
        <v>81814.728116025028</v>
      </c>
      <c r="Z19" s="357"/>
      <c r="AA19" s="357">
        <f t="shared" si="0"/>
        <v>84678.243600085902</v>
      </c>
      <c r="AB19" s="357"/>
      <c r="AC19" s="357">
        <f t="shared" si="0"/>
        <v>87641.9821260889</v>
      </c>
      <c r="AD19" s="357"/>
      <c r="AE19" s="357">
        <f t="shared" si="0"/>
        <v>90709.451500502008</v>
      </c>
      <c r="AF19" s="357"/>
      <c r="AG19" s="357">
        <f t="shared" si="0"/>
        <v>93884.282303019572</v>
      </c>
    </row>
    <row r="20" spans="1:33" s="339" customFormat="1" ht="14.25">
      <c r="A20" s="361" t="s">
        <v>1041</v>
      </c>
      <c r="B20" s="361"/>
      <c r="C20" s="368"/>
      <c r="E20" s="367">
        <f>Application!W877</f>
        <v>38405</v>
      </c>
      <c r="F20" s="357"/>
      <c r="G20" s="367">
        <f t="shared" si="0"/>
        <v>39749.174999999996</v>
      </c>
      <c r="H20" s="357"/>
      <c r="I20" s="367">
        <f t="shared" si="0"/>
        <v>41140.396124999992</v>
      </c>
      <c r="J20" s="357"/>
      <c r="K20" s="367">
        <f t="shared" si="0"/>
        <v>42580.30998937499</v>
      </c>
      <c r="L20" s="357"/>
      <c r="M20" s="367">
        <f t="shared" si="0"/>
        <v>44070.62083900311</v>
      </c>
      <c r="N20" s="357"/>
      <c r="O20" s="367">
        <f t="shared" si="0"/>
        <v>45613.092568368214</v>
      </c>
      <c r="P20" s="357"/>
      <c r="Q20" s="367">
        <f t="shared" si="0"/>
        <v>47209.550808261098</v>
      </c>
      <c r="R20" s="357"/>
      <c r="S20" s="367">
        <f t="shared" si="0"/>
        <v>48861.885086550232</v>
      </c>
      <c r="T20" s="357"/>
      <c r="U20" s="367">
        <f t="shared" si="0"/>
        <v>50572.051064579486</v>
      </c>
      <c r="V20" s="357"/>
      <c r="W20" s="367">
        <f t="shared" si="0"/>
        <v>52342.072851839766</v>
      </c>
      <c r="X20" s="357"/>
      <c r="Y20" s="367">
        <f t="shared" si="0"/>
        <v>54174.045401654155</v>
      </c>
      <c r="Z20" s="357"/>
      <c r="AA20" s="367">
        <f t="shared" si="0"/>
        <v>56070.136990712046</v>
      </c>
      <c r="AB20" s="357"/>
      <c r="AC20" s="367">
        <f t="shared" si="0"/>
        <v>58032.591785386961</v>
      </c>
      <c r="AD20" s="357"/>
      <c r="AE20" s="367">
        <f t="shared" si="0"/>
        <v>60063.732497875499</v>
      </c>
      <c r="AF20" s="357"/>
      <c r="AG20" s="367">
        <f t="shared" si="0"/>
        <v>62165.963135301135</v>
      </c>
    </row>
    <row r="21" spans="1:33" s="358" customFormat="1" ht="15">
      <c r="A21" s="358" t="s">
        <v>906</v>
      </c>
      <c r="C21" s="368"/>
      <c r="E21" s="358">
        <f>SUM(E14:E20)</f>
        <v>420755</v>
      </c>
      <c r="G21" s="358">
        <f>SUM(G14:G20)</f>
        <v>435481.42499999999</v>
      </c>
      <c r="I21" s="358">
        <f>SUM(I14:I20)</f>
        <v>450723.27487499994</v>
      </c>
      <c r="K21" s="358">
        <f>SUM(K14:K20)</f>
        <v>466498.58949562494</v>
      </c>
      <c r="M21" s="358">
        <f>SUM(M14:M20)</f>
        <v>482826.04012797179</v>
      </c>
      <c r="O21" s="358">
        <f>SUM(O14:O20)</f>
        <v>499724.95153245062</v>
      </c>
      <c r="Q21" s="358">
        <f>SUM(Q14:Q20)</f>
        <v>517215.32483608642</v>
      </c>
      <c r="S21" s="358">
        <f>SUM(S14:S20)</f>
        <v>535317.86120534944</v>
      </c>
      <c r="U21" s="358">
        <f>SUM(U14:U20)</f>
        <v>554053.98634753667</v>
      </c>
      <c r="W21" s="358">
        <f>SUM(W14:W20)</f>
        <v>573445.87586970034</v>
      </c>
      <c r="Y21" s="358">
        <f>SUM(Y14:Y20)</f>
        <v>593516.48152513988</v>
      </c>
      <c r="AA21" s="358">
        <f>SUM(AA14:AA20)</f>
        <v>614289.55837851972</v>
      </c>
      <c r="AC21" s="358">
        <f>SUM(AC14:AC20)</f>
        <v>635789.69292176794</v>
      </c>
      <c r="AE21" s="358">
        <f>SUM(AE14:AE20)</f>
        <v>658042.33217402955</v>
      </c>
      <c r="AG21" s="358">
        <f>SUM(AG14:AG20)</f>
        <v>681073.81380012061</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2160</v>
      </c>
      <c r="C23" s="1873">
        <v>1.0349999999999999</v>
      </c>
      <c r="E23" s="1604">
        <v>70000</v>
      </c>
      <c r="F23" s="357"/>
      <c r="G23" s="357">
        <f>E23*$C$23</f>
        <v>72450</v>
      </c>
      <c r="H23" s="357"/>
      <c r="I23" s="357">
        <f>G23*$C$23</f>
        <v>74985.75</v>
      </c>
      <c r="J23" s="357"/>
      <c r="K23" s="357">
        <f>I23*$C$23</f>
        <v>77610.251250000001</v>
      </c>
      <c r="L23" s="357"/>
      <c r="M23" s="357">
        <f>K23*$C$23</f>
        <v>80326.610043749999</v>
      </c>
      <c r="N23" s="357"/>
      <c r="O23" s="357">
        <f>M23*$C$23</f>
        <v>83138.041395281238</v>
      </c>
      <c r="P23" s="357"/>
      <c r="Q23" s="357">
        <f>O23*$C$23</f>
        <v>86047.872844116078</v>
      </c>
      <c r="R23" s="357"/>
      <c r="S23" s="357">
        <f>Q23*$C$23</f>
        <v>89059.548393660138</v>
      </c>
      <c r="T23" s="357"/>
      <c r="U23" s="357">
        <f>S23*$C$23</f>
        <v>92176.632587438231</v>
      </c>
      <c r="V23" s="357"/>
      <c r="W23" s="357">
        <f>U23*$C$23</f>
        <v>95402.814727998557</v>
      </c>
      <c r="X23" s="357"/>
      <c r="Y23" s="357">
        <f>W23*$C$23</f>
        <v>98741.913243478499</v>
      </c>
      <c r="Z23" s="357"/>
      <c r="AA23" s="357">
        <f>Y23*$C$23</f>
        <v>102197.88020700024</v>
      </c>
      <c r="AB23" s="357"/>
      <c r="AC23" s="357">
        <f>AA23*$C$23</f>
        <v>105774.80601424525</v>
      </c>
      <c r="AD23" s="357"/>
      <c r="AE23" s="357">
        <f>AC23*$C$23</f>
        <v>109476.92422474382</v>
      </c>
      <c r="AF23" s="357"/>
      <c r="AG23" s="357">
        <f>AE23*$C$23</f>
        <v>113308.61657260986</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23400</v>
      </c>
      <c r="F26" s="357"/>
      <c r="G26" s="357">
        <f>E26*$C$26</f>
        <v>24218.999999999996</v>
      </c>
      <c r="H26" s="357"/>
      <c r="I26" s="357">
        <f>G26*$C$26</f>
        <v>25066.664999999994</v>
      </c>
      <c r="J26" s="357"/>
      <c r="K26" s="357">
        <f>I26*$C$26</f>
        <v>25943.998274999991</v>
      </c>
      <c r="L26" s="357"/>
      <c r="M26" s="357">
        <f>K26*$C$26</f>
        <v>26852.038214624987</v>
      </c>
      <c r="N26" s="357"/>
      <c r="O26" s="357">
        <f>M26*$C$26</f>
        <v>27791.859552136859</v>
      </c>
      <c r="P26" s="357"/>
      <c r="Q26" s="357">
        <f>O26*$C$26</f>
        <v>28764.574636461646</v>
      </c>
      <c r="R26" s="357"/>
      <c r="S26" s="357">
        <f>Q26*$C$26</f>
        <v>29771.334748737801</v>
      </c>
      <c r="T26" s="357"/>
      <c r="U26" s="357">
        <f>S26*$C$26</f>
        <v>30813.331464943622</v>
      </c>
      <c r="V26" s="357"/>
      <c r="W26" s="357">
        <f>U26*$C$26</f>
        <v>31891.798066216645</v>
      </c>
      <c r="X26" s="357"/>
      <c r="Y26" s="357">
        <f>W26*$C$26</f>
        <v>33008.010998534228</v>
      </c>
      <c r="Z26" s="357"/>
      <c r="AA26" s="357">
        <f>Y26*$C$26</f>
        <v>34163.291383482923</v>
      </c>
      <c r="AB26" s="357"/>
      <c r="AC26" s="357">
        <f>AA26*$C$26</f>
        <v>35359.006581904825</v>
      </c>
      <c r="AD26" s="357"/>
      <c r="AE26" s="357">
        <f>AC26*$C$26</f>
        <v>36596.57181227149</v>
      </c>
      <c r="AF26" s="357"/>
      <c r="AG26" s="357">
        <f>AE26*$C$26</f>
        <v>37877.451825700991</v>
      </c>
    </row>
    <row r="27" spans="1:33" s="339" customFormat="1" ht="14.25">
      <c r="A27" s="339" t="s">
        <v>909</v>
      </c>
      <c r="C27" s="376"/>
      <c r="E27" s="357">
        <f>Application!AC887</f>
        <v>32500</v>
      </c>
      <c r="F27" s="357"/>
      <c r="G27" s="357">
        <f>$E$27</f>
        <v>32500</v>
      </c>
      <c r="H27" s="357"/>
      <c r="I27" s="357">
        <f>$E$27</f>
        <v>32500</v>
      </c>
      <c r="J27" s="357"/>
      <c r="K27" s="357">
        <f>$E$27</f>
        <v>32500</v>
      </c>
      <c r="L27" s="357"/>
      <c r="M27" s="357">
        <f>$E$27</f>
        <v>32500</v>
      </c>
      <c r="N27" s="357"/>
      <c r="O27" s="1872">
        <f>$E$27*1.05</f>
        <v>34125</v>
      </c>
      <c r="P27" s="357"/>
      <c r="Q27" s="357">
        <f>$O$27</f>
        <v>34125</v>
      </c>
      <c r="R27" s="357"/>
      <c r="S27" s="357">
        <f>$O$27</f>
        <v>34125</v>
      </c>
      <c r="T27" s="357"/>
      <c r="U27" s="357">
        <f>$O$27</f>
        <v>34125</v>
      </c>
      <c r="V27" s="357"/>
      <c r="W27" s="357">
        <f>$O$27</f>
        <v>34125</v>
      </c>
      <c r="X27" s="357"/>
      <c r="Y27" s="1872">
        <f>W27*1.05</f>
        <v>35831.25</v>
      </c>
      <c r="Z27" s="357"/>
      <c r="AA27" s="357">
        <f>Y27</f>
        <v>35831.25</v>
      </c>
      <c r="AB27" s="357"/>
      <c r="AC27" s="357">
        <f>Y27</f>
        <v>35831.25</v>
      </c>
      <c r="AD27" s="357"/>
      <c r="AE27" s="357">
        <f>Y27</f>
        <v>35831.25</v>
      </c>
      <c r="AF27" s="357"/>
      <c r="AG27" s="357">
        <f>Y27</f>
        <v>35831.25</v>
      </c>
    </row>
    <row r="28" spans="1:33" s="339" customFormat="1" ht="14.25">
      <c r="A28" s="339" t="s">
        <v>2158</v>
      </c>
      <c r="C28" s="374">
        <v>1.0349999999999999</v>
      </c>
      <c r="E28" s="357">
        <f>Application!AC888</f>
        <v>10860</v>
      </c>
      <c r="F28" s="357"/>
      <c r="G28" s="357">
        <f>E28*$C$28</f>
        <v>11240.099999999999</v>
      </c>
      <c r="H28" s="357"/>
      <c r="I28" s="357">
        <f t="shared" ref="I28" si="1">G28*$C$28</f>
        <v>11633.503499999997</v>
      </c>
      <c r="J28" s="357"/>
      <c r="K28" s="357">
        <f t="shared" ref="K28" si="2">I28*$C$28</f>
        <v>12040.676122499995</v>
      </c>
      <c r="L28" s="357"/>
      <c r="M28" s="357">
        <f t="shared" ref="M28" si="3">K28*$C$28</f>
        <v>12462.099786787494</v>
      </c>
      <c r="N28" s="357"/>
      <c r="O28" s="357">
        <f t="shared" ref="O28" si="4">M28*$C$28</f>
        <v>12898.273279325056</v>
      </c>
      <c r="P28" s="357"/>
      <c r="Q28" s="357">
        <f t="shared" ref="Q28" si="5">O28*$C$28</f>
        <v>13349.712844101432</v>
      </c>
      <c r="R28" s="357"/>
      <c r="S28" s="357">
        <f t="shared" ref="S28" si="6">Q28*$C$28</f>
        <v>13816.952793644981</v>
      </c>
      <c r="T28" s="357"/>
      <c r="U28" s="357">
        <f t="shared" ref="U28" si="7">S28*$C$28</f>
        <v>14300.546141422554</v>
      </c>
      <c r="V28" s="357"/>
      <c r="W28" s="357">
        <f t="shared" ref="W28" si="8">U28*$C$28</f>
        <v>14801.065256372342</v>
      </c>
      <c r="X28" s="357"/>
      <c r="Y28" s="357">
        <f t="shared" ref="Y28" si="9">W28*$C$28</f>
        <v>15319.102540345373</v>
      </c>
      <c r="Z28" s="357"/>
      <c r="AA28" s="357">
        <f t="shared" ref="AA28" si="10">Y28*$C$28</f>
        <v>15855.27112925746</v>
      </c>
      <c r="AB28" s="357"/>
      <c r="AC28" s="357">
        <f t="shared" ref="AC28" si="11">AA28*$C$28</f>
        <v>16410.205618781471</v>
      </c>
      <c r="AD28" s="357"/>
      <c r="AE28" s="357">
        <f t="shared" ref="AE28" si="12">AC28*$C$28</f>
        <v>16984.562815438821</v>
      </c>
      <c r="AF28" s="357"/>
      <c r="AG28" s="357">
        <f t="shared" ref="AG28" si="13">AE28*$C$28</f>
        <v>17579.02251397918</v>
      </c>
    </row>
    <row r="29" spans="1:33" s="339" customFormat="1" ht="14.25">
      <c r="A29" s="339" t="s">
        <v>907</v>
      </c>
      <c r="C29" s="374">
        <v>1.02</v>
      </c>
      <c r="E29" s="357">
        <f>Application!AC889</f>
        <v>2500</v>
      </c>
      <c r="F29" s="357"/>
      <c r="G29" s="357">
        <f>E29*$C$29</f>
        <v>2550</v>
      </c>
      <c r="H29" s="357"/>
      <c r="I29" s="357">
        <f>G29*$C$29</f>
        <v>2601</v>
      </c>
      <c r="J29" s="357"/>
      <c r="K29" s="357">
        <f>I29*$C$29</f>
        <v>2653.02</v>
      </c>
      <c r="L29" s="357"/>
      <c r="M29" s="357">
        <f>K29*$C$29</f>
        <v>2706.0803999999998</v>
      </c>
      <c r="N29" s="357"/>
      <c r="O29" s="357">
        <f>M29*$C$29</f>
        <v>2760.2020079999998</v>
      </c>
      <c r="P29" s="357"/>
      <c r="Q29" s="357">
        <f>O29*$C$29</f>
        <v>2815.40604816</v>
      </c>
      <c r="R29" s="357"/>
      <c r="S29" s="357">
        <f>Q29*$C$29</f>
        <v>2871.7141691232</v>
      </c>
      <c r="T29" s="357"/>
      <c r="U29" s="357">
        <f>S29*$C$29</f>
        <v>2929.148452505664</v>
      </c>
      <c r="V29" s="357"/>
      <c r="W29" s="357">
        <f>U29*$C$29</f>
        <v>2987.7314215557772</v>
      </c>
      <c r="X29" s="357"/>
      <c r="Y29" s="357">
        <f>W29*$C$29</f>
        <v>3047.4860499868928</v>
      </c>
      <c r="Z29" s="357"/>
      <c r="AA29" s="357">
        <f>Y29*$C$29</f>
        <v>3108.4357709866308</v>
      </c>
      <c r="AB29" s="357"/>
      <c r="AC29" s="357">
        <f>AA29*$C$29</f>
        <v>3170.6044864063633</v>
      </c>
      <c r="AD29" s="357"/>
      <c r="AE29" s="357">
        <f>AC29*$C$29</f>
        <v>3234.0165761344906</v>
      </c>
      <c r="AF29" s="357"/>
      <c r="AG29" s="357">
        <f>AE29*$C$29</f>
        <v>3298.6969076571804</v>
      </c>
    </row>
    <row r="30" spans="1:33" s="339" customFormat="1" ht="14.25">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1">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1">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560015</v>
      </c>
      <c r="G34" s="358">
        <f>SUM(G21:G32)</f>
        <v>578440.52499999991</v>
      </c>
      <c r="I34" s="358">
        <f>SUM(I21:I32)</f>
        <v>597510.19337499992</v>
      </c>
      <c r="K34" s="358">
        <f>SUM(K21:K32)</f>
        <v>617246.53514312499</v>
      </c>
      <c r="M34" s="358">
        <f>SUM(M21:M32)</f>
        <v>637672.8685731343</v>
      </c>
      <c r="O34" s="358">
        <f>SUM(O21:O32)</f>
        <v>660438.32776719378</v>
      </c>
      <c r="Q34" s="358">
        <f>SUM(Q21:Q32)</f>
        <v>682317.89120892575</v>
      </c>
      <c r="S34" s="358">
        <f>SUM(S21:S32)</f>
        <v>704962.41131051548</v>
      </c>
      <c r="U34" s="358">
        <f>SUM(U21:U32)</f>
        <v>728398.64499384677</v>
      </c>
      <c r="W34" s="358">
        <f>SUM(W21:W32)</f>
        <v>752654.28534184361</v>
      </c>
      <c r="Y34" s="358">
        <f>SUM(Y21:Y32)</f>
        <v>779464.24435748497</v>
      </c>
      <c r="AA34" s="358">
        <f>SUM(AA21:AA32)</f>
        <v>805445.68686924712</v>
      </c>
      <c r="AC34" s="358">
        <f>SUM(AC21:AC32)</f>
        <v>832335.56562310585</v>
      </c>
      <c r="AE34" s="358">
        <f>SUM(AE21:AE32)</f>
        <v>860165.65760261822</v>
      </c>
      <c r="AG34" s="358">
        <f>SUM(AG21:AG32)</f>
        <v>888968.85162006796</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452316.4</v>
      </c>
      <c r="G36" s="358">
        <f>G10-G34</f>
        <v>459173.22499999998</v>
      </c>
      <c r="I36" s="358">
        <f>I10-I34</f>
        <v>466017.44667500013</v>
      </c>
      <c r="K36" s="358">
        <f>K10-K34</f>
        <v>472842.31313412485</v>
      </c>
      <c r="M36" s="358">
        <f>M10-M34</f>
        <v>479640.67848156672</v>
      </c>
      <c r="O36" s="358">
        <f>O10-O34</f>
        <v>484779.98508580471</v>
      </c>
      <c r="Q36" s="358">
        <f>Q10-Q34</f>
        <v>491502.24512976687</v>
      </c>
      <c r="S36" s="358">
        <f>S10-S34</f>
        <v>498174.02141430101</v>
      </c>
      <c r="U36" s="358">
        <f>U10-U34</f>
        <v>504786.40738629946</v>
      </c>
      <c r="W36" s="358">
        <f>W10-W34</f>
        <v>511330.00636175962</v>
      </c>
      <c r="Y36" s="358">
        <f>Y10-Y34</f>
        <v>516088.65991294116</v>
      </c>
      <c r="AA36" s="358">
        <f>AA10-AA34</f>
        <v>522464.42538765701</v>
      </c>
      <c r="AC36" s="358">
        <f>AC10-AC34</f>
        <v>528740.05252753256</v>
      </c>
      <c r="AE36" s="358">
        <f>AE10-AE34</f>
        <v>534903.95915084402</v>
      </c>
      <c r="AG36" s="358">
        <f>AG10-AG34</f>
        <v>540943.95586427033</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[9]Application!C637</f>
        <v>CCRC</v>
      </c>
      <c r="B39" s="361"/>
      <c r="C39" s="355"/>
      <c r="E39" s="357">
        <f>Application!AF637</f>
        <v>344634</v>
      </c>
      <c r="F39" s="357"/>
      <c r="G39" s="357">
        <f>$E$39</f>
        <v>344634</v>
      </c>
      <c r="H39" s="357"/>
      <c r="I39" s="357">
        <f>$E$39</f>
        <v>344634</v>
      </c>
      <c r="J39" s="357"/>
      <c r="K39" s="357">
        <f>$E$39</f>
        <v>344634</v>
      </c>
      <c r="L39" s="357"/>
      <c r="M39" s="357">
        <f>$E$39</f>
        <v>344634</v>
      </c>
      <c r="N39" s="357"/>
      <c r="O39" s="357">
        <f>$E$39</f>
        <v>344634</v>
      </c>
      <c r="P39" s="357"/>
      <c r="Q39" s="357">
        <f>$E$39</f>
        <v>344634</v>
      </c>
      <c r="R39" s="357"/>
      <c r="S39" s="357">
        <f>$E$39</f>
        <v>344634</v>
      </c>
      <c r="T39" s="357"/>
      <c r="U39" s="357">
        <f>$E$39</f>
        <v>344634</v>
      </c>
      <c r="V39" s="357"/>
      <c r="W39" s="357">
        <f>$E$39</f>
        <v>344634</v>
      </c>
      <c r="X39" s="357"/>
      <c r="Y39" s="357">
        <f>$E$39</f>
        <v>344634</v>
      </c>
      <c r="Z39" s="357"/>
      <c r="AA39" s="357">
        <f>$E$39</f>
        <v>344634</v>
      </c>
      <c r="AB39" s="357"/>
      <c r="AC39" s="357">
        <f>$E$39</f>
        <v>344634</v>
      </c>
      <c r="AD39" s="357"/>
      <c r="AE39" s="357">
        <f>$E$39</f>
        <v>344634</v>
      </c>
      <c r="AF39" s="357"/>
      <c r="AG39" s="357">
        <f>$E$39</f>
        <v>344634</v>
      </c>
    </row>
    <row r="40" spans="1:33" s="339" customFormat="1" ht="14.25">
      <c r="A40" s="360" t="str">
        <f>[9]Application!C638</f>
        <v>State of CA HCD NPLH</v>
      </c>
      <c r="B40" s="361"/>
      <c r="C40" s="355"/>
      <c r="E40" s="357">
        <f>Application!AF638</f>
        <v>20185</v>
      </c>
      <c r="F40" s="357"/>
      <c r="G40" s="357">
        <f>$E$40</f>
        <v>20185</v>
      </c>
      <c r="H40" s="357"/>
      <c r="I40" s="357">
        <f>$E$40</f>
        <v>20185</v>
      </c>
      <c r="J40" s="357"/>
      <c r="K40" s="357">
        <f>$E$40</f>
        <v>20185</v>
      </c>
      <c r="L40" s="357"/>
      <c r="M40" s="357">
        <f>$E$40</f>
        <v>20185</v>
      </c>
      <c r="N40" s="357"/>
      <c r="O40" s="357">
        <f>$E$40</f>
        <v>20185</v>
      </c>
      <c r="P40" s="357"/>
      <c r="Q40" s="357">
        <f>$E$40</f>
        <v>20185</v>
      </c>
      <c r="R40" s="357"/>
      <c r="S40" s="357">
        <f>$E$40</f>
        <v>20185</v>
      </c>
      <c r="T40" s="357"/>
      <c r="U40" s="357">
        <f>$E$40</f>
        <v>20185</v>
      </c>
      <c r="V40" s="357"/>
      <c r="W40" s="357">
        <f>$E$40</f>
        <v>20185</v>
      </c>
      <c r="X40" s="357"/>
      <c r="Y40" s="357">
        <f>$E$40</f>
        <v>20185</v>
      </c>
      <c r="Z40" s="357"/>
      <c r="AA40" s="357">
        <f>$E$40</f>
        <v>20185</v>
      </c>
      <c r="AB40" s="357"/>
      <c r="AC40" s="357">
        <f>$E$40</f>
        <v>20185</v>
      </c>
      <c r="AD40" s="357"/>
      <c r="AE40" s="357">
        <f>$E$40</f>
        <v>20185</v>
      </c>
      <c r="AF40" s="357"/>
      <c r="AG40" s="357">
        <f>$E$40</f>
        <v>20185</v>
      </c>
    </row>
    <row r="41" spans="1:33" s="339" customFormat="1" ht="14.25">
      <c r="A41" s="360" t="s">
        <v>2668</v>
      </c>
      <c r="B41" s="361"/>
      <c r="C41" s="355"/>
      <c r="E41" s="367">
        <v>12161</v>
      </c>
      <c r="F41" s="357"/>
      <c r="G41" s="367">
        <f>$E$41</f>
        <v>12161</v>
      </c>
      <c r="H41" s="357"/>
      <c r="I41" s="367">
        <f>$E$41</f>
        <v>12161</v>
      </c>
      <c r="J41" s="357"/>
      <c r="K41" s="367">
        <f>$E$41</f>
        <v>12161</v>
      </c>
      <c r="L41" s="357"/>
      <c r="M41" s="367">
        <f>$E$41</f>
        <v>12161</v>
      </c>
      <c r="N41" s="357"/>
      <c r="O41" s="367">
        <f>$E$41</f>
        <v>12161</v>
      </c>
      <c r="P41" s="357"/>
      <c r="Q41" s="367">
        <f>$E$41</f>
        <v>12161</v>
      </c>
      <c r="R41" s="357"/>
      <c r="S41" s="367">
        <f>$E$41</f>
        <v>12161</v>
      </c>
      <c r="T41" s="357"/>
      <c r="U41" s="367">
        <f>$E$41</f>
        <v>12161</v>
      </c>
      <c r="V41" s="357"/>
      <c r="W41" s="367">
        <f>$E$41</f>
        <v>12161</v>
      </c>
      <c r="X41" s="357"/>
      <c r="Y41" s="367">
        <f>$E$41</f>
        <v>12161</v>
      </c>
      <c r="Z41" s="357"/>
      <c r="AA41" s="367">
        <f>$E$41</f>
        <v>12161</v>
      </c>
      <c r="AB41" s="357"/>
      <c r="AC41" s="367">
        <f>$E$41</f>
        <v>12161</v>
      </c>
      <c r="AD41" s="357"/>
      <c r="AE41" s="367">
        <f>$E$41</f>
        <v>12161</v>
      </c>
      <c r="AF41" s="357"/>
      <c r="AG41" s="367">
        <f>$E$41</f>
        <v>12161</v>
      </c>
    </row>
    <row r="42" spans="1:33" s="358" customFormat="1" ht="15">
      <c r="A42" s="358" t="s">
        <v>911</v>
      </c>
      <c r="C42" s="359"/>
      <c r="E42" s="358">
        <f>SUM(E39:E41)</f>
        <v>376980</v>
      </c>
      <c r="G42" s="358">
        <f>SUM(G39:G41)</f>
        <v>376980</v>
      </c>
      <c r="I42" s="358">
        <f>SUM(I39:I41)</f>
        <v>376980</v>
      </c>
      <c r="K42" s="358">
        <f>SUM(K39:K41)</f>
        <v>376980</v>
      </c>
      <c r="M42" s="358">
        <f>SUM(M39:M41)</f>
        <v>376980</v>
      </c>
      <c r="O42" s="358">
        <f>SUM(O39:O41)</f>
        <v>376980</v>
      </c>
      <c r="Q42" s="358">
        <f>SUM(Q39:Q41)</f>
        <v>376980</v>
      </c>
      <c r="S42" s="358">
        <f>SUM(S39:S41)</f>
        <v>376980</v>
      </c>
      <c r="U42" s="358">
        <f>SUM(U39:U41)</f>
        <v>376980</v>
      </c>
      <c r="W42" s="358">
        <f>SUM(W39:W41)</f>
        <v>376980</v>
      </c>
      <c r="Y42" s="358">
        <f>SUM(Y39:Y41)</f>
        <v>376980</v>
      </c>
      <c r="AA42" s="358">
        <f>SUM(AA39:AA41)</f>
        <v>376980</v>
      </c>
      <c r="AC42" s="358">
        <f>SUM(AC39:AC41)</f>
        <v>376980</v>
      </c>
      <c r="AE42" s="358">
        <f>SUM(AE39:AE41)</f>
        <v>376980</v>
      </c>
      <c r="AG42" s="358">
        <f>SUM(AG39:AG41)</f>
        <v>376980</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75336.400000000023</v>
      </c>
      <c r="G44" s="358">
        <f>G36-G42</f>
        <v>82193.224999999977</v>
      </c>
      <c r="I44" s="358">
        <f>I36-I42</f>
        <v>89037.44667500013</v>
      </c>
      <c r="K44" s="358">
        <f>K36-K42</f>
        <v>95862.313134124852</v>
      </c>
      <c r="M44" s="358">
        <f>M36-M42</f>
        <v>102660.67848156672</v>
      </c>
      <c r="O44" s="358">
        <f>O36-O42</f>
        <v>107799.98508580471</v>
      </c>
      <c r="Q44" s="358">
        <f>Q36-Q42</f>
        <v>114522.24512976687</v>
      </c>
      <c r="S44" s="358">
        <f>S36-S42</f>
        <v>121194.02141430101</v>
      </c>
      <c r="U44" s="358">
        <f>U36-U42</f>
        <v>127806.40738629946</v>
      </c>
      <c r="W44" s="358">
        <f>W36-W42</f>
        <v>134350.00636175962</v>
      </c>
      <c r="Y44" s="358">
        <f>Y36-Y42</f>
        <v>139108.65991294116</v>
      </c>
      <c r="AA44" s="358">
        <f>AA36-AA42</f>
        <v>145484.42538765701</v>
      </c>
      <c r="AC44" s="358">
        <f>AC36-AC42</f>
        <v>151760.05252753256</v>
      </c>
      <c r="AE44" s="358">
        <f>AE36-AE42</f>
        <v>157923.95915084402</v>
      </c>
      <c r="AG44" s="358">
        <f>AG36-AG42</f>
        <v>163963.95586427033</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7.0697777427431399E-2</v>
      </c>
      <c r="G46" s="362">
        <f>G44/(G4+G6+G8)</f>
        <v>7.5253015633225728E-2</v>
      </c>
      <c r="I46" s="362">
        <f>I44/(I4+I6+I8)</f>
        <v>7.9533028720601459E-2</v>
      </c>
      <c r="K46" s="362">
        <f>K44/(K4+K6+K8)</f>
        <v>8.3542912691329879E-2</v>
      </c>
      <c r="M46" s="362">
        <f>M44/(M4+M6+M8)</f>
        <v>8.7287623796002953E-2</v>
      </c>
      <c r="O46" s="362">
        <f>O44/(O4+O6+O8)</f>
        <v>8.942398552498515E-2</v>
      </c>
      <c r="Q46" s="362">
        <f>Q44/(Q4+Q6+Q8)</f>
        <v>9.2685522683763719E-2</v>
      </c>
      <c r="S46" s="362">
        <f>S44/(S4+S6+S8)</f>
        <v>9.569514912189489E-2</v>
      </c>
      <c r="U46" s="362">
        <f>U44/(U4+U6+U8)</f>
        <v>9.8457313265873328E-2</v>
      </c>
      <c r="W46" s="362">
        <f>W44/(W4+W6+W8)</f>
        <v>0.10097633877367891</v>
      </c>
      <c r="Y46" s="362">
        <f>Y44/(Y4+Y6+Y8)</f>
        <v>0.10200527240662124</v>
      </c>
      <c r="AA46" s="362">
        <f>AA44/(AA4+AA6+AA8)</f>
        <v>0.10408099376799936</v>
      </c>
      <c r="AC46" s="362">
        <f>AC44/(AC4+AC6+AC8)</f>
        <v>0.10592508452766916</v>
      </c>
      <c r="AE46" s="362">
        <f>AE44/(AE4+AE6+AE8)</f>
        <v>0.10754141541870797</v>
      </c>
      <c r="AG46" s="362">
        <f>AG44/(AG4+AG6+AG8)</f>
        <v>0.10893374564921711</v>
      </c>
    </row>
    <row r="47" spans="1:33" s="362" customFormat="1" ht="14.25">
      <c r="A47" s="362" t="s">
        <v>915</v>
      </c>
      <c r="C47" s="355"/>
      <c r="E47" s="362">
        <f>E44/E42</f>
        <v>0.19984190142713149</v>
      </c>
      <c r="G47" s="362">
        <f>G44/G42</f>
        <v>0.21803073107326643</v>
      </c>
      <c r="I47" s="362">
        <f>I44/I42</f>
        <v>0.23618612837551098</v>
      </c>
      <c r="K47" s="362">
        <f>K44/K42</f>
        <v>0.25429018285883825</v>
      </c>
      <c r="M47" s="362">
        <f>M44/M42</f>
        <v>0.2723239388868553</v>
      </c>
      <c r="O47" s="362">
        <f>O44/O42</f>
        <v>0.28595677512283069</v>
      </c>
      <c r="Q47" s="362">
        <f>Q44/Q42</f>
        <v>0.30378864960944046</v>
      </c>
      <c r="S47" s="362">
        <f>S44/S42</f>
        <v>0.32148660781553667</v>
      </c>
      <c r="U47" s="362">
        <f>U44/U42</f>
        <v>0.33902702367844306</v>
      </c>
      <c r="W47" s="362">
        <f>W44/W42</f>
        <v>0.35638497098456051</v>
      </c>
      <c r="Y47" s="362">
        <f>Y44/Y42</f>
        <v>0.36900806385734297</v>
      </c>
      <c r="AA47" s="362">
        <f>AA44/AA42</f>
        <v>0.38592080584555416</v>
      </c>
      <c r="AC47" s="362">
        <f>AC44/AC42</f>
        <v>0.40256791481652227</v>
      </c>
      <c r="AE47" s="362">
        <f>AE44/AE42</f>
        <v>0.4189186671729111</v>
      </c>
      <c r="AG47" s="362">
        <f>AG44/AG42</f>
        <v>0.43494072859109323</v>
      </c>
    </row>
    <row r="48" spans="1:33" s="363" customFormat="1" ht="14.25">
      <c r="A48" s="363" t="s">
        <v>913</v>
      </c>
      <c r="C48" s="364"/>
      <c r="E48" s="363">
        <f>E36/E42</f>
        <v>1.1998419014271315</v>
      </c>
      <c r="G48" s="363">
        <f>G36/G42</f>
        <v>1.2180307310732663</v>
      </c>
      <c r="I48" s="363">
        <f>I36/I42</f>
        <v>1.2361861283755109</v>
      </c>
      <c r="K48" s="363">
        <f>K36/K42</f>
        <v>1.2542901828588382</v>
      </c>
      <c r="M48" s="363">
        <f>M36/M42</f>
        <v>1.2723239388868552</v>
      </c>
      <c r="O48" s="363">
        <f>O36/O42</f>
        <v>1.2859567751228307</v>
      </c>
      <c r="Q48" s="363">
        <f>Q36/Q42</f>
        <v>1.3037886496094404</v>
      </c>
      <c r="S48" s="363">
        <f>S36/S42</f>
        <v>1.3214866078155367</v>
      </c>
      <c r="U48" s="363">
        <f>U36/U42</f>
        <v>1.339027023678443</v>
      </c>
      <c r="W48" s="363">
        <f>W36/W42</f>
        <v>1.3563849709845606</v>
      </c>
      <c r="Y48" s="363">
        <f>Y36/Y42</f>
        <v>1.369008063857343</v>
      </c>
      <c r="AA48" s="363">
        <f>AA36/AA42</f>
        <v>1.3859208058455541</v>
      </c>
      <c r="AC48" s="363">
        <f>AC36/AC42</f>
        <v>1.4025679148165222</v>
      </c>
      <c r="AE48" s="363">
        <f>AE36/AE42</f>
        <v>1.418918667172911</v>
      </c>
      <c r="AG48" s="363">
        <f>AG36/AG42</f>
        <v>1.4349407285910933</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76" t="s">
        <v>2669</v>
      </c>
      <c r="B51" s="3376"/>
      <c r="C51" s="3376"/>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917</v>
      </c>
      <c r="C52" s="1676">
        <v>1.03</v>
      </c>
      <c r="E52" s="1677">
        <v>15000</v>
      </c>
      <c r="G52" s="1673">
        <f>E52*$C$52</f>
        <v>15450</v>
      </c>
      <c r="I52" s="1673">
        <f>G52*$C$52</f>
        <v>15913.5</v>
      </c>
      <c r="K52" s="1673">
        <f>I52*$C$52</f>
        <v>16390.904999999999</v>
      </c>
      <c r="M52" s="1673">
        <f>K52*$C$52</f>
        <v>16882.632149999998</v>
      </c>
      <c r="O52" s="1673">
        <f>M52*$C$52</f>
        <v>17389.1111145</v>
      </c>
      <c r="Q52" s="1673">
        <f>O52*$C$52</f>
        <v>17910.784447934999</v>
      </c>
      <c r="S52" s="1673">
        <f>Q52*$C$52</f>
        <v>18448.10798137305</v>
      </c>
      <c r="U52" s="1673">
        <f>S52*$C$52</f>
        <v>19001.551220814243</v>
      </c>
      <c r="W52" s="1673">
        <f>U52*$C$52</f>
        <v>19571.597757438671</v>
      </c>
      <c r="Y52" s="1673">
        <f>W52*$C$52</f>
        <v>20158.745690161832</v>
      </c>
      <c r="AA52" s="1673">
        <f>Y52*$C$52</f>
        <v>20763.508060866687</v>
      </c>
      <c r="AC52" s="1673">
        <f>AA52*$C$52</f>
        <v>21386.413302692687</v>
      </c>
      <c r="AE52" s="1673">
        <f>AC52*$C$52</f>
        <v>22028.005701773469</v>
      </c>
      <c r="AG52" s="1673">
        <f>AE52*$C$52</f>
        <v>22688.845872826674</v>
      </c>
    </row>
    <row r="53" spans="1:35" s="6" customFormat="1">
      <c r="A53" s="6" t="s">
        <v>918</v>
      </c>
      <c r="C53" s="1671"/>
      <c r="E53" s="1678"/>
      <c r="F53" s="1673"/>
      <c r="G53" s="1673">
        <f t="shared" ref="G53:AG56" si="14">E53*$C$52</f>
        <v>0</v>
      </c>
      <c r="H53" s="1673"/>
      <c r="I53" s="1673">
        <f t="shared" si="14"/>
        <v>0</v>
      </c>
      <c r="J53" s="1673"/>
      <c r="K53" s="1673">
        <f t="shared" si="14"/>
        <v>0</v>
      </c>
      <c r="L53" s="1673"/>
      <c r="M53" s="1673">
        <f t="shared" si="14"/>
        <v>0</v>
      </c>
      <c r="N53" s="1673"/>
      <c r="O53" s="1673">
        <f t="shared" si="14"/>
        <v>0</v>
      </c>
      <c r="P53" s="1673"/>
      <c r="Q53" s="1673">
        <f t="shared" si="14"/>
        <v>0</v>
      </c>
      <c r="R53" s="1673"/>
      <c r="S53" s="1673">
        <f t="shared" si="14"/>
        <v>0</v>
      </c>
      <c r="T53" s="1673"/>
      <c r="U53" s="1673">
        <f t="shared" si="14"/>
        <v>0</v>
      </c>
      <c r="V53" s="1673"/>
      <c r="W53" s="1673">
        <f t="shared" si="14"/>
        <v>0</v>
      </c>
      <c r="X53" s="1673"/>
      <c r="Y53" s="1673">
        <f t="shared" si="14"/>
        <v>0</v>
      </c>
      <c r="Z53" s="1673"/>
      <c r="AA53" s="1673">
        <f t="shared" si="14"/>
        <v>0</v>
      </c>
      <c r="AB53" s="1673"/>
      <c r="AC53" s="1673">
        <f t="shared" si="14"/>
        <v>0</v>
      </c>
      <c r="AD53" s="1673"/>
      <c r="AE53" s="1673">
        <f t="shared" si="14"/>
        <v>0</v>
      </c>
      <c r="AF53" s="1673"/>
      <c r="AG53" s="1673">
        <f t="shared" si="14"/>
        <v>0</v>
      </c>
      <c r="AH53" s="1673"/>
      <c r="AI53" s="1673"/>
    </row>
    <row r="54" spans="1:35" s="6" customFormat="1">
      <c r="A54" s="6" t="s">
        <v>919</v>
      </c>
      <c r="C54" s="1671"/>
      <c r="E54" s="1678"/>
      <c r="F54" s="1673"/>
      <c r="G54" s="1673">
        <f t="shared" si="14"/>
        <v>0</v>
      </c>
      <c r="H54" s="1673"/>
      <c r="I54" s="1673">
        <f t="shared" si="14"/>
        <v>0</v>
      </c>
      <c r="J54" s="1673"/>
      <c r="K54" s="1673">
        <f t="shared" si="14"/>
        <v>0</v>
      </c>
      <c r="L54" s="1673"/>
      <c r="M54" s="1673">
        <f t="shared" si="14"/>
        <v>0</v>
      </c>
      <c r="N54" s="1673"/>
      <c r="O54" s="1673">
        <f t="shared" si="14"/>
        <v>0</v>
      </c>
      <c r="P54" s="1673"/>
      <c r="Q54" s="1673">
        <f t="shared" si="14"/>
        <v>0</v>
      </c>
      <c r="R54" s="1673"/>
      <c r="S54" s="1673">
        <f t="shared" si="14"/>
        <v>0</v>
      </c>
      <c r="T54" s="1673"/>
      <c r="U54" s="1673">
        <f t="shared" si="14"/>
        <v>0</v>
      </c>
      <c r="V54" s="1673"/>
      <c r="W54" s="1673">
        <f t="shared" si="14"/>
        <v>0</v>
      </c>
      <c r="X54" s="1673"/>
      <c r="Y54" s="1673">
        <f t="shared" si="14"/>
        <v>0</v>
      </c>
      <c r="Z54" s="1673"/>
      <c r="AA54" s="1673">
        <f t="shared" si="14"/>
        <v>0</v>
      </c>
      <c r="AB54" s="1673"/>
      <c r="AC54" s="1673">
        <f t="shared" si="14"/>
        <v>0</v>
      </c>
      <c r="AD54" s="1673"/>
      <c r="AE54" s="1673">
        <f t="shared" si="14"/>
        <v>0</v>
      </c>
      <c r="AF54" s="1673"/>
      <c r="AG54" s="1673">
        <f t="shared" si="14"/>
        <v>0</v>
      </c>
      <c r="AH54" s="1673"/>
      <c r="AI54" s="1673"/>
    </row>
    <row r="55" spans="1:35" s="6" customFormat="1">
      <c r="A55" s="1679"/>
      <c r="B55" s="1679"/>
      <c r="C55" s="1671"/>
      <c r="E55" s="1678"/>
      <c r="F55" s="1673"/>
      <c r="G55" s="1673">
        <f t="shared" si="14"/>
        <v>0</v>
      </c>
      <c r="H55" s="1673"/>
      <c r="I55" s="1673">
        <f t="shared" si="14"/>
        <v>0</v>
      </c>
      <c r="J55" s="1673"/>
      <c r="K55" s="1673">
        <f t="shared" si="14"/>
        <v>0</v>
      </c>
      <c r="L55" s="1673"/>
      <c r="M55" s="1673">
        <f t="shared" si="14"/>
        <v>0</v>
      </c>
      <c r="N55" s="1673"/>
      <c r="O55" s="1673">
        <f t="shared" si="14"/>
        <v>0</v>
      </c>
      <c r="P55" s="1673"/>
      <c r="Q55" s="1673">
        <f t="shared" si="14"/>
        <v>0</v>
      </c>
      <c r="R55" s="1673"/>
      <c r="S55" s="1673">
        <f t="shared" si="14"/>
        <v>0</v>
      </c>
      <c r="T55" s="1673"/>
      <c r="U55" s="1673">
        <f t="shared" si="14"/>
        <v>0</v>
      </c>
      <c r="V55" s="1673"/>
      <c r="W55" s="1673">
        <f t="shared" si="14"/>
        <v>0</v>
      </c>
      <c r="X55" s="1673"/>
      <c r="Y55" s="1673">
        <f t="shared" si="14"/>
        <v>0</v>
      </c>
      <c r="Z55" s="1673"/>
      <c r="AA55" s="1673">
        <f t="shared" si="14"/>
        <v>0</v>
      </c>
      <c r="AB55" s="1673"/>
      <c r="AC55" s="1673">
        <f t="shared" si="14"/>
        <v>0</v>
      </c>
      <c r="AD55" s="1673"/>
      <c r="AE55" s="1673">
        <f t="shared" si="14"/>
        <v>0</v>
      </c>
      <c r="AF55" s="1673"/>
      <c r="AG55" s="1673">
        <f t="shared" si="14"/>
        <v>0</v>
      </c>
      <c r="AH55" s="1673"/>
      <c r="AI55" s="1673"/>
    </row>
    <row r="56" spans="1:35" s="6" customFormat="1">
      <c r="A56" s="1679"/>
      <c r="B56" s="1679"/>
      <c r="C56" s="1671"/>
      <c r="E56" s="1680"/>
      <c r="F56" s="1673"/>
      <c r="G56" s="1681">
        <f t="shared" si="14"/>
        <v>0</v>
      </c>
      <c r="H56" s="1673"/>
      <c r="I56" s="1681">
        <f t="shared" si="14"/>
        <v>0</v>
      </c>
      <c r="J56" s="1673"/>
      <c r="K56" s="1681">
        <f t="shared" si="14"/>
        <v>0</v>
      </c>
      <c r="L56" s="1673"/>
      <c r="M56" s="1681">
        <f t="shared" si="14"/>
        <v>0</v>
      </c>
      <c r="N56" s="1673"/>
      <c r="O56" s="1681">
        <f t="shared" si="14"/>
        <v>0</v>
      </c>
      <c r="P56" s="1673"/>
      <c r="Q56" s="1681">
        <f t="shared" si="14"/>
        <v>0</v>
      </c>
      <c r="R56" s="1673"/>
      <c r="S56" s="1681">
        <f t="shared" si="14"/>
        <v>0</v>
      </c>
      <c r="T56" s="1673"/>
      <c r="U56" s="1681">
        <f t="shared" si="14"/>
        <v>0</v>
      </c>
      <c r="V56" s="1673"/>
      <c r="W56" s="1681">
        <f t="shared" si="14"/>
        <v>0</v>
      </c>
      <c r="X56" s="1673"/>
      <c r="Y56" s="1681">
        <f t="shared" si="14"/>
        <v>0</v>
      </c>
      <c r="Z56" s="1673"/>
      <c r="AA56" s="1681">
        <f t="shared" si="14"/>
        <v>0</v>
      </c>
      <c r="AB56" s="1673"/>
      <c r="AC56" s="1681">
        <f t="shared" si="14"/>
        <v>0</v>
      </c>
      <c r="AD56" s="1673"/>
      <c r="AE56" s="1681">
        <f t="shared" si="14"/>
        <v>0</v>
      </c>
      <c r="AF56" s="1673"/>
      <c r="AG56" s="1681">
        <f t="shared" si="14"/>
        <v>0</v>
      </c>
      <c r="AH56" s="1673"/>
      <c r="AI56" s="1673"/>
    </row>
    <row r="57" spans="1:35" s="6" customFormat="1">
      <c r="A57" s="1675" t="s">
        <v>916</v>
      </c>
      <c r="C57" s="1674"/>
      <c r="E57" s="1673">
        <f>SUM(E52:E56)</f>
        <v>15000</v>
      </c>
      <c r="F57" s="1673"/>
      <c r="G57" s="1673">
        <f>SUM(G52:G56)</f>
        <v>15450</v>
      </c>
      <c r="H57" s="1673"/>
      <c r="I57" s="1673">
        <f>SUM(I52:I56)</f>
        <v>15913.5</v>
      </c>
      <c r="J57" s="1673"/>
      <c r="K57" s="1673">
        <f>SUM(K52:K56)</f>
        <v>16390.904999999999</v>
      </c>
      <c r="L57" s="1673"/>
      <c r="M57" s="1673">
        <f>SUM(M52:M56)</f>
        <v>16882.632149999998</v>
      </c>
      <c r="N57" s="1673"/>
      <c r="O57" s="1673">
        <f>SUM(O52:O56)</f>
        <v>17389.1111145</v>
      </c>
      <c r="P57" s="1673"/>
      <c r="Q57" s="1673">
        <f>SUM(Q52:Q56)</f>
        <v>17910.784447934999</v>
      </c>
      <c r="R57" s="1673"/>
      <c r="S57" s="1673">
        <f>SUM(S52:S56)</f>
        <v>18448.10798137305</v>
      </c>
      <c r="T57" s="1673"/>
      <c r="U57" s="1673">
        <f>SUM(U52:U56)</f>
        <v>19001.551220814243</v>
      </c>
      <c r="V57" s="1673"/>
      <c r="W57" s="1673">
        <f>SUM(W52:W56)</f>
        <v>19571.597757438671</v>
      </c>
      <c r="X57" s="1673"/>
      <c r="Y57" s="1673">
        <f>SUM(Y52:Y56)</f>
        <v>20158.745690161832</v>
      </c>
      <c r="Z57" s="1673"/>
      <c r="AA57" s="1673">
        <f>SUM(AA52:AA56)</f>
        <v>20763.508060866687</v>
      </c>
      <c r="AB57" s="1673"/>
      <c r="AC57" s="1673">
        <f>SUM(AC52:AC56)</f>
        <v>21386.413302692687</v>
      </c>
      <c r="AD57" s="1673"/>
      <c r="AE57" s="1673">
        <f>SUM(AE52:AE56)</f>
        <v>22028.005701773469</v>
      </c>
      <c r="AF57" s="1673"/>
      <c r="AG57" s="1673">
        <f>SUM(AG52:AG56)</f>
        <v>22688.845872826674</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921</v>
      </c>
      <c r="C59" s="1682"/>
      <c r="E59" s="1675">
        <f>E44-E57</f>
        <v>60336.400000000023</v>
      </c>
      <c r="G59" s="1675">
        <f>G44-G57</f>
        <v>66743.224999999977</v>
      </c>
      <c r="I59" s="1675">
        <f>I44-I57</f>
        <v>73123.94667500013</v>
      </c>
      <c r="K59" s="1675">
        <f>K44-K57</f>
        <v>79471.408134124853</v>
      </c>
      <c r="M59" s="1675">
        <f>M44-M57</f>
        <v>85778.046331566729</v>
      </c>
      <c r="O59" s="1675">
        <f>O44-O57</f>
        <v>90410.873971304711</v>
      </c>
      <c r="Q59" s="1675">
        <f>Q44-Q57</f>
        <v>96611.460681831872</v>
      </c>
      <c r="S59" s="1675">
        <f>S44-S57</f>
        <v>102745.91343292796</v>
      </c>
      <c r="U59" s="1675">
        <f>U44-U57</f>
        <v>108804.85616548521</v>
      </c>
      <c r="W59" s="1675">
        <f>W44-W57</f>
        <v>114778.40860432095</v>
      </c>
      <c r="Y59" s="1675">
        <f>Y44-Y57</f>
        <v>118949.91422277933</v>
      </c>
      <c r="AA59" s="1675">
        <f>AA44-AA57</f>
        <v>124720.91732679032</v>
      </c>
      <c r="AC59" s="1675">
        <f>AC44-AC57</f>
        <v>130373.63922483988</v>
      </c>
      <c r="AE59" s="1675">
        <f>AE44-AE57</f>
        <v>135895.95344907054</v>
      </c>
      <c r="AG59" s="1675">
        <f>AG44-AG57</f>
        <v>141275.10999144366</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920</v>
      </c>
      <c r="C61" s="1672">
        <v>0</v>
      </c>
      <c r="E61" s="1677">
        <f>E59*$C$61</f>
        <v>0</v>
      </c>
      <c r="G61" s="1683">
        <f>G59*$C$61</f>
        <v>0</v>
      </c>
      <c r="H61" s="1683"/>
      <c r="I61" s="1683">
        <f>I59*$C$61</f>
        <v>0</v>
      </c>
      <c r="J61" s="1683"/>
      <c r="K61" s="1683">
        <f>Application!AO643-I61-G61-E61</f>
        <v>0</v>
      </c>
      <c r="L61" s="1683"/>
      <c r="M61" s="1683"/>
      <c r="N61" s="1683"/>
      <c r="O61" s="1683"/>
      <c r="P61" s="1683"/>
      <c r="Q61" s="1683"/>
      <c r="R61" s="1683"/>
      <c r="S61" s="1683"/>
      <c r="T61" s="1683"/>
      <c r="U61" s="1683"/>
      <c r="V61" s="1683"/>
      <c r="W61" s="1683"/>
      <c r="Y61" s="1683"/>
      <c r="AA61" s="1683"/>
      <c r="AC61" s="1683"/>
      <c r="AE61" s="1683"/>
      <c r="AG61" s="1683"/>
    </row>
    <row r="62" spans="1:35" s="1683" customFormat="1">
      <c r="A62" s="3376" t="s">
        <v>2670</v>
      </c>
      <c r="B62" s="3376"/>
      <c r="C62" s="3376"/>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924</v>
      </c>
      <c r="C64" s="1874">
        <v>0</v>
      </c>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t="s">
        <v>2671</v>
      </c>
      <c r="B65" s="1677"/>
      <c r="C65" s="1875">
        <v>0.32800000000000001</v>
      </c>
      <c r="E65" s="1677">
        <f>(E59-E61)*C65</f>
        <v>19790.339200000009</v>
      </c>
      <c r="G65" s="1673">
        <f>(G59-G61)*C65</f>
        <v>21891.777799999993</v>
      </c>
      <c r="I65" s="1673">
        <f>(I59-I61)*C65</f>
        <v>23984.654509400043</v>
      </c>
      <c r="K65" s="1673">
        <f>($K$59-K$61)*$C65</f>
        <v>26066.621867992952</v>
      </c>
      <c r="M65" s="1673">
        <f>($M$59-M$61)*$C65</f>
        <v>28135.199196753889</v>
      </c>
      <c r="O65" s="1673">
        <f>($O$59-O$61)*$C65</f>
        <v>29654.766662587946</v>
      </c>
      <c r="Q65" s="1673">
        <f>($Q$59-Q$61)*$C65</f>
        <v>31688.559103640855</v>
      </c>
      <c r="S65" s="1673">
        <f>($S$59-$S$61)*$C65</f>
        <v>33700.659606000372</v>
      </c>
      <c r="U65" s="1673">
        <f>($U$59-$U$61)*$C65</f>
        <v>35687.99282227915</v>
      </c>
      <c r="W65" s="1673">
        <f>($W$59-$W$61)*$C65</f>
        <v>37647.318022217274</v>
      </c>
      <c r="Y65" s="1673">
        <f>($Y$59-$Y$61)*$C65</f>
        <v>39015.571865071623</v>
      </c>
      <c r="AA65" s="1673">
        <f>($AA$59-$AA$61)*$C65</f>
        <v>40908.460883187225</v>
      </c>
      <c r="AC65" s="1673">
        <f>($AC$59-$AC$61)*$C65</f>
        <v>42762.55366574748</v>
      </c>
      <c r="AE65" s="1673">
        <f>($AE$59-$AE$61)*$C65</f>
        <v>44573.872731295138</v>
      </c>
      <c r="AG65" s="1673">
        <f>($AG$59-$AG$61)*$C65</f>
        <v>46338.23607719352</v>
      </c>
    </row>
    <row r="66" spans="1:33" s="1673" customFormat="1">
      <c r="A66" s="1678" t="s">
        <v>2606</v>
      </c>
      <c r="B66" s="1678"/>
      <c r="C66" s="1875">
        <v>0.17199999999999999</v>
      </c>
      <c r="E66" s="1677">
        <f>(E59-E61)*C66</f>
        <v>10377.860800000004</v>
      </c>
      <c r="G66" s="1673">
        <f>(G59-G61)*C66</f>
        <v>11479.834699999996</v>
      </c>
      <c r="I66" s="1673">
        <f>(I59-I61)*C66</f>
        <v>12577.318828100022</v>
      </c>
      <c r="K66" s="1673">
        <f>($K$59-$K$61)*$C66</f>
        <v>13669.082199069473</v>
      </c>
      <c r="M66" s="1673">
        <f>($M$59-$M$61)*$C66</f>
        <v>14753.823969029476</v>
      </c>
      <c r="O66" s="1673">
        <f>($O$59-$O$61)*$C66</f>
        <v>15550.670323064409</v>
      </c>
      <c r="Q66" s="1673">
        <f>($Q$59-$Q$61)*$C66</f>
        <v>16617.171237275081</v>
      </c>
      <c r="S66" s="1673">
        <f>($S$59-$S$61)*$C66</f>
        <v>17672.297110463609</v>
      </c>
      <c r="U66" s="1673">
        <f>($U$59-$U$61)*$C66</f>
        <v>18714.435260463455</v>
      </c>
      <c r="W66" s="1673">
        <f>($W$59-$W$61)*$C66</f>
        <v>19741.886279943203</v>
      </c>
      <c r="Y66" s="1673">
        <f>($Y$59-$Y$61)*$C66</f>
        <v>20459.385246318045</v>
      </c>
      <c r="AA66" s="1673">
        <f>($AA$59-$AA$61)*$C66</f>
        <v>21451.997780207934</v>
      </c>
      <c r="AC66" s="1673">
        <f>($AC$59-$AC$61)*$C66</f>
        <v>22424.265946672458</v>
      </c>
      <c r="AE66" s="1673">
        <f>($AE$59-$AE$61)*$C66</f>
        <v>23374.103993240133</v>
      </c>
      <c r="AG66" s="1673">
        <f>($AG$59-$AG$61)*$C66</f>
        <v>24299.318918528308</v>
      </c>
    </row>
    <row r="67" spans="1:33" s="1673" customFormat="1">
      <c r="A67" s="1678" t="s">
        <v>2672</v>
      </c>
      <c r="B67" s="1678"/>
      <c r="C67" s="1875">
        <v>0.5</v>
      </c>
      <c r="E67" s="1677">
        <f>(E59-E61)*C67</f>
        <v>30168.200000000012</v>
      </c>
      <c r="G67" s="1673">
        <f>(G59-G61)*C67</f>
        <v>33371.612499999988</v>
      </c>
      <c r="I67" s="1673">
        <f>(I59-I61)*C67</f>
        <v>36561.973337500065</v>
      </c>
      <c r="K67" s="1673">
        <f>($K$59-$K$61)*$C67</f>
        <v>39735.704067062426</v>
      </c>
      <c r="M67" s="1673">
        <f>($M$59-$M$61)*$C67</f>
        <v>42889.023165783365</v>
      </c>
      <c r="O67" s="1673">
        <f>($O$59-$O$61)*$C67</f>
        <v>45205.436985652355</v>
      </c>
      <c r="Q67" s="1673">
        <f>($Q$59-$Q$61)*$C67</f>
        <v>48305.730340915936</v>
      </c>
      <c r="S67" s="1673">
        <f>($S$59-$S$61)*$C67</f>
        <v>51372.956716463981</v>
      </c>
      <c r="U67" s="1673">
        <f>($U$59-$U$61)*$C67</f>
        <v>54402.428082742605</v>
      </c>
      <c r="W67" s="1673">
        <f>($W$59-$W$61)*$C67</f>
        <v>57389.204302160477</v>
      </c>
      <c r="Y67" s="1673">
        <f>($Y$59-$Y$61)*$C67</f>
        <v>59474.957111389667</v>
      </c>
      <c r="AA67" s="1673">
        <f>($AA$59-$AA$61)*$C67</f>
        <v>62360.458663395162</v>
      </c>
      <c r="AC67" s="1673">
        <f>($AC$59-$AC$61)*$C67</f>
        <v>65186.819612419938</v>
      </c>
      <c r="AE67" s="1673">
        <f>($AE$59-$AE$61)*$C67</f>
        <v>67947.97672453527</v>
      </c>
      <c r="AG67" s="1673">
        <f>($AG$59-$AG$61)*$C67</f>
        <v>70637.554995721832</v>
      </c>
    </row>
    <row r="68" spans="1:33" s="1673" customFormat="1">
      <c r="A68" s="1678"/>
      <c r="B68" s="1678"/>
      <c r="C68" s="1684"/>
      <c r="E68" s="1680"/>
      <c r="G68" s="1681">
        <f t="shared" ref="G68:AG68" si="15">E68*$C$65</f>
        <v>0</v>
      </c>
      <c r="I68" s="1681">
        <f t="shared" si="15"/>
        <v>0</v>
      </c>
      <c r="K68" s="1681">
        <f t="shared" si="15"/>
        <v>0</v>
      </c>
      <c r="M68" s="1681">
        <f t="shared" si="15"/>
        <v>0</v>
      </c>
      <c r="O68" s="1681">
        <f t="shared" si="15"/>
        <v>0</v>
      </c>
      <c r="Q68" s="1681">
        <f t="shared" si="15"/>
        <v>0</v>
      </c>
      <c r="S68" s="1681">
        <f t="shared" si="15"/>
        <v>0</v>
      </c>
      <c r="U68" s="1681">
        <f t="shared" si="15"/>
        <v>0</v>
      </c>
      <c r="W68" s="1681">
        <f t="shared" si="15"/>
        <v>0</v>
      </c>
      <c r="Y68" s="1681">
        <f t="shared" si="15"/>
        <v>0</v>
      </c>
      <c r="AA68" s="1681">
        <f t="shared" si="15"/>
        <v>0</v>
      </c>
      <c r="AC68" s="1681">
        <f t="shared" si="15"/>
        <v>0</v>
      </c>
      <c r="AE68" s="1681">
        <f t="shared" si="15"/>
        <v>0</v>
      </c>
      <c r="AG68" s="1681">
        <f t="shared" si="15"/>
        <v>0</v>
      </c>
    </row>
    <row r="69" spans="1:33" s="1685" customFormat="1">
      <c r="A69" s="1675" t="s">
        <v>916</v>
      </c>
      <c r="C69" s="1684"/>
      <c r="E69" s="1685">
        <f>SUM(E65:E68)</f>
        <v>60336.400000000023</v>
      </c>
      <c r="G69" s="1685">
        <f>SUM(G65:G68)</f>
        <v>66743.224999999977</v>
      </c>
      <c r="I69" s="1685">
        <f>SUM(I65:I68)</f>
        <v>73123.94667500013</v>
      </c>
      <c r="K69" s="1685">
        <f>SUM(K65:K68)</f>
        <v>79471.408134124853</v>
      </c>
      <c r="M69" s="1685">
        <f>SUM(M65:M68)</f>
        <v>85778.046331566729</v>
      </c>
      <c r="O69" s="1685">
        <f>SUM(O65:O68)</f>
        <v>90410.873971304711</v>
      </c>
      <c r="Q69" s="1685">
        <f>SUM(Q65:Q68)</f>
        <v>96611.460681831872</v>
      </c>
      <c r="S69" s="1685">
        <f>SUM(S65:S68)</f>
        <v>102745.91343292796</v>
      </c>
      <c r="U69" s="1685">
        <f>SUM(U65:U68)</f>
        <v>108804.85616548521</v>
      </c>
      <c r="W69" s="1685">
        <f>SUM(W65:W68)</f>
        <v>114778.40860432095</v>
      </c>
      <c r="Y69" s="1685">
        <f>SUM(Y65:Y68)</f>
        <v>118949.91422277933</v>
      </c>
      <c r="AA69" s="1685">
        <f>SUM(AA65:AA68)</f>
        <v>124720.91732679031</v>
      </c>
      <c r="AC69" s="1685">
        <f>SUM(AC65:AC68)</f>
        <v>130373.63922483988</v>
      </c>
      <c r="AE69" s="1685">
        <f>SUM(AE65:AE68)</f>
        <v>135895.95344907054</v>
      </c>
      <c r="AG69" s="1685">
        <f>SUM(AG65:AG68)</f>
        <v>141275.10999144366</v>
      </c>
    </row>
    <row r="70" spans="1:33" s="1685" customFormat="1">
      <c r="A70" s="1675"/>
      <c r="C70" s="1684"/>
    </row>
    <row r="71" spans="1:33" s="1685" customFormat="1">
      <c r="A71" s="1675" t="s">
        <v>2222</v>
      </c>
      <c r="C71" s="1684"/>
      <c r="E71" s="1675">
        <f>E59-E61-E69</f>
        <v>0</v>
      </c>
      <c r="G71" s="1675">
        <f>G59-G61-G69</f>
        <v>0</v>
      </c>
      <c r="I71" s="1675">
        <f>I59-I61-I69</f>
        <v>0</v>
      </c>
      <c r="K71" s="1675">
        <f>K59-K61-K69</f>
        <v>0</v>
      </c>
      <c r="M71" s="1675">
        <f>M59-M61-M69</f>
        <v>0</v>
      </c>
      <c r="O71" s="1675">
        <f>O59-O61-O69</f>
        <v>0</v>
      </c>
      <c r="Q71" s="1675">
        <f>Q59-Q61-Q69</f>
        <v>0</v>
      </c>
      <c r="S71" s="1675">
        <f>S59-S61-S69</f>
        <v>0</v>
      </c>
      <c r="U71" s="1675">
        <f>U59-U61-U69</f>
        <v>0</v>
      </c>
      <c r="W71" s="1675">
        <f>W59-W61-W69</f>
        <v>0</v>
      </c>
      <c r="Y71" s="1675">
        <f>Y59-Y61-Y69</f>
        <v>0</v>
      </c>
      <c r="AA71" s="1675">
        <f>AA59-AA61-AA69</f>
        <v>0</v>
      </c>
      <c r="AC71" s="1675">
        <f>AC59-AC61-AC69</f>
        <v>0</v>
      </c>
      <c r="AE71" s="1675">
        <f>AE59-AE61-AE69</f>
        <v>0</v>
      </c>
      <c r="AG71" s="1675">
        <f>AG59-AG61-AG69</f>
        <v>0</v>
      </c>
    </row>
    <row r="72" spans="1:33" s="1673" customFormat="1">
      <c r="A72" s="914"/>
      <c r="C72" s="1686"/>
    </row>
    <row r="73" spans="1:33" s="351" customFormat="1">
      <c r="A73" s="914"/>
      <c r="C73" s="352"/>
    </row>
    <row r="74" spans="1:33" s="351" customFormat="1">
      <c r="A74" s="1673" t="s">
        <v>2221</v>
      </c>
      <c r="C74" s="352"/>
    </row>
    <row r="75" spans="1:33" s="351" customFormat="1">
      <c r="C75" s="352"/>
    </row>
    <row r="76" spans="1:33" s="370" customFormat="1" ht="30" customHeight="1">
      <c r="A76" s="3374" t="s">
        <v>2220</v>
      </c>
      <c r="B76" s="3375"/>
      <c r="C76" s="3375"/>
      <c r="D76" s="3375"/>
      <c r="E76" s="3375"/>
      <c r="F76" s="3375"/>
      <c r="G76" s="3375"/>
      <c r="H76" s="3375"/>
      <c r="I76" s="3375"/>
      <c r="J76" s="3375"/>
      <c r="K76" s="3375"/>
      <c r="L76" s="3375"/>
      <c r="M76" s="3375"/>
      <c r="N76" s="3375"/>
      <c r="O76" s="3375"/>
      <c r="P76" s="3375"/>
      <c r="Q76" s="3375"/>
      <c r="R76" s="3375"/>
      <c r="S76" s="3375"/>
      <c r="T76" s="3375"/>
      <c r="U76" s="3375"/>
      <c r="V76" s="3375"/>
      <c r="W76" s="3375"/>
      <c r="X76" s="3375"/>
      <c r="Y76" s="3375"/>
      <c r="Z76" s="3375"/>
      <c r="AA76" s="3375"/>
      <c r="AB76" s="3375"/>
      <c r="AC76" s="3375"/>
      <c r="AD76" s="3375"/>
      <c r="AE76" s="3375"/>
      <c r="AF76" s="3375"/>
      <c r="AG76" s="3375"/>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71" customWidth="1"/>
    <col min="4" max="4" width="3.7109375" style="471" customWidth="1"/>
    <col min="5" max="6" width="15.7109375" style="471" customWidth="1"/>
    <col min="7" max="7" width="3.7109375" style="471" customWidth="1"/>
    <col min="8" max="9" width="15.7109375" style="471" customWidth="1"/>
    <col min="10" max="16" width="15.7109375" style="471" hidden="1" customWidth="1"/>
    <col min="17" max="16383" width="9.140625" style="471" hidden="1"/>
    <col min="16384" max="16384" width="0.28515625" style="471" customWidth="1"/>
  </cols>
  <sheetData>
    <row r="1" spans="1:11">
      <c r="A1" s="3377" t="s">
        <v>979</v>
      </c>
      <c r="B1" s="3377"/>
      <c r="C1" s="3377"/>
      <c r="D1" s="3377"/>
      <c r="E1" s="3377"/>
      <c r="F1" s="3377"/>
      <c r="G1" s="3377"/>
      <c r="H1" s="3377"/>
      <c r="I1" s="3377"/>
      <c r="J1" s="325"/>
      <c r="K1" s="325"/>
    </row>
    <row r="2" spans="1:11">
      <c r="A2" s="654"/>
      <c r="B2" s="654"/>
      <c r="C2" s="654"/>
      <c r="D2" s="654"/>
      <c r="E2" s="654"/>
      <c r="F2" s="654"/>
      <c r="G2" s="654"/>
      <c r="H2" s="654"/>
      <c r="I2" s="654"/>
    </row>
    <row r="3" spans="1:11" ht="99.75">
      <c r="A3" s="655" t="s">
        <v>980</v>
      </c>
      <c r="B3" s="655" t="s">
        <v>981</v>
      </c>
      <c r="C3" s="473" t="s">
        <v>982</v>
      </c>
      <c r="D3" s="383"/>
      <c r="E3" s="473" t="s">
        <v>983</v>
      </c>
      <c r="F3" s="655" t="s">
        <v>984</v>
      </c>
      <c r="G3" s="656"/>
      <c r="H3" s="655" t="s">
        <v>985</v>
      </c>
      <c r="I3" s="655" t="s">
        <v>986</v>
      </c>
      <c r="J3" s="325"/>
      <c r="K3" s="472"/>
    </row>
    <row r="4" spans="1:11">
      <c r="A4" s="657" t="str">
        <f>Application!B728</f>
        <v>1 Bedroom</v>
      </c>
      <c r="B4" s="666">
        <f>Application!G728</f>
        <v>21</v>
      </c>
      <c r="C4" s="657">
        <f>Application!O728</f>
        <v>732</v>
      </c>
      <c r="D4" s="658"/>
      <c r="E4" s="475">
        <f>1635-74</f>
        <v>1561</v>
      </c>
      <c r="F4" s="659">
        <f>E4*B4</f>
        <v>32781</v>
      </c>
      <c r="G4" s="660"/>
      <c r="H4" s="657">
        <f>IF(E4=0," ",(E4-C4))</f>
        <v>829</v>
      </c>
      <c r="I4" s="659">
        <f>IF(E4=0," ",(H4*B4))</f>
        <v>17409</v>
      </c>
      <c r="J4" s="325"/>
      <c r="K4" s="472"/>
    </row>
    <row r="5" spans="1:11">
      <c r="A5" s="657" t="str">
        <f>Application!B729</f>
        <v>1 Bedroom</v>
      </c>
      <c r="B5" s="666">
        <f>Application!G729</f>
        <v>8</v>
      </c>
      <c r="C5" s="657">
        <f>Application!O729</f>
        <v>1111</v>
      </c>
      <c r="D5" s="658"/>
      <c r="E5" s="475"/>
      <c r="F5" s="659">
        <f t="shared" ref="F5:F28" si="0">E5*B5</f>
        <v>0</v>
      </c>
      <c r="G5" s="660"/>
      <c r="H5" s="657" t="str">
        <f t="shared" ref="H5:H28" si="1">IF(E5=0," ",(E5-C5))</f>
        <v xml:space="preserve"> </v>
      </c>
      <c r="I5" s="659" t="str">
        <f t="shared" ref="I5:I28" si="2">IF(E5=0," ",(H5*B5))</f>
        <v xml:space="preserve"> </v>
      </c>
      <c r="J5" s="325"/>
      <c r="K5" s="472"/>
    </row>
    <row r="6" spans="1:11">
      <c r="A6" s="657" t="str">
        <f>Application!B730</f>
        <v>1 Bedroom</v>
      </c>
      <c r="B6" s="666">
        <f>Application!G730</f>
        <v>16</v>
      </c>
      <c r="C6" s="657">
        <f>Application!O730</f>
        <v>1237</v>
      </c>
      <c r="D6" s="658"/>
      <c r="E6" s="475"/>
      <c r="F6" s="659">
        <f t="shared" si="0"/>
        <v>0</v>
      </c>
      <c r="G6" s="660"/>
      <c r="H6" s="657" t="str">
        <f t="shared" si="1"/>
        <v xml:space="preserve"> </v>
      </c>
      <c r="I6" s="659" t="str">
        <f t="shared" si="2"/>
        <v xml:space="preserve"> </v>
      </c>
      <c r="J6" s="325"/>
      <c r="K6" s="472"/>
    </row>
    <row r="7" spans="1:11">
      <c r="A7" s="657" t="str">
        <f>Application!B731</f>
        <v>1 Bedroom</v>
      </c>
      <c r="B7" s="666">
        <f>Application!G731</f>
        <v>13</v>
      </c>
      <c r="C7" s="657">
        <f>Application!O731</f>
        <v>1489</v>
      </c>
      <c r="D7" s="658"/>
      <c r="E7" s="475"/>
      <c r="F7" s="659">
        <f t="shared" si="0"/>
        <v>0</v>
      </c>
      <c r="G7" s="660"/>
      <c r="H7" s="657" t="str">
        <f t="shared" si="1"/>
        <v xml:space="preserve"> </v>
      </c>
      <c r="I7" s="659" t="str">
        <f t="shared" si="2"/>
        <v xml:space="preserve"> </v>
      </c>
      <c r="J7" s="325"/>
      <c r="K7" s="472"/>
    </row>
    <row r="8" spans="1:11">
      <c r="A8" s="657" t="str">
        <f>Application!B732</f>
        <v>2 Bedrooms</v>
      </c>
      <c r="B8" s="666">
        <f>Application!G732</f>
        <v>1</v>
      </c>
      <c r="C8" s="657">
        <f>Application!O732</f>
        <v>875</v>
      </c>
      <c r="D8" s="658"/>
      <c r="E8" s="475"/>
      <c r="F8" s="659">
        <f t="shared" si="0"/>
        <v>0</v>
      </c>
      <c r="G8" s="660"/>
      <c r="H8" s="657" t="str">
        <f t="shared" si="1"/>
        <v xml:space="preserve"> </v>
      </c>
      <c r="I8" s="659" t="str">
        <f t="shared" si="2"/>
        <v xml:space="preserve"> </v>
      </c>
      <c r="J8" s="325"/>
      <c r="K8" s="472"/>
    </row>
    <row r="9" spans="1:11">
      <c r="A9" s="657" t="str">
        <f>Application!B733</f>
        <v>2 Bedrooms</v>
      </c>
      <c r="B9" s="666">
        <f>Application!G733</f>
        <v>2</v>
      </c>
      <c r="C9" s="657">
        <f>Application!O733</f>
        <v>1329</v>
      </c>
      <c r="D9" s="658"/>
      <c r="E9" s="475"/>
      <c r="F9" s="659">
        <f t="shared" si="0"/>
        <v>0</v>
      </c>
      <c r="G9" s="660"/>
      <c r="H9" s="657" t="str">
        <f t="shared" si="1"/>
        <v xml:space="preserve"> </v>
      </c>
      <c r="I9" s="659" t="str">
        <f t="shared" si="2"/>
        <v xml:space="preserve"> </v>
      </c>
      <c r="J9" s="325"/>
      <c r="K9" s="472"/>
    </row>
    <row r="10" spans="1:11">
      <c r="A10" s="657" t="str">
        <f>Application!B734</f>
        <v>2 Bedrooms</v>
      </c>
      <c r="B10" s="666">
        <f>Application!G734</f>
        <v>2</v>
      </c>
      <c r="C10" s="657">
        <f>Application!O734</f>
        <v>1480</v>
      </c>
      <c r="D10" s="658"/>
      <c r="E10" s="475"/>
      <c r="F10" s="659">
        <f t="shared" si="0"/>
        <v>0</v>
      </c>
      <c r="G10" s="660"/>
      <c r="H10" s="657" t="str">
        <f t="shared" si="1"/>
        <v xml:space="preserve"> </v>
      </c>
      <c r="I10" s="659" t="str">
        <f t="shared" si="2"/>
        <v xml:space="preserve"> </v>
      </c>
      <c r="J10" s="325"/>
      <c r="K10" s="472"/>
    </row>
    <row r="11" spans="1:11">
      <c r="A11" s="657" t="str">
        <f>Application!B735</f>
        <v>SRO/Studio</v>
      </c>
      <c r="B11" s="666">
        <f>Application!G735</f>
        <v>1</v>
      </c>
      <c r="C11" s="657">
        <f>Application!O735</f>
        <v>1035</v>
      </c>
      <c r="D11" s="658"/>
      <c r="E11" s="475"/>
      <c r="F11" s="659">
        <f t="shared" si="0"/>
        <v>0</v>
      </c>
      <c r="G11" s="660"/>
      <c r="H11" s="657" t="str">
        <f t="shared" si="1"/>
        <v xml:space="preserve"> </v>
      </c>
      <c r="I11" s="659" t="str">
        <f t="shared" si="2"/>
        <v xml:space="preserve"> </v>
      </c>
      <c r="J11" s="325"/>
      <c r="K11" s="472"/>
    </row>
    <row r="12" spans="1:11">
      <c r="A12" s="657">
        <f>Application!B736</f>
        <v>0</v>
      </c>
      <c r="B12" s="666">
        <f>Application!G736</f>
        <v>0</v>
      </c>
      <c r="C12" s="657">
        <f>Application!O736</f>
        <v>0</v>
      </c>
      <c r="D12" s="658"/>
      <c r="E12" s="475"/>
      <c r="F12" s="659">
        <f t="shared" si="0"/>
        <v>0</v>
      </c>
      <c r="G12" s="660"/>
      <c r="H12" s="657" t="str">
        <f t="shared" si="1"/>
        <v xml:space="preserve"> </v>
      </c>
      <c r="I12" s="659" t="str">
        <f t="shared" si="2"/>
        <v xml:space="preserve"> </v>
      </c>
      <c r="J12" s="325"/>
      <c r="K12" s="472"/>
    </row>
    <row r="13" spans="1:11">
      <c r="A13" s="657">
        <f>Application!B737</f>
        <v>0</v>
      </c>
      <c r="B13" s="666">
        <f>Application!G737</f>
        <v>0</v>
      </c>
      <c r="C13" s="657">
        <f>Application!O737</f>
        <v>0</v>
      </c>
      <c r="D13" s="658"/>
      <c r="E13" s="475"/>
      <c r="F13" s="659">
        <f t="shared" si="0"/>
        <v>0</v>
      </c>
      <c r="G13" s="660"/>
      <c r="H13" s="657" t="str">
        <f t="shared" si="1"/>
        <v xml:space="preserve"> </v>
      </c>
      <c r="I13" s="659" t="str">
        <f t="shared" si="2"/>
        <v xml:space="preserve"> </v>
      </c>
      <c r="J13" s="325"/>
      <c r="K13" s="472"/>
    </row>
    <row r="14" spans="1:11">
      <c r="A14" s="657">
        <f>Application!B738</f>
        <v>0</v>
      </c>
      <c r="B14" s="666">
        <f>Application!G738</f>
        <v>0</v>
      </c>
      <c r="C14" s="657">
        <f>Application!O738</f>
        <v>0</v>
      </c>
      <c r="D14" s="658"/>
      <c r="E14" s="475"/>
      <c r="F14" s="659">
        <f t="shared" si="0"/>
        <v>0</v>
      </c>
      <c r="G14" s="660"/>
      <c r="H14" s="657" t="str">
        <f t="shared" si="1"/>
        <v xml:space="preserve"> </v>
      </c>
      <c r="I14" s="659" t="str">
        <f t="shared" si="2"/>
        <v xml:space="preserve"> </v>
      </c>
      <c r="J14" s="325"/>
      <c r="K14" s="472"/>
    </row>
    <row r="15" spans="1:11">
      <c r="A15" s="657">
        <f>Application!B739</f>
        <v>0</v>
      </c>
      <c r="B15" s="666">
        <f>Application!G739</f>
        <v>0</v>
      </c>
      <c r="C15" s="657">
        <f>Application!O739</f>
        <v>0</v>
      </c>
      <c r="D15" s="658"/>
      <c r="E15" s="475"/>
      <c r="F15" s="659">
        <f t="shared" si="0"/>
        <v>0</v>
      </c>
      <c r="G15" s="660"/>
      <c r="H15" s="657" t="str">
        <f t="shared" si="1"/>
        <v xml:space="preserve"> </v>
      </c>
      <c r="I15" s="659" t="str">
        <f t="shared" si="2"/>
        <v xml:space="preserve"> </v>
      </c>
      <c r="J15" s="325"/>
      <c r="K15" s="472"/>
    </row>
    <row r="16" spans="1:11">
      <c r="A16" s="657">
        <f>Application!B740</f>
        <v>0</v>
      </c>
      <c r="B16" s="666">
        <f>Application!G740</f>
        <v>0</v>
      </c>
      <c r="C16" s="657">
        <f>Application!O740</f>
        <v>0</v>
      </c>
      <c r="D16" s="658"/>
      <c r="E16" s="475"/>
      <c r="F16" s="659">
        <f t="shared" si="0"/>
        <v>0</v>
      </c>
      <c r="G16" s="660"/>
      <c r="H16" s="657" t="str">
        <f t="shared" si="1"/>
        <v xml:space="preserve"> </v>
      </c>
      <c r="I16" s="659" t="str">
        <f t="shared" si="2"/>
        <v xml:space="preserve"> </v>
      </c>
      <c r="J16" s="325"/>
      <c r="K16" s="472"/>
    </row>
    <row r="17" spans="1:11">
      <c r="A17" s="657">
        <f>Application!B741</f>
        <v>0</v>
      </c>
      <c r="B17" s="666">
        <f>Application!G741</f>
        <v>0</v>
      </c>
      <c r="C17" s="657">
        <f>Application!O741</f>
        <v>0</v>
      </c>
      <c r="D17" s="658"/>
      <c r="E17" s="475"/>
      <c r="F17" s="659">
        <f t="shared" si="0"/>
        <v>0</v>
      </c>
      <c r="G17" s="660"/>
      <c r="H17" s="657" t="str">
        <f t="shared" si="1"/>
        <v xml:space="preserve"> </v>
      </c>
      <c r="I17" s="659" t="str">
        <f t="shared" si="2"/>
        <v xml:space="preserve"> </v>
      </c>
      <c r="J17" s="325"/>
      <c r="K17" s="472"/>
    </row>
    <row r="18" spans="1:11">
      <c r="A18" s="657">
        <f>Application!B742</f>
        <v>0</v>
      </c>
      <c r="B18" s="666">
        <f>Application!G742</f>
        <v>0</v>
      </c>
      <c r="C18" s="657">
        <f>Application!O742</f>
        <v>0</v>
      </c>
      <c r="D18" s="658"/>
      <c r="E18" s="475"/>
      <c r="F18" s="659">
        <f t="shared" si="0"/>
        <v>0</v>
      </c>
      <c r="G18" s="660"/>
      <c r="H18" s="657" t="str">
        <f t="shared" si="1"/>
        <v xml:space="preserve"> </v>
      </c>
      <c r="I18" s="659" t="str">
        <f t="shared" si="2"/>
        <v xml:space="preserve"> </v>
      </c>
      <c r="J18" s="325"/>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5"/>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5"/>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5"/>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5"/>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5"/>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5"/>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5"/>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5"/>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5"/>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5"/>
      <c r="K28" s="472"/>
    </row>
    <row r="29" spans="1:11">
      <c r="A29" s="383"/>
      <c r="B29" s="383"/>
      <c r="C29" s="658"/>
      <c r="D29" s="658"/>
      <c r="E29" s="658"/>
      <c r="F29" s="658"/>
      <c r="G29" s="660"/>
      <c r="H29" s="658"/>
      <c r="I29" s="383"/>
      <c r="J29" s="325"/>
      <c r="K29" s="472"/>
    </row>
    <row r="30" spans="1:11" ht="15">
      <c r="A30" s="661" t="s">
        <v>987</v>
      </c>
      <c r="B30" s="662"/>
      <c r="C30" s="663">
        <f>Application!T753</f>
        <v>70937</v>
      </c>
      <c r="D30" s="658"/>
      <c r="E30" s="658"/>
      <c r="F30" s="663">
        <f>SUM(F4:F28)*12</f>
        <v>393372</v>
      </c>
      <c r="G30" s="664"/>
      <c r="H30" s="662"/>
      <c r="I30" s="663">
        <f>SUM(I4:I28)*12</f>
        <v>208908</v>
      </c>
      <c r="J30" s="325"/>
      <c r="K30" s="474"/>
    </row>
    <row r="31" spans="1:11" ht="15">
      <c r="A31" s="661"/>
      <c r="B31" s="662"/>
      <c r="C31" s="664"/>
      <c r="D31" s="658"/>
      <c r="E31" s="658"/>
      <c r="F31" s="664"/>
      <c r="G31" s="664"/>
      <c r="H31" s="662"/>
      <c r="I31" s="664"/>
      <c r="J31" s="325"/>
      <c r="K31" s="474"/>
    </row>
    <row r="32" spans="1:11">
      <c r="A32" s="665" t="s">
        <v>988</v>
      </c>
      <c r="B32" s="654"/>
      <c r="C32" s="654"/>
      <c r="D32" s="654"/>
      <c r="E32" s="654"/>
      <c r="F32" s="654"/>
      <c r="G32" s="654"/>
      <c r="H32" s="654"/>
      <c r="I32" s="654"/>
    </row>
    <row r="33" spans="1:9">
      <c r="A33" s="665" t="s">
        <v>989</v>
      </c>
      <c r="B33" s="654"/>
      <c r="C33" s="654"/>
      <c r="D33" s="654"/>
      <c r="E33" s="654"/>
      <c r="F33" s="654"/>
      <c r="G33" s="654"/>
      <c r="H33" s="654"/>
      <c r="I33" s="654"/>
    </row>
    <row r="34" spans="1:9">
      <c r="A34" s="654" t="s">
        <v>1144</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7" t="s">
        <v>1050</v>
      </c>
    </row>
    <row r="2" spans="1:1" ht="15.75">
      <c r="A2" s="488"/>
    </row>
    <row r="3" spans="1:1" ht="15.75">
      <c r="A3" s="489" t="s">
        <v>1045</v>
      </c>
    </row>
    <row r="4" spans="1:1" ht="15.75">
      <c r="A4" s="489" t="s">
        <v>1046</v>
      </c>
    </row>
    <row r="5" spans="1:1" ht="15.75">
      <c r="A5" s="489" t="s">
        <v>1047</v>
      </c>
    </row>
    <row r="6" spans="1:1" ht="15.75">
      <c r="A6" s="489" t="s">
        <v>1049</v>
      </c>
    </row>
    <row r="7" spans="1:1" ht="15.75">
      <c r="A7" s="489" t="s">
        <v>1048</v>
      </c>
    </row>
    <row r="8" spans="1:1" ht="15.75">
      <c r="A8" s="537" t="s">
        <v>1137</v>
      </c>
    </row>
    <row r="9" spans="1:1" ht="15.75">
      <c r="A9" s="489"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88" zoomScaleNormal="100" zoomScaleSheetLayoutView="100" workbookViewId="0"/>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9" hidden="1" customWidth="1"/>
    <col min="254" max="16384" width="9.140625" style="499" hidden="1"/>
  </cols>
  <sheetData>
    <row r="1" spans="1:253" s="431" customFormat="1" ht="18" customHeight="1">
      <c r="A1" s="864" t="s">
        <v>1428</v>
      </c>
      <c r="D1" s="436"/>
    </row>
    <row r="2" spans="1:253" s="431" customFormat="1">
      <c r="A2" s="413" t="s">
        <v>957</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958</v>
      </c>
      <c r="C3" s="417" t="s">
        <v>959</v>
      </c>
      <c r="D3" s="417" t="s">
        <v>960</v>
      </c>
      <c r="E3" s="414" t="s">
        <v>961</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0</v>
      </c>
      <c r="C5" s="420">
        <f>'Sources and Uses Budget'!$C4</f>
        <v>0</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279850</v>
      </c>
      <c r="C6" s="420">
        <f>'Sources and Uses Budget'!$C5</f>
        <v>279850</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0</v>
      </c>
      <c r="C7" s="420">
        <f>'Sources and Uses Budget'!$C6</f>
        <v>0</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2927262</v>
      </c>
      <c r="C8" s="420">
        <f>'Sources and Uses Budget'!$C7</f>
        <v>2927262</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628</v>
      </c>
      <c r="B9" s="424">
        <f>SUM(B5:B8)</f>
        <v>3207112</v>
      </c>
      <c r="C9" s="424">
        <f>SUM(C5:C8)</f>
        <v>3207112</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629</v>
      </c>
      <c r="B10" s="420">
        <f>'Sources and Uses Budget'!$C9</f>
        <v>0</v>
      </c>
      <c r="C10" s="420">
        <f>'Sources and Uses Budget'!$C9</f>
        <v>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630</v>
      </c>
      <c r="B11" s="420">
        <f>'Sources and Uses Budget'!$C10</f>
        <v>640532</v>
      </c>
      <c r="C11" s="420">
        <f>'Sources and Uses Budget'!$C10</f>
        <v>640532</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631</v>
      </c>
      <c r="B12" s="424">
        <f>SUM(B10:B11)</f>
        <v>640532</v>
      </c>
      <c r="C12" s="424">
        <f>SUM(C10:C11)</f>
        <v>640532</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3847644</v>
      </c>
      <c r="C13" s="424">
        <f>SUM(C9+C12)</f>
        <v>3847644</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971</v>
      </c>
      <c r="B14" s="420">
        <f>'Sources and Uses Budget'!$C13</f>
        <v>0</v>
      </c>
      <c r="C14" s="420">
        <f>'Sources and Uses Budget'!$C13</f>
        <v>0</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4">
      <c r="A15" s="570" t="s">
        <v>972</v>
      </c>
      <c r="B15" s="420">
        <f>'Sources and Uses Budget'!$C14</f>
        <v>0</v>
      </c>
      <c r="C15" s="420">
        <f>'Sources and Uses Budget'!$C14</f>
        <v>0</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1356</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c r="A17" s="418" t="s">
        <v>632</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633</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634</v>
      </c>
      <c r="B19" s="420">
        <f>'Sources and Uses Budget'!$C18</f>
        <v>0</v>
      </c>
      <c r="C19" s="420">
        <f>'Sources and Uses Budget'!$C18</f>
        <v>0</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635</v>
      </c>
      <c r="B20" s="420">
        <f>'Sources and Uses Budget'!$C19</f>
        <v>0</v>
      </c>
      <c r="C20" s="420">
        <f>'Sources and Uses Budget'!$C19</f>
        <v>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0</v>
      </c>
      <c r="C21" s="420">
        <f>'Sources and Uses Budget'!$C20</f>
        <v>0</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0</v>
      </c>
      <c r="C22" s="420">
        <f>'Sources and Uses Budget'!$C21</f>
        <v>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0</v>
      </c>
      <c r="C24" s="420">
        <f>'Sources and Uses Budget'!$C23</f>
        <v>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1994</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(Specify)</v>
      </c>
      <c r="B26" s="420">
        <f>'Sources and Uses Budget'!$C25</f>
        <v>0</v>
      </c>
      <c r="C26" s="420">
        <f>'Sources and Uses Budget'!$C25</f>
        <v>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c r="A27" s="1814" t="s">
        <v>138</v>
      </c>
      <c r="B27" s="424">
        <f>SUM(B18:B26)</f>
        <v>0</v>
      </c>
      <c r="C27" s="424">
        <f>SUM(C18:C26)</f>
        <v>0</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c r="A28" s="425" t="s">
        <v>146</v>
      </c>
      <c r="B28" s="420">
        <f>'Sources and Uses Budget'!$C$27</f>
        <v>0</v>
      </c>
      <c r="C28" s="420">
        <f>'Sources and Uses Budget'!$C$27</f>
        <v>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633</v>
      </c>
      <c r="B30" s="420">
        <f>'Sources and Uses Budget'!$C29</f>
        <v>2581150</v>
      </c>
      <c r="C30" s="420">
        <f>'Sources and Uses Budget'!$C29</f>
        <v>2581150</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634</v>
      </c>
      <c r="B31" s="420">
        <f>'Sources and Uses Budget'!$C30</f>
        <v>12429011</v>
      </c>
      <c r="C31" s="420">
        <f>'Sources and Uses Budget'!$C30</f>
        <v>12429011</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635</v>
      </c>
      <c r="B32" s="420">
        <f>'Sources and Uses Budget'!$C31</f>
        <v>1115138</v>
      </c>
      <c r="C32" s="420">
        <f>'Sources and Uses Budget'!$C31</f>
        <v>1115138</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557568</v>
      </c>
      <c r="C33" s="420">
        <f>'Sources and Uses Budget'!$C32</f>
        <v>557568</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557568</v>
      </c>
      <c r="C34" s="420">
        <f>'Sources and Uses Budget'!$C33</f>
        <v>557568</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0</v>
      </c>
      <c r="C35" s="420">
        <f>'Sources and Uses Budget'!$C34</f>
        <v>0</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361618</v>
      </c>
      <c r="C36" s="420">
        <f>'Sources and Uses Budget'!$C35</f>
        <v>361618</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8" t="s">
        <v>1994</v>
      </c>
      <c r="B37" s="420">
        <f>'Sources and Uses Budget'!$C36</f>
        <v>0</v>
      </c>
      <c r="C37" s="420">
        <f>'Sources and Uses Budget'!$C36</f>
        <v>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Other: (Specify)</v>
      </c>
      <c r="B38" s="420">
        <f>'Sources and Uses Budget'!$C37</f>
        <v>0</v>
      </c>
      <c r="C38" s="420">
        <f>'Sources and Uses Budget'!$C37</f>
        <v>0</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c r="A39" s="425" t="s">
        <v>148</v>
      </c>
      <c r="B39" s="424">
        <f>SUM(B30:B38)</f>
        <v>17602053</v>
      </c>
      <c r="C39" s="424">
        <f>SUM(C30:C38)</f>
        <v>17602053</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950000</v>
      </c>
      <c r="C41" s="420">
        <f>'Sources and Uses Budget'!$C40</f>
        <v>950000</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0</v>
      </c>
      <c r="C42" s="420">
        <f>'Sources and Uses Budget'!$C41</f>
        <v>0</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c r="A43" s="425" t="s">
        <v>152</v>
      </c>
      <c r="B43" s="424">
        <f>SUM(B41:B42)</f>
        <v>950000</v>
      </c>
      <c r="C43" s="424">
        <f>SUM(C41:C42)</f>
        <v>950000</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c r="A44" s="425" t="s">
        <v>153</v>
      </c>
      <c r="B44" s="420">
        <f>'Sources and Uses Budget'!$C43</f>
        <v>190000</v>
      </c>
      <c r="C44" s="420">
        <f>'Sources and Uses Budget'!$C43</f>
        <v>190000</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1316937</v>
      </c>
      <c r="C46" s="420">
        <f>'Sources and Uses Budget'!$C45</f>
        <v>1316937</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249000</v>
      </c>
      <c r="C47" s="420">
        <f>'Sources and Uses Budget'!$C46</f>
        <v>249000</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0</v>
      </c>
      <c r="C48" s="420">
        <f>'Sources and Uses Budget'!$C47</f>
        <v>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0</v>
      </c>
      <c r="C49" s="420">
        <f>'Sources and Uses Budget'!$C48</f>
        <v>0</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0</v>
      </c>
      <c r="C50" s="420">
        <f>'Sources and Uses Budget'!$C49</f>
        <v>0</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60000</v>
      </c>
      <c r="C51" s="420">
        <f>'Sources and Uses Budget'!$C50</f>
        <v>60000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10000</v>
      </c>
      <c r="C52" s="420">
        <f>'Sources and Uses Budget'!$C51</f>
        <v>10000</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0</v>
      </c>
      <c r="C53" s="420">
        <f>'Sources and Uses Budget'!$C52</f>
        <v>0</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Other: (Inspection fees)</v>
      </c>
      <c r="B54" s="420">
        <f>'Sources and Uses Budget'!$C53</f>
        <v>25000</v>
      </c>
      <c r="C54" s="420">
        <f>'Sources and Uses Budget'!$C53</f>
        <v>25000</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c r="A55" s="425" t="s">
        <v>162</v>
      </c>
      <c r="B55" s="427">
        <f>SUM(B46:B54)</f>
        <v>1660937</v>
      </c>
      <c r="C55" s="427">
        <f>SUM(C46:C54)</f>
        <v>1660937</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c r="A56" s="418" t="s">
        <v>439</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90057</v>
      </c>
      <c r="C57" s="420">
        <f>'Sources and Uses Budget'!$C56</f>
        <v>90057</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0</v>
      </c>
      <c r="C58" s="420">
        <f>'Sources and Uses Budget'!$C57</f>
        <v>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10000</v>
      </c>
      <c r="C59" s="420">
        <f>'Sources and Uses Budget'!$C58</f>
        <v>10000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5" t="str">
        <f>'Sources and Uses Budget'!A61</f>
        <v>Other: (Specify)</v>
      </c>
      <c r="B62" s="420">
        <f>'Sources and Uses Budget'!$C61</f>
        <v>0</v>
      </c>
      <c r="C62" s="420">
        <f>'Sources and Uses Budget'!$C61</f>
        <v>0</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7" customHeight="1">
      <c r="A63" s="425" t="s">
        <v>309</v>
      </c>
      <c r="B63" s="424">
        <f>SUM(B57:B62)</f>
        <v>100057</v>
      </c>
      <c r="C63" s="424">
        <f>SUM(C57:C62)</f>
        <v>100057</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c r="A64" s="428" t="s">
        <v>310</v>
      </c>
      <c r="B64" s="424">
        <f>SUM(B9+B12+B14+B15+B17+B26+B28+B39+B43+B44+B55+B63)</f>
        <v>24350691</v>
      </c>
      <c r="C64" s="424">
        <f>SUM(C9+C12+C14+C15+C17+C26+C28+C39+C43+C44+C55+C63)</f>
        <v>24350691</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4">
      <c r="A65" s="211" t="s">
        <v>1998</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176</v>
      </c>
      <c r="B66" s="420">
        <f>'Sources and Uses Budget'!$C65</f>
        <v>100000</v>
      </c>
      <c r="C66" s="420">
        <f>'Sources and Uses Budget'!$C65</f>
        <v>100000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4">
      <c r="A67" s="439" t="s">
        <v>1995</v>
      </c>
      <c r="B67" s="420">
        <f>'Sources and Uses Budget'!$C66</f>
        <v>0</v>
      </c>
      <c r="C67" s="420">
        <f>'Sources and Uses Budget'!$C66</f>
        <v>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4">
      <c r="A68" s="439" t="s">
        <v>1996</v>
      </c>
      <c r="B68" s="420">
        <f>'Sources and Uses Budget'!$C67</f>
        <v>0</v>
      </c>
      <c r="C68" s="420">
        <f>'Sources and Uses Budget'!$C67</f>
        <v>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2002</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6" t="str">
        <f>'Sources and Uses Budget'!A69</f>
        <v>Other: (Syndication Legal Fees)</v>
      </c>
      <c r="B70" s="420">
        <f>'Sources and Uses Budget'!$C69</f>
        <v>115000</v>
      </c>
      <c r="C70" s="420">
        <f>'Sources and Uses Budget'!$C69</f>
        <v>115000</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1999</v>
      </c>
      <c r="B71" s="424">
        <f>SUM(B66:B70)</f>
        <v>215000</v>
      </c>
      <c r="C71" s="424">
        <f>SUM(C66:C70)</f>
        <v>215000</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c r="A72" s="418" t="s">
        <v>637</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638</v>
      </c>
      <c r="B73" s="420">
        <f>'Sources and Uses Budget'!$C72</f>
        <v>50000</v>
      </c>
      <c r="C73" s="420">
        <f>'Sources and Uses Budget'!$C72</f>
        <v>50000</v>
      </c>
      <c r="D73" s="424">
        <f t="shared" si="0"/>
        <v>0</v>
      </c>
      <c r="E73" s="422"/>
      <c r="F73" s="421"/>
      <c r="G73" s="552"/>
    </row>
    <row r="74" spans="1:253" s="546" customFormat="1">
      <c r="A74" s="423" t="s">
        <v>639</v>
      </c>
      <c r="B74" s="420">
        <f>'Sources and Uses Budget'!$C73</f>
        <v>0</v>
      </c>
      <c r="C74" s="420">
        <f>'Sources and Uses Budget'!$C73</f>
        <v>0</v>
      </c>
      <c r="D74" s="424">
        <f t="shared" si="0"/>
        <v>0</v>
      </c>
      <c r="E74" s="422"/>
      <c r="F74" s="421"/>
      <c r="G74" s="552"/>
    </row>
    <row r="75" spans="1:253" s="546" customFormat="1">
      <c r="A75" s="507" t="s">
        <v>1086</v>
      </c>
      <c r="B75" s="420">
        <f>'Sources and Uses Budget'!$C74</f>
        <v>342320</v>
      </c>
      <c r="C75" s="420">
        <f>'Sources and Uses Budget'!$C74</f>
        <v>342320</v>
      </c>
      <c r="D75" s="424">
        <f t="shared" si="0"/>
        <v>0</v>
      </c>
      <c r="E75" s="422"/>
      <c r="F75" s="421"/>
      <c r="G75" s="552"/>
    </row>
    <row r="76" spans="1:253" s="546" customFormat="1">
      <c r="A76" s="423" t="s">
        <v>640</v>
      </c>
      <c r="B76" s="420">
        <f>'Sources and Uses Budget'!$C75</f>
        <v>233599</v>
      </c>
      <c r="C76" s="420">
        <f>'Sources and Uses Budget'!$C75</f>
        <v>233599</v>
      </c>
      <c r="D76" s="424">
        <f t="shared" si="0"/>
        <v>0</v>
      </c>
      <c r="E76" s="422"/>
      <c r="F76" s="421"/>
      <c r="G76" s="552"/>
    </row>
    <row r="77" spans="1:253" s="546" customFormat="1">
      <c r="A77" s="426" t="s">
        <v>35</v>
      </c>
      <c r="B77" s="420">
        <f>'Sources and Uses Budget'!$C76</f>
        <v>0</v>
      </c>
      <c r="C77" s="420">
        <f>'Sources and Uses Budget'!$C76</f>
        <v>0</v>
      </c>
      <c r="D77" s="424">
        <f t="shared" si="0"/>
        <v>0</v>
      </c>
      <c r="E77" s="422"/>
      <c r="F77" s="421"/>
      <c r="G77" s="552"/>
    </row>
    <row r="78" spans="1:253" s="546" customFormat="1">
      <c r="A78" s="425" t="s">
        <v>641</v>
      </c>
      <c r="B78" s="424">
        <f>SUM(B73:B77)</f>
        <v>625919</v>
      </c>
      <c r="C78" s="424">
        <f>SUM(C73:C77)</f>
        <v>625919</v>
      </c>
      <c r="D78" s="424">
        <f t="shared" ref="D78:D106" si="1">C78-B78</f>
        <v>0</v>
      </c>
      <c r="E78" s="422"/>
      <c r="F78" s="421"/>
      <c r="G78" s="552"/>
    </row>
    <row r="79" spans="1:253" s="546" customFormat="1">
      <c r="A79" s="418" t="s">
        <v>1420</v>
      </c>
      <c r="B79" s="418"/>
      <c r="C79" s="418"/>
      <c r="D79" s="418"/>
      <c r="E79" s="438"/>
      <c r="F79" s="418"/>
      <c r="G79" s="552"/>
    </row>
    <row r="80" spans="1:253" s="546" customFormat="1">
      <c r="A80" s="860" t="s">
        <v>1422</v>
      </c>
      <c r="B80" s="420">
        <f>'Sources and Uses Budget'!$C79</f>
        <v>916152</v>
      </c>
      <c r="C80" s="420">
        <f>'Sources and Uses Budget'!$C79</f>
        <v>916152</v>
      </c>
      <c r="D80" s="424">
        <f t="shared" si="1"/>
        <v>0</v>
      </c>
      <c r="E80" s="422"/>
      <c r="F80" s="421"/>
      <c r="G80" s="552"/>
    </row>
    <row r="81" spans="1:7" s="546" customFormat="1">
      <c r="A81" s="860" t="s">
        <v>61</v>
      </c>
      <c r="B81" s="420">
        <f>'Sources and Uses Budget'!$C80</f>
        <v>100000</v>
      </c>
      <c r="C81" s="420">
        <f>'Sources and Uses Budget'!$C80</f>
        <v>100000</v>
      </c>
      <c r="D81" s="424">
        <f>C81-B81</f>
        <v>0</v>
      </c>
      <c r="E81" s="422"/>
      <c r="F81" s="421"/>
      <c r="G81" s="552"/>
    </row>
    <row r="82" spans="1:7" s="546" customFormat="1">
      <c r="A82" s="425" t="s">
        <v>1419</v>
      </c>
      <c r="B82" s="424">
        <f>SUM(B80:B81)</f>
        <v>1016152</v>
      </c>
      <c r="C82" s="424">
        <f>SUM(C80:C81)</f>
        <v>1016152</v>
      </c>
      <c r="D82" s="424">
        <f t="shared" si="1"/>
        <v>0</v>
      </c>
      <c r="E82" s="422"/>
      <c r="F82" s="421"/>
      <c r="G82" s="552"/>
    </row>
    <row r="83" spans="1:7" s="546" customFormat="1">
      <c r="A83" s="418" t="s">
        <v>823</v>
      </c>
      <c r="B83" s="418"/>
      <c r="C83" s="418"/>
      <c r="D83" s="418"/>
      <c r="E83" s="438"/>
      <c r="F83" s="418"/>
      <c r="G83" s="552"/>
    </row>
    <row r="84" spans="1:7" s="546" customFormat="1" ht="13.7" customHeight="1">
      <c r="A84" s="423" t="s">
        <v>824</v>
      </c>
      <c r="B84" s="420">
        <f>'Sources and Uses Budget'!$C83</f>
        <v>69720</v>
      </c>
      <c r="C84" s="420">
        <f>'Sources and Uses Budget'!$C83</f>
        <v>69720</v>
      </c>
      <c r="D84" s="424">
        <f t="shared" si="1"/>
        <v>0</v>
      </c>
      <c r="E84" s="422"/>
      <c r="F84" s="421"/>
      <c r="G84" s="552"/>
    </row>
    <row r="85" spans="1:7" s="546" customFormat="1">
      <c r="A85" s="423" t="s">
        <v>825</v>
      </c>
      <c r="B85" s="420">
        <f>'Sources and Uses Budget'!$C84</f>
        <v>62000</v>
      </c>
      <c r="C85" s="420">
        <f>'Sources and Uses Budget'!$C84</f>
        <v>62000</v>
      </c>
      <c r="D85" s="424">
        <f t="shared" si="1"/>
        <v>0</v>
      </c>
      <c r="E85" s="422"/>
      <c r="F85" s="421"/>
      <c r="G85" s="552"/>
    </row>
    <row r="86" spans="1:7" s="546" customFormat="1">
      <c r="A86" s="423" t="s">
        <v>826</v>
      </c>
      <c r="B86" s="420">
        <f>'Sources and Uses Budget'!$C85</f>
        <v>584053</v>
      </c>
      <c r="C86" s="420">
        <f>'Sources and Uses Budget'!$C85</f>
        <v>584053</v>
      </c>
      <c r="D86" s="424">
        <f t="shared" si="1"/>
        <v>0</v>
      </c>
      <c r="E86" s="422"/>
      <c r="F86" s="421"/>
      <c r="G86" s="552"/>
    </row>
    <row r="87" spans="1:7" s="546" customFormat="1">
      <c r="A87" s="423" t="s">
        <v>827</v>
      </c>
      <c r="B87" s="420">
        <f>'Sources and Uses Budget'!$C86</f>
        <v>140695</v>
      </c>
      <c r="C87" s="420">
        <f>'Sources and Uses Budget'!$C86</f>
        <v>140695</v>
      </c>
      <c r="D87" s="424">
        <f t="shared" si="1"/>
        <v>0</v>
      </c>
      <c r="E87" s="422"/>
      <c r="F87" s="421"/>
      <c r="G87" s="552"/>
    </row>
    <row r="88" spans="1:7" s="546" customFormat="1">
      <c r="A88" s="423" t="s">
        <v>828</v>
      </c>
      <c r="B88" s="420">
        <f>'Sources and Uses Budget'!$C87</f>
        <v>75000</v>
      </c>
      <c r="C88" s="420">
        <f>'Sources and Uses Budget'!$C87</f>
        <v>75000</v>
      </c>
      <c r="D88" s="424">
        <f t="shared" si="1"/>
        <v>0</v>
      </c>
      <c r="E88" s="422"/>
      <c r="F88" s="421"/>
      <c r="G88" s="552"/>
    </row>
    <row r="89" spans="1:7" s="546" customFormat="1">
      <c r="A89" s="423" t="s">
        <v>829</v>
      </c>
      <c r="B89" s="420">
        <f>'Sources and Uses Budget'!$C88</f>
        <v>30000</v>
      </c>
      <c r="C89" s="420">
        <f>'Sources and Uses Budget'!$C88</f>
        <v>30000</v>
      </c>
      <c r="D89" s="424">
        <f t="shared" si="1"/>
        <v>0</v>
      </c>
      <c r="E89" s="422"/>
      <c r="F89" s="421"/>
      <c r="G89" s="552"/>
    </row>
    <row r="90" spans="1:7" s="546" customFormat="1">
      <c r="A90" s="423" t="s">
        <v>830</v>
      </c>
      <c r="B90" s="420">
        <f>'Sources and Uses Budget'!$C89</f>
        <v>200000</v>
      </c>
      <c r="C90" s="420">
        <f>'Sources and Uses Budget'!$C89</f>
        <v>200000</v>
      </c>
      <c r="D90" s="424">
        <f t="shared" si="1"/>
        <v>0</v>
      </c>
      <c r="E90" s="422"/>
      <c r="F90" s="421"/>
      <c r="G90" s="552"/>
    </row>
    <row r="91" spans="1:7" s="546" customFormat="1">
      <c r="A91" s="423" t="s">
        <v>831</v>
      </c>
      <c r="B91" s="420">
        <f>'Sources and Uses Budget'!$C90</f>
        <v>21250</v>
      </c>
      <c r="C91" s="420">
        <f>'Sources and Uses Budget'!$C90</f>
        <v>21250</v>
      </c>
      <c r="D91" s="424">
        <f t="shared" si="1"/>
        <v>0</v>
      </c>
      <c r="E91" s="422"/>
      <c r="F91" s="421"/>
      <c r="G91" s="552"/>
    </row>
    <row r="92" spans="1:7" s="546" customFormat="1">
      <c r="A92" s="429" t="s">
        <v>390</v>
      </c>
      <c r="B92" s="420">
        <f>'Sources and Uses Budget'!$C91</f>
        <v>50000</v>
      </c>
      <c r="C92" s="420">
        <f>'Sources and Uses Budget'!$C91</f>
        <v>50000</v>
      </c>
      <c r="D92" s="424">
        <f t="shared" si="1"/>
        <v>0</v>
      </c>
      <c r="E92" s="422"/>
      <c r="F92" s="421"/>
      <c r="G92" s="552"/>
    </row>
    <row r="93" spans="1:7" s="546" customFormat="1">
      <c r="A93" s="859" t="s">
        <v>1421</v>
      </c>
      <c r="B93" s="420">
        <f>'Sources and Uses Budget'!$C92</f>
        <v>21250</v>
      </c>
      <c r="C93" s="420">
        <f>'Sources and Uses Budget'!$C92</f>
        <v>21250</v>
      </c>
      <c r="D93" s="424">
        <f t="shared" si="1"/>
        <v>0</v>
      </c>
      <c r="E93" s="422"/>
      <c r="F93" s="421"/>
      <c r="G93" s="552"/>
    </row>
    <row r="94" spans="1:7" s="546" customFormat="1">
      <c r="A94" s="426" t="s">
        <v>35</v>
      </c>
      <c r="B94" s="420">
        <f>'Sources and Uses Budget'!$C93</f>
        <v>25000</v>
      </c>
      <c r="C94" s="420">
        <f>'Sources and Uses Budget'!$C93</f>
        <v>25000</v>
      </c>
      <c r="D94" s="424">
        <f t="shared" si="1"/>
        <v>0</v>
      </c>
      <c r="E94" s="422"/>
      <c r="F94" s="421"/>
      <c r="G94" s="552"/>
    </row>
    <row r="95" spans="1:7" s="546" customFormat="1">
      <c r="A95" s="426" t="s">
        <v>35</v>
      </c>
      <c r="B95" s="420">
        <f>'Sources and Uses Budget'!$C94</f>
        <v>150000</v>
      </c>
      <c r="C95" s="420">
        <f>'Sources and Uses Budget'!$C94</f>
        <v>150000</v>
      </c>
      <c r="D95" s="424">
        <f t="shared" si="1"/>
        <v>0</v>
      </c>
      <c r="E95" s="422"/>
      <c r="F95" s="421"/>
      <c r="G95" s="552"/>
    </row>
    <row r="96" spans="1:7" s="546" customFormat="1">
      <c r="A96" s="426" t="s">
        <v>35</v>
      </c>
      <c r="B96" s="420">
        <f>'Sources and Uses Budget'!$C95</f>
        <v>141348</v>
      </c>
      <c r="C96" s="420">
        <f>'Sources and Uses Budget'!$C95</f>
        <v>141348</v>
      </c>
      <c r="D96" s="424">
        <f t="shared" si="1"/>
        <v>0</v>
      </c>
      <c r="E96" s="422"/>
      <c r="F96" s="421"/>
      <c r="G96" s="552"/>
    </row>
    <row r="97" spans="1:7" s="546" customFormat="1">
      <c r="A97" s="425" t="s">
        <v>832</v>
      </c>
      <c r="B97" s="424">
        <f>SUM(B84:B96)</f>
        <v>1570316</v>
      </c>
      <c r="C97" s="424">
        <f>SUM(C84:C96)</f>
        <v>1570316</v>
      </c>
      <c r="D97" s="424">
        <f t="shared" si="1"/>
        <v>0</v>
      </c>
      <c r="E97" s="422"/>
      <c r="F97" s="421"/>
      <c r="G97" s="552"/>
    </row>
    <row r="98" spans="1:7" s="546" customFormat="1">
      <c r="A98" s="425" t="s">
        <v>833</v>
      </c>
      <c r="B98" s="424">
        <f>SUM(B64+B71+B78+B82+B97)</f>
        <v>27778078</v>
      </c>
      <c r="C98" s="424">
        <f>SUM(C64+C71+C78+C82+C97)</f>
        <v>27778078</v>
      </c>
      <c r="D98" s="424">
        <f t="shared" si="1"/>
        <v>0</v>
      </c>
      <c r="E98" s="422"/>
      <c r="F98" s="421"/>
      <c r="G98" s="552"/>
    </row>
    <row r="99" spans="1:7" s="546" customFormat="1">
      <c r="A99" s="418" t="s">
        <v>834</v>
      </c>
      <c r="B99" s="418"/>
      <c r="C99" s="418"/>
      <c r="D99" s="418"/>
      <c r="E99" s="438"/>
      <c r="F99" s="418"/>
      <c r="G99" s="552"/>
    </row>
    <row r="100" spans="1:7" s="545" customFormat="1">
      <c r="A100" s="215" t="s">
        <v>835</v>
      </c>
      <c r="B100" s="420">
        <f>'Sources and Uses Budget'!$C99</f>
        <v>2500000</v>
      </c>
      <c r="C100" s="420">
        <f>'Sources and Uses Budget'!$C99</f>
        <v>2500000</v>
      </c>
      <c r="D100" s="424">
        <f t="shared" si="1"/>
        <v>0</v>
      </c>
      <c r="E100" s="422"/>
      <c r="F100" s="421"/>
      <c r="G100" s="550"/>
    </row>
    <row r="101" spans="1:7" s="545" customFormat="1">
      <c r="A101" s="439" t="s">
        <v>2000</v>
      </c>
      <c r="B101" s="420">
        <f>'Sources and Uses Budget'!$C100</f>
        <v>0</v>
      </c>
      <c r="C101" s="420">
        <f>'Sources and Uses Budget'!$C100</f>
        <v>0</v>
      </c>
      <c r="D101" s="424">
        <f t="shared" si="1"/>
        <v>0</v>
      </c>
      <c r="E101" s="422"/>
      <c r="F101" s="421"/>
      <c r="G101" s="550"/>
    </row>
    <row r="102" spans="1:7" s="545" customFormat="1">
      <c r="A102" s="215" t="s">
        <v>836</v>
      </c>
      <c r="B102" s="420">
        <f>'Sources and Uses Budget'!$C101</f>
        <v>0</v>
      </c>
      <c r="C102" s="420">
        <f>'Sources and Uses Budget'!$C101</f>
        <v>0</v>
      </c>
      <c r="D102" s="424">
        <f t="shared" si="1"/>
        <v>0</v>
      </c>
      <c r="E102" s="422"/>
      <c r="F102" s="421"/>
      <c r="G102" s="550"/>
    </row>
    <row r="103" spans="1:7" s="545" customFormat="1" ht="12" customHeight="1">
      <c r="A103" s="439" t="s">
        <v>2001</v>
      </c>
      <c r="B103" s="420">
        <f>'Sources and Uses Budget'!$C102</f>
        <v>0</v>
      </c>
      <c r="C103" s="420">
        <f>'Sources and Uses Budget'!$C102</f>
        <v>0</v>
      </c>
      <c r="D103" s="424">
        <f t="shared" si="1"/>
        <v>0</v>
      </c>
      <c r="E103" s="422"/>
      <c r="F103" s="421"/>
      <c r="G103" s="550"/>
    </row>
    <row r="104" spans="1:7" s="545" customFormat="1">
      <c r="A104" s="1815" t="str">
        <f>'Sources and Uses Budget'!A103</f>
        <v>Other: (Specify)</v>
      </c>
      <c r="B104" s="420">
        <f>'Sources and Uses Budget'!$C103</f>
        <v>0</v>
      </c>
      <c r="C104" s="420">
        <f>'Sources and Uses Budget'!$C103</f>
        <v>0</v>
      </c>
      <c r="D104" s="424">
        <f t="shared" si="1"/>
        <v>0</v>
      </c>
      <c r="E104" s="422"/>
      <c r="F104" s="421"/>
      <c r="G104" s="550"/>
    </row>
    <row r="105" spans="1:7" s="545" customFormat="1">
      <c r="A105" s="425" t="s">
        <v>837</v>
      </c>
      <c r="B105" s="424">
        <f>SUM(B100:B104)</f>
        <v>2500000</v>
      </c>
      <c r="C105" s="424">
        <f>SUM(C100:C104)</f>
        <v>2500000</v>
      </c>
      <c r="D105" s="424">
        <f t="shared" si="1"/>
        <v>0</v>
      </c>
      <c r="E105" s="422"/>
      <c r="F105" s="421"/>
      <c r="G105" s="550"/>
    </row>
    <row r="106" spans="1:7" s="545" customFormat="1">
      <c r="A106" s="425" t="s">
        <v>838</v>
      </c>
      <c r="B106" s="427">
        <f>SUM(B98+B105)</f>
        <v>30278078</v>
      </c>
      <c r="C106" s="427">
        <f>SUM(C98+C105)</f>
        <v>30278078</v>
      </c>
      <c r="D106" s="424">
        <f t="shared" si="1"/>
        <v>0</v>
      </c>
      <c r="E106" s="422"/>
      <c r="F106" s="421"/>
      <c r="G106" s="550"/>
    </row>
    <row r="107" spans="1:7" s="545" customFormat="1">
      <c r="A107" s="433" t="s">
        <v>839</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5"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31" t="s">
        <v>1158</v>
      </c>
      <c r="B2" s="1931"/>
      <c r="C2" s="1932"/>
      <c r="D2" s="1932"/>
      <c r="E2" s="1932"/>
      <c r="F2" s="1932"/>
      <c r="G2" s="1932"/>
    </row>
    <row r="3" spans="1:9" s="256" customFormat="1">
      <c r="A3" s="1931" t="s">
        <v>1088</v>
      </c>
      <c r="B3" s="1931"/>
      <c r="C3" s="1932"/>
      <c r="D3" s="1932"/>
      <c r="E3" s="1932"/>
      <c r="F3" s="1932"/>
      <c r="G3" s="1932"/>
      <c r="I3" s="676" t="s">
        <v>316</v>
      </c>
    </row>
    <row r="4" spans="1:9">
      <c r="I4" s="677" t="s">
        <v>1159</v>
      </c>
    </row>
    <row r="5" spans="1:9" s="39" customFormat="1">
      <c r="A5" s="1935" t="s">
        <v>1089</v>
      </c>
      <c r="B5" s="1935"/>
      <c r="C5" s="1936"/>
      <c r="D5" s="1936"/>
      <c r="E5" s="1936"/>
      <c r="F5" s="1936"/>
      <c r="G5" s="1936"/>
      <c r="I5" s="677" t="s">
        <v>1160</v>
      </c>
    </row>
    <row r="6" spans="1:9" s="39" customFormat="1">
      <c r="A6" s="1935" t="s">
        <v>880</v>
      </c>
      <c r="B6" s="1935"/>
      <c r="C6" s="1936"/>
      <c r="D6" s="1936"/>
      <c r="E6" s="1936"/>
      <c r="F6" s="1936"/>
      <c r="G6" s="1936"/>
      <c r="I6" s="676" t="s">
        <v>626</v>
      </c>
    </row>
    <row r="7" spans="1:9" ht="11.85" customHeight="1"/>
    <row r="8" spans="1:9" s="39" customFormat="1">
      <c r="A8" s="1933" t="s">
        <v>1255</v>
      </c>
      <c r="B8" s="1933"/>
      <c r="C8" s="1934"/>
      <c r="D8" s="1934"/>
      <c r="E8" s="1934"/>
      <c r="F8" s="1934"/>
      <c r="G8" s="1934"/>
    </row>
    <row r="9" spans="1:9" s="39" customFormat="1">
      <c r="A9" s="1933" t="s">
        <v>1256</v>
      </c>
      <c r="B9" s="1933"/>
      <c r="C9" s="1934"/>
      <c r="D9" s="1934"/>
      <c r="E9" s="1934"/>
      <c r="F9" s="1934"/>
      <c r="G9" s="1934"/>
    </row>
    <row r="10" spans="1:9">
      <c r="A10" s="258"/>
      <c r="B10" s="258"/>
      <c r="C10" s="255"/>
      <c r="D10" s="255"/>
      <c r="E10" s="255"/>
      <c r="F10" s="255"/>
    </row>
    <row r="11" spans="1:9">
      <c r="A11" s="1937" t="s">
        <v>1258</v>
      </c>
      <c r="B11" s="1937"/>
      <c r="C11" s="1937"/>
      <c r="D11" s="1937"/>
      <c r="E11" s="1937"/>
      <c r="F11" s="1937"/>
      <c r="G11" s="1937"/>
    </row>
    <row r="12" spans="1:9">
      <c r="A12" s="255"/>
      <c r="B12" s="672"/>
      <c r="E12" s="50"/>
    </row>
    <row r="13" spans="1:9" ht="13.15" customHeight="1">
      <c r="C13" s="255"/>
      <c r="D13" s="1955" t="s">
        <v>1257</v>
      </c>
      <c r="E13" s="1955"/>
      <c r="F13" s="1955"/>
    </row>
    <row r="14" spans="1:9">
      <c r="C14" s="255"/>
      <c r="D14" s="1955"/>
      <c r="E14" s="1955"/>
      <c r="F14" s="1955"/>
    </row>
    <row r="15" spans="1:9">
      <c r="A15" s="260"/>
      <c r="B15" s="260"/>
      <c r="C15" s="260"/>
      <c r="D15" s="1894" t="s">
        <v>1240</v>
      </c>
      <c r="E15" s="1894"/>
      <c r="F15" s="1894"/>
    </row>
    <row r="16" spans="1:9">
      <c r="A16" s="260"/>
      <c r="B16" s="260"/>
      <c r="C16" s="260"/>
      <c r="D16" s="327"/>
    </row>
    <row r="17" spans="1:7" ht="14.25">
      <c r="A17" s="261"/>
      <c r="B17" s="678" t="s">
        <v>316</v>
      </c>
      <c r="C17" s="313"/>
      <c r="D17" s="1881" t="s">
        <v>1241</v>
      </c>
      <c r="E17" s="1881"/>
      <c r="F17" s="1881"/>
    </row>
    <row r="18" spans="1:7">
      <c r="A18" s="260"/>
      <c r="B18" s="260"/>
      <c r="C18" s="313"/>
      <c r="D18" s="1881"/>
      <c r="E18" s="1881"/>
      <c r="F18" s="1881"/>
    </row>
    <row r="19" spans="1:7">
      <c r="A19" s="260"/>
      <c r="B19" s="260"/>
      <c r="C19" s="313"/>
      <c r="D19" s="1881"/>
      <c r="E19" s="1881"/>
      <c r="F19" s="1881"/>
    </row>
    <row r="20" spans="1:7">
      <c r="A20" s="260"/>
      <c r="B20" s="260"/>
      <c r="C20" s="260"/>
    </row>
    <row r="21" spans="1:7" ht="14.25">
      <c r="A21" s="261"/>
      <c r="B21" s="678" t="s">
        <v>316</v>
      </c>
      <c r="D21" s="1947" t="s">
        <v>1242</v>
      </c>
      <c r="E21" s="1947"/>
      <c r="F21" s="1947"/>
    </row>
    <row r="22" spans="1:7" ht="14.25">
      <c r="A22" s="261"/>
      <c r="B22" s="261"/>
      <c r="D22" s="135"/>
    </row>
    <row r="23" spans="1:7" ht="14.25">
      <c r="A23" s="261"/>
      <c r="B23" s="678" t="s">
        <v>316</v>
      </c>
      <c r="D23" s="1881" t="s">
        <v>1243</v>
      </c>
      <c r="E23" s="1881"/>
      <c r="F23" s="1881"/>
    </row>
    <row r="24" spans="1:7" ht="14.25">
      <c r="A24" s="261"/>
      <c r="B24" s="261"/>
      <c r="D24" s="1881"/>
      <c r="E24" s="1881"/>
      <c r="F24" s="1881"/>
    </row>
    <row r="25" spans="1:7"/>
    <row r="26" spans="1:7" ht="14.25">
      <c r="A26" s="261"/>
      <c r="B26" s="678" t="s">
        <v>316</v>
      </c>
      <c r="D26" s="1916" t="s">
        <v>1244</v>
      </c>
      <c r="E26" s="1916"/>
      <c r="F26" s="1916"/>
    </row>
    <row r="27" spans="1:7">
      <c r="D27" s="1916"/>
      <c r="E27" s="1916"/>
      <c r="F27" s="1916"/>
    </row>
    <row r="28" spans="1:7">
      <c r="D28" s="1916"/>
      <c r="E28" s="1916"/>
      <c r="F28" s="1916"/>
    </row>
    <row r="29" spans="1:7">
      <c r="A29" s="557"/>
      <c r="C29" s="557"/>
      <c r="D29" s="1916"/>
      <c r="E29" s="1916"/>
      <c r="F29" s="1916"/>
    </row>
    <row r="30" spans="1:7">
      <c r="A30" s="557"/>
      <c r="C30" s="557"/>
      <c r="D30" s="1916"/>
      <c r="E30" s="1916"/>
      <c r="F30" s="1916"/>
    </row>
    <row r="31" spans="1:7" s="39" customFormat="1">
      <c r="A31" s="273"/>
      <c r="B31" s="273"/>
      <c r="C31" s="273"/>
      <c r="D31" s="442"/>
      <c r="E31" s="130"/>
      <c r="F31" s="130"/>
      <c r="G31" s="130"/>
    </row>
    <row r="32" spans="1:7" s="39" customFormat="1">
      <c r="A32" s="273"/>
      <c r="B32" s="678" t="s">
        <v>316</v>
      </c>
      <c r="C32" s="273"/>
      <c r="D32" s="1882" t="s">
        <v>1245</v>
      </c>
      <c r="E32" s="1882"/>
      <c r="F32" s="1882"/>
      <c r="G32" s="130"/>
    </row>
    <row r="33" spans="1:7" s="39" customFormat="1">
      <c r="A33" s="273"/>
      <c r="B33" s="273"/>
      <c r="C33" s="273"/>
      <c r="D33" s="1882"/>
      <c r="E33" s="1882"/>
      <c r="F33" s="1882"/>
      <c r="G33" s="130"/>
    </row>
    <row r="34" spans="1:7" ht="14.25">
      <c r="A34" s="261"/>
      <c r="B34" s="261"/>
      <c r="D34" s="403"/>
    </row>
    <row r="35" spans="1:7" ht="14.45" customHeight="1">
      <c r="A35" s="261"/>
      <c r="B35" s="678" t="s">
        <v>316</v>
      </c>
      <c r="C35" s="553"/>
      <c r="D35" s="1882" t="s">
        <v>1246</v>
      </c>
      <c r="E35" s="1882"/>
      <c r="F35" s="1882"/>
    </row>
    <row r="36" spans="1:7" ht="14.25">
      <c r="A36" s="261"/>
      <c r="B36" s="261"/>
      <c r="C36" s="553"/>
      <c r="D36" s="1882"/>
      <c r="E36" s="1882"/>
      <c r="F36" s="1882"/>
    </row>
    <row r="37" spans="1:7" ht="14.25">
      <c r="A37" s="261"/>
      <c r="B37" s="261"/>
      <c r="C37" s="553"/>
      <c r="D37" s="1882"/>
      <c r="E37" s="1882"/>
      <c r="F37" s="1882"/>
    </row>
    <row r="38" spans="1:7" ht="14.25">
      <c r="A38" s="261"/>
      <c r="B38" s="261"/>
      <c r="C38" s="553"/>
      <c r="D38" s="12"/>
    </row>
    <row r="39" spans="1:7" s="681" customFormat="1" ht="14.25">
      <c r="A39" s="261"/>
      <c r="B39" s="678" t="s">
        <v>316</v>
      </c>
      <c r="C39" s="698"/>
      <c r="D39" s="1882" t="s">
        <v>1247</v>
      </c>
      <c r="E39" s="1882"/>
      <c r="F39" s="1882"/>
      <c r="G39" s="7"/>
    </row>
    <row r="40" spans="1:7" s="681" customFormat="1" ht="14.25">
      <c r="A40" s="261"/>
      <c r="B40" s="261"/>
      <c r="C40" s="698"/>
      <c r="D40" s="1882"/>
      <c r="E40" s="1882"/>
      <c r="F40" s="1882"/>
      <c r="G40" s="7"/>
    </row>
    <row r="41" spans="1:7" s="681" customFormat="1" ht="14.25">
      <c r="A41" s="261"/>
      <c r="B41" s="261"/>
      <c r="C41" s="698"/>
      <c r="D41" s="1882"/>
      <c r="E41" s="1882"/>
      <c r="F41" s="1882"/>
      <c r="G41" s="7"/>
    </row>
    <row r="42" spans="1:7" s="681" customFormat="1" ht="14.25">
      <c r="A42" s="261"/>
      <c r="B42" s="261"/>
      <c r="C42" s="698"/>
      <c r="D42" s="1882"/>
      <c r="E42" s="1882"/>
      <c r="F42" s="1882"/>
      <c r="G42" s="7"/>
    </row>
    <row r="43" spans="1:7" s="681" customFormat="1" ht="14.25">
      <c r="A43" s="261"/>
      <c r="B43" s="261"/>
      <c r="C43" s="698"/>
      <c r="D43" s="1882"/>
      <c r="E43" s="1882"/>
      <c r="F43" s="1882"/>
      <c r="G43" s="7"/>
    </row>
    <row r="44" spans="1:7" s="681" customFormat="1" ht="14.25">
      <c r="A44" s="261"/>
      <c r="B44" s="261"/>
      <c r="C44" s="698"/>
      <c r="D44" s="697"/>
      <c r="E44" s="697"/>
      <c r="F44" s="697"/>
      <c r="G44" s="7"/>
    </row>
    <row r="45" spans="1:7" ht="14.25">
      <c r="A45" s="261"/>
      <c r="B45" s="678" t="s">
        <v>316</v>
      </c>
      <c r="C45" s="553"/>
      <c r="D45" s="1882" t="s">
        <v>1248</v>
      </c>
      <c r="E45" s="1882"/>
      <c r="F45" s="1882"/>
    </row>
    <row r="46" spans="1:7" ht="14.25">
      <c r="A46" s="261"/>
      <c r="B46" s="261"/>
      <c r="C46" s="553"/>
      <c r="D46" s="1882"/>
      <c r="E46" s="1882"/>
      <c r="F46" s="1882"/>
    </row>
    <row r="47" spans="1:7" ht="14.25">
      <c r="A47" s="261"/>
      <c r="B47" s="261"/>
      <c r="C47" s="553"/>
      <c r="D47" s="1882"/>
      <c r="E47" s="1882"/>
      <c r="F47" s="1882"/>
    </row>
    <row r="48" spans="1:7" ht="23.25" customHeight="1">
      <c r="A48" s="261"/>
      <c r="B48" s="261"/>
      <c r="C48" s="553"/>
      <c r="D48" s="1882"/>
      <c r="E48" s="1882"/>
      <c r="F48" s="1882"/>
    </row>
    <row r="49" spans="1:7" ht="14.25">
      <c r="A49" s="261"/>
      <c r="B49" s="261"/>
      <c r="D49" s="151"/>
    </row>
    <row r="50" spans="1:7" ht="14.45" customHeight="1">
      <c r="A50" s="261"/>
      <c r="B50" s="678" t="s">
        <v>316</v>
      </c>
      <c r="D50" s="1882" t="s">
        <v>1249</v>
      </c>
      <c r="E50" s="1882"/>
      <c r="F50" s="1882"/>
    </row>
    <row r="51" spans="1:7" ht="14.25">
      <c r="A51" s="261"/>
      <c r="B51" s="261"/>
      <c r="D51" s="1882"/>
      <c r="E51" s="1882"/>
      <c r="F51" s="1882"/>
    </row>
    <row r="52" spans="1:7" ht="14.25">
      <c r="A52" s="261"/>
      <c r="B52" s="261"/>
      <c r="D52" s="1882"/>
      <c r="E52" s="1882"/>
      <c r="F52" s="1882"/>
    </row>
    <row r="53" spans="1:7" s="2" customFormat="1" ht="14.25">
      <c r="A53" s="261"/>
      <c r="B53" s="261"/>
      <c r="C53" s="555"/>
      <c r="D53" s="239"/>
      <c r="E53" s="22"/>
      <c r="F53" s="22"/>
      <c r="G53" s="22"/>
    </row>
    <row r="54" spans="1:7" s="2" customFormat="1" ht="14.25">
      <c r="A54" s="402"/>
      <c r="B54" s="678" t="s">
        <v>316</v>
      </c>
      <c r="C54" s="556"/>
      <c r="D54" s="1882" t="s">
        <v>1250</v>
      </c>
      <c r="E54" s="1882"/>
      <c r="F54" s="1882"/>
      <c r="G54" s="22"/>
    </row>
    <row r="55" spans="1:7" s="2" customFormat="1" ht="14.25">
      <c r="A55" s="402"/>
      <c r="B55" s="402"/>
      <c r="C55" s="556"/>
      <c r="D55" s="1882"/>
      <c r="E55" s="1882"/>
      <c r="F55" s="1882"/>
      <c r="G55" s="22"/>
    </row>
    <row r="56" spans="1:7" s="39" customFormat="1">
      <c r="A56" s="273"/>
      <c r="B56" s="273"/>
      <c r="C56" s="273"/>
      <c r="D56" s="442"/>
      <c r="E56" s="130"/>
      <c r="F56" s="130"/>
      <c r="G56" s="130"/>
    </row>
    <row r="57" spans="1:7" ht="14.25">
      <c r="A57" s="261"/>
      <c r="B57" s="678" t="s">
        <v>316</v>
      </c>
      <c r="D57" s="1882" t="s">
        <v>1251</v>
      </c>
      <c r="E57" s="1882"/>
      <c r="F57" s="1882"/>
    </row>
    <row r="58" spans="1:7">
      <c r="D58" s="1882"/>
      <c r="E58" s="1882"/>
      <c r="F58" s="1882"/>
    </row>
    <row r="59" spans="1:7">
      <c r="D59" s="1882"/>
      <c r="E59" s="1882"/>
      <c r="F59" s="1882"/>
    </row>
    <row r="60" spans="1:7" s="681" customFormat="1">
      <c r="A60" s="698"/>
      <c r="B60" s="698"/>
      <c r="C60" s="698"/>
      <c r="D60" s="677"/>
      <c r="E60" s="7"/>
      <c r="F60" s="7"/>
      <c r="G60" s="7"/>
    </row>
    <row r="61" spans="1:7" ht="14.25">
      <c r="A61" s="261"/>
      <c r="B61" s="678" t="s">
        <v>316</v>
      </c>
      <c r="D61" s="1882" t="s">
        <v>1252</v>
      </c>
      <c r="E61" s="1882"/>
      <c r="F61" s="1882"/>
    </row>
    <row r="62" spans="1:7">
      <c r="D62" s="1882"/>
      <c r="E62" s="1882"/>
      <c r="F62" s="1882"/>
    </row>
    <row r="63" spans="1:7"/>
    <row r="64" spans="1:7" ht="14.25">
      <c r="A64" s="261"/>
      <c r="B64" s="678" t="s">
        <v>316</v>
      </c>
      <c r="D64" s="1882" t="s">
        <v>1253</v>
      </c>
      <c r="E64" s="1882"/>
      <c r="F64" s="1882"/>
    </row>
    <row r="65" spans="1:7">
      <c r="D65" s="1882"/>
      <c r="E65" s="1882"/>
      <c r="F65" s="1882"/>
    </row>
    <row r="66" spans="1:7">
      <c r="A66" s="554"/>
      <c r="C66" s="554"/>
      <c r="D66" s="1882"/>
      <c r="E66" s="1882"/>
      <c r="F66" s="1882"/>
    </row>
    <row r="67" spans="1:7">
      <c r="D67" s="12"/>
    </row>
    <row r="68" spans="1:7" ht="14.25">
      <c r="A68" s="261"/>
      <c r="B68" s="678" t="s">
        <v>316</v>
      </c>
      <c r="D68" s="1881" t="s">
        <v>1254</v>
      </c>
      <c r="E68" s="1881"/>
      <c r="F68" s="1881"/>
    </row>
    <row r="69" spans="1:7">
      <c r="D69" s="1881"/>
      <c r="E69" s="1881"/>
      <c r="F69" s="1881"/>
    </row>
    <row r="70" spans="1:7" ht="14.25">
      <c r="A70" s="261"/>
      <c r="B70" s="261"/>
      <c r="D70" s="135"/>
    </row>
    <row r="71" spans="1:7">
      <c r="A71" s="1901" t="s">
        <v>1161</v>
      </c>
      <c r="B71" s="1901"/>
      <c r="C71" s="1901"/>
      <c r="D71" s="1901"/>
      <c r="E71" s="1901"/>
      <c r="F71" s="1901"/>
      <c r="G71" s="1901"/>
    </row>
    <row r="72" spans="1:7"/>
    <row r="73" spans="1:7">
      <c r="C73" s="262"/>
      <c r="D73" s="1930" t="s">
        <v>1259</v>
      </c>
      <c r="E73" s="1930"/>
      <c r="F73" s="1930"/>
    </row>
    <row r="74" spans="1:7">
      <c r="A74" s="135"/>
      <c r="B74" s="135"/>
      <c r="D74" s="1881" t="s">
        <v>1286</v>
      </c>
      <c r="E74" s="1881"/>
      <c r="F74" s="1881"/>
    </row>
    <row r="75" spans="1:7">
      <c r="A75" s="135"/>
      <c r="B75" s="135"/>
    </row>
    <row r="76" spans="1:7" ht="14.25">
      <c r="A76" s="261"/>
      <c r="B76" s="678" t="s">
        <v>316</v>
      </c>
      <c r="D76" s="1881" t="s">
        <v>1260</v>
      </c>
      <c r="E76" s="1881"/>
      <c r="F76" s="1881"/>
    </row>
    <row r="77" spans="1:7" ht="14.25">
      <c r="A77" s="261"/>
      <c r="B77" s="261"/>
      <c r="D77" s="1881"/>
      <c r="E77" s="1881"/>
      <c r="F77" s="1881"/>
    </row>
    <row r="78" spans="1:7" ht="14.25">
      <c r="A78" s="261"/>
      <c r="B78" s="261"/>
      <c r="D78" s="1881"/>
      <c r="E78" s="1881"/>
      <c r="F78" s="1881"/>
    </row>
    <row r="79" spans="1:7" ht="14.25">
      <c r="A79" s="261"/>
      <c r="B79" s="261"/>
      <c r="D79" s="1881"/>
      <c r="E79" s="1881"/>
      <c r="F79" s="1881"/>
    </row>
    <row r="80" spans="1:7" ht="14.25">
      <c r="A80" s="261"/>
      <c r="B80" s="261"/>
      <c r="D80" s="1881"/>
      <c r="E80" s="1881"/>
      <c r="F80" s="1881"/>
    </row>
    <row r="81" spans="1:7" ht="14.25">
      <c r="A81" s="261"/>
      <c r="B81" s="261"/>
      <c r="D81" s="1881"/>
      <c r="E81" s="1881"/>
      <c r="F81" s="1881"/>
    </row>
    <row r="82" spans="1:7" s="705" customFormat="1" ht="14.25">
      <c r="A82" s="706"/>
      <c r="B82" s="706"/>
      <c r="C82" s="704"/>
      <c r="D82" s="708"/>
      <c r="E82" s="708"/>
      <c r="F82" s="708"/>
      <c r="G82" s="7"/>
    </row>
    <row r="83" spans="1:7" s="705" customFormat="1" ht="14.45" customHeight="1">
      <c r="A83" s="706"/>
      <c r="B83" s="711" t="s">
        <v>316</v>
      </c>
      <c r="C83" s="704"/>
      <c r="D83" s="1910" t="s">
        <v>1359</v>
      </c>
      <c r="E83" s="1910"/>
      <c r="F83" s="1910"/>
      <c r="G83" s="7"/>
    </row>
    <row r="84" spans="1:7" s="705" customFormat="1" ht="14.25">
      <c r="A84" s="706"/>
      <c r="B84" s="706"/>
      <c r="C84" s="704"/>
      <c r="D84" s="1910"/>
      <c r="E84" s="1910"/>
      <c r="F84" s="1910"/>
      <c r="G84" s="7"/>
    </row>
    <row r="85" spans="1:7" s="705" customFormat="1" ht="14.25">
      <c r="A85" s="706"/>
      <c r="B85" s="706"/>
      <c r="C85" s="704"/>
      <c r="D85" s="1910"/>
      <c r="E85" s="1910"/>
      <c r="F85" s="1910"/>
      <c r="G85" s="7"/>
    </row>
    <row r="86" spans="1:7" s="705" customFormat="1" ht="14.25">
      <c r="A86" s="706"/>
      <c r="B86" s="706"/>
      <c r="C86" s="704"/>
      <c r="D86" s="1910"/>
      <c r="E86" s="1910"/>
      <c r="F86" s="1910"/>
      <c r="G86" s="7"/>
    </row>
    <row r="87" spans="1:7" s="705" customFormat="1" ht="14.25">
      <c r="A87" s="706"/>
      <c r="B87" s="706"/>
      <c r="C87" s="704"/>
      <c r="D87" s="1910"/>
      <c r="E87" s="1910"/>
      <c r="F87" s="1910"/>
      <c r="G87" s="7"/>
    </row>
    <row r="88" spans="1:7" s="718" customFormat="1" ht="14.25">
      <c r="A88" s="713"/>
      <c r="B88" s="713"/>
      <c r="C88" s="744"/>
      <c r="D88" s="1910"/>
      <c r="E88" s="1910"/>
      <c r="F88" s="1910"/>
      <c r="G88" s="7"/>
    </row>
    <row r="89" spans="1:7" s="718" customFormat="1" ht="14.25">
      <c r="A89" s="713"/>
      <c r="B89" s="713"/>
      <c r="C89" s="744"/>
      <c r="D89" s="1910"/>
      <c r="E89" s="1910"/>
      <c r="F89" s="1910"/>
      <c r="G89" s="7"/>
    </row>
    <row r="90" spans="1:7" s="718" customFormat="1" ht="14.25">
      <c r="A90" s="713"/>
      <c r="B90" s="713"/>
      <c r="C90" s="744"/>
      <c r="D90" s="1910"/>
      <c r="E90" s="1910"/>
      <c r="F90" s="1910"/>
      <c r="G90" s="7"/>
    </row>
    <row r="91" spans="1:7" ht="14.25">
      <c r="A91" s="261"/>
      <c r="B91" s="261"/>
      <c r="D91" s="1910"/>
      <c r="E91" s="1910"/>
      <c r="F91" s="1910"/>
    </row>
    <row r="92" spans="1:7" ht="14.25">
      <c r="A92" s="261"/>
      <c r="B92" s="261"/>
      <c r="D92" s="1910"/>
      <c r="E92" s="1910"/>
      <c r="F92" s="1910"/>
    </row>
    <row r="93" spans="1:7" ht="14.25">
      <c r="A93" s="261"/>
      <c r="B93" s="261"/>
      <c r="D93" s="1910"/>
      <c r="E93" s="1910"/>
      <c r="F93" s="1910"/>
    </row>
    <row r="94" spans="1:7" ht="14.25">
      <c r="A94" s="261"/>
      <c r="B94" s="261"/>
      <c r="D94" s="1910"/>
      <c r="E94" s="1910"/>
      <c r="F94" s="1910"/>
    </row>
    <row r="95" spans="1:7" ht="14.25">
      <c r="A95" s="261"/>
      <c r="B95" s="261"/>
      <c r="D95" s="1910"/>
      <c r="E95" s="1910"/>
      <c r="F95" s="1910"/>
    </row>
    <row r="96" spans="1:7" ht="14.25">
      <c r="A96" s="261"/>
      <c r="B96" s="261"/>
      <c r="D96" s="1910"/>
      <c r="E96" s="1910"/>
      <c r="F96" s="1910"/>
    </row>
    <row r="97" spans="1:11" s="709" customFormat="1" ht="14.25">
      <c r="A97" s="710"/>
      <c r="B97" s="714" t="s">
        <v>316</v>
      </c>
      <c r="C97" s="704"/>
      <c r="D97" s="1881" t="s">
        <v>1261</v>
      </c>
      <c r="E97" s="1881"/>
      <c r="F97" s="1881"/>
      <c r="G97" s="7"/>
    </row>
    <row r="98" spans="1:11" s="709" customFormat="1" ht="14.25">
      <c r="A98" s="710"/>
      <c r="B98" s="710"/>
      <c r="C98" s="704"/>
      <c r="D98" s="1881"/>
      <c r="E98" s="1881"/>
      <c r="F98" s="1881"/>
      <c r="G98" s="7"/>
    </row>
    <row r="99" spans="1:11" s="709" customFormat="1" ht="14.25">
      <c r="A99" s="710"/>
      <c r="B99" s="710"/>
      <c r="C99" s="704"/>
      <c r="D99" s="1881"/>
      <c r="E99" s="1881"/>
      <c r="F99" s="1881"/>
      <c r="G99" s="7"/>
    </row>
    <row r="100" spans="1:11" s="709" customFormat="1" ht="14.25">
      <c r="A100" s="710"/>
      <c r="B100" s="710"/>
      <c r="C100" s="704"/>
      <c r="D100" s="1881"/>
      <c r="E100" s="1881"/>
      <c r="F100" s="1881"/>
      <c r="G100" s="7"/>
    </row>
    <row r="101" spans="1:11" s="709" customFormat="1" ht="14.25">
      <c r="A101" s="710"/>
      <c r="B101" s="710"/>
      <c r="C101" s="704"/>
      <c r="D101" s="1881"/>
      <c r="E101" s="1881"/>
      <c r="F101" s="1881"/>
      <c r="G101" s="7"/>
    </row>
    <row r="102" spans="1:11" s="709" customFormat="1" ht="14.25">
      <c r="A102" s="710"/>
      <c r="B102" s="710"/>
      <c r="C102" s="704"/>
      <c r="D102" s="1881"/>
      <c r="E102" s="1881"/>
      <c r="F102" s="1881"/>
      <c r="G102" s="7"/>
    </row>
    <row r="103" spans="1:11" s="709" customFormat="1" ht="14.25">
      <c r="A103" s="710"/>
      <c r="B103" s="710"/>
      <c r="C103" s="704"/>
      <c r="D103" s="1881"/>
      <c r="E103" s="1881"/>
      <c r="F103" s="1881"/>
      <c r="G103" s="7"/>
    </row>
    <row r="104" spans="1:11" s="709" customFormat="1" ht="14.25">
      <c r="A104" s="710"/>
      <c r="B104" s="710"/>
      <c r="C104" s="704"/>
      <c r="D104" s="1881"/>
      <c r="E104" s="1881"/>
      <c r="F104" s="1881"/>
      <c r="G104" s="7"/>
    </row>
    <row r="105" spans="1:11" s="712" customFormat="1" ht="14.25">
      <c r="A105" s="713"/>
      <c r="B105" s="713"/>
      <c r="C105" s="704"/>
      <c r="D105" s="715"/>
      <c r="E105" s="715"/>
      <c r="F105" s="715"/>
      <c r="G105" s="7"/>
    </row>
    <row r="106" spans="1:11" ht="14.25">
      <c r="A106" s="402"/>
      <c r="B106" s="707" t="s">
        <v>316</v>
      </c>
      <c r="C106" s="468"/>
      <c r="D106" s="1938" t="s">
        <v>1262</v>
      </c>
      <c r="E106" s="1938"/>
      <c r="F106" s="1938"/>
      <c r="G106" s="469"/>
      <c r="H106" s="467"/>
      <c r="I106" s="467"/>
      <c r="J106" s="467"/>
      <c r="K106" s="467"/>
    </row>
    <row r="107" spans="1:11" ht="14.25">
      <c r="A107" s="261"/>
      <c r="B107" s="261"/>
      <c r="C107" s="315"/>
      <c r="D107" s="1938"/>
      <c r="E107" s="1938"/>
      <c r="F107" s="1938"/>
      <c r="G107" s="469"/>
      <c r="H107" s="467"/>
      <c r="I107" s="467"/>
      <c r="J107" s="467"/>
      <c r="K107" s="467"/>
    </row>
    <row r="108" spans="1:11" ht="14.25">
      <c r="A108" s="261"/>
      <c r="B108" s="261"/>
      <c r="C108" s="315"/>
      <c r="D108" s="1938"/>
      <c r="E108" s="1938"/>
      <c r="F108" s="1938"/>
      <c r="G108" s="469"/>
      <c r="H108" s="467"/>
      <c r="I108" s="467"/>
      <c r="J108" s="467"/>
      <c r="K108" s="467"/>
    </row>
    <row r="109" spans="1:11" ht="14.25">
      <c r="A109" s="261"/>
      <c r="B109" s="261"/>
      <c r="C109" s="315"/>
      <c r="D109" s="1938"/>
      <c r="E109" s="1938"/>
      <c r="F109" s="1938"/>
      <c r="G109" s="469"/>
      <c r="H109" s="467"/>
      <c r="I109" s="467"/>
      <c r="J109" s="467"/>
      <c r="K109" s="467"/>
    </row>
    <row r="110" spans="1:11" ht="14.25">
      <c r="A110" s="261"/>
      <c r="B110" s="261"/>
      <c r="C110" s="315"/>
      <c r="D110" s="1938"/>
      <c r="E110" s="1938"/>
      <c r="F110" s="1938"/>
      <c r="G110" s="469"/>
      <c r="H110" s="467"/>
      <c r="I110" s="467"/>
      <c r="J110" s="467"/>
      <c r="K110" s="467"/>
    </row>
    <row r="111" spans="1:11">
      <c r="C111"/>
      <c r="D111" s="1938"/>
      <c r="E111" s="1938"/>
      <c r="F111" s="1938"/>
      <c r="G111"/>
      <c r="H111"/>
      <c r="I111"/>
      <c r="J111"/>
      <c r="K111"/>
    </row>
    <row r="112" spans="1:11">
      <c r="C112"/>
      <c r="D112" s="1938"/>
      <c r="E112" s="1938"/>
      <c r="F112" s="1938"/>
      <c r="G112"/>
      <c r="H112"/>
      <c r="I112"/>
      <c r="J112"/>
      <c r="K112"/>
    </row>
    <row r="113" spans="1:11">
      <c r="C113"/>
      <c r="D113" s="476"/>
      <c r="E113"/>
      <c r="F113"/>
      <c r="G113"/>
      <c r="H113"/>
      <c r="I113"/>
      <c r="J113"/>
      <c r="K113"/>
    </row>
    <row r="114" spans="1:11" ht="14.25">
      <c r="A114" s="261"/>
      <c r="B114" s="678" t="s">
        <v>316</v>
      </c>
      <c r="C114"/>
      <c r="D114" s="1939" t="s">
        <v>1263</v>
      </c>
      <c r="E114" s="1939"/>
      <c r="F114" s="1939"/>
      <c r="G114"/>
      <c r="H114"/>
      <c r="I114"/>
      <c r="J114"/>
      <c r="K114"/>
    </row>
    <row r="115" spans="1:11" ht="14.25">
      <c r="A115" s="261"/>
      <c r="B115" s="261"/>
      <c r="C115"/>
      <c r="D115" s="1939"/>
      <c r="E115" s="1939"/>
      <c r="F115" s="1939"/>
      <c r="G115"/>
      <c r="H115"/>
      <c r="I115"/>
      <c r="J115"/>
      <c r="K115"/>
    </row>
    <row r="116" spans="1:11"/>
    <row r="117" spans="1:11" ht="14.25">
      <c r="A117" s="261"/>
      <c r="B117" s="678" t="s">
        <v>316</v>
      </c>
      <c r="C117" s="10"/>
      <c r="D117" s="1881" t="s">
        <v>1264</v>
      </c>
      <c r="E117" s="1881"/>
      <c r="F117" s="1881"/>
    </row>
    <row r="118" spans="1:11">
      <c r="C118" s="10"/>
      <c r="D118" s="1881"/>
      <c r="E118" s="1881"/>
      <c r="F118" s="1881"/>
    </row>
    <row r="119" spans="1:11">
      <c r="C119" s="10"/>
      <c r="D119" s="1881"/>
      <c r="E119" s="1881"/>
      <c r="F119" s="1881"/>
    </row>
    <row r="120" spans="1:11">
      <c r="C120" s="10"/>
      <c r="D120" s="1881"/>
      <c r="E120" s="1881"/>
      <c r="F120" s="1881"/>
    </row>
    <row r="121" spans="1:11">
      <c r="C121" s="10"/>
      <c r="D121" s="1881"/>
      <c r="E121" s="1881"/>
      <c r="F121" s="1881"/>
    </row>
    <row r="122" spans="1:11">
      <c r="C122" s="10"/>
      <c r="D122" s="149"/>
      <c r="E122" s="149"/>
      <c r="F122" s="149"/>
    </row>
    <row r="123" spans="1:11" customFormat="1" ht="14.25">
      <c r="A123" s="261"/>
      <c r="B123" s="678" t="s">
        <v>316</v>
      </c>
      <c r="C123" s="10"/>
      <c r="D123" s="1882" t="s">
        <v>1265</v>
      </c>
      <c r="E123" s="1882"/>
      <c r="F123" s="1882"/>
      <c r="G123" s="149"/>
    </row>
    <row r="124" spans="1:11" s="296" customFormat="1" ht="13.7" customHeight="1">
      <c r="A124" s="293"/>
      <c r="B124" s="293"/>
      <c r="C124" s="294"/>
      <c r="D124" s="1882"/>
      <c r="E124" s="1882"/>
      <c r="F124" s="1882"/>
      <c r="G124" s="295"/>
    </row>
    <row r="125" spans="1:11" customFormat="1" ht="13.7" customHeight="1">
      <c r="A125" s="132"/>
      <c r="B125" s="675"/>
      <c r="C125" s="10"/>
      <c r="D125" s="1882"/>
      <c r="E125" s="1882"/>
      <c r="F125" s="1882"/>
      <c r="G125" s="149"/>
    </row>
    <row r="126" spans="1:11" customFormat="1" ht="13.7" customHeight="1">
      <c r="A126" s="132"/>
      <c r="B126" s="675"/>
      <c r="C126" s="10"/>
      <c r="D126" s="1882"/>
      <c r="E126" s="1882"/>
      <c r="F126" s="1882"/>
      <c r="G126" s="149"/>
    </row>
    <row r="127" spans="1:11" customFormat="1" ht="13.7" customHeight="1">
      <c r="A127" s="132"/>
      <c r="B127" s="675"/>
      <c r="C127" s="10"/>
      <c r="D127" s="1882"/>
      <c r="E127" s="1882"/>
      <c r="F127" s="1882"/>
      <c r="G127" s="149"/>
    </row>
    <row r="128" spans="1:11" customFormat="1" ht="13.7" customHeight="1">
      <c r="A128" s="378"/>
      <c r="B128" s="378"/>
      <c r="C128" s="10"/>
      <c r="D128" s="1882"/>
      <c r="E128" s="1882"/>
      <c r="F128" s="1882"/>
      <c r="G128" s="149"/>
    </row>
    <row r="129" spans="1:7" s="2" customFormat="1" ht="13.7" customHeight="1">
      <c r="A129" s="273"/>
      <c r="B129" s="273"/>
      <c r="C129" s="441"/>
      <c r="D129" s="1882"/>
      <c r="E129" s="1882"/>
      <c r="F129" s="1882"/>
      <c r="G129" s="182"/>
    </row>
    <row r="130" spans="1:7" s="2" customFormat="1" ht="13.7" customHeight="1">
      <c r="A130" s="273"/>
      <c r="B130" s="273"/>
      <c r="C130" s="441"/>
      <c r="D130" s="1882"/>
      <c r="E130" s="1882"/>
      <c r="F130" s="1882"/>
      <c r="G130" s="182"/>
    </row>
    <row r="131" spans="1:7" customFormat="1" ht="13.7" customHeight="1">
      <c r="A131" s="132"/>
      <c r="B131" s="675"/>
      <c r="C131" s="10"/>
      <c r="D131" s="1882"/>
      <c r="E131" s="1882"/>
      <c r="F131" s="1882"/>
      <c r="G131" s="149"/>
    </row>
    <row r="132" spans="1:7" customFormat="1" ht="13.7" customHeight="1">
      <c r="A132" s="132"/>
      <c r="B132" s="675"/>
      <c r="C132" s="10"/>
      <c r="D132" s="1882"/>
      <c r="E132" s="1882"/>
      <c r="F132" s="1882"/>
      <c r="G132" s="149"/>
    </row>
    <row r="133" spans="1:7" customFormat="1" ht="13.7" customHeight="1">
      <c r="A133" s="132"/>
      <c r="B133" s="675"/>
      <c r="C133" s="10"/>
      <c r="D133" s="1882"/>
      <c r="E133" s="1882"/>
      <c r="F133" s="1882"/>
      <c r="G133" s="149"/>
    </row>
    <row r="134" spans="1:7" customFormat="1" ht="13.7" customHeight="1">
      <c r="A134" s="132"/>
      <c r="B134" s="675"/>
      <c r="C134" s="10"/>
      <c r="D134" s="1882"/>
      <c r="E134" s="1882"/>
      <c r="F134" s="1882"/>
      <c r="G134" s="149"/>
    </row>
    <row r="135" spans="1:7" customFormat="1" ht="13.7" customHeight="1">
      <c r="A135" s="132"/>
      <c r="B135" s="675"/>
      <c r="C135" s="10"/>
      <c r="D135" s="327"/>
      <c r="E135" s="151"/>
      <c r="F135" s="151"/>
      <c r="G135" s="149"/>
    </row>
    <row r="136" spans="1:7" s="716" customFormat="1" ht="13.7" customHeight="1">
      <c r="A136" s="704"/>
      <c r="B136" s="717" t="s">
        <v>316</v>
      </c>
      <c r="C136" s="10"/>
      <c r="D136" s="1881" t="s">
        <v>1373</v>
      </c>
      <c r="E136" s="1881"/>
      <c r="F136" s="1881"/>
      <c r="G136" s="149"/>
    </row>
    <row r="137" spans="1:7" s="716" customFormat="1" ht="13.7" customHeight="1">
      <c r="A137" s="704"/>
      <c r="B137" s="704"/>
      <c r="C137" s="10"/>
      <c r="D137" s="1881"/>
      <c r="E137" s="1881"/>
      <c r="F137" s="1881"/>
      <c r="G137" s="149"/>
    </row>
    <row r="138" spans="1:7" s="716" customFormat="1" ht="13.7" customHeight="1">
      <c r="A138" s="704"/>
      <c r="B138" s="704"/>
      <c r="C138" s="10"/>
      <c r="D138" s="1881"/>
      <c r="E138" s="1881"/>
      <c r="F138" s="1881"/>
      <c r="G138" s="149"/>
    </row>
    <row r="139" spans="1:7" s="716" customFormat="1" ht="13.7" customHeight="1">
      <c r="A139" s="704"/>
      <c r="B139" s="704"/>
      <c r="C139" s="10"/>
      <c r="D139" s="1881"/>
      <c r="E139" s="1881"/>
      <c r="F139" s="1881"/>
      <c r="G139" s="149"/>
    </row>
    <row r="140" spans="1:7" s="716" customFormat="1" ht="13.7" customHeight="1">
      <c r="A140" s="704"/>
      <c r="B140" s="704"/>
      <c r="C140" s="10"/>
      <c r="D140" s="1881"/>
      <c r="E140" s="1881"/>
      <c r="F140" s="1881"/>
      <c r="G140" s="149"/>
    </row>
    <row r="141" spans="1:7" s="716" customFormat="1" ht="13.7" customHeight="1">
      <c r="A141" s="704"/>
      <c r="B141" s="704"/>
      <c r="C141" s="10"/>
      <c r="D141" s="1881"/>
      <c r="E141" s="1881"/>
      <c r="F141" s="1881"/>
      <c r="G141" s="149"/>
    </row>
    <row r="142" spans="1:7" s="716" customFormat="1" ht="13.7" customHeight="1">
      <c r="A142" s="704"/>
      <c r="B142" s="704"/>
      <c r="C142" s="10"/>
      <c r="D142" s="1881"/>
      <c r="E142" s="1881"/>
      <c r="F142" s="1881"/>
      <c r="G142" s="149"/>
    </row>
    <row r="143" spans="1:7" s="716" customFormat="1" ht="13.7" customHeight="1">
      <c r="A143" s="704"/>
      <c r="B143" s="704"/>
      <c r="C143" s="10"/>
      <c r="D143" s="1881"/>
      <c r="E143" s="1881"/>
      <c r="F143" s="1881"/>
      <c r="G143" s="149"/>
    </row>
    <row r="144" spans="1:7" s="716" customFormat="1" ht="13.7" customHeight="1">
      <c r="A144" s="704"/>
      <c r="B144" s="704"/>
      <c r="C144" s="10"/>
      <c r="D144" s="1881"/>
      <c r="E144" s="1881"/>
      <c r="F144" s="1881"/>
      <c r="G144" s="149"/>
    </row>
    <row r="145" spans="1:7" s="716" customFormat="1" ht="13.7" customHeight="1">
      <c r="A145" s="704"/>
      <c r="B145" s="704"/>
      <c r="C145" s="10"/>
      <c r="D145" s="1881"/>
      <c r="E145" s="1881"/>
      <c r="F145" s="1881"/>
      <c r="G145" s="149"/>
    </row>
    <row r="146" spans="1:7" s="716" customFormat="1" ht="13.7" customHeight="1">
      <c r="A146" s="746"/>
      <c r="B146" s="746"/>
      <c r="C146" s="10"/>
      <c r="D146" s="1881"/>
      <c r="E146" s="1881"/>
      <c r="F146" s="1881"/>
      <c r="G146" s="149"/>
    </row>
    <row r="147" spans="1:7" s="716" customFormat="1" ht="13.7" customHeight="1">
      <c r="A147" s="746"/>
      <c r="B147" s="746"/>
      <c r="C147" s="10"/>
      <c r="D147" s="1881"/>
      <c r="E147" s="1881"/>
      <c r="F147" s="1881"/>
      <c r="G147" s="149"/>
    </row>
    <row r="148" spans="1:7" s="716" customFormat="1" ht="13.7" customHeight="1">
      <c r="A148" s="704"/>
      <c r="B148" s="704"/>
      <c r="C148" s="10"/>
      <c r="D148" s="1881"/>
      <c r="E148" s="1881"/>
      <c r="F148" s="1881"/>
      <c r="G148" s="149"/>
    </row>
    <row r="149" spans="1:7" s="716" customFormat="1" ht="13.7" customHeight="1">
      <c r="A149" s="704"/>
      <c r="B149" s="704"/>
      <c r="C149" s="10"/>
      <c r="D149" s="1881"/>
      <c r="E149" s="1881"/>
      <c r="F149" s="1881"/>
      <c r="G149" s="149"/>
    </row>
    <row r="150" spans="1:7" s="716" customFormat="1" ht="13.7" customHeight="1">
      <c r="A150" s="704"/>
      <c r="B150" s="704"/>
      <c r="C150" s="10"/>
      <c r="D150" s="1881"/>
      <c r="E150" s="1881"/>
      <c r="F150" s="1881"/>
      <c r="G150" s="149"/>
    </row>
    <row r="151" spans="1:7" s="716" customFormat="1" ht="13.7" customHeight="1">
      <c r="A151" s="704"/>
      <c r="B151" s="704"/>
      <c r="C151" s="10"/>
      <c r="D151" s="1881"/>
      <c r="E151" s="1881"/>
      <c r="F151" s="1881"/>
      <c r="G151" s="149"/>
    </row>
    <row r="152" spans="1:7" s="716" customFormat="1" ht="13.7" customHeight="1">
      <c r="A152" s="704"/>
      <c r="B152" s="704"/>
      <c r="C152" s="10"/>
      <c r="D152" s="1881"/>
      <c r="E152" s="1881"/>
      <c r="F152" s="1881"/>
      <c r="G152" s="149"/>
    </row>
    <row r="153" spans="1:7" s="716" customFormat="1" ht="13.7" customHeight="1">
      <c r="A153" s="704"/>
      <c r="B153" s="704"/>
      <c r="C153" s="10"/>
      <c r="D153" s="1881"/>
      <c r="E153" s="1881"/>
      <c r="F153" s="1881"/>
      <c r="G153" s="149"/>
    </row>
    <row r="154" spans="1:7" s="716" customFormat="1" ht="13.7" customHeight="1">
      <c r="A154" s="704"/>
      <c r="B154" s="704"/>
      <c r="C154" s="10"/>
      <c r="D154" s="1881"/>
      <c r="E154" s="1881"/>
      <c r="F154" s="1881"/>
      <c r="G154" s="149"/>
    </row>
    <row r="155" spans="1:7" s="716" customFormat="1" ht="13.7" customHeight="1">
      <c r="A155" s="704"/>
      <c r="B155" s="704"/>
      <c r="C155" s="10"/>
      <c r="D155" s="327"/>
      <c r="E155" s="151"/>
      <c r="F155" s="151"/>
      <c r="G155" s="149"/>
    </row>
    <row r="156" spans="1:7" customFormat="1" ht="13.7" customHeight="1">
      <c r="A156" s="378"/>
      <c r="B156" s="678" t="s">
        <v>316</v>
      </c>
      <c r="C156" s="325"/>
      <c r="D156" s="1893" t="s">
        <v>1266</v>
      </c>
      <c r="E156" s="1893"/>
      <c r="F156" s="1893"/>
      <c r="G156" s="443"/>
    </row>
    <row r="157" spans="1:7" customFormat="1" ht="13.7" customHeight="1">
      <c r="A157" s="378"/>
      <c r="B157" s="378"/>
      <c r="C157" s="325"/>
      <c r="D157" s="1893"/>
      <c r="E157" s="1893"/>
      <c r="F157" s="1893"/>
      <c r="G157" s="443"/>
    </row>
    <row r="158" spans="1:7" customFormat="1" ht="13.7" customHeight="1">
      <c r="A158" s="378"/>
      <c r="B158" s="378"/>
      <c r="C158" s="325"/>
      <c r="D158" s="327"/>
      <c r="E158" s="325"/>
      <c r="F158" s="325"/>
      <c r="G158" s="443"/>
    </row>
    <row r="159" spans="1:7" customFormat="1" ht="13.7" customHeight="1">
      <c r="A159" s="378"/>
      <c r="B159" s="678" t="s">
        <v>316</v>
      </c>
      <c r="C159" s="325"/>
      <c r="D159" s="1889" t="s">
        <v>1267</v>
      </c>
      <c r="E159" s="1889"/>
      <c r="F159" s="1889"/>
      <c r="G159" s="443"/>
    </row>
    <row r="160" spans="1:7" customFormat="1" ht="13.7" customHeight="1">
      <c r="A160" s="378"/>
      <c r="B160" s="378"/>
      <c r="C160" s="325"/>
      <c r="D160" s="1889"/>
      <c r="E160" s="1889"/>
      <c r="F160" s="1889"/>
      <c r="G160" s="443"/>
    </row>
    <row r="161" spans="1:7" customFormat="1" ht="13.7" customHeight="1">
      <c r="A161" s="378"/>
      <c r="B161" s="378"/>
      <c r="C161" s="325"/>
      <c r="D161" s="1889"/>
      <c r="E161" s="1889"/>
      <c r="F161" s="1889"/>
      <c r="G161" s="443"/>
    </row>
    <row r="162" spans="1:7" customFormat="1" ht="13.7" customHeight="1">
      <c r="A162" s="378"/>
      <c r="B162" s="378"/>
      <c r="C162" s="325"/>
      <c r="D162" s="1889"/>
      <c r="E162" s="1889"/>
      <c r="F162" s="1889"/>
      <c r="G162" s="443"/>
    </row>
    <row r="163" spans="1:7" customFormat="1" ht="13.7" customHeight="1">
      <c r="A163" s="132"/>
      <c r="B163" s="675"/>
      <c r="C163" s="10"/>
      <c r="D163" s="151"/>
      <c r="E163" s="151"/>
      <c r="F163" s="151"/>
      <c r="G163" s="149"/>
    </row>
    <row r="164" spans="1:7" customFormat="1" ht="13.7" customHeight="1">
      <c r="A164" s="132"/>
      <c r="B164" s="678" t="s">
        <v>316</v>
      </c>
      <c r="C164" s="10"/>
      <c r="D164" s="1924" t="s">
        <v>1268</v>
      </c>
      <c r="E164" s="1924"/>
      <c r="F164" s="1924"/>
      <c r="G164" s="149"/>
    </row>
    <row r="165" spans="1:7" customFormat="1" ht="13.7" customHeight="1">
      <c r="A165" s="132"/>
      <c r="B165" s="675"/>
      <c r="C165" s="10"/>
      <c r="D165" s="1924"/>
      <c r="E165" s="1924"/>
      <c r="F165" s="1924"/>
      <c r="G165" s="149"/>
    </row>
    <row r="166" spans="1:7" customFormat="1" ht="13.7" customHeight="1">
      <c r="A166" s="132"/>
      <c r="B166" s="675"/>
      <c r="C166" s="10"/>
      <c r="D166" s="1924"/>
      <c r="E166" s="1924"/>
      <c r="F166" s="1924"/>
      <c r="G166" s="149"/>
    </row>
    <row r="167" spans="1:7" customFormat="1" ht="13.7" customHeight="1">
      <c r="A167" s="23"/>
      <c r="B167" s="674"/>
      <c r="C167" s="10"/>
      <c r="D167" s="7"/>
      <c r="E167" s="151"/>
      <c r="F167" s="151"/>
      <c r="G167" s="149"/>
    </row>
    <row r="168" spans="1:7">
      <c r="A168" s="1901" t="s">
        <v>1162</v>
      </c>
      <c r="B168" s="1901"/>
      <c r="C168" s="1901"/>
      <c r="D168" s="1901"/>
      <c r="E168" s="1901"/>
      <c r="F168" s="1901"/>
      <c r="G168" s="1901"/>
    </row>
    <row r="169" spans="1:7" ht="12" customHeight="1">
      <c r="D169" s="135"/>
      <c r="E169" s="135"/>
      <c r="F169" s="135"/>
    </row>
    <row r="170" spans="1:7">
      <c r="B170" s="1929" t="s">
        <v>470</v>
      </c>
      <c r="C170" s="1929"/>
      <c r="D170" s="1929"/>
      <c r="E170" s="1929"/>
      <c r="F170" s="1929"/>
    </row>
    <row r="171" spans="1:7" ht="12" customHeight="1">
      <c r="A171" s="255"/>
      <c r="B171" s="672"/>
      <c r="C171" s="255"/>
    </row>
    <row r="172" spans="1:7">
      <c r="A172" s="1901" t="s">
        <v>1163</v>
      </c>
      <c r="B172" s="1901"/>
      <c r="C172" s="1901"/>
      <c r="D172" s="1901"/>
      <c r="E172" s="1901"/>
      <c r="F172" s="1901"/>
      <c r="G172" s="1901"/>
    </row>
    <row r="173" spans="1:7" ht="12" customHeight="1">
      <c r="A173" s="264"/>
      <c r="B173" s="264"/>
      <c r="C173" s="265"/>
      <c r="D173" s="57"/>
      <c r="E173" s="49"/>
      <c r="F173" s="57"/>
      <c r="G173" s="57"/>
    </row>
    <row r="174" spans="1:7" ht="13.15" customHeight="1">
      <c r="A174" s="264"/>
      <c r="B174" s="264"/>
      <c r="C174" s="265"/>
      <c r="D174" s="1925" t="s">
        <v>1271</v>
      </c>
      <c r="E174" s="1925"/>
      <c r="F174" s="1925"/>
      <c r="G174" s="57"/>
    </row>
    <row r="175" spans="1:7">
      <c r="A175" s="264"/>
      <c r="B175" s="264"/>
      <c r="C175" s="265"/>
      <c r="D175" s="1925"/>
      <c r="E175" s="1925"/>
      <c r="F175" s="1925"/>
      <c r="G175" s="57"/>
    </row>
    <row r="176" spans="1:7" s="718" customFormat="1">
      <c r="A176" s="720"/>
      <c r="B176" s="720"/>
      <c r="C176" s="265"/>
      <c r="D176" s="1926" t="s">
        <v>1272</v>
      </c>
      <c r="E176" s="1926"/>
      <c r="F176" s="1926"/>
      <c r="G176" s="57"/>
    </row>
    <row r="177" spans="1:7" ht="12" customHeight="1">
      <c r="A177" s="264"/>
      <c r="B177" s="264"/>
      <c r="C177" s="265"/>
      <c r="D177" s="57"/>
      <c r="E177" s="49"/>
      <c r="F177" s="57"/>
      <c r="G177" s="57"/>
    </row>
    <row r="178" spans="1:7" ht="14.25">
      <c r="A178" s="261"/>
      <c r="B178" s="678" t="s">
        <v>316</v>
      </c>
      <c r="C178" s="265"/>
      <c r="D178" s="1919" t="s">
        <v>1270</v>
      </c>
      <c r="E178" s="1919"/>
      <c r="F178" s="1919"/>
      <c r="G178" s="57"/>
    </row>
    <row r="179" spans="1:7" ht="14.25">
      <c r="A179" s="261"/>
      <c r="B179" s="261"/>
      <c r="C179" s="265"/>
      <c r="D179" s="1919"/>
      <c r="E179" s="1919"/>
      <c r="F179" s="1919"/>
      <c r="G179" s="57"/>
    </row>
    <row r="180" spans="1:7" ht="14.25">
      <c r="A180" s="261"/>
      <c r="B180" s="261"/>
      <c r="C180" s="265"/>
      <c r="D180" s="1919"/>
      <c r="E180" s="1919"/>
      <c r="F180" s="1919"/>
      <c r="G180" s="57"/>
    </row>
    <row r="181" spans="1:7">
      <c r="A181" s="265"/>
      <c r="B181" s="265"/>
      <c r="C181" s="265"/>
      <c r="D181" s="1919"/>
      <c r="E181" s="1919"/>
      <c r="F181" s="1919"/>
    </row>
    <row r="182" spans="1:7">
      <c r="A182" s="265"/>
      <c r="B182" s="265"/>
      <c r="C182" s="265"/>
      <c r="D182" s="403"/>
      <c r="E182" s="57"/>
      <c r="F182" s="57"/>
    </row>
    <row r="183" spans="1:7">
      <c r="A183" s="265"/>
      <c r="B183" s="265"/>
      <c r="C183" s="265"/>
      <c r="D183" s="1928" t="s">
        <v>1179</v>
      </c>
      <c r="E183" s="1928"/>
      <c r="F183" s="1928"/>
    </row>
    <row r="184" spans="1:7">
      <c r="A184" s="265"/>
      <c r="B184" s="265"/>
      <c r="C184" s="265"/>
      <c r="D184" s="1928"/>
      <c r="E184" s="1928"/>
      <c r="F184" s="1928"/>
    </row>
    <row r="185" spans="1:7" s="681" customFormat="1">
      <c r="A185" s="265"/>
      <c r="B185" s="265"/>
      <c r="C185" s="265"/>
      <c r="D185" s="695"/>
      <c r="E185" s="695"/>
      <c r="F185" s="695"/>
      <c r="G185" s="7"/>
    </row>
    <row r="186" spans="1:7" s="676" customFormat="1" ht="14.25">
      <c r="A186" s="261"/>
      <c r="B186" s="678" t="s">
        <v>316</v>
      </c>
      <c r="C186" s="556"/>
      <c r="D186" s="1881" t="s">
        <v>1269</v>
      </c>
      <c r="E186" s="1881"/>
      <c r="F186" s="1881"/>
      <c r="G186" s="677"/>
    </row>
    <row r="187" spans="1:7" s="676" customFormat="1" ht="14.45" customHeight="1">
      <c r="A187" s="261"/>
      <c r="C187" s="556"/>
      <c r="D187" s="1881"/>
      <c r="E187" s="1881"/>
      <c r="F187" s="1881"/>
      <c r="G187" s="677"/>
    </row>
    <row r="188" spans="1:7" s="676" customFormat="1" ht="14.25">
      <c r="A188" s="261"/>
      <c r="B188" s="696"/>
      <c r="C188" s="556"/>
      <c r="D188" s="1881"/>
      <c r="E188" s="1881"/>
      <c r="F188" s="1881"/>
      <c r="G188" s="677"/>
    </row>
    <row r="189" spans="1:7" s="676" customFormat="1" ht="14.25">
      <c r="A189" s="261"/>
      <c r="B189" s="696"/>
      <c r="C189" s="556"/>
      <c r="D189" s="1881"/>
      <c r="E189" s="1881"/>
      <c r="F189" s="1881"/>
      <c r="G189" s="677"/>
    </row>
    <row r="190" spans="1:7" s="681" customFormat="1">
      <c r="A190" s="265"/>
      <c r="B190" s="265"/>
      <c r="C190" s="265"/>
      <c r="D190" s="695"/>
      <c r="E190" s="695"/>
      <c r="F190" s="695"/>
      <c r="G190" s="7"/>
    </row>
    <row r="191" spans="1:7">
      <c r="A191" s="1901" t="s">
        <v>1164</v>
      </c>
      <c r="B191" s="1901"/>
      <c r="C191" s="1901"/>
      <c r="D191" s="1901"/>
      <c r="E191" s="1901"/>
      <c r="F191" s="1901"/>
      <c r="G191" s="1901"/>
    </row>
    <row r="192" spans="1:7" ht="12" customHeight="1">
      <c r="D192" s="135"/>
      <c r="E192" s="135"/>
      <c r="F192" s="135"/>
    </row>
    <row r="193" spans="1:6">
      <c r="C193" s="262"/>
      <c r="D193" s="1927" t="s">
        <v>214</v>
      </c>
      <c r="E193" s="1927"/>
      <c r="F193" s="1927"/>
    </row>
    <row r="194" spans="1:6">
      <c r="A194" s="255"/>
      <c r="B194" s="672"/>
      <c r="C194" s="255"/>
      <c r="D194" s="1896" t="s">
        <v>1293</v>
      </c>
      <c r="E194" s="1906"/>
      <c r="F194" s="1906"/>
    </row>
    <row r="195" spans="1:6" ht="12" customHeight="1">
      <c r="A195" s="23"/>
      <c r="B195" s="674"/>
      <c r="C195" s="23"/>
    </row>
    <row r="196" spans="1:6" ht="13.15" customHeight="1">
      <c r="A196" s="23"/>
      <c r="C196" s="23"/>
      <c r="D196" s="1904" t="s">
        <v>579</v>
      </c>
      <c r="E196" s="1904"/>
      <c r="F196" s="1904"/>
    </row>
    <row r="197" spans="1:6" ht="14.25">
      <c r="A197" s="261"/>
      <c r="B197" s="678" t="s">
        <v>316</v>
      </c>
      <c r="D197" s="1881" t="s">
        <v>1287</v>
      </c>
      <c r="E197" s="1881"/>
      <c r="F197" s="1881"/>
    </row>
    <row r="198" spans="1:6" ht="14.25">
      <c r="A198" s="261"/>
      <c r="B198" s="261"/>
      <c r="D198" s="1881"/>
      <c r="E198" s="1881"/>
      <c r="F198" s="1881"/>
    </row>
    <row r="199" spans="1:6"/>
    <row r="200" spans="1:6" ht="14.25">
      <c r="A200" s="261"/>
      <c r="B200" s="678" t="s">
        <v>316</v>
      </c>
      <c r="D200" s="1881" t="s">
        <v>1288</v>
      </c>
      <c r="E200" s="1881"/>
      <c r="F200" s="1881"/>
    </row>
    <row r="201" spans="1:6" ht="14.25">
      <c r="A201" s="261"/>
      <c r="B201" s="261"/>
      <c r="D201" s="1881"/>
      <c r="E201" s="1881"/>
      <c r="F201" s="1881"/>
    </row>
    <row r="202" spans="1:6" ht="14.25">
      <c r="A202" s="261"/>
      <c r="B202" s="261"/>
      <c r="D202" s="1881"/>
      <c r="E202" s="1881"/>
      <c r="F202" s="1881"/>
    </row>
    <row r="203" spans="1:6" ht="5.0999999999999996" customHeight="1">
      <c r="A203" s="261"/>
      <c r="B203" s="261"/>
      <c r="D203" s="151"/>
      <c r="E203" s="135"/>
      <c r="F203" s="135"/>
    </row>
    <row r="204" spans="1:6" ht="14.25">
      <c r="A204" s="261"/>
      <c r="B204" s="261"/>
      <c r="D204" s="1881" t="s">
        <v>1289</v>
      </c>
      <c r="E204" s="1881"/>
      <c r="F204" s="1881"/>
    </row>
    <row r="205" spans="1:6" ht="14.25">
      <c r="A205" s="261"/>
      <c r="B205" s="261"/>
      <c r="D205" s="1881"/>
      <c r="E205" s="1881"/>
      <c r="F205" s="1881"/>
    </row>
    <row r="206" spans="1:6" ht="14.25">
      <c r="A206" s="261"/>
      <c r="B206" s="261"/>
      <c r="D206" s="1881"/>
      <c r="E206" s="1881"/>
      <c r="F206" s="1881"/>
    </row>
    <row r="207" spans="1:6" ht="14.25">
      <c r="A207" s="261"/>
      <c r="B207" s="261"/>
      <c r="D207" s="1881"/>
      <c r="E207" s="1881"/>
      <c r="F207" s="1881"/>
    </row>
    <row r="208" spans="1:6" ht="14.25">
      <c r="A208" s="261"/>
      <c r="B208" s="261"/>
      <c r="D208" s="1881"/>
      <c r="E208" s="1881"/>
      <c r="F208" s="1881"/>
    </row>
    <row r="209" spans="1:7" ht="14.25">
      <c r="A209" s="261"/>
      <c r="B209" s="261"/>
      <c r="D209" s="135"/>
      <c r="E209" s="135"/>
      <c r="F209" s="135"/>
    </row>
    <row r="210" spans="1:7" ht="14.25">
      <c r="A210" s="261"/>
      <c r="B210" s="678" t="s">
        <v>316</v>
      </c>
      <c r="D210" s="1895" t="s">
        <v>1290</v>
      </c>
      <c r="E210" s="1895"/>
      <c r="F210" s="1895"/>
    </row>
    <row r="211" spans="1:7" ht="14.25">
      <c r="A211" s="261"/>
      <c r="B211" s="261"/>
      <c r="D211" s="1895"/>
      <c r="E211" s="1895"/>
      <c r="F211" s="1895"/>
    </row>
    <row r="212" spans="1:7" ht="14.25">
      <c r="A212" s="261"/>
      <c r="B212" s="261"/>
      <c r="D212" s="1929" t="s">
        <v>963</v>
      </c>
      <c r="E212" s="1929"/>
      <c r="F212" s="1929"/>
    </row>
    <row r="213" spans="1:7" ht="14.25">
      <c r="A213" s="261"/>
      <c r="B213" s="261"/>
      <c r="D213" s="135"/>
      <c r="E213" s="135"/>
      <c r="F213" s="135"/>
    </row>
    <row r="214" spans="1:7" ht="14.45" customHeight="1">
      <c r="A214" s="261"/>
      <c r="B214" s="678" t="s">
        <v>316</v>
      </c>
      <c r="D214" s="1895" t="s">
        <v>1292</v>
      </c>
      <c r="E214" s="1895"/>
      <c r="F214" s="1895"/>
    </row>
    <row r="215" spans="1:7" ht="14.25">
      <c r="A215" s="261"/>
      <c r="B215" s="261"/>
      <c r="D215" s="1895"/>
      <c r="E215" s="1895"/>
      <c r="F215" s="1895"/>
    </row>
    <row r="216" spans="1:7" ht="14.25">
      <c r="A216" s="261"/>
      <c r="B216" s="261"/>
      <c r="D216" s="1895"/>
      <c r="E216" s="1895"/>
      <c r="F216" s="1895"/>
    </row>
    <row r="217" spans="1:7" ht="14.25">
      <c r="A217" s="261"/>
      <c r="B217" s="261"/>
      <c r="D217" s="1895"/>
      <c r="E217" s="1895"/>
      <c r="F217" s="1895"/>
    </row>
    <row r="218" spans="1:7" ht="14.25">
      <c r="A218" s="261"/>
      <c r="B218" s="261"/>
      <c r="D218" s="1895"/>
      <c r="E218" s="1895"/>
      <c r="F218" s="1895"/>
    </row>
    <row r="219" spans="1:7">
      <c r="D219" s="135"/>
      <c r="E219" s="135"/>
      <c r="F219" s="135"/>
    </row>
    <row r="220" spans="1:7" ht="14.25">
      <c r="A220" s="261"/>
      <c r="B220" s="678" t="s">
        <v>316</v>
      </c>
      <c r="D220" s="1881" t="s">
        <v>1291</v>
      </c>
      <c r="E220" s="1881"/>
      <c r="F220" s="1881"/>
    </row>
    <row r="221" spans="1:7" ht="14.25">
      <c r="A221" s="261"/>
      <c r="B221" s="261"/>
      <c r="D221" s="1881"/>
      <c r="E221" s="1881"/>
      <c r="F221" s="1881"/>
    </row>
    <row r="222" spans="1:7">
      <c r="D222" s="29"/>
    </row>
    <row r="223" spans="1:7">
      <c r="A223" s="1901" t="s">
        <v>1165</v>
      </c>
      <c r="B223" s="1901"/>
      <c r="C223" s="1901"/>
      <c r="D223" s="1901"/>
      <c r="E223" s="1901"/>
      <c r="F223" s="1901"/>
      <c r="G223" s="1901"/>
    </row>
    <row r="224" spans="1:7">
      <c r="D224" s="29"/>
    </row>
    <row r="225" spans="1:6">
      <c r="C225" s="262"/>
      <c r="D225" s="1904" t="s">
        <v>1294</v>
      </c>
      <c r="E225" s="1904"/>
      <c r="F225" s="1904"/>
    </row>
    <row r="226" spans="1:6">
      <c r="A226" s="255"/>
      <c r="B226" s="672"/>
      <c r="C226" s="255"/>
      <c r="D226" s="135"/>
      <c r="E226" s="135"/>
      <c r="F226" s="135"/>
    </row>
    <row r="227" spans="1:6">
      <c r="A227" s="260"/>
      <c r="B227" s="260"/>
      <c r="C227" s="260"/>
      <c r="D227" s="1904" t="s">
        <v>275</v>
      </c>
      <c r="E227" s="1904"/>
      <c r="F227" s="1904"/>
    </row>
    <row r="228" spans="1:6" ht="14.25">
      <c r="A228" s="261"/>
      <c r="B228" s="678" t="s">
        <v>316</v>
      </c>
      <c r="D228" s="1905" t="s">
        <v>1295</v>
      </c>
      <c r="E228" s="1905"/>
      <c r="F228" s="1905"/>
    </row>
    <row r="229" spans="1:6" ht="14.25">
      <c r="A229" s="261"/>
      <c r="B229" s="261"/>
      <c r="D229" s="1905"/>
      <c r="E229" s="1905"/>
      <c r="F229" s="1905"/>
    </row>
    <row r="230" spans="1:6">
      <c r="D230" s="135"/>
      <c r="E230" s="135"/>
      <c r="F230" s="135"/>
    </row>
    <row r="231" spans="1:6" ht="14.45" customHeight="1">
      <c r="A231" s="261"/>
      <c r="B231" s="678" t="s">
        <v>316</v>
      </c>
      <c r="D231" s="1895" t="s">
        <v>1296</v>
      </c>
      <c r="E231" s="1895"/>
      <c r="F231" s="1895"/>
    </row>
    <row r="232" spans="1:6">
      <c r="D232" s="1895"/>
      <c r="E232" s="1895"/>
      <c r="F232" s="1895"/>
    </row>
    <row r="233" spans="1:6">
      <c r="D233" s="1906" t="s">
        <v>954</v>
      </c>
      <c r="E233" s="1906"/>
      <c r="F233" s="1906"/>
    </row>
    <row r="234" spans="1:6">
      <c r="D234" s="135"/>
      <c r="E234" s="135"/>
      <c r="F234" s="135"/>
    </row>
    <row r="235" spans="1:6" ht="14.45" customHeight="1">
      <c r="A235" s="261"/>
      <c r="B235" s="678" t="s">
        <v>316</v>
      </c>
      <c r="D235" s="1895" t="s">
        <v>1298</v>
      </c>
      <c r="E235" s="1895"/>
      <c r="F235" s="1895"/>
    </row>
    <row r="236" spans="1:6">
      <c r="D236" s="1895"/>
      <c r="E236" s="1895"/>
      <c r="F236" s="1895"/>
    </row>
    <row r="237" spans="1:6">
      <c r="D237" s="1895"/>
      <c r="E237" s="1895"/>
      <c r="F237" s="1895"/>
    </row>
    <row r="238" spans="1:6">
      <c r="D238" s="1895"/>
      <c r="E238" s="1895"/>
      <c r="F238" s="1895"/>
    </row>
    <row r="239" spans="1:6">
      <c r="D239" s="1895"/>
      <c r="E239" s="1895"/>
      <c r="F239" s="1895"/>
    </row>
    <row r="240" spans="1:6">
      <c r="D240" s="135"/>
      <c r="E240" s="135"/>
      <c r="F240" s="135"/>
    </row>
    <row r="241" spans="1:7" ht="14.25">
      <c r="A241" s="261"/>
      <c r="B241" s="678" t="s">
        <v>316</v>
      </c>
      <c r="D241" s="1881" t="s">
        <v>1297</v>
      </c>
      <c r="E241" s="1881"/>
      <c r="F241" s="1881"/>
    </row>
    <row r="242" spans="1:7">
      <c r="D242" s="1881"/>
      <c r="E242" s="1881"/>
      <c r="F242" s="1881"/>
    </row>
    <row r="243" spans="1:7">
      <c r="D243" s="1881"/>
      <c r="E243" s="1881"/>
      <c r="F243" s="1881"/>
    </row>
    <row r="244" spans="1:7">
      <c r="D244" s="263"/>
      <c r="E244" s="135"/>
      <c r="F244" s="135"/>
    </row>
    <row r="245" spans="1:7">
      <c r="A245" s="1901" t="s">
        <v>1166</v>
      </c>
      <c r="B245" s="1901"/>
      <c r="C245" s="1901"/>
      <c r="D245" s="1901"/>
      <c r="E245" s="1901"/>
      <c r="F245" s="1901"/>
      <c r="G245" s="1901"/>
    </row>
    <row r="246" spans="1:7">
      <c r="D246" s="263"/>
      <c r="E246" s="135"/>
      <c r="F246" s="135"/>
    </row>
    <row r="247" spans="1:7">
      <c r="C247" s="255"/>
      <c r="D247" s="1930" t="s">
        <v>1299</v>
      </c>
      <c r="E247" s="1930"/>
      <c r="F247" s="1930"/>
    </row>
    <row r="248" spans="1:7">
      <c r="C248" s="255"/>
      <c r="D248" s="1930"/>
      <c r="E248" s="1930"/>
      <c r="F248" s="1930"/>
    </row>
    <row r="249" spans="1:7">
      <c r="A249" s="260"/>
      <c r="B249" s="260"/>
      <c r="C249" s="260"/>
      <c r="D249" s="5"/>
      <c r="E249" s="6"/>
      <c r="F249" s="6"/>
    </row>
    <row r="250" spans="1:7">
      <c r="C250" s="260"/>
      <c r="D250" s="1904" t="s">
        <v>215</v>
      </c>
      <c r="E250" s="1904"/>
      <c r="F250" s="1904"/>
    </row>
    <row r="251" spans="1:7" ht="15.75" customHeight="1">
      <c r="A251" s="261"/>
      <c r="B251" s="261"/>
      <c r="D251" s="1912" t="s">
        <v>1300</v>
      </c>
      <c r="E251" s="1912"/>
      <c r="F251" s="1912"/>
    </row>
    <row r="252" spans="1:7">
      <c r="E252" s="135"/>
      <c r="F252" s="135"/>
    </row>
    <row r="253" spans="1:7" ht="14.25">
      <c r="A253" s="261"/>
      <c r="B253" s="678" t="s">
        <v>316</v>
      </c>
      <c r="D253" s="1881" t="s">
        <v>1301</v>
      </c>
      <c r="E253" s="1881"/>
      <c r="F253" s="1881"/>
    </row>
    <row r="254" spans="1:7" ht="14.25">
      <c r="A254" s="261"/>
      <c r="B254" s="261"/>
      <c r="D254" s="1881"/>
      <c r="E254" s="1881"/>
      <c r="F254" s="1881"/>
    </row>
    <row r="255" spans="1:7">
      <c r="D255" s="135"/>
      <c r="E255" s="135"/>
      <c r="F255" s="135"/>
    </row>
    <row r="256" spans="1:7" ht="14.25">
      <c r="A256" s="261"/>
      <c r="B256" s="678" t="s">
        <v>316</v>
      </c>
      <c r="D256" s="1895" t="s">
        <v>1302</v>
      </c>
      <c r="E256" s="1895"/>
      <c r="F256" s="1895"/>
    </row>
    <row r="257" spans="1:7" ht="14.25">
      <c r="A257" s="261"/>
      <c r="B257" s="261"/>
      <c r="D257" s="1895"/>
      <c r="E257" s="1895"/>
      <c r="F257" s="1895"/>
    </row>
    <row r="258" spans="1:7" ht="14.25">
      <c r="A258" s="261"/>
      <c r="B258" s="261"/>
      <c r="D258" s="1895"/>
      <c r="E258" s="1895"/>
      <c r="F258" s="1895"/>
    </row>
    <row r="259" spans="1:7">
      <c r="D259" s="135"/>
      <c r="E259" s="135"/>
      <c r="F259" s="135"/>
    </row>
    <row r="260" spans="1:7" ht="14.25">
      <c r="A260" s="261"/>
      <c r="B260" s="678" t="s">
        <v>316</v>
      </c>
      <c r="D260" s="1881" t="s">
        <v>1303</v>
      </c>
      <c r="E260" s="1881"/>
      <c r="F260" s="1881"/>
    </row>
    <row r="261" spans="1:7" ht="14.25">
      <c r="A261" s="261"/>
      <c r="B261" s="261"/>
      <c r="D261" s="1881"/>
      <c r="E261" s="1881"/>
      <c r="F261" s="1881"/>
    </row>
    <row r="262" spans="1:7">
      <c r="A262" s="23"/>
      <c r="B262" s="674"/>
      <c r="E262" s="135"/>
      <c r="F262" s="135"/>
    </row>
    <row r="263" spans="1:7">
      <c r="A263" s="1901" t="s">
        <v>1167</v>
      </c>
      <c r="B263" s="1901"/>
      <c r="C263" s="1901"/>
      <c r="D263" s="1901"/>
      <c r="E263" s="1901"/>
      <c r="F263" s="1901"/>
      <c r="G263" s="1901"/>
    </row>
    <row r="264" spans="1:7">
      <c r="A264" s="23"/>
      <c r="B264" s="674"/>
      <c r="D264" s="135"/>
      <c r="E264" s="135"/>
      <c r="F264" s="135"/>
    </row>
    <row r="265" spans="1:7">
      <c r="C265" s="23"/>
      <c r="D265" s="1904" t="s">
        <v>719</v>
      </c>
      <c r="E265" s="1904"/>
      <c r="F265" s="1904"/>
    </row>
    <row r="266" spans="1:7">
      <c r="C266" s="23"/>
      <c r="D266" s="1894" t="s">
        <v>1304</v>
      </c>
      <c r="E266" s="1894"/>
      <c r="F266" s="1894"/>
    </row>
    <row r="267" spans="1:7">
      <c r="C267" s="23"/>
      <c r="D267" s="259"/>
    </row>
    <row r="268" spans="1:7">
      <c r="A268" s="273"/>
      <c r="B268" s="678" t="s">
        <v>316</v>
      </c>
      <c r="D268" s="1894" t="s">
        <v>1305</v>
      </c>
      <c r="E268" s="1894"/>
      <c r="F268" s="1894"/>
    </row>
    <row r="269" spans="1:7" s="39" customFormat="1" ht="14.25">
      <c r="A269" s="402"/>
      <c r="B269" s="402"/>
      <c r="C269" s="273"/>
      <c r="D269" s="496"/>
      <c r="E269" s="497"/>
      <c r="F269" s="497"/>
      <c r="G269" s="130"/>
    </row>
    <row r="270" spans="1:7" s="39" customFormat="1" ht="13.15" customHeight="1">
      <c r="A270" s="273"/>
      <c r="B270" s="678" t="s">
        <v>316</v>
      </c>
      <c r="C270" s="273"/>
      <c r="D270" s="1907" t="s">
        <v>1306</v>
      </c>
      <c r="E270" s="1907"/>
      <c r="F270" s="1907"/>
      <c r="G270" s="130"/>
    </row>
    <row r="271" spans="1:7" s="39" customFormat="1" ht="14.25">
      <c r="A271" s="402"/>
      <c r="B271" s="402"/>
      <c r="C271" s="273"/>
      <c r="D271" s="1907"/>
      <c r="E271" s="1907"/>
      <c r="F271" s="1907"/>
      <c r="G271" s="130"/>
    </row>
    <row r="272" spans="1:7" s="39" customFormat="1" ht="14.25">
      <c r="A272" s="402"/>
      <c r="B272" s="402"/>
      <c r="C272" s="273"/>
      <c r="D272" s="1907"/>
      <c r="E272" s="1907"/>
      <c r="F272" s="1907"/>
      <c r="G272" s="130"/>
    </row>
    <row r="273" spans="1:7" s="39" customFormat="1" ht="14.25">
      <c r="A273" s="402"/>
      <c r="B273" s="402"/>
      <c r="C273" s="273"/>
      <c r="D273" s="1907"/>
      <c r="E273" s="1907"/>
      <c r="F273" s="1907"/>
      <c r="G273" s="130"/>
    </row>
    <row r="274" spans="1:7" s="39" customFormat="1" ht="14.25">
      <c r="A274" s="402"/>
      <c r="B274" s="402"/>
      <c r="C274" s="273"/>
      <c r="D274" s="1907"/>
      <c r="E274" s="1907"/>
      <c r="F274" s="1907"/>
      <c r="G274" s="130"/>
    </row>
    <row r="275" spans="1:7" s="39" customFormat="1" ht="14.25">
      <c r="A275" s="402"/>
      <c r="B275" s="402"/>
      <c r="C275" s="273"/>
      <c r="D275" s="496"/>
      <c r="E275" s="497"/>
      <c r="F275" s="497"/>
      <c r="G275" s="130"/>
    </row>
    <row r="276" spans="1:7" s="39" customFormat="1" ht="13.15" customHeight="1">
      <c r="A276" s="273"/>
      <c r="B276" s="678" t="s">
        <v>316</v>
      </c>
      <c r="C276" s="273"/>
      <c r="D276" s="1907" t="s">
        <v>1307</v>
      </c>
      <c r="E276" s="1907"/>
      <c r="F276" s="1907"/>
      <c r="G276" s="130"/>
    </row>
    <row r="277" spans="1:7" s="39" customFormat="1">
      <c r="A277" s="273"/>
      <c r="B277" s="273"/>
      <c r="C277" s="273"/>
      <c r="D277" s="1907"/>
      <c r="E277" s="1907"/>
      <c r="F277" s="1907"/>
      <c r="G277" s="130"/>
    </row>
    <row r="278" spans="1:7" s="39" customFormat="1" ht="14.25">
      <c r="A278" s="402"/>
      <c r="B278" s="402"/>
      <c r="C278" s="273"/>
      <c r="D278" s="496"/>
      <c r="E278" s="497"/>
      <c r="F278" s="497"/>
      <c r="G278" s="130"/>
    </row>
    <row r="279" spans="1:7">
      <c r="A279" s="273"/>
      <c r="B279" s="678" t="s">
        <v>316</v>
      </c>
      <c r="D279" s="1894" t="s">
        <v>1308</v>
      </c>
      <c r="E279" s="1894"/>
      <c r="F279" s="1894"/>
    </row>
    <row r="280" spans="1:7">
      <c r="E280" s="135"/>
      <c r="F280" s="135"/>
    </row>
    <row r="281" spans="1:7" ht="14.25">
      <c r="A281" s="261"/>
      <c r="B281" s="678" t="s">
        <v>316</v>
      </c>
      <c r="D281" s="1895" t="s">
        <v>1309</v>
      </c>
      <c r="E281" s="1895"/>
      <c r="F281" s="1895"/>
    </row>
    <row r="282" spans="1:7" ht="14.25">
      <c r="A282" s="261"/>
      <c r="B282" s="261"/>
      <c r="D282" s="1895"/>
      <c r="E282" s="1895"/>
      <c r="F282" s="1895"/>
    </row>
    <row r="283" spans="1:7" s="718" customFormat="1" ht="14.25">
      <c r="A283" s="713"/>
      <c r="B283" s="713"/>
      <c r="C283" s="730"/>
      <c r="D283" s="1895"/>
      <c r="E283" s="1895"/>
      <c r="F283" s="1895"/>
      <c r="G283" s="7"/>
    </row>
    <row r="284" spans="1:7" s="718" customFormat="1" ht="14.25">
      <c r="A284" s="713"/>
      <c r="B284" s="713"/>
      <c r="C284" s="730"/>
      <c r="D284" s="1895"/>
      <c r="E284" s="1895"/>
      <c r="F284" s="1895"/>
      <c r="G284" s="7"/>
    </row>
    <row r="285" spans="1:7" s="718" customFormat="1" ht="14.25">
      <c r="A285" s="713"/>
      <c r="B285" s="713"/>
      <c r="C285" s="730"/>
      <c r="D285" s="1895"/>
      <c r="E285" s="1895"/>
      <c r="F285" s="1895"/>
      <c r="G285" s="7"/>
    </row>
    <row r="286" spans="1:7" s="718" customFormat="1" ht="14.25">
      <c r="A286" s="713"/>
      <c r="B286" s="713"/>
      <c r="C286" s="730"/>
      <c r="D286" s="1895"/>
      <c r="E286" s="1895"/>
      <c r="F286" s="1895"/>
      <c r="G286" s="7"/>
    </row>
    <row r="287" spans="1:7" s="718" customFormat="1" ht="14.25">
      <c r="A287" s="713"/>
      <c r="B287" s="713"/>
      <c r="C287" s="730"/>
      <c r="D287" s="1895"/>
      <c r="E287" s="1895"/>
      <c r="F287" s="1895"/>
      <c r="G287" s="7"/>
    </row>
    <row r="288" spans="1:7" s="718" customFormat="1" ht="14.25">
      <c r="A288" s="713"/>
      <c r="B288" s="713"/>
      <c r="C288" s="730"/>
      <c r="D288" s="1895"/>
      <c r="E288" s="1895"/>
      <c r="F288" s="1895"/>
      <c r="G288" s="7"/>
    </row>
    <row r="289" spans="1:7" s="718" customFormat="1" ht="14.25">
      <c r="A289" s="713"/>
      <c r="B289" s="713"/>
      <c r="C289" s="730"/>
      <c r="D289" s="1895"/>
      <c r="E289" s="1895"/>
      <c r="F289" s="1895"/>
      <c r="G289" s="7"/>
    </row>
    <row r="290" spans="1:7" s="718" customFormat="1" ht="14.25">
      <c r="A290" s="713"/>
      <c r="B290" s="713"/>
      <c r="C290" s="730"/>
      <c r="D290" s="1895"/>
      <c r="E290" s="1895"/>
      <c r="F290" s="1895"/>
      <c r="G290" s="7"/>
    </row>
    <row r="291" spans="1:7" s="718" customFormat="1" ht="14.25">
      <c r="A291" s="713"/>
      <c r="B291" s="713"/>
      <c r="C291" s="730"/>
      <c r="D291" s="1895"/>
      <c r="E291" s="1895"/>
      <c r="F291" s="1895"/>
      <c r="G291" s="7"/>
    </row>
    <row r="292" spans="1:7" s="718" customFormat="1" ht="14.25">
      <c r="A292" s="713"/>
      <c r="B292" s="713"/>
      <c r="C292" s="730"/>
      <c r="D292" s="1895"/>
      <c r="E292" s="1895"/>
      <c r="F292" s="1895"/>
      <c r="G292" s="7"/>
    </row>
    <row r="293" spans="1:7" ht="14.25">
      <c r="A293" s="261"/>
      <c r="B293" s="261"/>
      <c r="D293" s="1895"/>
      <c r="E293" s="1895"/>
      <c r="F293" s="1895"/>
    </row>
    <row r="294" spans="1:7" ht="14.25">
      <c r="A294" s="261"/>
      <c r="B294" s="261"/>
      <c r="D294" s="1895"/>
      <c r="E294" s="1895"/>
      <c r="F294" s="1895"/>
    </row>
    <row r="295" spans="1:7" ht="14.25">
      <c r="A295" s="261"/>
      <c r="B295" s="261"/>
      <c r="D295" s="1895"/>
      <c r="E295" s="1895"/>
      <c r="F295" s="1895"/>
    </row>
    <row r="296" spans="1:7">
      <c r="D296" s="135"/>
      <c r="E296" s="135"/>
      <c r="F296" s="135"/>
    </row>
    <row r="297" spans="1:7" ht="14.25">
      <c r="A297" s="261"/>
      <c r="B297" s="678" t="s">
        <v>316</v>
      </c>
      <c r="D297" s="1895" t="s">
        <v>1310</v>
      </c>
      <c r="E297" s="1895"/>
      <c r="F297" s="1895"/>
    </row>
    <row r="298" spans="1:7">
      <c r="D298" s="1895"/>
      <c r="E298" s="1895"/>
      <c r="F298" s="1895"/>
    </row>
    <row r="299" spans="1:7">
      <c r="D299" s="1895"/>
      <c r="E299" s="1895"/>
      <c r="F299" s="1895"/>
    </row>
    <row r="300" spans="1:7">
      <c r="D300" s="1895"/>
      <c r="E300" s="1895"/>
      <c r="F300" s="1895"/>
    </row>
    <row r="301" spans="1:7">
      <c r="D301" s="1895"/>
      <c r="E301" s="1895"/>
      <c r="F301" s="1895"/>
    </row>
    <row r="302" spans="1:7">
      <c r="D302" s="1895"/>
      <c r="E302" s="1895"/>
      <c r="F302" s="1895"/>
    </row>
    <row r="303" spans="1:7">
      <c r="D303" s="1895"/>
      <c r="E303" s="1895"/>
      <c r="F303" s="1895"/>
    </row>
    <row r="304" spans="1:7">
      <c r="D304" s="1895"/>
      <c r="E304" s="1895"/>
      <c r="F304" s="1895"/>
    </row>
    <row r="305" spans="1:7">
      <c r="D305" s="1895"/>
      <c r="E305" s="1895"/>
      <c r="F305" s="1895"/>
    </row>
    <row r="306" spans="1:7">
      <c r="D306" s="135"/>
      <c r="E306" s="135"/>
      <c r="F306" s="135"/>
    </row>
    <row r="307" spans="1:7" ht="14.25">
      <c r="A307" s="261"/>
      <c r="B307" s="678" t="s">
        <v>316</v>
      </c>
      <c r="D307" s="1881" t="s">
        <v>1311</v>
      </c>
      <c r="E307" s="1881"/>
      <c r="F307" s="1881"/>
    </row>
    <row r="308" spans="1:7">
      <c r="D308" s="1881"/>
      <c r="E308" s="1881"/>
      <c r="F308" s="1881"/>
      <c r="G308" s="12"/>
    </row>
    <row r="309" spans="1:7">
      <c r="D309" s="1881"/>
      <c r="E309" s="1881"/>
      <c r="F309" s="1881"/>
      <c r="G309" s="12"/>
    </row>
    <row r="310" spans="1:7">
      <c r="D310" s="1881"/>
      <c r="E310" s="1881"/>
      <c r="F310" s="1881"/>
      <c r="G310" s="12"/>
    </row>
    <row r="311" spans="1:7">
      <c r="D311" s="1881"/>
      <c r="E311" s="1881"/>
      <c r="F311" s="1881"/>
      <c r="G311" s="12"/>
    </row>
    <row r="312" spans="1:7">
      <c r="D312" s="1881"/>
      <c r="E312" s="1881"/>
      <c r="F312" s="1881"/>
      <c r="G312" s="12"/>
    </row>
    <row r="313" spans="1:7" s="718" customFormat="1">
      <c r="A313" s="730"/>
      <c r="B313" s="730"/>
      <c r="C313" s="730"/>
      <c r="D313" s="727"/>
      <c r="E313" s="727"/>
      <c r="F313" s="727"/>
    </row>
    <row r="314" spans="1:7" ht="13.5" thickBot="1">
      <c r="D314" s="1913" t="s">
        <v>1060</v>
      </c>
      <c r="E314" s="1913"/>
      <c r="F314" s="1913"/>
      <c r="G314" s="12"/>
    </row>
    <row r="315" spans="1:7" s="718" customFormat="1" ht="13.5" thickTop="1">
      <c r="A315" s="730"/>
      <c r="B315" s="730"/>
      <c r="C315" s="730"/>
      <c r="D315" s="1914" t="s">
        <v>1312</v>
      </c>
      <c r="E315" s="1914"/>
      <c r="F315" s="1914"/>
    </row>
    <row r="316" spans="1:7">
      <c r="A316" s="325"/>
      <c r="B316" s="325"/>
      <c r="C316" s="325"/>
      <c r="D316" s="466"/>
      <c r="E316" s="466"/>
      <c r="F316" s="135"/>
      <c r="G316" s="12"/>
    </row>
    <row r="317" spans="1:7" ht="14.25">
      <c r="A317" s="261"/>
      <c r="B317" s="678" t="s">
        <v>316</v>
      </c>
      <c r="C317" s="325"/>
      <c r="D317" s="1915" t="s">
        <v>1313</v>
      </c>
      <c r="E317" s="1915"/>
      <c r="F317" s="1915"/>
      <c r="G317" s="12"/>
    </row>
    <row r="318" spans="1:7">
      <c r="A318" s="325"/>
      <c r="B318" s="325"/>
      <c r="C318" s="325"/>
      <c r="D318" s="466"/>
      <c r="E318" s="466"/>
      <c r="F318" s="135"/>
      <c r="G318" s="12"/>
    </row>
    <row r="319" spans="1:7">
      <c r="A319" s="325"/>
      <c r="B319" s="678" t="s">
        <v>316</v>
      </c>
      <c r="C319" s="325"/>
      <c r="D319" s="1910" t="s">
        <v>1314</v>
      </c>
      <c r="E319" s="1910"/>
      <c r="F319" s="1910"/>
      <c r="G319" s="12"/>
    </row>
    <row r="320" spans="1:7">
      <c r="A320" s="325"/>
      <c r="B320" s="325"/>
      <c r="C320" s="325"/>
      <c r="D320" s="1910"/>
      <c r="E320" s="1910"/>
      <c r="F320" s="1910"/>
      <c r="G320" s="12"/>
    </row>
    <row r="321" spans="1:7">
      <c r="A321" s="325"/>
      <c r="B321" s="325"/>
      <c r="C321" s="325"/>
      <c r="D321" s="1910"/>
      <c r="E321" s="1910"/>
      <c r="F321" s="1910"/>
      <c r="G321" s="12"/>
    </row>
    <row r="322" spans="1:7">
      <c r="A322" s="325"/>
      <c r="B322" s="325"/>
      <c r="C322" s="325"/>
      <c r="D322" s="1910"/>
      <c r="E322" s="1910"/>
      <c r="F322" s="1910"/>
      <c r="G322" s="12"/>
    </row>
    <row r="323" spans="1:7" s="718" customFormat="1">
      <c r="A323" s="325"/>
      <c r="B323" s="325"/>
      <c r="C323" s="325"/>
      <c r="D323" s="1910"/>
      <c r="E323" s="1910"/>
      <c r="F323" s="1910"/>
    </row>
    <row r="324" spans="1:7" s="718" customFormat="1">
      <c r="A324" s="325"/>
      <c r="B324" s="325"/>
      <c r="C324" s="325"/>
      <c r="D324" s="1910"/>
      <c r="E324" s="1910"/>
      <c r="F324" s="1910"/>
    </row>
    <row r="325" spans="1:7" s="718" customFormat="1">
      <c r="A325" s="325"/>
      <c r="B325" s="325"/>
      <c r="C325" s="325"/>
      <c r="D325" s="1910"/>
      <c r="E325" s="1910"/>
      <c r="F325" s="1910"/>
    </row>
    <row r="326" spans="1:7" s="718" customFormat="1">
      <c r="A326" s="325"/>
      <c r="B326" s="325"/>
      <c r="C326" s="325"/>
      <c r="D326" s="1910"/>
      <c r="E326" s="1910"/>
      <c r="F326" s="1910"/>
    </row>
    <row r="327" spans="1:7">
      <c r="A327" s="325"/>
      <c r="B327" s="325"/>
      <c r="C327" s="325"/>
      <c r="D327" s="1910"/>
      <c r="E327" s="1910"/>
      <c r="F327" s="1910"/>
      <c r="G327" s="12"/>
    </row>
    <row r="328" spans="1:7">
      <c r="A328" s="325"/>
      <c r="B328" s="325"/>
      <c r="C328" s="325"/>
      <c r="D328" s="1910"/>
      <c r="E328" s="1910"/>
      <c r="F328" s="1910"/>
      <c r="G328" s="12"/>
    </row>
    <row r="329" spans="1:7">
      <c r="A329" s="325"/>
      <c r="B329" s="325"/>
      <c r="C329" s="325"/>
      <c r="D329" s="1910"/>
      <c r="E329" s="1910"/>
      <c r="F329" s="1910"/>
      <c r="G329" s="12"/>
    </row>
    <row r="330" spans="1:7">
      <c r="A330" s="325"/>
      <c r="B330" s="325"/>
      <c r="C330" s="325"/>
      <c r="D330" s="12"/>
      <c r="E330" s="466"/>
      <c r="F330" s="135"/>
      <c r="G330" s="12"/>
    </row>
    <row r="331" spans="1:7" ht="14.25">
      <c r="A331" s="261"/>
      <c r="B331" s="678" t="s">
        <v>316</v>
      </c>
      <c r="C331" s="325"/>
      <c r="D331" s="1908" t="s">
        <v>1315</v>
      </c>
      <c r="E331" s="1908"/>
      <c r="F331" s="1908"/>
      <c r="G331" s="12"/>
    </row>
    <row r="332" spans="1:7">
      <c r="A332" s="325"/>
      <c r="B332" s="325"/>
      <c r="C332" s="325"/>
      <c r="D332" s="1908"/>
      <c r="E332" s="1908"/>
      <c r="F332" s="1908"/>
      <c r="G332" s="12"/>
    </row>
    <row r="333" spans="1:7">
      <c r="A333" s="325"/>
      <c r="B333" s="325"/>
      <c r="C333" s="325"/>
      <c r="D333" s="1908"/>
      <c r="E333" s="1908"/>
      <c r="F333" s="1908"/>
      <c r="G333" s="12"/>
    </row>
    <row r="334" spans="1:7">
      <c r="A334" s="325"/>
      <c r="B334" s="325"/>
      <c r="C334" s="325"/>
      <c r="D334" s="1908"/>
      <c r="E334" s="1908"/>
      <c r="F334" s="1908"/>
      <c r="G334" s="12"/>
    </row>
    <row r="335" spans="1:7">
      <c r="A335" s="325"/>
      <c r="B335" s="325"/>
      <c r="C335" s="325"/>
      <c r="D335" s="504"/>
      <c r="E335" s="466"/>
      <c r="F335" s="135"/>
      <c r="G335" s="12"/>
    </row>
    <row r="336" spans="1:7">
      <c r="A336" s="325"/>
      <c r="B336" s="325"/>
      <c r="C336" s="325"/>
      <c r="D336" s="1908" t="s">
        <v>1316</v>
      </c>
      <c r="E336" s="1908"/>
      <c r="F336" s="1908"/>
      <c r="G336" s="12"/>
    </row>
    <row r="337" spans="1:7">
      <c r="A337" s="325"/>
      <c r="B337" s="325"/>
      <c r="C337" s="325"/>
      <c r="D337" s="1908"/>
      <c r="E337" s="1908"/>
      <c r="F337" s="1908"/>
      <c r="G337" s="12"/>
    </row>
    <row r="338" spans="1:7">
      <c r="A338" s="325"/>
      <c r="B338" s="325"/>
      <c r="C338" s="325"/>
      <c r="D338" s="1908"/>
      <c r="E338" s="1908"/>
      <c r="F338" s="1908"/>
      <c r="G338" s="12"/>
    </row>
    <row r="339" spans="1:7">
      <c r="A339" s="325"/>
      <c r="B339" s="325"/>
      <c r="C339" s="325"/>
      <c r="D339" s="1908"/>
      <c r="E339" s="1908"/>
      <c r="F339" s="1908"/>
      <c r="G339" s="12"/>
    </row>
    <row r="340" spans="1:7" ht="18" customHeight="1">
      <c r="A340" s="325"/>
      <c r="B340" s="325"/>
      <c r="C340" s="325"/>
      <c r="D340" s="1908"/>
      <c r="E340" s="1908"/>
      <c r="F340" s="1908"/>
      <c r="G340" s="12"/>
    </row>
    <row r="341" spans="1:7">
      <c r="A341" s="325"/>
      <c r="B341" s="325"/>
      <c r="C341" s="325"/>
      <c r="D341" s="1908"/>
      <c r="E341" s="1908"/>
      <c r="F341" s="1908"/>
      <c r="G341" s="12"/>
    </row>
    <row r="342" spans="1:7">
      <c r="A342" s="325"/>
      <c r="B342" s="325"/>
      <c r="C342" s="325"/>
      <c r="D342" s="1908"/>
      <c r="E342" s="1908"/>
      <c r="F342" s="1908"/>
      <c r="G342" s="12"/>
    </row>
    <row r="343" spans="1:7">
      <c r="A343" s="325"/>
      <c r="B343" s="325"/>
      <c r="C343" s="325"/>
      <c r="D343" s="1908"/>
      <c r="E343" s="1908"/>
      <c r="F343" s="1908"/>
      <c r="G343" s="12"/>
    </row>
    <row r="344" spans="1:7" ht="8.25" customHeight="1">
      <c r="A344" s="325"/>
      <c r="B344" s="325"/>
      <c r="C344" s="325"/>
      <c r="D344" s="1908"/>
      <c r="E344" s="1908"/>
      <c r="F344" s="1908"/>
      <c r="G344" s="12"/>
    </row>
    <row r="345" spans="1:7" ht="13.15" customHeight="1">
      <c r="A345" s="325"/>
      <c r="B345" s="325"/>
      <c r="C345" s="325"/>
      <c r="D345" s="1909" t="s">
        <v>1317</v>
      </c>
      <c r="E345" s="1909"/>
      <c r="F345" s="1909"/>
      <c r="G345" s="12"/>
    </row>
    <row r="346" spans="1:7">
      <c r="A346" s="325"/>
      <c r="B346" s="325"/>
      <c r="C346" s="325"/>
      <c r="D346" s="1909"/>
      <c r="E346" s="1909"/>
      <c r="F346" s="1909"/>
      <c r="G346" s="12"/>
    </row>
    <row r="347" spans="1:7">
      <c r="A347" s="325"/>
      <c r="B347" s="325"/>
      <c r="C347" s="325"/>
      <c r="D347" s="1909"/>
      <c r="E347" s="1909"/>
      <c r="F347" s="1909"/>
      <c r="G347" s="12"/>
    </row>
    <row r="348" spans="1:7" s="718" customFormat="1">
      <c r="A348" s="325"/>
      <c r="B348" s="325"/>
      <c r="C348" s="325"/>
      <c r="D348" s="1909"/>
      <c r="E348" s="1909"/>
      <c r="F348" s="1909"/>
    </row>
    <row r="349" spans="1:7" s="718" customFormat="1">
      <c r="A349" s="325"/>
      <c r="B349" s="325"/>
      <c r="C349" s="325"/>
      <c r="D349" s="1909"/>
      <c r="E349" s="1909"/>
      <c r="F349" s="1909"/>
    </row>
    <row r="350" spans="1:7" s="718" customFormat="1">
      <c r="A350" s="325"/>
      <c r="B350" s="325"/>
      <c r="C350" s="325"/>
      <c r="D350" s="1909"/>
      <c r="E350" s="1909"/>
      <c r="F350" s="1909"/>
    </row>
    <row r="351" spans="1:7" s="718" customFormat="1">
      <c r="A351" s="325"/>
      <c r="B351" s="325"/>
      <c r="C351" s="325"/>
      <c r="D351" s="1909"/>
      <c r="E351" s="1909"/>
      <c r="F351" s="1909"/>
    </row>
    <row r="352" spans="1:7" s="718" customFormat="1">
      <c r="A352" s="325"/>
      <c r="B352" s="325"/>
      <c r="C352" s="325"/>
      <c r="D352" s="1909"/>
      <c r="E352" s="1909"/>
      <c r="F352" s="1909"/>
    </row>
    <row r="353" spans="1:7">
      <c r="A353" s="325"/>
      <c r="B353" s="325"/>
      <c r="C353" s="325"/>
      <c r="D353" s="1909"/>
      <c r="E353" s="1909"/>
      <c r="F353" s="1909"/>
      <c r="G353" s="12"/>
    </row>
    <row r="354" spans="1:7">
      <c r="A354" s="325"/>
      <c r="B354" s="325"/>
      <c r="C354" s="325"/>
      <c r="D354" s="1909"/>
      <c r="E354" s="1909"/>
      <c r="F354" s="1909"/>
      <c r="G354" s="12"/>
    </row>
    <row r="355" spans="1:7">
      <c r="A355" s="325"/>
      <c r="B355" s="325"/>
      <c r="C355" s="325"/>
      <c r="D355" s="1909"/>
      <c r="E355" s="1909"/>
      <c r="F355" s="1909"/>
      <c r="G355" s="12"/>
    </row>
    <row r="356" spans="1:7">
      <c r="A356" s="325"/>
      <c r="B356" s="325"/>
      <c r="C356" s="325"/>
      <c r="D356" s="1909"/>
      <c r="E356" s="1909"/>
      <c r="F356" s="1909"/>
      <c r="G356" s="12"/>
    </row>
    <row r="357" spans="1:7">
      <c r="A357" s="325"/>
      <c r="B357" s="325"/>
      <c r="C357" s="506"/>
      <c r="D357" s="1909"/>
      <c r="E357" s="1909"/>
      <c r="F357" s="1909"/>
      <c r="G357" s="12"/>
    </row>
    <row r="358" spans="1:7">
      <c r="A358" s="325"/>
      <c r="B358" s="325"/>
      <c r="C358" s="506"/>
      <c r="D358" s="1909"/>
      <c r="E358" s="1909"/>
      <c r="F358" s="1909"/>
      <c r="G358" s="12"/>
    </row>
    <row r="359" spans="1:7">
      <c r="A359" s="325"/>
      <c r="B359" s="325"/>
      <c r="C359" s="325"/>
      <c r="D359" s="1909"/>
      <c r="E359" s="1909"/>
      <c r="F359" s="1909"/>
      <c r="G359" s="12"/>
    </row>
    <row r="360" spans="1:7">
      <c r="A360" s="325"/>
      <c r="B360" s="325"/>
      <c r="C360" s="506"/>
      <c r="D360" s="1909"/>
      <c r="E360" s="1909"/>
      <c r="F360" s="1909"/>
      <c r="G360" s="12"/>
    </row>
    <row r="361" spans="1:7">
      <c r="A361" s="325"/>
      <c r="B361" s="325"/>
      <c r="C361" s="506"/>
      <c r="D361" s="1909"/>
      <c r="E361" s="1909"/>
      <c r="F361" s="1909"/>
      <c r="G361" s="12"/>
    </row>
    <row r="362" spans="1:7">
      <c r="A362" s="325"/>
      <c r="B362" s="325"/>
      <c r="C362" s="506"/>
      <c r="D362" s="1909"/>
      <c r="E362" s="1909"/>
      <c r="F362" s="1909"/>
      <c r="G362" s="12"/>
    </row>
    <row r="363" spans="1:7">
      <c r="A363" s="325"/>
      <c r="B363" s="325"/>
      <c r="C363" s="325"/>
      <c r="D363" s="504"/>
      <c r="E363" s="466"/>
      <c r="F363" s="135"/>
      <c r="G363" s="12"/>
    </row>
    <row r="364" spans="1:7">
      <c r="A364" s="325"/>
      <c r="B364" s="678" t="s">
        <v>316</v>
      </c>
      <c r="C364" s="325"/>
      <c r="D364" s="1909" t="s">
        <v>1318</v>
      </c>
      <c r="E364" s="1909"/>
      <c r="F364" s="1909"/>
      <c r="G364" s="12"/>
    </row>
    <row r="365" spans="1:7">
      <c r="A365" s="325"/>
      <c r="B365" s="325"/>
      <c r="C365" s="325"/>
      <c r="D365" s="1909"/>
      <c r="E365" s="1909"/>
      <c r="F365" s="1909"/>
      <c r="G365" s="12"/>
    </row>
    <row r="366" spans="1:7">
      <c r="A366" s="325"/>
      <c r="B366" s="325"/>
      <c r="C366" s="325"/>
      <c r="D366" s="466"/>
      <c r="E366" s="466"/>
      <c r="F366" s="135"/>
      <c r="G366" s="12"/>
    </row>
    <row r="367" spans="1:7" ht="14.25">
      <c r="A367" s="261"/>
      <c r="B367" s="678" t="s">
        <v>316</v>
      </c>
      <c r="C367" s="325"/>
      <c r="D367" s="1910" t="s">
        <v>1319</v>
      </c>
      <c r="E367" s="1910"/>
      <c r="F367" s="1910"/>
      <c r="G367" s="12"/>
    </row>
    <row r="368" spans="1:7" ht="14.25">
      <c r="A368" s="505"/>
      <c r="B368" s="505"/>
      <c r="C368" s="325"/>
      <c r="D368" s="1910"/>
      <c r="E368" s="1910"/>
      <c r="F368" s="1910"/>
      <c r="G368" s="12"/>
    </row>
    <row r="369" spans="1:7" ht="14.25">
      <c r="A369" s="505"/>
      <c r="B369" s="505"/>
      <c r="C369" s="325"/>
      <c r="D369" s="1910"/>
      <c r="E369" s="1910"/>
      <c r="F369" s="1910"/>
      <c r="G369" s="12"/>
    </row>
    <row r="370" spans="1:7" ht="14.25">
      <c r="A370" s="505"/>
      <c r="B370" s="505"/>
      <c r="C370" s="325"/>
      <c r="D370" s="1910"/>
      <c r="E370" s="1910"/>
      <c r="F370" s="1910"/>
      <c r="G370" s="12"/>
    </row>
    <row r="371" spans="1:7" ht="14.25">
      <c r="A371" s="505"/>
      <c r="B371" s="505"/>
      <c r="C371" s="325"/>
      <c r="D371" s="1910"/>
      <c r="E371" s="1910"/>
      <c r="F371" s="1910"/>
      <c r="G371" s="12"/>
    </row>
    <row r="372" spans="1:7">
      <c r="D372" s="135"/>
      <c r="E372" s="135"/>
      <c r="F372" s="135"/>
      <c r="G372" s="12"/>
    </row>
    <row r="373" spans="1:7" ht="14.25">
      <c r="A373" s="261"/>
      <c r="B373" s="678" t="s">
        <v>316</v>
      </c>
      <c r="C373" s="266"/>
      <c r="D373" s="1881" t="s">
        <v>1320</v>
      </c>
      <c r="E373" s="1881"/>
      <c r="F373" s="1881"/>
      <c r="G373" s="12"/>
    </row>
    <row r="374" spans="1:7" ht="14.25">
      <c r="A374" s="261"/>
      <c r="B374" s="261"/>
      <c r="D374" s="1881"/>
      <c r="E374" s="1881"/>
      <c r="F374" s="1881"/>
      <c r="G374" s="12"/>
    </row>
    <row r="375" spans="1:7">
      <c r="D375" s="1881"/>
      <c r="E375" s="1881"/>
      <c r="F375" s="1881"/>
      <c r="G375" s="12"/>
    </row>
    <row r="376" spans="1:7">
      <c r="D376" s="1881"/>
      <c r="E376" s="1881"/>
      <c r="F376" s="1881"/>
      <c r="G376" s="12"/>
    </row>
    <row r="377" spans="1:7">
      <c r="D377" s="1881"/>
      <c r="E377" s="1881"/>
      <c r="F377" s="1881"/>
      <c r="G377" s="12"/>
    </row>
    <row r="378" spans="1:7">
      <c r="D378" s="1881"/>
      <c r="E378" s="1881"/>
      <c r="F378" s="1881"/>
      <c r="G378" s="12"/>
    </row>
    <row r="379" spans="1:7">
      <c r="D379" s="1881"/>
      <c r="E379" s="1881"/>
      <c r="F379" s="1881"/>
      <c r="G379" s="12"/>
    </row>
    <row r="380" spans="1:7">
      <c r="D380" s="1881"/>
      <c r="E380" s="1881"/>
      <c r="F380" s="1881"/>
      <c r="G380" s="12"/>
    </row>
    <row r="381" spans="1:7">
      <c r="D381" s="1881"/>
      <c r="E381" s="1881"/>
      <c r="F381" s="1881"/>
      <c r="G381" s="12"/>
    </row>
    <row r="382" spans="1:7">
      <c r="D382" s="1881"/>
      <c r="E382" s="1881"/>
      <c r="F382" s="1881"/>
      <c r="G382" s="12"/>
    </row>
    <row r="383" spans="1:7">
      <c r="D383" s="1881"/>
      <c r="E383" s="1881"/>
      <c r="F383" s="1881"/>
      <c r="G383" s="12"/>
    </row>
    <row r="384" spans="1:7">
      <c r="D384" s="1881"/>
      <c r="E384" s="1881"/>
      <c r="F384" s="1881"/>
      <c r="G384" s="12"/>
    </row>
    <row r="385" spans="1:7">
      <c r="D385" s="1881"/>
      <c r="E385" s="1881"/>
      <c r="F385" s="1881"/>
      <c r="G385" s="12"/>
    </row>
    <row r="386" spans="1:7">
      <c r="A386" s="12"/>
      <c r="B386" s="12"/>
      <c r="C386" s="12"/>
      <c r="D386" s="1881"/>
      <c r="E386" s="1881"/>
      <c r="F386" s="1881"/>
      <c r="G386" s="12"/>
    </row>
    <row r="387" spans="1:7">
      <c r="A387" s="12"/>
      <c r="B387" s="12"/>
      <c r="C387" s="12"/>
      <c r="D387" s="1881"/>
      <c r="E387" s="1881"/>
      <c r="F387" s="1881"/>
      <c r="G387" s="12"/>
    </row>
    <row r="388" spans="1:7">
      <c r="A388" s="12"/>
      <c r="B388" s="12"/>
      <c r="C388" s="12"/>
      <c r="D388" s="1881"/>
      <c r="E388" s="1881"/>
      <c r="F388" s="1881"/>
      <c r="G388" s="12"/>
    </row>
    <row r="389" spans="1:7">
      <c r="A389" s="12"/>
      <c r="B389" s="12"/>
      <c r="C389" s="12"/>
      <c r="D389" s="1881"/>
      <c r="E389" s="1881"/>
      <c r="F389" s="1881"/>
      <c r="G389" s="12"/>
    </row>
    <row r="390" spans="1:7">
      <c r="A390" s="12"/>
      <c r="B390" s="12"/>
      <c r="C390" s="12"/>
      <c r="D390" s="1881"/>
      <c r="E390" s="1881"/>
      <c r="F390" s="1881"/>
      <c r="G390" s="12"/>
    </row>
    <row r="391" spans="1:7">
      <c r="A391" s="12"/>
      <c r="B391" s="12"/>
      <c r="C391" s="12"/>
      <c r="D391" s="1881"/>
      <c r="E391" s="1881"/>
      <c r="F391" s="1881"/>
      <c r="G391" s="12"/>
    </row>
    <row r="392" spans="1:7">
      <c r="A392" s="12"/>
      <c r="B392" s="12"/>
      <c r="C392" s="12"/>
      <c r="D392" s="1881"/>
      <c r="E392" s="1881"/>
      <c r="F392" s="1881"/>
      <c r="G392" s="12"/>
    </row>
    <row r="393" spans="1:7">
      <c r="A393" s="12"/>
      <c r="B393" s="12"/>
      <c r="C393" s="12"/>
      <c r="D393" s="1881"/>
      <c r="E393" s="1881"/>
      <c r="F393" s="1881"/>
      <c r="G393" s="12"/>
    </row>
    <row r="394" spans="1:7">
      <c r="A394" s="12"/>
      <c r="B394" s="12"/>
      <c r="C394" s="12"/>
      <c r="D394" s="1881"/>
      <c r="E394" s="1881"/>
      <c r="F394" s="1881"/>
      <c r="G394" s="12"/>
    </row>
    <row r="395" spans="1:7">
      <c r="A395" s="12"/>
      <c r="B395" s="12"/>
      <c r="C395" s="12"/>
      <c r="D395" s="1881"/>
      <c r="E395" s="1881"/>
      <c r="F395" s="1881"/>
      <c r="G395" s="12"/>
    </row>
    <row r="396" spans="1:7">
      <c r="A396" s="12"/>
      <c r="B396" s="12"/>
      <c r="C396" s="12"/>
      <c r="D396" s="1881"/>
      <c r="E396" s="1881"/>
      <c r="F396" s="1881"/>
      <c r="G396" s="12"/>
    </row>
    <row r="397" spans="1:7">
      <c r="A397" s="12"/>
      <c r="B397" s="12"/>
      <c r="C397" s="12"/>
      <c r="D397" s="1881"/>
      <c r="E397" s="1881"/>
      <c r="F397" s="1881"/>
      <c r="G397" s="12"/>
    </row>
    <row r="398" spans="1:7">
      <c r="A398" s="12"/>
      <c r="B398" s="12"/>
      <c r="C398" s="12"/>
      <c r="D398" s="1881"/>
      <c r="E398" s="1881"/>
      <c r="F398" s="1881"/>
      <c r="G398" s="12"/>
    </row>
    <row r="399" spans="1:7">
      <c r="A399" s="12"/>
      <c r="B399" s="12"/>
      <c r="C399" s="12"/>
      <c r="D399" s="1881"/>
      <c r="E399" s="1881"/>
      <c r="F399" s="1881"/>
      <c r="G399" s="12"/>
    </row>
    <row r="400" spans="1:7">
      <c r="A400" s="12"/>
      <c r="B400" s="12"/>
      <c r="C400" s="12"/>
      <c r="D400" s="1881"/>
      <c r="E400" s="1881"/>
      <c r="F400" s="1881"/>
      <c r="G400" s="12"/>
    </row>
    <row r="401" spans="1:7">
      <c r="A401" s="12"/>
      <c r="B401" s="12"/>
      <c r="C401" s="12"/>
      <c r="D401" s="1881"/>
      <c r="E401" s="1881"/>
      <c r="F401" s="1881"/>
      <c r="G401" s="12"/>
    </row>
    <row r="402" spans="1:7" s="32" customFormat="1">
      <c r="A402" s="132"/>
      <c r="B402" s="675"/>
      <c r="C402" s="132"/>
      <c r="D402" s="1881"/>
      <c r="E402" s="1881"/>
      <c r="F402" s="1881"/>
      <c r="G402" s="30"/>
    </row>
    <row r="403" spans="1:7" s="32" customFormat="1" ht="40.700000000000003" customHeight="1">
      <c r="A403" s="132"/>
      <c r="B403" s="675"/>
      <c r="C403" s="132"/>
      <c r="D403" s="1881"/>
      <c r="E403" s="1881"/>
      <c r="F403" s="1881"/>
      <c r="G403" s="30"/>
    </row>
    <row r="404" spans="1:7" s="32" customFormat="1">
      <c r="A404" s="132"/>
      <c r="B404" s="675"/>
      <c r="C404" s="132"/>
      <c r="D404" s="135"/>
      <c r="E404" s="135"/>
      <c r="F404" s="135"/>
      <c r="G404" s="30"/>
    </row>
    <row r="405" spans="1:7" ht="14.25">
      <c r="A405" s="261"/>
      <c r="B405" s="678" t="s">
        <v>316</v>
      </c>
      <c r="C405" s="266"/>
      <c r="D405" s="1894" t="s">
        <v>1321</v>
      </c>
      <c r="E405" s="1894"/>
      <c r="F405" s="1894"/>
    </row>
    <row r="406" spans="1:7">
      <c r="D406" s="1911" t="s">
        <v>1085</v>
      </c>
      <c r="E406" s="1911"/>
      <c r="F406" s="1911"/>
    </row>
    <row r="407" spans="1:7">
      <c r="D407" s="1895" t="s">
        <v>1322</v>
      </c>
      <c r="E407" s="1895"/>
      <c r="F407" s="1895"/>
    </row>
    <row r="408" spans="1:7">
      <c r="D408" s="1895"/>
      <c r="E408" s="1895"/>
      <c r="F408" s="1895"/>
    </row>
    <row r="409" spans="1:7">
      <c r="D409" s="1895"/>
      <c r="E409" s="1895"/>
      <c r="F409" s="1895"/>
    </row>
    <row r="410" spans="1:7">
      <c r="D410" s="1895"/>
      <c r="E410" s="1895"/>
      <c r="F410" s="1895"/>
    </row>
    <row r="411" spans="1:7">
      <c r="D411" s="135"/>
      <c r="E411" s="135"/>
      <c r="F411" s="135"/>
      <c r="G411" s="12"/>
    </row>
    <row r="412" spans="1:7" ht="14.25">
      <c r="A412" s="261"/>
      <c r="B412" s="678" t="s">
        <v>316</v>
      </c>
      <c r="C412" s="266"/>
      <c r="D412" s="1881" t="s">
        <v>1323</v>
      </c>
      <c r="E412" s="1881"/>
      <c r="F412" s="1881"/>
      <c r="G412" s="12"/>
    </row>
    <row r="413" spans="1:7">
      <c r="D413" s="1881"/>
      <c r="E413" s="1881"/>
      <c r="F413" s="1881"/>
      <c r="G413" s="12"/>
    </row>
    <row r="414" spans="1:7">
      <c r="D414" s="1881"/>
      <c r="E414" s="1881"/>
      <c r="F414" s="1881"/>
      <c r="G414" s="12"/>
    </row>
    <row r="415" spans="1:7" s="718" customFormat="1">
      <c r="A415" s="730"/>
      <c r="B415" s="730"/>
      <c r="C415" s="730"/>
      <c r="D415" s="727"/>
      <c r="E415" s="727"/>
      <c r="F415" s="727"/>
    </row>
    <row r="416" spans="1:7" ht="14.25">
      <c r="B416" s="678" t="s">
        <v>316</v>
      </c>
      <c r="C416" s="261"/>
      <c r="D416" s="1895" t="s">
        <v>1324</v>
      </c>
      <c r="E416" s="1895"/>
      <c r="F416" s="1895"/>
      <c r="G416" s="12"/>
    </row>
    <row r="417" spans="1:7">
      <c r="D417" s="1895"/>
      <c r="E417" s="1895"/>
      <c r="F417" s="1895"/>
      <c r="G417" s="12"/>
    </row>
    <row r="418" spans="1:7">
      <c r="D418" s="135"/>
      <c r="E418" s="135"/>
      <c r="F418" s="135"/>
      <c r="G418" s="12"/>
    </row>
    <row r="419" spans="1:7" ht="14.25">
      <c r="B419" s="678" t="s">
        <v>316</v>
      </c>
      <c r="C419" s="261"/>
      <c r="D419" s="1895" t="s">
        <v>1325</v>
      </c>
      <c r="E419" s="1895"/>
      <c r="F419" s="1895"/>
      <c r="G419" s="12"/>
    </row>
    <row r="420" spans="1:7">
      <c r="D420" s="1895"/>
      <c r="E420" s="1895"/>
      <c r="F420" s="1895"/>
      <c r="G420" s="12"/>
    </row>
    <row r="421" spans="1:7">
      <c r="D421" s="1895"/>
      <c r="E421" s="1895"/>
      <c r="F421" s="1895"/>
      <c r="G421" s="12"/>
    </row>
    <row r="422" spans="1:7">
      <c r="D422" s="1895"/>
      <c r="E422" s="1895"/>
      <c r="F422" s="1895"/>
      <c r="G422" s="12"/>
    </row>
    <row r="423" spans="1:7">
      <c r="B423" s="678" t="s">
        <v>316</v>
      </c>
      <c r="D423" s="1895"/>
      <c r="E423" s="1895"/>
      <c r="F423" s="1895"/>
      <c r="G423" s="12"/>
    </row>
    <row r="424" spans="1:7">
      <c r="A424" s="12"/>
      <c r="B424" s="12"/>
      <c r="C424" s="12"/>
      <c r="D424" s="1895"/>
      <c r="E424" s="1895"/>
      <c r="F424" s="1895"/>
      <c r="G424" s="12"/>
    </row>
    <row r="425" spans="1:7">
      <c r="A425" s="12"/>
      <c r="C425" s="12"/>
      <c r="D425" s="1895"/>
      <c r="E425" s="1895"/>
      <c r="F425" s="1895"/>
      <c r="G425" s="12"/>
    </row>
    <row r="426" spans="1:7">
      <c r="A426" s="12"/>
      <c r="B426" s="678" t="s">
        <v>316</v>
      </c>
      <c r="C426" s="12"/>
      <c r="D426" s="1895"/>
      <c r="E426" s="1895"/>
      <c r="F426" s="1895"/>
      <c r="G426" s="12"/>
    </row>
    <row r="427" spans="1:7">
      <c r="A427" s="12"/>
      <c r="B427" s="12"/>
      <c r="C427" s="12"/>
      <c r="D427" s="1895"/>
      <c r="E427" s="1895"/>
      <c r="F427" s="1895"/>
      <c r="G427" s="12"/>
    </row>
    <row r="428" spans="1:7">
      <c r="A428" s="12"/>
      <c r="C428" s="12"/>
      <c r="D428" s="1895"/>
      <c r="E428" s="1895"/>
      <c r="F428" s="1895"/>
      <c r="G428" s="12"/>
    </row>
    <row r="429" spans="1:7">
      <c r="A429" s="12"/>
      <c r="C429" s="12"/>
      <c r="D429" s="1895"/>
      <c r="E429" s="1895"/>
      <c r="F429" s="1895"/>
      <c r="G429" s="12"/>
    </row>
    <row r="430" spans="1:7">
      <c r="A430" s="12"/>
      <c r="B430" s="678" t="s">
        <v>316</v>
      </c>
      <c r="C430" s="12"/>
      <c r="D430" s="1895"/>
      <c r="E430" s="1895"/>
      <c r="F430" s="1895"/>
      <c r="G430" s="12"/>
    </row>
    <row r="431" spans="1:7">
      <c r="A431" s="12"/>
      <c r="B431" s="12"/>
      <c r="C431" s="12"/>
      <c r="D431" s="1895"/>
      <c r="E431" s="1895"/>
      <c r="F431" s="1895"/>
      <c r="G431" s="12"/>
    </row>
    <row r="432" spans="1:7">
      <c r="A432" s="12"/>
      <c r="B432" s="678" t="s">
        <v>316</v>
      </c>
      <c r="C432" s="12"/>
      <c r="D432" s="1895"/>
      <c r="E432" s="1895"/>
      <c r="F432" s="1895"/>
      <c r="G432" s="12"/>
    </row>
    <row r="433" spans="1:7" s="718" customFormat="1">
      <c r="D433" s="728"/>
      <c r="E433" s="728"/>
      <c r="F433" s="728"/>
    </row>
    <row r="434" spans="1:7">
      <c r="A434" s="12"/>
      <c r="B434" s="717" t="s">
        <v>316</v>
      </c>
      <c r="C434" s="12"/>
      <c r="D434" s="1895" t="s">
        <v>1326</v>
      </c>
      <c r="E434" s="1895"/>
      <c r="F434" s="1895"/>
      <c r="G434" s="12"/>
    </row>
    <row r="435" spans="1:7">
      <c r="A435" s="12"/>
      <c r="B435" s="12"/>
      <c r="C435" s="12"/>
      <c r="D435" s="1895"/>
      <c r="E435" s="1895"/>
      <c r="F435" s="1895"/>
      <c r="G435" s="12"/>
    </row>
    <row r="436" spans="1:7">
      <c r="A436" s="12"/>
      <c r="B436" s="12"/>
      <c r="C436" s="12"/>
      <c r="D436" s="1895"/>
      <c r="E436" s="1895"/>
      <c r="F436" s="1895"/>
      <c r="G436" s="12"/>
    </row>
    <row r="437" spans="1:7">
      <c r="A437" s="12"/>
      <c r="B437" s="12"/>
      <c r="C437" s="12"/>
      <c r="D437" s="1895"/>
      <c r="E437" s="1895"/>
      <c r="F437" s="1895"/>
      <c r="G437" s="12"/>
    </row>
    <row r="438" spans="1:7">
      <c r="D438" s="1895"/>
      <c r="E438" s="1895"/>
      <c r="F438" s="1895"/>
    </row>
    <row r="439" spans="1:7">
      <c r="D439" s="135"/>
      <c r="E439" s="135"/>
      <c r="F439" s="135"/>
    </row>
    <row r="440" spans="1:7">
      <c r="B440" s="678" t="s">
        <v>316</v>
      </c>
      <c r="D440" s="1896" t="s">
        <v>1327</v>
      </c>
      <c r="E440" s="1896"/>
      <c r="F440" s="1896"/>
    </row>
    <row r="441" spans="1:7">
      <c r="A441" s="135"/>
      <c r="B441" s="135"/>
    </row>
    <row r="442" spans="1:7">
      <c r="A442" s="1901" t="s">
        <v>1168</v>
      </c>
      <c r="B442" s="1901"/>
      <c r="C442" s="1901"/>
      <c r="D442" s="1901"/>
      <c r="E442" s="1901"/>
      <c r="F442" s="1901"/>
      <c r="G442" s="1901"/>
    </row>
    <row r="443" spans="1:7">
      <c r="A443" s="135"/>
      <c r="B443" s="135"/>
    </row>
    <row r="444" spans="1:7">
      <c r="D444" s="1897" t="s">
        <v>948</v>
      </c>
      <c r="E444" s="1897"/>
      <c r="F444" s="1897"/>
    </row>
    <row r="445" spans="1:7" s="39" customFormat="1" ht="14.25">
      <c r="A445" s="402"/>
      <c r="B445" s="402"/>
      <c r="C445" s="273"/>
      <c r="D445" s="1898" t="s">
        <v>1328</v>
      </c>
      <c r="E445" s="1898"/>
      <c r="F445" s="1898"/>
      <c r="G445" s="130"/>
    </row>
    <row r="446" spans="1:7" s="39" customFormat="1" ht="14.25">
      <c r="A446" s="402"/>
      <c r="B446" s="402"/>
      <c r="C446" s="273"/>
      <c r="D446" s="731"/>
      <c r="E446" s="6"/>
      <c r="F446" s="6"/>
      <c r="G446" s="130"/>
    </row>
    <row r="447" spans="1:7" s="39" customFormat="1" ht="14.25">
      <c r="A447" s="261"/>
      <c r="B447" s="678" t="s">
        <v>316</v>
      </c>
      <c r="C447" s="273"/>
      <c r="D447" s="1899" t="s">
        <v>1329</v>
      </c>
      <c r="E447" s="1899"/>
      <c r="F447" s="1899"/>
      <c r="G447" s="130"/>
    </row>
    <row r="448" spans="1:7" s="39" customFormat="1" ht="14.25">
      <c r="A448" s="261"/>
      <c r="B448" s="261"/>
      <c r="C448" s="273"/>
      <c r="D448" s="1899"/>
      <c r="E448" s="1899"/>
      <c r="F448" s="1899"/>
      <c r="G448" s="130"/>
    </row>
    <row r="449" spans="1:7" s="39" customFormat="1" ht="14.25">
      <c r="A449" s="261"/>
      <c r="B449" s="261"/>
      <c r="C449" s="273"/>
      <c r="D449" s="729"/>
      <c r="E449" s="6"/>
      <c r="F449" s="6"/>
      <c r="G449" s="130"/>
    </row>
    <row r="450" spans="1:7">
      <c r="B450" s="678" t="s">
        <v>316</v>
      </c>
      <c r="D450" s="1900" t="s">
        <v>1330</v>
      </c>
      <c r="E450" s="1900"/>
      <c r="F450" s="1900"/>
    </row>
    <row r="451" spans="1:7" ht="14.25">
      <c r="A451" s="261"/>
      <c r="D451" s="1900"/>
      <c r="E451" s="1900"/>
      <c r="F451" s="1900"/>
    </row>
    <row r="452" spans="1:7" ht="14.25">
      <c r="A452" s="261"/>
      <c r="B452" s="261"/>
      <c r="D452" s="1900"/>
      <c r="E452" s="1900"/>
      <c r="F452" s="1900"/>
    </row>
    <row r="453" spans="1:7" ht="14.25">
      <c r="A453" s="261"/>
      <c r="B453" s="261"/>
      <c r="D453" s="1900"/>
      <c r="E453" s="1900"/>
      <c r="F453" s="1900"/>
    </row>
    <row r="454" spans="1:7">
      <c r="D454" s="677"/>
      <c r="E454" s="677"/>
      <c r="F454" s="677"/>
      <c r="G454" s="12"/>
    </row>
    <row r="455" spans="1:7" ht="14.25">
      <c r="A455" s="261"/>
      <c r="B455" s="678" t="s">
        <v>316</v>
      </c>
      <c r="D455" s="1882" t="s">
        <v>1331</v>
      </c>
      <c r="E455" s="1882"/>
      <c r="F455" s="1882"/>
      <c r="G455" s="12"/>
    </row>
    <row r="456" spans="1:7" ht="14.25">
      <c r="A456" s="261"/>
      <c r="B456" s="261"/>
      <c r="D456" s="1882"/>
      <c r="E456" s="1882"/>
      <c r="F456" s="1882"/>
      <c r="G456" s="12"/>
    </row>
    <row r="457" spans="1:7" ht="14.25">
      <c r="A457" s="261"/>
      <c r="D457" s="1882"/>
      <c r="E457" s="1882"/>
      <c r="F457" s="1882"/>
      <c r="G457" s="12"/>
    </row>
    <row r="458" spans="1:7" ht="14.25">
      <c r="A458" s="261"/>
      <c r="B458" s="261"/>
      <c r="D458" s="677"/>
      <c r="E458" s="677"/>
      <c r="F458" s="677"/>
      <c r="G458" s="12"/>
    </row>
    <row r="459" spans="1:7" ht="14.25">
      <c r="A459" s="261"/>
      <c r="B459" s="717" t="s">
        <v>316</v>
      </c>
      <c r="D459" s="1894" t="s">
        <v>1332</v>
      </c>
      <c r="E459" s="1894"/>
      <c r="F459" s="1894"/>
      <c r="G459" s="12"/>
    </row>
    <row r="460" spans="1:7" ht="14.25">
      <c r="A460" s="261"/>
      <c r="B460" s="261"/>
      <c r="D460" s="729"/>
      <c r="E460" s="6"/>
      <c r="F460" s="6"/>
      <c r="G460" s="12"/>
    </row>
    <row r="461" spans="1:7" ht="14.25">
      <c r="A461" s="261"/>
      <c r="B461" s="678" t="s">
        <v>316</v>
      </c>
      <c r="D461" s="1881" t="s">
        <v>1333</v>
      </c>
      <c r="E461" s="1881"/>
      <c r="F461" s="1881"/>
      <c r="G461" s="12"/>
    </row>
    <row r="462" spans="1:7" ht="14.25">
      <c r="A462" s="261"/>
      <c r="D462" s="1881"/>
      <c r="E462" s="1881"/>
      <c r="F462" s="1881"/>
      <c r="G462" s="12"/>
    </row>
    <row r="463" spans="1:7">
      <c r="A463" s="23"/>
      <c r="B463" s="674"/>
      <c r="D463" s="732"/>
      <c r="E463" s="6"/>
      <c r="F463" s="6"/>
      <c r="G463" s="12"/>
    </row>
    <row r="464" spans="1:7">
      <c r="A464" s="23"/>
      <c r="B464" s="717" t="s">
        <v>316</v>
      </c>
      <c r="D464" s="1894" t="s">
        <v>1334</v>
      </c>
      <c r="E464" s="1894"/>
      <c r="F464" s="1894"/>
      <c r="G464" s="12"/>
    </row>
    <row r="465" spans="1:7" ht="14.25">
      <c r="A465" s="261"/>
      <c r="B465" s="261"/>
      <c r="D465" s="135"/>
    </row>
    <row r="466" spans="1:7">
      <c r="A466" s="1901" t="s">
        <v>1169</v>
      </c>
      <c r="B466" s="1901"/>
      <c r="C466" s="1901"/>
      <c r="D466" s="1901"/>
      <c r="E466" s="1901"/>
      <c r="F466" s="1901"/>
      <c r="G466" s="1901"/>
    </row>
    <row r="467" spans="1:7" customFormat="1" ht="12" customHeight="1">
      <c r="A467" s="261"/>
      <c r="B467" s="261"/>
      <c r="C467" s="10"/>
      <c r="D467" s="151"/>
      <c r="E467" s="149"/>
      <c r="F467" s="149"/>
      <c r="G467" s="149"/>
    </row>
    <row r="468" spans="1:7" customFormat="1">
      <c r="A468" s="273"/>
      <c r="B468" s="273"/>
      <c r="C468" s="312"/>
      <c r="D468" s="1902" t="s">
        <v>851</v>
      </c>
      <c r="E468" s="1902"/>
      <c r="F468" s="1902"/>
      <c r="G468" s="182"/>
    </row>
    <row r="469" spans="1:7" customFormat="1" ht="13.15" customHeight="1">
      <c r="A469" s="260"/>
      <c r="B469" s="260"/>
      <c r="C469" s="313"/>
      <c r="D469" s="1903" t="s">
        <v>1212</v>
      </c>
      <c r="E469" s="1903"/>
      <c r="F469" s="1903"/>
      <c r="G469" s="149"/>
    </row>
    <row r="470" spans="1:7" customFormat="1">
      <c r="A470" s="260"/>
      <c r="B470" s="260"/>
      <c r="C470" s="313"/>
      <c r="D470" s="1903"/>
      <c r="E470" s="1903"/>
      <c r="F470" s="1903"/>
      <c r="G470" s="149"/>
    </row>
    <row r="471" spans="1:7" customFormat="1">
      <c r="A471" s="260"/>
      <c r="B471" s="260"/>
      <c r="C471" s="313"/>
      <c r="D471" s="1903"/>
      <c r="E471" s="1903"/>
      <c r="F471" s="1903"/>
      <c r="G471" s="149"/>
    </row>
    <row r="472" spans="1:7" customFormat="1">
      <c r="A472" s="260"/>
      <c r="B472" s="260"/>
      <c r="C472" s="313"/>
      <c r="D472" s="1903"/>
      <c r="E472" s="1903"/>
      <c r="F472" s="1903"/>
      <c r="G472" s="149"/>
    </row>
    <row r="473" spans="1:7" customFormat="1">
      <c r="A473" s="260"/>
      <c r="B473" s="260"/>
      <c r="C473" s="313"/>
      <c r="D473" s="1903"/>
      <c r="E473" s="1903"/>
      <c r="F473" s="1903"/>
      <c r="G473" s="149"/>
    </row>
    <row r="474" spans="1:7" customFormat="1">
      <c r="A474" s="260"/>
      <c r="B474" s="260"/>
      <c r="C474" s="313"/>
      <c r="D474" s="470"/>
      <c r="E474" s="149"/>
      <c r="F474" s="151"/>
      <c r="G474" s="149"/>
    </row>
    <row r="475" spans="1:7" customFormat="1" ht="14.45" customHeight="1">
      <c r="A475" s="261"/>
      <c r="B475" s="678" t="s">
        <v>316</v>
      </c>
      <c r="C475" s="313"/>
      <c r="D475" s="1943" t="s">
        <v>1203</v>
      </c>
      <c r="E475" s="1943"/>
      <c r="F475" s="1943"/>
      <c r="G475" s="149"/>
    </row>
    <row r="476" spans="1:7" customFormat="1">
      <c r="A476" s="260"/>
      <c r="B476" s="260"/>
      <c r="C476" s="313"/>
      <c r="D476" s="1943"/>
      <c r="E476" s="1943"/>
      <c r="F476" s="1943"/>
      <c r="G476" s="149"/>
    </row>
    <row r="477" spans="1:7" s="679" customFormat="1">
      <c r="A477" s="260"/>
      <c r="B477" s="260"/>
      <c r="C477" s="313"/>
      <c r="D477" s="1943"/>
      <c r="E477" s="1943"/>
      <c r="F477" s="1943"/>
      <c r="G477" s="149"/>
    </row>
    <row r="478" spans="1:7" s="679" customFormat="1">
      <c r="A478" s="260"/>
      <c r="B478" s="260"/>
      <c r="C478" s="313"/>
      <c r="D478" s="1943"/>
      <c r="E478" s="1943"/>
      <c r="F478" s="1943"/>
      <c r="G478" s="149"/>
    </row>
    <row r="479" spans="1:7" customFormat="1">
      <c r="A479" s="260"/>
      <c r="B479" s="260"/>
      <c r="C479" s="313"/>
      <c r="D479" s="1943"/>
      <c r="E479" s="1943"/>
      <c r="F479" s="1943"/>
      <c r="G479" s="149"/>
    </row>
    <row r="480" spans="1:7" customFormat="1">
      <c r="A480" s="260"/>
      <c r="B480" s="260"/>
      <c r="C480" s="313"/>
      <c r="D480" s="442"/>
      <c r="E480" s="149"/>
      <c r="F480" s="151"/>
      <c r="G480" s="149"/>
    </row>
    <row r="481" spans="1:7" customFormat="1" ht="14.45" customHeight="1">
      <c r="A481" s="261"/>
      <c r="B481" s="678" t="s">
        <v>316</v>
      </c>
      <c r="C481" s="313"/>
      <c r="D481" s="1943" t="s">
        <v>1206</v>
      </c>
      <c r="E481" s="1943"/>
      <c r="F481" s="1943"/>
      <c r="G481" s="149"/>
    </row>
    <row r="482" spans="1:7" customFormat="1">
      <c r="A482" s="260"/>
      <c r="B482" s="260"/>
      <c r="C482" s="313"/>
      <c r="D482" s="1943"/>
      <c r="E482" s="1943"/>
      <c r="F482" s="1943"/>
      <c r="G482" s="149"/>
    </row>
    <row r="483" spans="1:7" s="679" customFormat="1">
      <c r="A483" s="260"/>
      <c r="B483" s="260"/>
      <c r="C483" s="313"/>
      <c r="D483" s="1943"/>
      <c r="E483" s="1943"/>
      <c r="F483" s="1943"/>
      <c r="G483" s="149"/>
    </row>
    <row r="484" spans="1:7" customFormat="1">
      <c r="A484" s="260"/>
      <c r="B484" s="260"/>
      <c r="C484" s="313"/>
      <c r="D484" s="1943"/>
      <c r="E484" s="1943"/>
      <c r="F484" s="1943"/>
      <c r="G484" s="149"/>
    </row>
    <row r="485" spans="1:7" customFormat="1" ht="9.9499999999999993" customHeight="1">
      <c r="A485" s="260"/>
      <c r="B485" s="260"/>
      <c r="C485" s="313"/>
      <c r="D485" s="442"/>
      <c r="E485" s="149"/>
      <c r="F485" s="151"/>
      <c r="G485" s="149"/>
    </row>
    <row r="486" spans="1:7" customFormat="1" ht="14.45" customHeight="1">
      <c r="A486" s="261"/>
      <c r="B486" s="678" t="s">
        <v>316</v>
      </c>
      <c r="C486" s="313"/>
      <c r="D486" s="1943" t="s">
        <v>1204</v>
      </c>
      <c r="E486" s="1943"/>
      <c r="F486" s="1943"/>
      <c r="G486" s="149"/>
    </row>
    <row r="487" spans="1:7" customFormat="1">
      <c r="A487" s="260"/>
      <c r="B487" s="260"/>
      <c r="C487" s="313"/>
      <c r="D487" s="1943"/>
      <c r="E487" s="1943"/>
      <c r="F487" s="1943"/>
      <c r="G487" s="149"/>
    </row>
    <row r="488" spans="1:7" customFormat="1">
      <c r="A488" s="260"/>
      <c r="B488" s="260"/>
      <c r="C488" s="313"/>
      <c r="D488" s="1943"/>
      <c r="E488" s="1943"/>
      <c r="F488" s="1943"/>
      <c r="G488" s="149"/>
    </row>
    <row r="489" spans="1:7" s="679" customFormat="1">
      <c r="A489" s="260"/>
      <c r="B489" s="260"/>
      <c r="C489" s="313"/>
      <c r="D489" s="699"/>
      <c r="E489" s="699"/>
      <c r="F489" s="699"/>
      <c r="G489" s="149"/>
    </row>
    <row r="490" spans="1:7" customFormat="1" ht="14.45" customHeight="1">
      <c r="A490" s="261"/>
      <c r="B490" s="678" t="s">
        <v>316</v>
      </c>
      <c r="C490" s="313"/>
      <c r="D490" s="1943" t="s">
        <v>1205</v>
      </c>
      <c r="E490" s="1943"/>
      <c r="F490" s="1943"/>
      <c r="G490" s="149"/>
    </row>
    <row r="491" spans="1:7" customFormat="1">
      <c r="A491" s="260"/>
      <c r="B491" s="260"/>
      <c r="C491" s="313"/>
      <c r="D491" s="1943"/>
      <c r="E491" s="1943"/>
      <c r="F491" s="1943"/>
      <c r="G491" s="149"/>
    </row>
    <row r="492" spans="1:7" customFormat="1">
      <c r="A492" s="260"/>
      <c r="B492" s="260"/>
      <c r="C492" s="313"/>
      <c r="D492" s="1943"/>
      <c r="E492" s="1943"/>
      <c r="F492" s="1943"/>
      <c r="G492" s="149"/>
    </row>
    <row r="493" spans="1:7" customFormat="1">
      <c r="A493" s="260"/>
      <c r="B493" s="260"/>
      <c r="C493" s="313"/>
      <c r="D493" s="1943"/>
      <c r="E493" s="1943"/>
      <c r="F493" s="1943"/>
      <c r="G493" s="149"/>
    </row>
    <row r="494" spans="1:7" customFormat="1">
      <c r="A494" s="260"/>
      <c r="B494" s="260"/>
      <c r="C494" s="313"/>
      <c r="D494" s="1943"/>
      <c r="E494" s="1943"/>
      <c r="F494" s="1943"/>
      <c r="G494" s="149"/>
    </row>
    <row r="495" spans="1:7" customFormat="1">
      <c r="A495" s="260"/>
      <c r="B495" s="260"/>
      <c r="C495" s="313"/>
      <c r="D495" s="1943"/>
      <c r="E495" s="1943"/>
      <c r="F495" s="1943"/>
      <c r="G495" s="149"/>
    </row>
    <row r="496" spans="1:7" customFormat="1">
      <c r="A496" s="260"/>
      <c r="B496" s="260"/>
      <c r="C496" s="313"/>
      <c r="D496" s="1943"/>
      <c r="E496" s="1943"/>
      <c r="F496" s="1943"/>
      <c r="G496" s="149"/>
    </row>
    <row r="497" spans="1:7" customFormat="1">
      <c r="A497" s="486"/>
      <c r="B497" s="486"/>
      <c r="C497" s="485"/>
      <c r="D497" s="1943"/>
      <c r="E497" s="1943"/>
      <c r="F497" s="1943"/>
      <c r="G497" s="149"/>
    </row>
    <row r="498" spans="1:7" customFormat="1">
      <c r="A498" s="486"/>
      <c r="B498" s="486"/>
      <c r="C498" s="485"/>
      <c r="D498" s="1943"/>
      <c r="E498" s="1943"/>
      <c r="F498" s="1943"/>
      <c r="G498" s="149"/>
    </row>
    <row r="499" spans="1:7" customFormat="1">
      <c r="A499" s="486"/>
      <c r="B499" s="486"/>
      <c r="C499" s="485"/>
      <c r="D499" s="442"/>
      <c r="E499" s="149"/>
      <c r="F499" s="151"/>
      <c r="G499" s="149"/>
    </row>
    <row r="500" spans="1:7" customFormat="1" ht="13.15" customHeight="1">
      <c r="A500" s="486"/>
      <c r="B500" s="678" t="s">
        <v>316</v>
      </c>
      <c r="C500" s="485"/>
      <c r="D500" s="1893" t="s">
        <v>1349</v>
      </c>
      <c r="E500" s="1893"/>
      <c r="F500" s="1893"/>
      <c r="G500" s="149"/>
    </row>
    <row r="501" spans="1:7" customFormat="1">
      <c r="A501" s="486"/>
      <c r="B501" s="486"/>
      <c r="C501" s="485"/>
      <c r="D501" s="1893"/>
      <c r="E501" s="1893"/>
      <c r="F501" s="1893"/>
      <c r="G501" s="149"/>
    </row>
    <row r="502" spans="1:7" customFormat="1">
      <c r="A502" s="486"/>
      <c r="B502" s="486"/>
      <c r="C502" s="485"/>
      <c r="D502" s="1893"/>
      <c r="E502" s="1893"/>
      <c r="F502" s="1893"/>
      <c r="G502" s="149"/>
    </row>
    <row r="503" spans="1:7" customFormat="1">
      <c r="A503" s="486"/>
      <c r="B503" s="486"/>
      <c r="C503" s="485"/>
      <c r="D503" s="1893"/>
      <c r="E503" s="1893"/>
      <c r="F503" s="1893"/>
      <c r="G503" s="149"/>
    </row>
    <row r="504" spans="1:7" customFormat="1">
      <c r="A504" s="260"/>
      <c r="B504" s="260"/>
      <c r="C504" s="313"/>
      <c r="D504" s="1893"/>
      <c r="E504" s="1893"/>
      <c r="F504" s="1893"/>
      <c r="G504" s="149"/>
    </row>
    <row r="505" spans="1:7" s="716" customFormat="1">
      <c r="A505" s="719"/>
      <c r="B505" s="719"/>
      <c r="C505" s="313"/>
      <c r="D505" s="740"/>
      <c r="E505" s="740"/>
      <c r="F505" s="740"/>
      <c r="G505" s="149"/>
    </row>
    <row r="506" spans="1:7" customFormat="1" ht="14.45" customHeight="1">
      <c r="A506" s="261"/>
      <c r="B506" s="678" t="s">
        <v>316</v>
      </c>
      <c r="C506" s="10"/>
      <c r="D506" s="1943" t="s">
        <v>1207</v>
      </c>
      <c r="E506" s="1943"/>
      <c r="F506" s="1943"/>
      <c r="G506" s="149"/>
    </row>
    <row r="507" spans="1:7" customFormat="1">
      <c r="A507" s="132"/>
      <c r="B507" s="675"/>
      <c r="C507" s="10"/>
      <c r="D507" s="1943"/>
      <c r="E507" s="1943"/>
      <c r="F507" s="1943"/>
      <c r="G507" s="149"/>
    </row>
    <row r="508" spans="1:7" customFormat="1">
      <c r="A508" s="132"/>
      <c r="B508" s="675"/>
      <c r="C508" s="10"/>
      <c r="D508" s="1943"/>
      <c r="E508" s="1943"/>
      <c r="F508" s="1943"/>
      <c r="G508" s="149"/>
    </row>
    <row r="509" spans="1:7" customFormat="1" ht="12" customHeight="1">
      <c r="A509" s="135"/>
      <c r="B509" s="135"/>
      <c r="C509" s="315"/>
      <c r="D509" s="135"/>
      <c r="E509" s="149"/>
      <c r="F509" s="314"/>
      <c r="G509" s="149"/>
    </row>
    <row r="510" spans="1:7">
      <c r="A510" s="1901" t="s">
        <v>1170</v>
      </c>
      <c r="B510" s="1901"/>
      <c r="C510" s="1901"/>
      <c r="D510" s="1901"/>
      <c r="E510" s="1901"/>
      <c r="F510" s="1901"/>
      <c r="G510" s="1901"/>
    </row>
    <row r="511" spans="1:7">
      <c r="A511" s="135"/>
      <c r="B511" s="135"/>
      <c r="C511" s="266"/>
      <c r="F511" s="134"/>
    </row>
    <row r="512" spans="1:7">
      <c r="B512" s="1929" t="s">
        <v>470</v>
      </c>
      <c r="C512" s="1929"/>
      <c r="D512" s="1929"/>
      <c r="E512" s="1929"/>
      <c r="F512" s="1929"/>
    </row>
    <row r="513" spans="1:7">
      <c r="A513" s="135"/>
      <c r="B513" s="135"/>
      <c r="C513" s="266"/>
      <c r="D513" s="135"/>
      <c r="F513" s="135"/>
    </row>
    <row r="514" spans="1:7">
      <c r="A514" s="1951" t="s">
        <v>1171</v>
      </c>
      <c r="B514" s="1951"/>
      <c r="C514" s="1951"/>
      <c r="D514" s="1951"/>
      <c r="E514" s="1951"/>
      <c r="F514" s="1951"/>
      <c r="G514" s="1951"/>
    </row>
    <row r="515" spans="1:7">
      <c r="A515" s="135"/>
      <c r="B515" s="135"/>
      <c r="C515" s="266"/>
      <c r="D515" s="135"/>
      <c r="F515" s="135"/>
    </row>
    <row r="516" spans="1:7">
      <c r="C516" s="266"/>
      <c r="D516" s="1904" t="s">
        <v>720</v>
      </c>
      <c r="E516" s="1904"/>
      <c r="F516" s="1904"/>
    </row>
    <row r="517" spans="1:7" s="681" customFormat="1">
      <c r="A517" s="698"/>
      <c r="B517" s="698"/>
      <c r="C517" s="266"/>
      <c r="D517" s="1894" t="s">
        <v>1228</v>
      </c>
      <c r="E517" s="1894"/>
      <c r="F517" s="1894"/>
      <c r="G517" s="7"/>
    </row>
    <row r="518" spans="1:7" s="681" customFormat="1">
      <c r="A518" s="698"/>
      <c r="B518" s="698"/>
      <c r="C518" s="266"/>
      <c r="D518" s="703"/>
      <c r="E518" s="703"/>
      <c r="F518" s="703"/>
      <c r="G518" s="7"/>
    </row>
    <row r="519" spans="1:7" ht="13.15" customHeight="1">
      <c r="A519" s="261"/>
      <c r="B519" s="678" t="s">
        <v>316</v>
      </c>
      <c r="C519" s="266"/>
      <c r="D519" s="1894" t="s">
        <v>949</v>
      </c>
      <c r="E519" s="1894"/>
      <c r="F519" s="1894"/>
      <c r="G519" s="12"/>
    </row>
    <row r="520" spans="1:7" ht="13.15" customHeight="1">
      <c r="A520" s="266"/>
      <c r="B520" s="266"/>
      <c r="C520" s="266"/>
      <c r="D520" s="703"/>
      <c r="E520" s="676"/>
      <c r="F520" s="676"/>
      <c r="G520" s="12"/>
    </row>
    <row r="521" spans="1:7" ht="14.25">
      <c r="A521" s="261"/>
      <c r="B521" s="678" t="s">
        <v>316</v>
      </c>
      <c r="C521" s="266"/>
      <c r="D521" s="1881" t="s">
        <v>1229</v>
      </c>
      <c r="E521" s="1881"/>
      <c r="F521" s="1881"/>
      <c r="G521" s="12"/>
    </row>
    <row r="522" spans="1:7">
      <c r="A522" s="266"/>
      <c r="B522" s="266"/>
      <c r="C522" s="266"/>
      <c r="D522" s="1881"/>
      <c r="E522" s="1881"/>
      <c r="F522" s="1881"/>
      <c r="G522" s="12"/>
    </row>
    <row r="523" spans="1:7">
      <c r="A523" s="266"/>
      <c r="B523" s="266"/>
      <c r="C523" s="266"/>
      <c r="D523" s="135"/>
      <c r="E523" s="135"/>
      <c r="F523" s="135"/>
      <c r="G523" s="12"/>
    </row>
    <row r="524" spans="1:7" ht="14.25">
      <c r="A524" s="261"/>
      <c r="B524" s="678" t="s">
        <v>316</v>
      </c>
      <c r="C524" s="266"/>
      <c r="D524" s="1881" t="s">
        <v>1230</v>
      </c>
      <c r="E524" s="1881"/>
      <c r="F524" s="1881"/>
      <c r="G524" s="12"/>
    </row>
    <row r="525" spans="1:7">
      <c r="A525" s="266"/>
      <c r="B525" s="266"/>
      <c r="C525" s="266"/>
      <c r="D525" s="1881"/>
      <c r="E525" s="1881"/>
      <c r="F525" s="1881"/>
      <c r="G525" s="12"/>
    </row>
    <row r="526" spans="1:7">
      <c r="A526" s="266"/>
      <c r="B526" s="266"/>
      <c r="C526" s="266"/>
      <c r="D526" s="135"/>
      <c r="E526" s="135"/>
      <c r="F526" s="135"/>
      <c r="G526" s="12"/>
    </row>
    <row r="527" spans="1:7" ht="14.25">
      <c r="A527" s="261"/>
      <c r="B527" s="678" t="s">
        <v>316</v>
      </c>
      <c r="C527" s="266"/>
      <c r="D527" s="1881" t="s">
        <v>1231</v>
      </c>
      <c r="E527" s="1881"/>
      <c r="F527" s="1881"/>
      <c r="G527" s="12"/>
    </row>
    <row r="528" spans="1:7">
      <c r="A528" s="266"/>
      <c r="B528" s="266"/>
      <c r="C528" s="266"/>
      <c r="D528" s="1881"/>
      <c r="E528" s="1881"/>
      <c r="F528" s="1881"/>
      <c r="G528" s="12"/>
    </row>
    <row r="529" spans="1:7">
      <c r="A529" s="266"/>
      <c r="B529" s="266"/>
      <c r="C529" s="266"/>
      <c r="D529" s="135"/>
      <c r="E529" s="135"/>
      <c r="F529" s="135"/>
      <c r="G529" s="12"/>
    </row>
    <row r="530" spans="1:7" ht="14.25">
      <c r="A530" s="261"/>
      <c r="B530" s="678" t="s">
        <v>316</v>
      </c>
      <c r="C530" s="266"/>
      <c r="D530" s="1881" t="s">
        <v>1232</v>
      </c>
      <c r="E530" s="1881"/>
      <c r="F530" s="1881"/>
      <c r="G530" s="12"/>
    </row>
    <row r="531" spans="1:7">
      <c r="A531" s="266"/>
      <c r="B531" s="266"/>
      <c r="C531" s="266"/>
      <c r="D531" s="1881"/>
      <c r="E531" s="1881"/>
      <c r="F531" s="1881"/>
      <c r="G531" s="12"/>
    </row>
    <row r="532" spans="1:7">
      <c r="A532" s="266"/>
      <c r="B532" s="266"/>
      <c r="C532" s="266"/>
      <c r="D532" s="1881"/>
      <c r="E532" s="1881"/>
      <c r="F532" s="1881"/>
      <c r="G532" s="12"/>
    </row>
    <row r="533" spans="1:7">
      <c r="A533" s="266"/>
      <c r="B533" s="266"/>
      <c r="C533" s="266"/>
      <c r="D533" s="135"/>
      <c r="E533" s="135"/>
      <c r="F533" s="135"/>
    </row>
    <row r="534" spans="1:7" ht="14.25">
      <c r="A534" s="261"/>
      <c r="B534" s="678" t="s">
        <v>316</v>
      </c>
      <c r="C534" s="266"/>
      <c r="D534" s="1916" t="s">
        <v>1350</v>
      </c>
      <c r="E534" s="1916"/>
      <c r="F534" s="1916"/>
    </row>
    <row r="535" spans="1:7">
      <c r="A535" s="266"/>
      <c r="B535" s="266"/>
      <c r="C535" s="266"/>
      <c r="D535" s="1916"/>
      <c r="E535" s="1916"/>
      <c r="F535" s="1916"/>
    </row>
    <row r="536" spans="1:7">
      <c r="A536" s="266"/>
      <c r="B536" s="266"/>
      <c r="C536" s="266"/>
      <c r="D536" s="135"/>
      <c r="E536" s="135"/>
      <c r="F536" s="135"/>
    </row>
    <row r="537" spans="1:7" ht="14.25">
      <c r="A537" s="261"/>
      <c r="B537" s="678" t="s">
        <v>316</v>
      </c>
      <c r="C537" s="266"/>
      <c r="D537" s="1916" t="s">
        <v>1233</v>
      </c>
      <c r="E537" s="1916"/>
      <c r="F537" s="1916"/>
    </row>
    <row r="538" spans="1:7">
      <c r="A538" s="266"/>
      <c r="B538" s="266"/>
      <c r="C538" s="266"/>
      <c r="D538" s="1916"/>
      <c r="E538" s="1916"/>
      <c r="F538" s="1916"/>
    </row>
    <row r="539" spans="1:7">
      <c r="A539" s="266"/>
      <c r="B539" s="266"/>
      <c r="C539" s="266"/>
      <c r="D539" s="135"/>
      <c r="E539" s="135"/>
      <c r="F539" s="135"/>
    </row>
    <row r="540" spans="1:7" ht="14.25">
      <c r="A540" s="261"/>
      <c r="B540" s="678" t="s">
        <v>316</v>
      </c>
      <c r="C540" s="266"/>
      <c r="D540" s="1881" t="s">
        <v>1234</v>
      </c>
      <c r="E540" s="1881"/>
      <c r="F540" s="1881"/>
    </row>
    <row r="541" spans="1:7">
      <c r="A541" s="266"/>
      <c r="B541" s="266"/>
      <c r="C541" s="266"/>
      <c r="D541" s="1881"/>
      <c r="E541" s="1881"/>
      <c r="F541" s="1881"/>
      <c r="G541" s="57"/>
    </row>
    <row r="542" spans="1:7">
      <c r="A542" s="266"/>
      <c r="B542" s="266"/>
      <c r="C542" s="266"/>
      <c r="D542" s="135"/>
      <c r="E542" s="135"/>
      <c r="F542" s="135"/>
      <c r="G542" s="57"/>
    </row>
    <row r="543" spans="1:7" ht="14.25">
      <c r="A543" s="261"/>
      <c r="B543" s="678" t="s">
        <v>316</v>
      </c>
      <c r="C543" s="266"/>
      <c r="D543" s="1894" t="s">
        <v>1235</v>
      </c>
      <c r="E543" s="1894"/>
      <c r="F543" s="1894"/>
      <c r="G543" s="57"/>
    </row>
    <row r="544" spans="1:7">
      <c r="A544" s="23"/>
      <c r="B544" s="674"/>
      <c r="C544" s="266"/>
      <c r="D544" s="1894" t="s">
        <v>881</v>
      </c>
      <c r="E544" s="1894"/>
      <c r="F544" s="1894"/>
      <c r="G544" s="57"/>
    </row>
    <row r="545" spans="1:7">
      <c r="A545" s="23"/>
      <c r="B545" s="674"/>
      <c r="C545" s="266"/>
      <c r="D545" s="6"/>
      <c r="E545" s="1912" t="s">
        <v>1236</v>
      </c>
      <c r="F545" s="1912"/>
      <c r="G545" s="57"/>
    </row>
    <row r="546" spans="1:7" ht="14.25">
      <c r="A546" s="261"/>
      <c r="B546" s="261"/>
      <c r="C546" s="266"/>
      <c r="E546" s="135"/>
      <c r="F546" s="135"/>
      <c r="G546" s="57"/>
    </row>
    <row r="547" spans="1:7" ht="14.25">
      <c r="A547" s="261"/>
      <c r="B547" s="678" t="s">
        <v>316</v>
      </c>
      <c r="C547" s="266"/>
      <c r="D547" s="1956" t="s">
        <v>1237</v>
      </c>
      <c r="E547" s="1956"/>
      <c r="F547" s="1956"/>
      <c r="G547" s="57"/>
    </row>
    <row r="548" spans="1:7">
      <c r="C548" s="266"/>
      <c r="D548" s="1881" t="s">
        <v>1238</v>
      </c>
      <c r="E548" s="1881"/>
      <c r="F548" s="1881"/>
      <c r="G548" s="57"/>
    </row>
    <row r="549" spans="1:7">
      <c r="A549" s="266"/>
      <c r="B549" s="266"/>
      <c r="C549" s="266"/>
      <c r="D549" s="1881"/>
      <c r="E549" s="1881"/>
      <c r="F549" s="1881"/>
      <c r="G549" s="57"/>
    </row>
    <row r="550" spans="1:7">
      <c r="A550" s="266"/>
      <c r="B550" s="266"/>
      <c r="C550" s="266"/>
      <c r="D550" s="1881"/>
      <c r="E550" s="1881"/>
      <c r="F550" s="1881"/>
      <c r="G550" s="57"/>
    </row>
    <row r="551" spans="1:7">
      <c r="A551" s="266"/>
      <c r="B551" s="266"/>
      <c r="C551" s="266"/>
      <c r="D551" s="135"/>
      <c r="E551" s="135"/>
      <c r="F551" s="135"/>
      <c r="G551" s="57"/>
    </row>
    <row r="552" spans="1:7" ht="14.25">
      <c r="A552" s="261"/>
      <c r="B552" s="678" t="s">
        <v>316</v>
      </c>
      <c r="C552" s="266"/>
      <c r="D552" s="1881" t="s">
        <v>1239</v>
      </c>
      <c r="E552" s="1881"/>
      <c r="F552" s="1881"/>
      <c r="G552" s="57"/>
    </row>
    <row r="553" spans="1:7" ht="14.25">
      <c r="A553" s="261"/>
      <c r="B553" s="261"/>
      <c r="C553" s="266"/>
      <c r="D553" s="1881"/>
      <c r="E553" s="1881"/>
      <c r="F553" s="1881"/>
      <c r="G553" s="57"/>
    </row>
    <row r="554" spans="1:7" ht="14.25">
      <c r="A554" s="261"/>
      <c r="B554" s="261"/>
      <c r="C554" s="266"/>
      <c r="D554" s="1881"/>
      <c r="E554" s="1881"/>
      <c r="F554" s="1881"/>
      <c r="G554" s="57"/>
    </row>
    <row r="555" spans="1:7" ht="14.25">
      <c r="A555" s="261"/>
      <c r="B555" s="261"/>
      <c r="C555" s="266"/>
      <c r="D555" s="1881"/>
      <c r="E555" s="1881"/>
      <c r="F555" s="1881"/>
      <c r="G555" s="57"/>
    </row>
    <row r="556" spans="1:7" ht="14.25">
      <c r="A556" s="261"/>
      <c r="B556" s="261"/>
      <c r="C556" s="266"/>
      <c r="D556" s="135"/>
      <c r="E556" s="135"/>
      <c r="F556" s="135"/>
      <c r="G556" s="57"/>
    </row>
    <row r="557" spans="1:7">
      <c r="A557" s="1901" t="s">
        <v>1172</v>
      </c>
      <c r="B557" s="1901"/>
      <c r="C557" s="1901"/>
      <c r="D557" s="1901"/>
      <c r="E557" s="1901"/>
      <c r="F557" s="1901"/>
      <c r="G557" s="1901"/>
    </row>
    <row r="558" spans="1:7">
      <c r="A558" s="266"/>
      <c r="B558" s="266"/>
      <c r="C558" s="266"/>
      <c r="E558" s="135"/>
      <c r="F558" s="135"/>
      <c r="G558" s="57"/>
    </row>
    <row r="559" spans="1:7" ht="12.75" customHeight="1">
      <c r="C559" s="255"/>
      <c r="D559" s="1930" t="s">
        <v>216</v>
      </c>
      <c r="E559" s="1930"/>
      <c r="F559" s="1930"/>
      <c r="G559" s="57"/>
    </row>
    <row r="560" spans="1:7">
      <c r="A560" s="260"/>
      <c r="B560" s="260"/>
      <c r="C560" s="260"/>
      <c r="D560" s="1924" t="s">
        <v>1188</v>
      </c>
      <c r="E560" s="1924"/>
      <c r="F560" s="1924"/>
      <c r="G560" s="57"/>
    </row>
    <row r="561" spans="1:7">
      <c r="A561" s="12"/>
      <c r="B561" s="12"/>
      <c r="C561" s="260"/>
      <c r="D561" s="377"/>
      <c r="G561" s="57"/>
    </row>
    <row r="562" spans="1:7">
      <c r="A562" s="260"/>
      <c r="B562" s="678" t="s">
        <v>316</v>
      </c>
      <c r="D562" s="1924" t="s">
        <v>955</v>
      </c>
      <c r="E562" s="1924"/>
      <c r="F562" s="1924"/>
      <c r="G562" s="57"/>
    </row>
    <row r="563" spans="1:7">
      <c r="A563" s="23"/>
      <c r="B563" s="674"/>
      <c r="D563" s="325"/>
    </row>
    <row r="564" spans="1:7">
      <c r="A564" s="23"/>
      <c r="B564" s="678" t="s">
        <v>316</v>
      </c>
      <c r="D564" s="1900" t="s">
        <v>1189</v>
      </c>
      <c r="E564" s="1900"/>
      <c r="F564" s="1900"/>
    </row>
    <row r="565" spans="1:7">
      <c r="A565" s="23"/>
      <c r="B565" s="674"/>
      <c r="D565" s="1900"/>
      <c r="E565" s="1900"/>
      <c r="F565" s="1900"/>
    </row>
    <row r="566" spans="1:7">
      <c r="A566" s="23"/>
      <c r="B566" s="687"/>
      <c r="D566" s="1900"/>
      <c r="E566" s="1900"/>
      <c r="F566" s="1900"/>
    </row>
    <row r="567" spans="1:7">
      <c r="A567" s="23"/>
      <c r="B567" s="674"/>
      <c r="D567" s="477"/>
    </row>
    <row r="568" spans="1:7" s="681" customFormat="1">
      <c r="A568" s="687"/>
      <c r="B568" s="678" t="s">
        <v>316</v>
      </c>
      <c r="C568" s="688"/>
      <c r="D568" s="1900" t="s">
        <v>1190</v>
      </c>
      <c r="E568" s="1900"/>
      <c r="F568" s="1900"/>
      <c r="G568" s="7"/>
    </row>
    <row r="569" spans="1:7" s="681" customFormat="1">
      <c r="A569" s="687"/>
      <c r="B569" s="687"/>
      <c r="C569" s="688"/>
      <c r="D569" s="1900"/>
      <c r="E569" s="1900"/>
      <c r="F569" s="1900"/>
      <c r="G569" s="7"/>
    </row>
    <row r="570" spans="1:7" s="681" customFormat="1">
      <c r="A570" s="687"/>
      <c r="B570" s="687"/>
      <c r="C570" s="688"/>
      <c r="D570" s="1900"/>
      <c r="E570" s="1900"/>
      <c r="F570" s="1900"/>
      <c r="G570" s="7"/>
    </row>
    <row r="571" spans="1:7" s="681" customFormat="1">
      <c r="A571" s="687"/>
      <c r="B571" s="687"/>
      <c r="C571" s="688"/>
      <c r="D571" s="1900"/>
      <c r="E571" s="1900"/>
      <c r="F571" s="1900"/>
      <c r="G571" s="7"/>
    </row>
    <row r="572" spans="1:7" s="681" customFormat="1">
      <c r="A572" s="687"/>
      <c r="B572" s="687"/>
      <c r="C572" s="688"/>
      <c r="D572" s="693"/>
      <c r="E572" s="693"/>
      <c r="F572" s="693"/>
      <c r="G572" s="7"/>
    </row>
    <row r="573" spans="1:7">
      <c r="A573" s="23"/>
      <c r="B573" s="678" t="s">
        <v>316</v>
      </c>
      <c r="D573" s="1900" t="s">
        <v>1191</v>
      </c>
      <c r="E573" s="1900"/>
      <c r="F573" s="1900"/>
    </row>
    <row r="574" spans="1:7">
      <c r="A574" s="23"/>
      <c r="B574" s="674"/>
      <c r="D574" s="1900"/>
      <c r="E574" s="1900"/>
      <c r="F574" s="1900"/>
    </row>
    <row r="575" spans="1:7">
      <c r="A575" s="23"/>
      <c r="B575" s="674"/>
      <c r="D575" s="377"/>
    </row>
    <row r="576" spans="1:7" s="681" customFormat="1">
      <c r="A576" s="687"/>
      <c r="B576" s="678" t="s">
        <v>316</v>
      </c>
      <c r="C576" s="688"/>
      <c r="D576" s="1924" t="s">
        <v>1192</v>
      </c>
      <c r="E576" s="1924"/>
      <c r="F576" s="1924"/>
      <c r="G576" s="7"/>
    </row>
    <row r="577" spans="1:7" s="681" customFormat="1">
      <c r="A577" s="687"/>
      <c r="B577" s="687"/>
      <c r="C577" s="688"/>
      <c r="D577" s="1924"/>
      <c r="E577" s="1924"/>
      <c r="F577" s="1924"/>
      <c r="G577" s="7"/>
    </row>
    <row r="578" spans="1:7" s="681" customFormat="1">
      <c r="A578" s="687"/>
      <c r="B578" s="687"/>
      <c r="C578" s="688"/>
      <c r="D578" s="377"/>
      <c r="E578" s="7"/>
      <c r="F578" s="7"/>
      <c r="G578" s="7"/>
    </row>
    <row r="579" spans="1:7" ht="14.25">
      <c r="A579" s="261"/>
      <c r="B579" s="678" t="s">
        <v>316</v>
      </c>
      <c r="D579" s="1924" t="s">
        <v>950</v>
      </c>
      <c r="E579" s="1924"/>
      <c r="F579" s="1924"/>
    </row>
    <row r="580" spans="1:7" ht="14.25">
      <c r="A580" s="261"/>
      <c r="B580" s="261"/>
      <c r="D580" s="377"/>
    </row>
    <row r="581" spans="1:7" ht="14.25">
      <c r="A581" s="261"/>
      <c r="B581" s="678" t="s">
        <v>316</v>
      </c>
      <c r="D581" s="1924" t="s">
        <v>1193</v>
      </c>
      <c r="E581" s="1924"/>
      <c r="F581" s="1924"/>
    </row>
    <row r="582" spans="1:7" ht="14.25">
      <c r="A582" s="261"/>
      <c r="B582" s="261"/>
      <c r="D582" s="1924"/>
      <c r="E582" s="1924"/>
      <c r="F582" s="1924"/>
    </row>
    <row r="583" spans="1:7">
      <c r="D583" s="1924"/>
      <c r="E583" s="1924"/>
      <c r="F583" s="1924"/>
    </row>
    <row r="584" spans="1:7">
      <c r="D584" s="1924"/>
      <c r="E584" s="1924"/>
      <c r="F584" s="1924"/>
    </row>
    <row r="585" spans="1:7" s="681" customFormat="1">
      <c r="A585" s="688"/>
      <c r="B585" s="688"/>
      <c r="C585" s="688"/>
      <c r="D585" s="1924"/>
      <c r="E585" s="1924"/>
      <c r="F585" s="1924"/>
      <c r="G585" s="7"/>
    </row>
    <row r="586" spans="1:7" s="681" customFormat="1">
      <c r="A586" s="688"/>
      <c r="B586" s="688"/>
      <c r="C586" s="688"/>
      <c r="D586" s="1924"/>
      <c r="E586" s="1924"/>
      <c r="F586" s="1924"/>
      <c r="G586" s="7"/>
    </row>
    <row r="587" spans="1:7"/>
    <row r="588" spans="1:7">
      <c r="A588" s="1901" t="s">
        <v>1173</v>
      </c>
      <c r="B588" s="1901"/>
      <c r="C588" s="1901"/>
      <c r="D588" s="1901"/>
      <c r="E588" s="1901"/>
      <c r="F588" s="1901"/>
      <c r="G588" s="1901"/>
    </row>
    <row r="589" spans="1:7"/>
    <row r="590" spans="1:7">
      <c r="D590" s="1918" t="s">
        <v>1273</v>
      </c>
      <c r="E590" s="1918"/>
      <c r="F590" s="1918"/>
    </row>
    <row r="591" spans="1:7">
      <c r="D591" s="1957" t="s">
        <v>1274</v>
      </c>
      <c r="E591" s="1957"/>
      <c r="F591" s="1957"/>
    </row>
    <row r="592" spans="1:7" s="718" customFormat="1">
      <c r="A592" s="704"/>
      <c r="B592" s="704"/>
      <c r="C592" s="704"/>
      <c r="D592" s="722"/>
      <c r="E592" s="721"/>
      <c r="F592" s="721"/>
      <c r="G592" s="7"/>
    </row>
    <row r="593" spans="1:7" s="39" customFormat="1" ht="14.25">
      <c r="A593" s="402"/>
      <c r="B593" s="678" t="s">
        <v>316</v>
      </c>
      <c r="C593" s="273"/>
      <c r="D593" s="1920" t="s">
        <v>1275</v>
      </c>
      <c r="E593" s="1920"/>
      <c r="F593" s="1920"/>
      <c r="G593" s="130"/>
    </row>
    <row r="594" spans="1:7">
      <c r="D594" s="1920"/>
      <c r="E594" s="1920"/>
      <c r="F594" s="1920"/>
    </row>
    <row r="595" spans="1:7">
      <c r="D595" s="1920"/>
      <c r="E595" s="1920"/>
      <c r="F595" s="1920"/>
    </row>
    <row r="596" spans="1:7"/>
    <row r="597" spans="1:7">
      <c r="A597" s="1901" t="s">
        <v>1174</v>
      </c>
      <c r="B597" s="1901"/>
      <c r="C597" s="1901"/>
      <c r="D597" s="1901"/>
      <c r="E597" s="1901"/>
      <c r="F597" s="1901"/>
      <c r="G597" s="1901"/>
    </row>
    <row r="598" spans="1:7">
      <c r="A598" s="135"/>
      <c r="B598" s="135"/>
      <c r="G598" s="57"/>
    </row>
    <row r="599" spans="1:7">
      <c r="A599" s="257"/>
      <c r="B599" s="673"/>
      <c r="C599" s="255"/>
      <c r="D599" s="1958" t="s">
        <v>1276</v>
      </c>
      <c r="E599" s="1958"/>
      <c r="F599" s="1958"/>
      <c r="G599" s="57"/>
    </row>
    <row r="600" spans="1:7">
      <c r="A600" s="257"/>
      <c r="B600" s="673"/>
      <c r="C600" s="255"/>
      <c r="D600" s="1958"/>
      <c r="E600" s="1958"/>
      <c r="F600" s="1958"/>
      <c r="G600" s="57"/>
    </row>
    <row r="601" spans="1:7">
      <c r="C601" s="260"/>
      <c r="D601" s="1957" t="s">
        <v>1277</v>
      </c>
      <c r="E601" s="1957"/>
      <c r="F601" s="1957"/>
      <c r="G601" s="57"/>
    </row>
    <row r="602" spans="1:7" s="718" customFormat="1">
      <c r="A602" s="704"/>
      <c r="B602" s="704"/>
      <c r="C602" s="719"/>
      <c r="D602" s="723"/>
      <c r="E602" s="723"/>
      <c r="F602" s="723"/>
      <c r="G602" s="57"/>
    </row>
    <row r="603" spans="1:7">
      <c r="A603" s="23"/>
      <c r="B603" s="678" t="s">
        <v>316</v>
      </c>
      <c r="D603" s="1957" t="s">
        <v>453</v>
      </c>
      <c r="E603" s="1957"/>
      <c r="F603" s="1957"/>
      <c r="G603" s="57"/>
    </row>
    <row r="604" spans="1:7">
      <c r="C604" s="268"/>
      <c r="E604" s="12"/>
      <c r="G604" s="57"/>
    </row>
    <row r="605" spans="1:7">
      <c r="A605" s="23"/>
      <c r="B605" s="678" t="s">
        <v>316</v>
      </c>
      <c r="D605" s="1917" t="s">
        <v>1278</v>
      </c>
      <c r="E605" s="1917"/>
      <c r="F605" s="1917"/>
      <c r="G605" s="57"/>
    </row>
    <row r="606" spans="1:7">
      <c r="D606" s="1917"/>
      <c r="E606" s="1917"/>
      <c r="F606" s="1917"/>
      <c r="G606" s="57"/>
    </row>
    <row r="607" spans="1:7">
      <c r="D607" s="12"/>
      <c r="G607" s="57"/>
    </row>
    <row r="608" spans="1:7">
      <c r="B608" s="678" t="s">
        <v>316</v>
      </c>
      <c r="D608" s="1917" t="s">
        <v>1279</v>
      </c>
      <c r="E608" s="1917"/>
      <c r="F608" s="1917"/>
      <c r="G608" s="57"/>
    </row>
    <row r="609" spans="1:7">
      <c r="C609" s="268"/>
      <c r="D609" s="1917"/>
      <c r="E609" s="1917"/>
      <c r="F609" s="1917"/>
      <c r="G609" s="57"/>
    </row>
    <row r="610" spans="1:7">
      <c r="C610" s="268"/>
      <c r="G610" s="57"/>
    </row>
    <row r="611" spans="1:7">
      <c r="B611" s="678" t="s">
        <v>316</v>
      </c>
      <c r="C611" s="268"/>
      <c r="D611" s="1917" t="s">
        <v>1280</v>
      </c>
      <c r="E611" s="1917"/>
      <c r="F611" s="1917"/>
      <c r="G611" s="57"/>
    </row>
    <row r="612" spans="1:7">
      <c r="C612" s="268"/>
      <c r="D612" s="1917"/>
      <c r="E612" s="1917"/>
      <c r="F612" s="1917"/>
      <c r="G612" s="57"/>
    </row>
    <row r="613" spans="1:7">
      <c r="C613" s="268"/>
      <c r="G613" s="57"/>
    </row>
    <row r="614" spans="1:7">
      <c r="A614" s="1901" t="s">
        <v>1175</v>
      </c>
      <c r="B614" s="1901"/>
      <c r="C614" s="1901"/>
      <c r="D614" s="1901"/>
      <c r="E614" s="1901"/>
      <c r="F614" s="1901"/>
      <c r="G614" s="1901"/>
    </row>
    <row r="615" spans="1:7">
      <c r="A615" s="267"/>
      <c r="B615" s="267"/>
      <c r="C615" s="267"/>
      <c r="G615" s="57"/>
    </row>
    <row r="616" spans="1:7">
      <c r="C616" s="23"/>
      <c r="D616" s="1918" t="s">
        <v>1281</v>
      </c>
      <c r="E616" s="1918"/>
      <c r="F616" s="1918"/>
      <c r="G616" s="57"/>
    </row>
    <row r="617" spans="1:7">
      <c r="A617" s="23"/>
      <c r="B617" s="674"/>
      <c r="C617" s="265"/>
      <c r="D617" s="50"/>
      <c r="G617" s="57"/>
    </row>
    <row r="618" spans="1:7" ht="14.25">
      <c r="A618" s="261"/>
      <c r="B618" s="678" t="s">
        <v>316</v>
      </c>
      <c r="C618" s="265"/>
      <c r="D618" s="1919" t="s">
        <v>1282</v>
      </c>
      <c r="E618" s="1919"/>
      <c r="F618" s="1919"/>
      <c r="G618" s="57"/>
    </row>
    <row r="619" spans="1:7">
      <c r="C619" s="265"/>
      <c r="D619" s="1919"/>
      <c r="E619" s="1919"/>
      <c r="F619" s="1919"/>
      <c r="G619" s="57"/>
    </row>
    <row r="620" spans="1:7">
      <c r="C620" s="265"/>
      <c r="D620" s="1919"/>
      <c r="E620" s="1919"/>
      <c r="F620" s="1919"/>
      <c r="G620" s="57"/>
    </row>
    <row r="621" spans="1:7">
      <c r="C621" s="265"/>
      <c r="D621" s="1919"/>
      <c r="E621" s="1919"/>
      <c r="F621" s="1919"/>
      <c r="G621" s="57"/>
    </row>
    <row r="622" spans="1:7">
      <c r="C622" s="265"/>
      <c r="D622" s="1919"/>
      <c r="E622" s="1919"/>
      <c r="F622" s="1919"/>
      <c r="G622" s="57"/>
    </row>
    <row r="623" spans="1:7">
      <c r="C623" s="265"/>
      <c r="D623" s="1919"/>
      <c r="E623" s="1919"/>
      <c r="F623" s="1919"/>
      <c r="G623" s="57"/>
    </row>
    <row r="624" spans="1:7" s="718" customFormat="1">
      <c r="A624" s="704"/>
      <c r="B624" s="704"/>
      <c r="C624" s="265"/>
      <c r="D624" s="724"/>
      <c r="E624" s="724"/>
      <c r="F624" s="724"/>
      <c r="G624" s="57"/>
    </row>
    <row r="625" spans="1:7" ht="14.25">
      <c r="A625" s="261"/>
      <c r="B625" s="678" t="s">
        <v>316</v>
      </c>
      <c r="C625" s="265"/>
      <c r="D625" s="1919" t="s">
        <v>1283</v>
      </c>
      <c r="E625" s="1919"/>
      <c r="F625" s="1919"/>
      <c r="G625" s="57"/>
    </row>
    <row r="626" spans="1:7">
      <c r="A626" s="266"/>
      <c r="B626" s="266"/>
      <c r="C626" s="266"/>
      <c r="D626" s="1919"/>
      <c r="E626" s="1919"/>
      <c r="F626" s="1919"/>
      <c r="G626" s="57"/>
    </row>
    <row r="627" spans="1:7">
      <c r="A627" s="266"/>
      <c r="B627" s="266"/>
      <c r="C627" s="266"/>
      <c r="D627" s="151"/>
      <c r="E627" s="147"/>
      <c r="F627" s="147"/>
      <c r="G627" s="57"/>
    </row>
    <row r="628" spans="1:7" ht="14.25">
      <c r="A628" s="261"/>
      <c r="B628" s="678" t="s">
        <v>316</v>
      </c>
      <c r="C628" s="266"/>
      <c r="D628" s="1920" t="s">
        <v>1284</v>
      </c>
      <c r="E628" s="1920"/>
      <c r="F628" s="1920"/>
      <c r="G628" s="57"/>
    </row>
    <row r="629" spans="1:7" ht="14.25">
      <c r="A629" s="261"/>
      <c r="B629" s="261"/>
      <c r="C629" s="266"/>
      <c r="D629" s="1920"/>
      <c r="E629" s="1920"/>
      <c r="F629" s="1920"/>
      <c r="G629" s="57"/>
    </row>
    <row r="630" spans="1:7" ht="14.25">
      <c r="A630" s="261"/>
      <c r="B630" s="261"/>
      <c r="C630" s="266"/>
      <c r="D630" s="1920"/>
      <c r="E630" s="1920"/>
      <c r="F630" s="1920"/>
      <c r="G630" s="57"/>
    </row>
    <row r="631" spans="1:7">
      <c r="A631" s="266"/>
      <c r="B631" s="266"/>
      <c r="C631" s="266"/>
      <c r="D631" s="1920"/>
      <c r="E631" s="1920"/>
      <c r="F631" s="1920"/>
      <c r="G631" s="57"/>
    </row>
    <row r="632" spans="1:7" s="718" customFormat="1">
      <c r="A632" s="266"/>
      <c r="B632" s="266"/>
      <c r="C632" s="266"/>
      <c r="D632" s="725"/>
      <c r="E632" s="725"/>
      <c r="F632" s="725"/>
      <c r="G632" s="57"/>
    </row>
    <row r="633" spans="1:7">
      <c r="A633" s="266"/>
      <c r="B633" s="678" t="s">
        <v>316</v>
      </c>
      <c r="C633" s="266"/>
      <c r="D633" s="1921" t="s">
        <v>1285</v>
      </c>
      <c r="E633" s="1921"/>
      <c r="F633" s="1921"/>
      <c r="G633" s="57"/>
    </row>
    <row r="634" spans="1:7">
      <c r="A634" s="266"/>
      <c r="B634" s="266"/>
      <c r="C634" s="266"/>
      <c r="D634" s="726"/>
      <c r="E634" s="726"/>
      <c r="F634" s="726"/>
      <c r="G634" s="57"/>
    </row>
    <row r="635" spans="1:7">
      <c r="A635" s="1901" t="s">
        <v>1176</v>
      </c>
      <c r="B635" s="1901"/>
      <c r="C635" s="1901"/>
      <c r="D635" s="1901"/>
      <c r="E635" s="1901"/>
      <c r="F635" s="1901"/>
      <c r="G635" s="1901"/>
    </row>
    <row r="636" spans="1:7">
      <c r="A636" s="135"/>
      <c r="B636" s="135"/>
      <c r="C636" s="266"/>
      <c r="D636" s="147"/>
      <c r="E636" s="147"/>
      <c r="F636" s="147"/>
      <c r="G636" s="57"/>
    </row>
    <row r="637" spans="1:7">
      <c r="C637" s="267"/>
      <c r="D637" s="1922" t="s">
        <v>1335</v>
      </c>
      <c r="E637" s="1922"/>
      <c r="F637" s="1922"/>
      <c r="G637" s="57"/>
    </row>
    <row r="638" spans="1:7">
      <c r="A638" s="260"/>
      <c r="B638" s="260"/>
      <c r="C638" s="260"/>
      <c r="D638" s="1923" t="s">
        <v>1336</v>
      </c>
      <c r="E638" s="1923"/>
      <c r="F638" s="1923"/>
      <c r="G638" s="57"/>
    </row>
    <row r="639" spans="1:7" s="718" customFormat="1">
      <c r="A639" s="719"/>
      <c r="B639" s="719"/>
      <c r="C639" s="719"/>
      <c r="D639" s="733"/>
      <c r="E639" s="733"/>
      <c r="F639" s="733"/>
      <c r="G639" s="57"/>
    </row>
    <row r="640" spans="1:7" ht="14.45" customHeight="1">
      <c r="A640" s="261"/>
      <c r="B640" s="678" t="s">
        <v>316</v>
      </c>
      <c r="C640" s="266"/>
      <c r="D640" s="1879" t="s">
        <v>1337</v>
      </c>
      <c r="E640" s="1879"/>
      <c r="F640" s="1879"/>
      <c r="G640" s="57"/>
    </row>
    <row r="641" spans="1:11" ht="14.25">
      <c r="A641" s="261"/>
      <c r="B641" s="261"/>
      <c r="C641" s="266"/>
      <c r="D641" s="1879"/>
      <c r="E641" s="1879"/>
      <c r="F641" s="1879"/>
      <c r="G641" s="57"/>
    </row>
    <row r="642" spans="1:11" ht="14.25">
      <c r="A642" s="261"/>
      <c r="B642" s="261"/>
      <c r="C642" s="266"/>
      <c r="D642" s="1879"/>
      <c r="E642" s="1879"/>
      <c r="F642" s="1879"/>
      <c r="G642" s="57"/>
    </row>
    <row r="643" spans="1:11" ht="14.25">
      <c r="A643" s="261"/>
      <c r="B643" s="261"/>
      <c r="C643" s="266"/>
      <c r="D643" s="1879"/>
      <c r="E643" s="1879"/>
      <c r="F643" s="1879"/>
      <c r="G643" s="57"/>
    </row>
    <row r="644" spans="1:11" s="681" customFormat="1" ht="14.25">
      <c r="A644" s="261"/>
      <c r="B644" s="261"/>
      <c r="C644" s="266"/>
      <c r="D644" s="1879"/>
      <c r="E644" s="1879"/>
      <c r="F644" s="1879"/>
      <c r="G644" s="57"/>
    </row>
    <row r="645" spans="1:11" s="718" customFormat="1" ht="14.25">
      <c r="A645" s="713"/>
      <c r="B645" s="713"/>
      <c r="C645" s="266"/>
      <c r="D645" s="735"/>
      <c r="E645" s="735"/>
      <c r="F645" s="735"/>
      <c r="G645" s="57"/>
    </row>
    <row r="646" spans="1:11" s="681" customFormat="1" ht="14.25">
      <c r="A646" s="261"/>
      <c r="B646" s="678" t="s">
        <v>316</v>
      </c>
      <c r="C646" s="266"/>
      <c r="D646" s="1940" t="s">
        <v>1187</v>
      </c>
      <c r="E646" s="1940"/>
      <c r="F646" s="1940"/>
      <c r="G646" s="57"/>
    </row>
    <row r="647" spans="1:11" s="681" customFormat="1" ht="14.25">
      <c r="A647" s="261"/>
      <c r="B647" s="261"/>
      <c r="C647" s="266"/>
      <c r="D647" s="1941" t="s">
        <v>1338</v>
      </c>
      <c r="E647" s="1941"/>
      <c r="F647" s="1941"/>
      <c r="G647" s="57"/>
    </row>
    <row r="648" spans="1:11" s="681" customFormat="1" ht="14.25">
      <c r="A648" s="261"/>
      <c r="B648" s="261"/>
      <c r="C648" s="266"/>
      <c r="D648" s="1941"/>
      <c r="E648" s="1941"/>
      <c r="F648" s="1941"/>
      <c r="G648" s="57"/>
    </row>
    <row r="649" spans="1:11" s="681" customFormat="1" ht="14.25">
      <c r="A649" s="261"/>
      <c r="B649" s="261"/>
      <c r="C649" s="266"/>
      <c r="D649" s="1941"/>
      <c r="E649" s="1941"/>
      <c r="F649" s="1941"/>
      <c r="G649" s="57"/>
    </row>
    <row r="650" spans="1:11" s="681" customFormat="1" ht="14.25">
      <c r="A650" s="261"/>
      <c r="B650" s="261"/>
      <c r="C650" s="266"/>
      <c r="D650" s="1941"/>
      <c r="E650" s="1941"/>
      <c r="F650" s="1941"/>
      <c r="G650" s="57"/>
    </row>
    <row r="651" spans="1:11" s="681" customFormat="1" ht="14.25">
      <c r="A651" s="261"/>
      <c r="B651" s="261"/>
      <c r="C651" s="266"/>
      <c r="D651" s="1941"/>
      <c r="E651" s="1941"/>
      <c r="F651" s="1941"/>
      <c r="G651" s="57"/>
    </row>
    <row r="652" spans="1:11" s="681" customFormat="1" ht="14.25">
      <c r="A652" s="261"/>
      <c r="B652" s="261"/>
      <c r="C652" s="266"/>
      <c r="D652" s="1942" t="s">
        <v>1339</v>
      </c>
      <c r="E652" s="1942"/>
      <c r="F652" s="1942"/>
      <c r="G652" s="57"/>
    </row>
    <row r="653" spans="1:11">
      <c r="A653" s="266"/>
      <c r="B653" s="266"/>
      <c r="C653" s="266"/>
      <c r="D653" s="147"/>
      <c r="E653" s="147"/>
      <c r="F653" s="147"/>
      <c r="G653" s="57"/>
    </row>
    <row r="654" spans="1:11">
      <c r="A654" s="1901" t="s">
        <v>1177</v>
      </c>
      <c r="B654" s="1901"/>
      <c r="C654" s="1901"/>
      <c r="D654" s="1901"/>
      <c r="E654" s="1901"/>
      <c r="F654" s="1901"/>
      <c r="G654" s="1901"/>
      <c r="H654" s="269"/>
      <c r="I654" s="269"/>
      <c r="J654" s="269"/>
      <c r="K654" s="269"/>
    </row>
    <row r="655" spans="1:11" s="718" customFormat="1">
      <c r="A655" s="734"/>
      <c r="B655" s="734"/>
      <c r="C655" s="734"/>
      <c r="D655" s="734"/>
      <c r="E655" s="734"/>
      <c r="F655" s="734"/>
      <c r="G655" s="734"/>
      <c r="H655" s="269"/>
      <c r="I655" s="269"/>
      <c r="J655" s="269"/>
      <c r="K655" s="269"/>
    </row>
    <row r="656" spans="1:11">
      <c r="C656" s="267"/>
      <c r="D656" s="1904" t="s">
        <v>104</v>
      </c>
      <c r="E656" s="1904"/>
      <c r="F656" s="1904"/>
      <c r="G656" s="57"/>
      <c r="H656" s="269"/>
      <c r="I656" s="269"/>
      <c r="J656" s="269"/>
      <c r="K656" s="269"/>
    </row>
    <row r="657" spans="1:11">
      <c r="A657" s="267"/>
      <c r="B657" s="267"/>
      <c r="C657" s="267"/>
      <c r="D657" s="1904" t="s">
        <v>128</v>
      </c>
      <c r="E657" s="1904"/>
      <c r="F657" s="1904"/>
      <c r="G657" s="57"/>
      <c r="H657" s="269"/>
      <c r="I657" s="269"/>
      <c r="J657" s="269"/>
      <c r="K657" s="269"/>
    </row>
    <row r="658" spans="1:11">
      <c r="A658" s="260"/>
      <c r="B658" s="260"/>
      <c r="C658" s="260"/>
      <c r="D658" s="1894" t="s">
        <v>1213</v>
      </c>
      <c r="E658" s="1894"/>
      <c r="F658" s="1894"/>
      <c r="G658" s="57"/>
      <c r="H658" s="269"/>
      <c r="I658" s="269"/>
      <c r="J658" s="269"/>
      <c r="K658" s="269"/>
    </row>
    <row r="659" spans="1:11">
      <c r="A659" s="260"/>
      <c r="B659" s="260"/>
      <c r="C659" s="260"/>
      <c r="G659" s="57"/>
      <c r="H659" s="269"/>
      <c r="I659" s="269"/>
      <c r="J659" s="269"/>
      <c r="K659" s="269"/>
    </row>
    <row r="660" spans="1:11" ht="14.25">
      <c r="A660" s="261"/>
      <c r="B660" s="678" t="s">
        <v>316</v>
      </c>
      <c r="C660" s="260"/>
      <c r="D660" s="1894" t="s">
        <v>951</v>
      </c>
      <c r="E660" s="1894"/>
      <c r="F660" s="1894"/>
      <c r="G660" s="57"/>
      <c r="H660" s="269"/>
      <c r="I660" s="269"/>
      <c r="J660" s="269"/>
      <c r="K660" s="269"/>
    </row>
    <row r="661" spans="1:11">
      <c r="A661" s="260"/>
      <c r="B661" s="260"/>
      <c r="C661" s="260"/>
      <c r="D661" s="1894" t="s">
        <v>962</v>
      </c>
      <c r="E661" s="1894"/>
      <c r="F661" s="1894"/>
      <c r="G661" s="57"/>
      <c r="H661" s="269"/>
      <c r="I661" s="269"/>
      <c r="J661" s="269"/>
      <c r="K661" s="269"/>
    </row>
    <row r="662" spans="1:11">
      <c r="A662" s="260"/>
      <c r="B662" s="260"/>
      <c r="C662" s="260"/>
      <c r="D662" s="6"/>
      <c r="E662" s="1890" t="s">
        <v>1214</v>
      </c>
      <c r="F662" s="1890"/>
      <c r="G662" s="57"/>
      <c r="H662" s="269"/>
      <c r="I662" s="269"/>
      <c r="J662" s="269"/>
      <c r="K662" s="269"/>
    </row>
    <row r="663" spans="1:11">
      <c r="A663" s="260"/>
      <c r="B663" s="260"/>
      <c r="C663" s="260"/>
      <c r="D663" s="6"/>
      <c r="E663" s="1890"/>
      <c r="F663" s="1890"/>
      <c r="G663" s="57"/>
      <c r="H663" s="269"/>
      <c r="I663" s="269"/>
      <c r="J663" s="269"/>
      <c r="K663" s="269"/>
    </row>
    <row r="664" spans="1:11">
      <c r="A664" s="260"/>
      <c r="B664" s="260"/>
      <c r="C664" s="260"/>
      <c r="D664" s="270"/>
      <c r="E664" s="135"/>
      <c r="G664" s="57"/>
      <c r="H664" s="269"/>
      <c r="I664" s="269"/>
      <c r="J664" s="269"/>
      <c r="K664" s="269"/>
    </row>
    <row r="665" spans="1:11" ht="14.25">
      <c r="A665" s="261"/>
      <c r="B665" s="678" t="s">
        <v>316</v>
      </c>
      <c r="C665" s="260"/>
      <c r="D665" s="1881" t="s">
        <v>1215</v>
      </c>
      <c r="E665" s="1881"/>
      <c r="F665" s="1881"/>
      <c r="G665" s="57"/>
      <c r="H665" s="269"/>
      <c r="I665" s="269"/>
      <c r="J665" s="269"/>
      <c r="K665" s="269"/>
    </row>
    <row r="666" spans="1:11">
      <c r="A666" s="23"/>
      <c r="B666" s="674"/>
      <c r="C666" s="260"/>
      <c r="D666" s="1881"/>
      <c r="E666" s="1881"/>
      <c r="F666" s="1881"/>
      <c r="G666" s="57"/>
      <c r="H666" s="269"/>
      <c r="I666" s="269"/>
      <c r="J666" s="269"/>
      <c r="K666" s="269"/>
    </row>
    <row r="667" spans="1:11">
      <c r="A667" s="260"/>
      <c r="B667" s="260"/>
      <c r="C667" s="260"/>
      <c r="D667" s="1881"/>
      <c r="E667" s="1881"/>
      <c r="F667" s="1881"/>
      <c r="G667" s="57"/>
      <c r="H667" s="269"/>
      <c r="I667" s="269"/>
      <c r="J667" s="269"/>
      <c r="K667" s="269"/>
    </row>
    <row r="668" spans="1:11">
      <c r="A668" s="260"/>
      <c r="B668" s="260"/>
      <c r="C668" s="260"/>
      <c r="G668" s="57"/>
      <c r="H668" s="269"/>
      <c r="I668" s="269"/>
      <c r="J668" s="269"/>
      <c r="K668" s="269"/>
    </row>
    <row r="669" spans="1:11" ht="14.25">
      <c r="A669" s="261"/>
      <c r="B669" s="678" t="s">
        <v>316</v>
      </c>
      <c r="C669" s="260"/>
      <c r="D669" s="1894" t="s">
        <v>991</v>
      </c>
      <c r="E669" s="1894"/>
      <c r="F669" s="1894"/>
      <c r="G669" s="57"/>
      <c r="H669" s="269"/>
      <c r="I669" s="269"/>
      <c r="J669" s="269"/>
      <c r="K669" s="269"/>
    </row>
    <row r="670" spans="1:11" ht="14.25">
      <c r="A670" s="261"/>
      <c r="B670" s="261"/>
      <c r="C670" s="260"/>
      <c r="D670" s="1894" t="s">
        <v>962</v>
      </c>
      <c r="E670" s="1894"/>
      <c r="F670" s="1894"/>
      <c r="G670" s="57"/>
      <c r="H670" s="269"/>
      <c r="I670" s="269"/>
      <c r="J670" s="269"/>
      <c r="K670" s="269"/>
    </row>
    <row r="671" spans="1:11">
      <c r="A671" s="260"/>
      <c r="B671" s="260"/>
      <c r="C671" s="260"/>
      <c r="D671" s="6"/>
      <c r="E671" s="1912" t="s">
        <v>1216</v>
      </c>
      <c r="F671" s="1912"/>
      <c r="G671" s="57"/>
      <c r="H671" s="269"/>
      <c r="I671" s="269"/>
      <c r="J671" s="269"/>
      <c r="K671" s="269"/>
    </row>
    <row r="672" spans="1:11">
      <c r="A672" s="260"/>
      <c r="B672" s="260"/>
      <c r="C672" s="260"/>
      <c r="D672" s="50"/>
      <c r="G672" s="57"/>
      <c r="H672" s="269"/>
      <c r="I672" s="269"/>
      <c r="J672" s="269"/>
      <c r="K672" s="269"/>
    </row>
    <row r="673" spans="1:11" ht="14.25">
      <c r="A673" s="261"/>
      <c r="B673" s="678" t="s">
        <v>316</v>
      </c>
      <c r="C673" s="260"/>
      <c r="D673" s="1916" t="s">
        <v>1226</v>
      </c>
      <c r="E673" s="1916"/>
      <c r="F673" s="1916"/>
      <c r="G673" s="57"/>
      <c r="H673" s="269"/>
      <c r="I673" s="269"/>
      <c r="J673" s="269"/>
      <c r="K673" s="269"/>
    </row>
    <row r="674" spans="1:11">
      <c r="A674" s="260"/>
      <c r="B674" s="260"/>
      <c r="C674" s="260"/>
      <c r="D674" s="1916"/>
      <c r="E674" s="1916"/>
      <c r="F674" s="1916"/>
      <c r="G674" s="57"/>
      <c r="H674" s="269"/>
      <c r="I674" s="269"/>
      <c r="J674" s="269"/>
      <c r="K674" s="269"/>
    </row>
    <row r="675" spans="1:11">
      <c r="A675" s="260"/>
      <c r="B675" s="260"/>
      <c r="C675" s="260"/>
      <c r="D675" s="1916"/>
      <c r="E675" s="1916"/>
      <c r="F675" s="1916"/>
      <c r="G675" s="57"/>
      <c r="H675" s="269"/>
      <c r="I675" s="269"/>
      <c r="J675" s="269"/>
      <c r="K675" s="269"/>
    </row>
    <row r="676" spans="1:11">
      <c r="A676" s="260"/>
      <c r="B676" s="260"/>
      <c r="C676" s="260"/>
      <c r="D676" s="1916"/>
      <c r="E676" s="1916"/>
      <c r="F676" s="1916"/>
      <c r="G676" s="57"/>
      <c r="H676" s="269"/>
      <c r="I676" s="269"/>
      <c r="J676" s="269"/>
      <c r="K676" s="269"/>
    </row>
    <row r="677" spans="1:11">
      <c r="A677" s="260"/>
      <c r="B677" s="260"/>
      <c r="C677" s="260"/>
      <c r="D677" s="1916"/>
      <c r="E677" s="1916"/>
      <c r="F677" s="1916"/>
      <c r="G677" s="57"/>
      <c r="H677" s="269"/>
      <c r="I677" s="269"/>
      <c r="J677" s="269"/>
      <c r="K677" s="269"/>
    </row>
    <row r="678" spans="1:11" s="39" customFormat="1">
      <c r="A678" s="486"/>
      <c r="B678" s="486"/>
      <c r="C678" s="486"/>
      <c r="D678" s="1916"/>
      <c r="E678" s="1916"/>
      <c r="F678" s="1916"/>
      <c r="G678" s="60"/>
      <c r="H678" s="272"/>
      <c r="I678" s="272"/>
      <c r="J678" s="272"/>
      <c r="K678" s="272"/>
    </row>
    <row r="679" spans="1:11" s="39" customFormat="1">
      <c r="A679" s="486"/>
      <c r="B679" s="486"/>
      <c r="C679" s="486"/>
      <c r="D679" s="700"/>
      <c r="E679" s="700"/>
      <c r="F679" s="700"/>
      <c r="G679" s="60"/>
      <c r="H679" s="272"/>
      <c r="I679" s="272"/>
      <c r="J679" s="272"/>
      <c r="K679" s="272"/>
    </row>
    <row r="680" spans="1:11" ht="14.25">
      <c r="A680" s="261"/>
      <c r="B680" s="678" t="s">
        <v>316</v>
      </c>
      <c r="C680" s="260"/>
      <c r="D680" s="1916" t="s">
        <v>1217</v>
      </c>
      <c r="E680" s="1916"/>
      <c r="F680" s="1916"/>
      <c r="G680" s="57"/>
      <c r="H680" s="269"/>
      <c r="I680" s="269"/>
      <c r="J680" s="269"/>
      <c r="K680" s="269"/>
    </row>
    <row r="681" spans="1:11">
      <c r="A681" s="260"/>
      <c r="B681" s="260"/>
      <c r="C681" s="260"/>
      <c r="D681" s="1916"/>
      <c r="E681" s="1916"/>
      <c r="F681" s="1916"/>
      <c r="G681" s="57"/>
      <c r="H681" s="269"/>
      <c r="I681" s="269"/>
      <c r="J681" s="269"/>
      <c r="K681" s="269"/>
    </row>
    <row r="682" spans="1:11">
      <c r="A682" s="260"/>
      <c r="B682" s="260"/>
      <c r="C682" s="260"/>
      <c r="D682" s="1916"/>
      <c r="E682" s="1916"/>
      <c r="F682" s="1916"/>
      <c r="G682" s="57"/>
      <c r="H682" s="269"/>
      <c r="I682" s="269"/>
      <c r="J682" s="269"/>
      <c r="K682" s="269"/>
    </row>
    <row r="683" spans="1:11" ht="15" customHeight="1">
      <c r="A683" s="260"/>
      <c r="B683" s="260"/>
      <c r="C683" s="260"/>
      <c r="D683" s="1916"/>
      <c r="E683" s="1916"/>
      <c r="F683" s="1916"/>
      <c r="G683" s="57"/>
      <c r="H683" s="269"/>
      <c r="I683" s="269"/>
      <c r="J683" s="269"/>
      <c r="K683" s="269"/>
    </row>
    <row r="684" spans="1:11" ht="15" customHeight="1">
      <c r="A684" s="260"/>
      <c r="B684" s="260"/>
      <c r="C684" s="260"/>
      <c r="D684" s="1916"/>
      <c r="E684" s="1916"/>
      <c r="F684" s="1916"/>
      <c r="G684" s="57"/>
      <c r="H684" s="269"/>
      <c r="I684" s="269"/>
      <c r="J684" s="269"/>
      <c r="K684" s="269"/>
    </row>
    <row r="685" spans="1:11">
      <c r="A685" s="260"/>
      <c r="B685" s="260"/>
      <c r="C685" s="260"/>
      <c r="D685" s="1916"/>
      <c r="E685" s="1916"/>
      <c r="F685" s="1916"/>
      <c r="G685" s="57"/>
      <c r="H685" s="269"/>
      <c r="I685" s="269"/>
      <c r="J685" s="269"/>
      <c r="K685" s="269"/>
    </row>
    <row r="686" spans="1:11">
      <c r="A686" s="260"/>
      <c r="B686" s="260"/>
      <c r="C686" s="260"/>
      <c r="D686" s="1916"/>
      <c r="E686" s="1916"/>
      <c r="F686" s="1916"/>
      <c r="G686" s="57"/>
      <c r="H686" s="269"/>
      <c r="I686" s="269"/>
      <c r="J686" s="269"/>
      <c r="K686" s="269"/>
    </row>
    <row r="687" spans="1:11">
      <c r="A687" s="260"/>
      <c r="B687" s="260"/>
      <c r="C687" s="260"/>
      <c r="D687" s="1916"/>
      <c r="E687" s="1916"/>
      <c r="F687" s="1916"/>
      <c r="G687" s="57"/>
      <c r="H687" s="269"/>
      <c r="I687" s="269"/>
      <c r="J687" s="269"/>
      <c r="K687" s="269"/>
    </row>
    <row r="688" spans="1:11" ht="15" customHeight="1">
      <c r="A688" s="260"/>
      <c r="B688" s="260"/>
      <c r="C688" s="260"/>
      <c r="D688" s="1916"/>
      <c r="E688" s="1916"/>
      <c r="F688" s="1916"/>
      <c r="G688" s="57"/>
      <c r="H688" s="269"/>
      <c r="I688" s="269"/>
      <c r="J688" s="269"/>
      <c r="K688" s="269"/>
    </row>
    <row r="689" spans="1:11">
      <c r="A689" s="260"/>
      <c r="B689" s="260"/>
      <c r="C689" s="260"/>
      <c r="D689" s="1916"/>
      <c r="E689" s="1916"/>
      <c r="F689" s="1916"/>
      <c r="G689" s="57"/>
      <c r="H689" s="269"/>
      <c r="I689" s="269"/>
      <c r="J689" s="269"/>
      <c r="K689" s="269"/>
    </row>
    <row r="690" spans="1:11">
      <c r="A690" s="260"/>
      <c r="B690" s="260"/>
      <c r="C690" s="260"/>
      <c r="D690" s="1916"/>
      <c r="E690" s="1916"/>
      <c r="F690" s="1916"/>
      <c r="G690" s="57"/>
      <c r="H690" s="269"/>
      <c r="I690" s="269"/>
      <c r="J690" s="269"/>
      <c r="K690" s="269"/>
    </row>
    <row r="691" spans="1:11">
      <c r="A691" s="260"/>
      <c r="B691" s="260"/>
      <c r="C691" s="260"/>
      <c r="D691" s="1916"/>
      <c r="E691" s="1916"/>
      <c r="F691" s="1916"/>
      <c r="G691" s="57"/>
      <c r="H691" s="269"/>
      <c r="I691" s="269"/>
      <c r="J691" s="269"/>
      <c r="K691" s="269"/>
    </row>
    <row r="692" spans="1:11" s="681" customFormat="1">
      <c r="A692" s="260"/>
      <c r="B692" s="260"/>
      <c r="C692" s="260"/>
      <c r="D692" s="700"/>
      <c r="E692" s="700"/>
      <c r="F692" s="700"/>
      <c r="G692" s="57"/>
      <c r="H692" s="269"/>
      <c r="I692" s="269"/>
      <c r="J692" s="269"/>
      <c r="K692" s="269"/>
    </row>
    <row r="693" spans="1:11" ht="14.25">
      <c r="A693" s="261"/>
      <c r="B693" s="678" t="s">
        <v>316</v>
      </c>
      <c r="C693" s="260"/>
      <c r="D693" s="1916" t="s">
        <v>1227</v>
      </c>
      <c r="E693" s="1916"/>
      <c r="F693" s="1916"/>
      <c r="G693" s="57"/>
      <c r="H693" s="269"/>
      <c r="I693" s="269"/>
      <c r="J693" s="269"/>
      <c r="K693" s="269"/>
    </row>
    <row r="694" spans="1:11">
      <c r="A694" s="260"/>
      <c r="B694" s="260"/>
      <c r="C694" s="260"/>
      <c r="D694" s="1916"/>
      <c r="E694" s="1916"/>
      <c r="F694" s="1916"/>
      <c r="G694" s="57"/>
      <c r="H694" s="269"/>
      <c r="I694" s="269"/>
      <c r="J694" s="269"/>
      <c r="K694" s="269"/>
    </row>
    <row r="695" spans="1:11">
      <c r="A695" s="260"/>
      <c r="B695" s="260"/>
      <c r="C695" s="260"/>
      <c r="D695" s="1916"/>
      <c r="E695" s="1916"/>
      <c r="F695" s="1916"/>
      <c r="G695" s="57"/>
      <c r="H695" s="269"/>
      <c r="I695" s="269"/>
      <c r="J695" s="269"/>
      <c r="K695" s="269"/>
    </row>
    <row r="696" spans="1:11" s="681" customFormat="1">
      <c r="A696" s="260"/>
      <c r="B696" s="260"/>
      <c r="C696" s="260"/>
      <c r="D696" s="700"/>
      <c r="E696" s="700"/>
      <c r="F696" s="700"/>
      <c r="G696" s="57"/>
      <c r="H696" s="269"/>
      <c r="I696" s="269"/>
      <c r="J696" s="269"/>
      <c r="K696" s="269"/>
    </row>
    <row r="697" spans="1:11" s="681" customFormat="1">
      <c r="A697" s="260"/>
      <c r="B697" s="678" t="s">
        <v>316</v>
      </c>
      <c r="C697" s="260"/>
      <c r="D697" s="1916" t="s">
        <v>1224</v>
      </c>
      <c r="E697" s="1916"/>
      <c r="F697" s="1916"/>
      <c r="G697" s="57"/>
      <c r="H697" s="269"/>
      <c r="I697" s="269"/>
      <c r="J697" s="269"/>
      <c r="K697" s="269"/>
    </row>
    <row r="698" spans="1:11" s="681" customFormat="1">
      <c r="A698" s="260"/>
      <c r="B698" s="260"/>
      <c r="C698" s="260"/>
      <c r="D698" s="1916"/>
      <c r="E698" s="1916"/>
      <c r="F698" s="1916"/>
      <c r="G698" s="57"/>
      <c r="H698" s="269"/>
      <c r="I698" s="269"/>
      <c r="J698" s="269"/>
      <c r="K698" s="269"/>
    </row>
    <row r="699" spans="1:11" s="681" customFormat="1">
      <c r="A699" s="260"/>
      <c r="B699" s="260"/>
      <c r="C699" s="260"/>
      <c r="D699" s="700"/>
      <c r="E699" s="700"/>
      <c r="F699" s="700"/>
      <c r="G699" s="57"/>
      <c r="H699" s="269"/>
      <c r="I699" s="269"/>
      <c r="J699" s="269"/>
      <c r="K699" s="269"/>
    </row>
    <row r="700" spans="1:11" s="681" customFormat="1">
      <c r="A700" s="260"/>
      <c r="B700" s="678" t="s">
        <v>316</v>
      </c>
      <c r="C700" s="260"/>
      <c r="D700" s="1916" t="s">
        <v>1225</v>
      </c>
      <c r="E700" s="1916"/>
      <c r="F700" s="1916"/>
      <c r="G700" s="57"/>
      <c r="H700" s="269"/>
      <c r="I700" s="269"/>
      <c r="J700" s="269"/>
      <c r="K700" s="269"/>
    </row>
    <row r="701" spans="1:11" s="681" customFormat="1">
      <c r="A701" s="260"/>
      <c r="B701" s="260"/>
      <c r="C701" s="260"/>
      <c r="D701" s="1916"/>
      <c r="E701" s="1916"/>
      <c r="F701" s="1916"/>
      <c r="G701" s="57"/>
      <c r="H701" s="269"/>
      <c r="I701" s="269"/>
      <c r="J701" s="269"/>
      <c r="K701" s="269"/>
    </row>
    <row r="702" spans="1:11" s="681" customFormat="1">
      <c r="A702" s="260"/>
      <c r="B702" s="260"/>
      <c r="C702" s="260"/>
      <c r="D702" s="1916"/>
      <c r="E702" s="1916"/>
      <c r="F702" s="1916"/>
      <c r="G702" s="57"/>
      <c r="H702" s="269"/>
      <c r="I702" s="269"/>
      <c r="J702" s="269"/>
      <c r="K702" s="269"/>
    </row>
    <row r="703" spans="1:11" s="681" customFormat="1">
      <c r="A703" s="260"/>
      <c r="B703" s="260"/>
      <c r="C703" s="260"/>
      <c r="D703" s="700"/>
      <c r="E703" s="700"/>
      <c r="F703" s="700"/>
      <c r="G703" s="57"/>
      <c r="H703" s="269"/>
      <c r="I703" s="269"/>
      <c r="J703" s="269"/>
      <c r="K703" s="269"/>
    </row>
    <row r="704" spans="1:11">
      <c r="A704" s="260"/>
      <c r="B704" s="678" t="s">
        <v>316</v>
      </c>
      <c r="C704" s="260"/>
      <c r="D704" s="1916" t="s">
        <v>1218</v>
      </c>
      <c r="E704" s="1916"/>
      <c r="F704" s="1916"/>
      <c r="G704" s="57"/>
      <c r="H704" s="269"/>
      <c r="I704" s="269"/>
      <c r="J704" s="269"/>
      <c r="K704" s="269"/>
    </row>
    <row r="705" spans="1:11">
      <c r="A705" s="260"/>
      <c r="B705" s="260"/>
      <c r="C705" s="260"/>
      <c r="D705" s="1916"/>
      <c r="E705" s="1916"/>
      <c r="F705" s="1916"/>
      <c r="G705" s="57"/>
      <c r="H705" s="269"/>
      <c r="I705" s="269"/>
      <c r="J705" s="269"/>
      <c r="K705" s="269"/>
    </row>
    <row r="706" spans="1:11">
      <c r="A706" s="260"/>
      <c r="B706" s="260"/>
      <c r="C706" s="260"/>
      <c r="D706" s="1916"/>
      <c r="E706" s="1916"/>
      <c r="F706" s="1916"/>
      <c r="G706" s="57"/>
      <c r="H706" s="269"/>
      <c r="I706" s="269"/>
      <c r="J706" s="269"/>
      <c r="K706" s="269"/>
    </row>
    <row r="707" spans="1:11">
      <c r="A707" s="260"/>
      <c r="B707" s="260"/>
      <c r="C707" s="260"/>
      <c r="D707" s="130"/>
      <c r="G707" s="57"/>
      <c r="H707" s="269"/>
      <c r="I707" s="269"/>
      <c r="J707" s="269"/>
      <c r="K707" s="269"/>
    </row>
    <row r="708" spans="1:11">
      <c r="A708" s="260"/>
      <c r="B708" s="678" t="s">
        <v>316</v>
      </c>
      <c r="C708" s="260"/>
      <c r="D708" s="1916" t="s">
        <v>1219</v>
      </c>
      <c r="E708" s="1916"/>
      <c r="F708" s="1916"/>
      <c r="G708" s="57"/>
      <c r="H708" s="269"/>
      <c r="I708" s="269"/>
      <c r="J708" s="269"/>
      <c r="K708" s="269"/>
    </row>
    <row r="709" spans="1:11">
      <c r="A709" s="260"/>
      <c r="B709" s="260"/>
      <c r="C709" s="260"/>
      <c r="D709" s="1916"/>
      <c r="E709" s="1916"/>
      <c r="F709" s="1916"/>
      <c r="G709" s="57"/>
      <c r="H709" s="269"/>
      <c r="I709" s="269"/>
      <c r="J709" s="269"/>
      <c r="K709" s="269"/>
    </row>
    <row r="710" spans="1:11">
      <c r="A710" s="260"/>
      <c r="B710" s="260"/>
      <c r="C710" s="260"/>
      <c r="D710" s="1916"/>
      <c r="E710" s="1916"/>
      <c r="F710" s="1916"/>
      <c r="G710" s="57"/>
      <c r="H710" s="269"/>
      <c r="I710" s="269"/>
      <c r="J710" s="269"/>
      <c r="K710" s="269"/>
    </row>
    <row r="711" spans="1:11">
      <c r="A711" s="260"/>
      <c r="B711" s="260"/>
      <c r="C711" s="260"/>
      <c r="D711" s="12"/>
      <c r="G711" s="57"/>
      <c r="H711" s="269"/>
      <c r="I711" s="269"/>
      <c r="J711" s="269"/>
      <c r="K711" s="269"/>
    </row>
    <row r="712" spans="1:11" ht="14.25">
      <c r="A712" s="261"/>
      <c r="B712" s="678" t="s">
        <v>316</v>
      </c>
      <c r="C712" s="260"/>
      <c r="D712" s="1881" t="s">
        <v>1220</v>
      </c>
      <c r="E712" s="1881"/>
      <c r="F712" s="1881"/>
      <c r="G712" s="57"/>
      <c r="H712" s="269"/>
      <c r="I712" s="269"/>
      <c r="J712" s="269"/>
      <c r="K712" s="269"/>
    </row>
    <row r="713" spans="1:11">
      <c r="A713" s="260"/>
      <c r="B713" s="260"/>
      <c r="C713" s="260"/>
      <c r="D713" s="1881"/>
      <c r="E713" s="1881"/>
      <c r="F713" s="1881"/>
      <c r="G713" s="57"/>
      <c r="H713" s="269"/>
      <c r="I713" s="269"/>
      <c r="J713" s="269"/>
      <c r="K713" s="269"/>
    </row>
    <row r="714" spans="1:11">
      <c r="A714" s="260"/>
      <c r="B714" s="260"/>
      <c r="C714" s="260"/>
      <c r="D714" s="1881"/>
      <c r="E714" s="1881"/>
      <c r="F714" s="1881"/>
      <c r="G714" s="57"/>
      <c r="H714" s="269"/>
      <c r="I714" s="269"/>
      <c r="J714" s="269"/>
      <c r="K714" s="269"/>
    </row>
    <row r="715" spans="1:11">
      <c r="A715" s="260"/>
      <c r="B715" s="260"/>
      <c r="C715" s="260"/>
      <c r="D715" s="1881"/>
      <c r="E715" s="1881"/>
      <c r="F715" s="1881"/>
      <c r="G715" s="57"/>
      <c r="H715" s="269"/>
      <c r="I715" s="269"/>
      <c r="J715" s="269"/>
      <c r="K715" s="269"/>
    </row>
    <row r="716" spans="1:11">
      <c r="A716" s="260"/>
      <c r="B716" s="260"/>
      <c r="C716" s="260"/>
      <c r="D716" s="263"/>
      <c r="G716" s="57"/>
      <c r="H716" s="269"/>
      <c r="I716" s="269"/>
      <c r="J716" s="269"/>
      <c r="K716" s="269"/>
    </row>
    <row r="717" spans="1:11" ht="14.25">
      <c r="A717" s="261"/>
      <c r="B717" s="678" t="s">
        <v>316</v>
      </c>
      <c r="C717" s="260"/>
      <c r="D717" s="1916" t="s">
        <v>1353</v>
      </c>
      <c r="E717" s="1916"/>
      <c r="F717" s="1916"/>
      <c r="G717" s="57"/>
      <c r="H717" s="269"/>
      <c r="I717" s="269"/>
      <c r="J717" s="269"/>
      <c r="K717" s="269"/>
    </row>
    <row r="718" spans="1:11">
      <c r="A718" s="260"/>
      <c r="B718" s="260"/>
      <c r="C718" s="260"/>
      <c r="D718" s="1916"/>
      <c r="E718" s="1916"/>
      <c r="F718" s="1916"/>
      <c r="G718" s="57"/>
      <c r="H718" s="269"/>
      <c r="I718" s="269"/>
      <c r="J718" s="269"/>
      <c r="K718" s="269"/>
    </row>
    <row r="719" spans="1:11">
      <c r="A719" s="260"/>
      <c r="B719" s="260"/>
      <c r="C719" s="260"/>
      <c r="D719" s="1916"/>
      <c r="E719" s="1916"/>
      <c r="F719" s="1916"/>
      <c r="G719" s="57"/>
      <c r="H719" s="269"/>
      <c r="I719" s="269"/>
      <c r="J719" s="269"/>
      <c r="K719" s="269"/>
    </row>
    <row r="720" spans="1:11">
      <c r="A720" s="260"/>
      <c r="B720" s="260"/>
      <c r="C720" s="260"/>
      <c r="D720" s="1916"/>
      <c r="E720" s="1916"/>
      <c r="F720" s="1916"/>
      <c r="G720" s="57"/>
      <c r="H720" s="269"/>
      <c r="I720" s="269"/>
      <c r="J720" s="269"/>
      <c r="K720" s="269"/>
    </row>
    <row r="721" spans="1:11">
      <c r="A721" s="260"/>
      <c r="B721" s="260"/>
      <c r="C721" s="260"/>
      <c r="D721" s="1916"/>
      <c r="E721" s="1916"/>
      <c r="F721" s="1916"/>
      <c r="G721" s="57"/>
      <c r="H721" s="269"/>
      <c r="I721" s="269"/>
      <c r="J721" s="269"/>
      <c r="K721" s="269"/>
    </row>
    <row r="722" spans="1:11">
      <c r="A722" s="260"/>
      <c r="B722" s="260"/>
      <c r="C722" s="260"/>
      <c r="D722" s="1916"/>
      <c r="E722" s="1916"/>
      <c r="F722" s="1916"/>
      <c r="G722" s="57"/>
      <c r="H722" s="269"/>
      <c r="I722" s="269"/>
      <c r="J722" s="269"/>
      <c r="K722" s="269"/>
    </row>
    <row r="723" spans="1:11">
      <c r="A723" s="260"/>
      <c r="B723" s="260"/>
      <c r="C723" s="260"/>
      <c r="D723" s="1916"/>
      <c r="E723" s="1916"/>
      <c r="F723" s="1916"/>
      <c r="G723" s="57"/>
      <c r="H723" s="269"/>
      <c r="I723" s="269"/>
      <c r="J723" s="269"/>
      <c r="K723" s="269"/>
    </row>
    <row r="724" spans="1:11">
      <c r="A724" s="260"/>
      <c r="B724" s="260"/>
      <c r="C724" s="260"/>
      <c r="D724" s="1949" t="s">
        <v>1221</v>
      </c>
      <c r="E724" s="1949"/>
      <c r="F724" s="1949"/>
      <c r="G724" s="57"/>
      <c r="H724" s="269"/>
      <c r="I724" s="269"/>
      <c r="J724" s="269"/>
      <c r="K724" s="269"/>
    </row>
    <row r="725" spans="1:11" s="681" customFormat="1">
      <c r="A725" s="260"/>
      <c r="B725" s="260"/>
      <c r="C725" s="260"/>
      <c r="D725" s="532"/>
      <c r="E725" s="7"/>
      <c r="F725" s="7"/>
      <c r="G725" s="57"/>
      <c r="H725" s="269"/>
      <c r="I725" s="269"/>
      <c r="J725" s="269"/>
      <c r="K725" s="269"/>
    </row>
    <row r="726" spans="1:11">
      <c r="A726" s="1951" t="s">
        <v>1178</v>
      </c>
      <c r="B726" s="1951"/>
      <c r="C726" s="1951"/>
      <c r="D726" s="1951"/>
      <c r="E726" s="1951"/>
      <c r="F726" s="1951"/>
      <c r="G726" s="1951"/>
      <c r="H726" s="269"/>
      <c r="I726" s="269"/>
      <c r="J726" s="269"/>
      <c r="K726" s="269"/>
    </row>
    <row r="727" spans="1:11">
      <c r="A727" s="260"/>
      <c r="B727" s="260"/>
      <c r="C727" s="260"/>
      <c r="D727" s="263"/>
      <c r="G727" s="271"/>
      <c r="H727" s="269"/>
      <c r="I727" s="269"/>
      <c r="J727" s="269"/>
      <c r="K727" s="269"/>
    </row>
    <row r="728" spans="1:11" ht="13.15" customHeight="1">
      <c r="C728" s="260"/>
      <c r="D728" s="1930" t="s">
        <v>1194</v>
      </c>
      <c r="E728" s="1930"/>
      <c r="F728" s="1930"/>
      <c r="G728" s="271"/>
      <c r="H728" s="269"/>
      <c r="I728" s="269"/>
      <c r="J728" s="269"/>
      <c r="K728" s="269"/>
    </row>
    <row r="729" spans="1:11">
      <c r="A729" s="260"/>
      <c r="B729" s="260"/>
      <c r="C729" s="260"/>
      <c r="D729" s="1947" t="s">
        <v>1195</v>
      </c>
      <c r="E729" s="1947"/>
      <c r="F729" s="1947"/>
      <c r="G729" s="271"/>
      <c r="H729" s="269"/>
      <c r="I729" s="269"/>
      <c r="J729" s="269"/>
      <c r="K729" s="269"/>
    </row>
    <row r="730" spans="1:11">
      <c r="A730" s="260"/>
      <c r="B730" s="260"/>
      <c r="C730" s="260"/>
      <c r="G730" s="271"/>
      <c r="H730" s="269"/>
      <c r="I730" s="269"/>
      <c r="J730" s="269"/>
      <c r="K730" s="269"/>
    </row>
    <row r="731" spans="1:11" s="39" customFormat="1" ht="14.25">
      <c r="A731" s="261"/>
      <c r="B731" s="678" t="s">
        <v>316</v>
      </c>
      <c r="C731" s="132"/>
      <c r="D731" s="1881" t="s">
        <v>1196</v>
      </c>
      <c r="E731" s="1881"/>
      <c r="F731" s="1881"/>
      <c r="G731" s="271"/>
      <c r="H731" s="272"/>
      <c r="I731" s="272"/>
      <c r="J731" s="272"/>
      <c r="K731" s="272"/>
    </row>
    <row r="732" spans="1:11" s="39" customFormat="1" ht="10.5" customHeight="1">
      <c r="A732" s="132"/>
      <c r="B732" s="675"/>
      <c r="C732" s="132"/>
      <c r="D732" s="1881"/>
      <c r="E732" s="1881"/>
      <c r="F732" s="1881"/>
      <c r="G732" s="271"/>
      <c r="H732" s="272"/>
      <c r="I732" s="272"/>
      <c r="J732" s="272"/>
      <c r="K732" s="272"/>
    </row>
    <row r="733" spans="1:11" s="39" customFormat="1">
      <c r="A733" s="132"/>
      <c r="B733" s="675"/>
      <c r="C733" s="132"/>
      <c r="D733" s="1881"/>
      <c r="E733" s="1881"/>
      <c r="F733" s="1881"/>
      <c r="G733" s="271"/>
      <c r="H733" s="272"/>
      <c r="I733" s="272"/>
      <c r="J733" s="272"/>
      <c r="K733" s="272"/>
    </row>
    <row r="734" spans="1:11">
      <c r="D734" s="1881"/>
      <c r="E734" s="1881"/>
      <c r="F734" s="1881"/>
      <c r="G734" s="271"/>
      <c r="H734" s="269"/>
      <c r="I734" s="269"/>
      <c r="J734" s="269"/>
      <c r="K734" s="269"/>
    </row>
    <row r="735" spans="1:11">
      <c r="A735" s="273"/>
      <c r="B735" s="273"/>
      <c r="C735" s="273"/>
      <c r="D735" s="1881"/>
      <c r="E735" s="1881"/>
      <c r="F735" s="1881"/>
      <c r="G735" s="275"/>
      <c r="H735" s="269"/>
      <c r="I735" s="269"/>
      <c r="J735" s="269"/>
      <c r="K735" s="269"/>
    </row>
    <row r="736" spans="1:11" ht="15.6" customHeight="1">
      <c r="A736" s="273"/>
      <c r="B736" s="273"/>
      <c r="C736" s="273"/>
      <c r="D736" s="1881"/>
      <c r="E736" s="1881"/>
      <c r="F736" s="1881"/>
      <c r="G736" s="275"/>
      <c r="H736" s="269"/>
      <c r="I736" s="269"/>
      <c r="J736" s="269"/>
      <c r="K736" s="269"/>
    </row>
    <row r="737" spans="1:11">
      <c r="A737" s="273"/>
      <c r="B737" s="273"/>
      <c r="C737" s="273"/>
      <c r="D737" s="377"/>
      <c r="E737" s="274"/>
      <c r="F737" s="274"/>
      <c r="G737" s="275"/>
      <c r="H737" s="269"/>
      <c r="I737" s="269"/>
      <c r="J737" s="269"/>
      <c r="K737" s="269"/>
    </row>
    <row r="738" spans="1:11" s="408" customFormat="1" ht="14.25">
      <c r="A738" s="406"/>
      <c r="B738" s="678" t="s">
        <v>316</v>
      </c>
      <c r="C738" s="407"/>
      <c r="D738" s="1882" t="s">
        <v>1197</v>
      </c>
      <c r="E738" s="1882"/>
      <c r="F738" s="1882"/>
      <c r="G738" s="311"/>
    </row>
    <row r="739" spans="1:11" s="408" customFormat="1">
      <c r="A739" s="407"/>
      <c r="B739" s="407"/>
      <c r="C739" s="407"/>
      <c r="D739" s="1882"/>
      <c r="E739" s="1882"/>
      <c r="F739" s="1882"/>
      <c r="G739" s="311"/>
    </row>
    <row r="740" spans="1:11" s="408" customFormat="1">
      <c r="A740" s="407"/>
      <c r="B740" s="407"/>
      <c r="C740" s="407"/>
      <c r="D740" s="1882"/>
      <c r="E740" s="1882"/>
      <c r="F740" s="1882"/>
      <c r="G740" s="311"/>
    </row>
    <row r="741" spans="1:11" s="408" customFormat="1">
      <c r="A741" s="407"/>
      <c r="B741" s="407"/>
      <c r="C741" s="407"/>
      <c r="D741" s="1882"/>
      <c r="E741" s="1882"/>
      <c r="F741" s="1882"/>
      <c r="G741" s="311"/>
    </row>
    <row r="742" spans="1:11" s="408" customFormat="1">
      <c r="A742" s="407"/>
      <c r="B742" s="407"/>
      <c r="C742" s="407"/>
      <c r="D742" s="377"/>
      <c r="E742" s="311"/>
      <c r="F742" s="311"/>
      <c r="G742" s="311"/>
    </row>
    <row r="743" spans="1:11" s="408" customFormat="1" ht="14.25">
      <c r="A743" s="261"/>
      <c r="B743" s="678" t="s">
        <v>316</v>
      </c>
      <c r="C743" s="407"/>
      <c r="D743" s="1948" t="s">
        <v>1198</v>
      </c>
      <c r="E743" s="1948"/>
      <c r="F743" s="1948"/>
      <c r="G743" s="311"/>
    </row>
    <row r="744" spans="1:11" s="408" customFormat="1">
      <c r="A744" s="407"/>
      <c r="B744" s="407"/>
      <c r="C744" s="407"/>
      <c r="D744" s="1948"/>
      <c r="E744" s="1948"/>
      <c r="F744" s="1948"/>
      <c r="G744" s="311"/>
    </row>
    <row r="745" spans="1:11" s="408" customFormat="1">
      <c r="A745" s="407"/>
      <c r="B745" s="407"/>
      <c r="C745" s="407"/>
      <c r="D745" s="1948"/>
      <c r="E745" s="1948"/>
      <c r="F745" s="1948"/>
      <c r="G745" s="311"/>
    </row>
    <row r="746" spans="1:11">
      <c r="A746" s="273"/>
      <c r="B746" s="273"/>
      <c r="C746" s="273"/>
      <c r="D746" s="377"/>
      <c r="E746" s="274"/>
      <c r="F746" s="274"/>
      <c r="G746" s="275"/>
      <c r="H746" s="269"/>
      <c r="I746" s="269"/>
      <c r="J746" s="269"/>
      <c r="K746" s="269"/>
    </row>
    <row r="747" spans="1:11" ht="14.25">
      <c r="A747" s="261"/>
      <c r="B747" s="678" t="s">
        <v>316</v>
      </c>
      <c r="C747" s="273"/>
      <c r="D747" s="1882" t="s">
        <v>1199</v>
      </c>
      <c r="E747" s="1882"/>
      <c r="F747" s="1882"/>
      <c r="G747" s="275"/>
      <c r="H747" s="269"/>
      <c r="I747" s="269"/>
      <c r="J747" s="269"/>
      <c r="K747" s="269"/>
    </row>
    <row r="748" spans="1:11">
      <c r="A748" s="273"/>
      <c r="B748" s="273"/>
      <c r="C748" s="273"/>
      <c r="D748" s="1882"/>
      <c r="E748" s="1882"/>
      <c r="F748" s="1882"/>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316</v>
      </c>
      <c r="C750" s="273"/>
      <c r="D750" s="1882" t="s">
        <v>1200</v>
      </c>
      <c r="E750" s="1882"/>
      <c r="F750" s="1882"/>
      <c r="G750" s="275"/>
      <c r="H750" s="269"/>
      <c r="I750" s="269"/>
      <c r="J750" s="269"/>
      <c r="K750" s="269"/>
    </row>
    <row r="751" spans="1:11" s="681" customFormat="1">
      <c r="A751" s="273"/>
      <c r="B751" s="273"/>
      <c r="C751" s="273"/>
      <c r="D751" s="1882"/>
      <c r="E751" s="1882"/>
      <c r="F751" s="1882"/>
      <c r="G751" s="275"/>
      <c r="H751" s="269"/>
      <c r="I751" s="269"/>
      <c r="J751" s="269"/>
      <c r="K751" s="269"/>
    </row>
    <row r="752" spans="1:11" s="681" customFormat="1">
      <c r="A752" s="273"/>
      <c r="B752" s="273"/>
      <c r="C752" s="273"/>
      <c r="D752" s="1882"/>
      <c r="E752" s="1882"/>
      <c r="F752" s="1882"/>
      <c r="G752" s="275"/>
      <c r="H752" s="269"/>
      <c r="I752" s="269"/>
      <c r="J752" s="269"/>
      <c r="K752" s="269"/>
    </row>
    <row r="753" spans="1:11" s="681" customFormat="1">
      <c r="A753" s="273"/>
      <c r="B753" s="273"/>
      <c r="C753" s="273"/>
      <c r="D753" s="694"/>
      <c r="E753" s="694"/>
      <c r="F753" s="694"/>
      <c r="G753" s="275"/>
      <c r="H753" s="269"/>
      <c r="I753" s="269"/>
      <c r="J753" s="269"/>
      <c r="K753" s="269"/>
    </row>
    <row r="754" spans="1:11">
      <c r="A754" s="1953" t="s">
        <v>1201</v>
      </c>
      <c r="B754" s="1953"/>
      <c r="C754" s="1953"/>
      <c r="D754" s="1953"/>
      <c r="E754" s="1953"/>
      <c r="F754" s="1953"/>
      <c r="G754" s="1953"/>
    </row>
    <row r="755" spans="1:11">
      <c r="A755" s="260"/>
      <c r="B755" s="260"/>
      <c r="C755" s="260"/>
      <c r="D755" s="276"/>
      <c r="F755" s="147"/>
      <c r="G755" s="271"/>
    </row>
    <row r="756" spans="1:11">
      <c r="A756" s="273"/>
      <c r="B756" s="273"/>
      <c r="C756" s="441"/>
      <c r="D756" s="1954" t="s">
        <v>1185</v>
      </c>
      <c r="E756" s="1954"/>
      <c r="F756" s="1954"/>
      <c r="G756" s="271"/>
    </row>
    <row r="757" spans="1:11">
      <c r="A757" s="502"/>
      <c r="B757" s="502"/>
      <c r="C757" s="501"/>
      <c r="D757" s="1944" t="s">
        <v>1202</v>
      </c>
      <c r="E757" s="1944"/>
      <c r="F757" s="1944"/>
      <c r="G757" s="271"/>
    </row>
    <row r="758" spans="1:11">
      <c r="A758" s="273"/>
      <c r="B758" s="273"/>
      <c r="C758" s="441"/>
      <c r="D758" s="692"/>
      <c r="E758" s="692"/>
      <c r="F758" s="692"/>
      <c r="G758" s="271"/>
    </row>
    <row r="759" spans="1:11" ht="14.25">
      <c r="A759" s="261"/>
      <c r="B759" s="678" t="s">
        <v>316</v>
      </c>
      <c r="C759" s="441"/>
      <c r="D759" s="1945" t="s">
        <v>1070</v>
      </c>
      <c r="E759" s="1945"/>
      <c r="F759" s="1945"/>
      <c r="G759" s="271"/>
    </row>
    <row r="760" spans="1:11">
      <c r="A760" s="273"/>
      <c r="B760" s="273"/>
      <c r="C760" s="441"/>
      <c r="D760" s="691"/>
      <c r="E760" s="1946" t="s">
        <v>1186</v>
      </c>
      <c r="F760" s="1946"/>
      <c r="G760" s="271"/>
    </row>
    <row r="761" spans="1:11">
      <c r="A761" s="267"/>
      <c r="B761" s="267"/>
      <c r="C761" s="267"/>
      <c r="D761" s="135"/>
      <c r="F761" s="57"/>
      <c r="G761" s="271"/>
    </row>
    <row r="762" spans="1:11">
      <c r="A762" s="1950" t="s">
        <v>471</v>
      </c>
      <c r="B762" s="1950"/>
      <c r="C762" s="1950"/>
      <c r="D762" s="1950"/>
      <c r="E762" s="1950"/>
      <c r="F762" s="1950"/>
      <c r="G762" s="1950"/>
    </row>
    <row r="763" spans="1:11">
      <c r="A763" s="255"/>
      <c r="B763" s="672"/>
      <c r="C763" s="266"/>
      <c r="D763" s="271"/>
      <c r="E763" s="271"/>
      <c r="F763" s="271"/>
      <c r="G763" s="271"/>
    </row>
    <row r="764" spans="1:11">
      <c r="A764" s="135"/>
      <c r="B764" s="1952" t="s">
        <v>1069</v>
      </c>
      <c r="C764" s="1952"/>
      <c r="D764" s="1952"/>
      <c r="E764" s="1952"/>
      <c r="F764" s="1952"/>
      <c r="G764" s="271"/>
    </row>
    <row r="765" spans="1:11">
      <c r="A765" s="23"/>
      <c r="B765" s="674"/>
      <c r="G765" s="271"/>
    </row>
    <row r="766" spans="1:11">
      <c r="A766" s="1950" t="s">
        <v>472</v>
      </c>
      <c r="B766" s="1950"/>
      <c r="C766" s="1950"/>
      <c r="D766" s="1950"/>
      <c r="E766" s="1950"/>
      <c r="F766" s="1950"/>
      <c r="G766" s="1950"/>
    </row>
    <row r="767" spans="1:11">
      <c r="A767" s="255"/>
      <c r="B767" s="672"/>
      <c r="C767" s="255"/>
      <c r="D767" s="263"/>
      <c r="G767" s="271"/>
    </row>
    <row r="768" spans="1:11">
      <c r="A768" s="135"/>
      <c r="B768" s="1896" t="s">
        <v>470</v>
      </c>
      <c r="C768" s="1896"/>
      <c r="D768" s="1896"/>
      <c r="E768" s="1896"/>
      <c r="F768" s="1896"/>
      <c r="G768" s="271"/>
    </row>
    <row r="769" spans="1:7" ht="14.25">
      <c r="A769" s="261"/>
      <c r="B769" s="261"/>
      <c r="D769" s="135"/>
      <c r="E769" s="135"/>
      <c r="F769" s="271"/>
      <c r="G769" s="271"/>
    </row>
    <row r="770" spans="1:7">
      <c r="A770" s="1950" t="s">
        <v>473</v>
      </c>
      <c r="B770" s="1950"/>
      <c r="C770" s="1950"/>
      <c r="D770" s="1950"/>
      <c r="E770" s="1950"/>
      <c r="F770" s="1950"/>
      <c r="G770" s="1950"/>
    </row>
    <row r="771" spans="1:7">
      <c r="C771" s="260"/>
      <c r="D771" s="259"/>
      <c r="E771" s="135"/>
      <c r="F771" s="271"/>
      <c r="G771" s="271"/>
    </row>
    <row r="772" spans="1:7">
      <c r="A772" s="135"/>
      <c r="B772" s="1896" t="s">
        <v>470</v>
      </c>
      <c r="C772" s="1896"/>
      <c r="D772" s="1896"/>
      <c r="E772" s="1896"/>
      <c r="F772" s="1896"/>
      <c r="G772" s="271"/>
    </row>
    <row r="773" spans="1:7">
      <c r="A773" s="135"/>
      <c r="B773" s="135"/>
      <c r="C773" s="266"/>
      <c r="D773" s="271"/>
      <c r="E773" s="271"/>
      <c r="F773" s="271"/>
      <c r="G773" s="271"/>
    </row>
    <row r="774" spans="1:7">
      <c r="A774" s="1950" t="s">
        <v>474</v>
      </c>
      <c r="B774" s="1950"/>
      <c r="C774" s="1950"/>
      <c r="D774" s="1950"/>
      <c r="E774" s="1950"/>
      <c r="F774" s="1950"/>
      <c r="G774" s="1950"/>
    </row>
    <row r="775" spans="1:7">
      <c r="A775" s="135"/>
      <c r="B775" s="135"/>
    </row>
    <row r="776" spans="1:7">
      <c r="A776" s="135"/>
      <c r="B776" s="1896" t="s">
        <v>470</v>
      </c>
      <c r="C776" s="1896"/>
      <c r="D776" s="1896"/>
      <c r="E776" s="1896"/>
      <c r="F776" s="1896"/>
    </row>
    <row r="777" spans="1:7">
      <c r="A777" s="266"/>
      <c r="B777" s="266"/>
      <c r="C777" s="266"/>
      <c r="D777" s="258"/>
      <c r="F777" s="271"/>
    </row>
    <row r="778" spans="1:7">
      <c r="A778" s="1950" t="s">
        <v>475</v>
      </c>
      <c r="B778" s="1950"/>
      <c r="C778" s="1950"/>
      <c r="D778" s="1950"/>
      <c r="E778" s="1950"/>
      <c r="F778" s="1950"/>
      <c r="G778" s="1950"/>
    </row>
    <row r="779" spans="1:7">
      <c r="A779" s="135"/>
      <c r="B779" s="135"/>
    </row>
    <row r="780" spans="1:7">
      <c r="A780" s="135"/>
      <c r="B780" s="1896" t="s">
        <v>470</v>
      </c>
      <c r="C780" s="1896"/>
      <c r="D780" s="1896"/>
      <c r="E780" s="1896"/>
      <c r="F780" s="1896"/>
    </row>
    <row r="781" spans="1:7">
      <c r="A781" s="266"/>
      <c r="B781" s="266"/>
      <c r="C781" s="266"/>
      <c r="D781" s="258"/>
      <c r="F781" s="271"/>
    </row>
    <row r="782" spans="1:7">
      <c r="A782" s="1950" t="s">
        <v>476</v>
      </c>
      <c r="B782" s="1950"/>
      <c r="C782" s="1950"/>
      <c r="D782" s="1950"/>
      <c r="E782" s="1950"/>
      <c r="F782" s="1950"/>
      <c r="G782" s="1950"/>
    </row>
    <row r="783" spans="1:7">
      <c r="A783" s="135"/>
      <c r="B783" s="135"/>
    </row>
    <row r="784" spans="1:7">
      <c r="A784" s="135"/>
      <c r="B784" s="1896" t="s">
        <v>470</v>
      </c>
      <c r="C784" s="1896"/>
      <c r="D784" s="1896"/>
      <c r="E784" s="1896"/>
      <c r="F784" s="1896"/>
    </row>
    <row r="785" spans="1:7">
      <c r="A785" s="265"/>
      <c r="B785" s="265"/>
      <c r="C785" s="265"/>
      <c r="D785" s="277"/>
      <c r="E785" s="57"/>
      <c r="F785" s="57"/>
      <c r="G785" s="57"/>
    </row>
    <row r="786" spans="1:7">
      <c r="A786" s="1950" t="s">
        <v>192</v>
      </c>
      <c r="B786" s="1950"/>
      <c r="C786" s="1950"/>
      <c r="D786" s="1950"/>
      <c r="E786" s="1950"/>
      <c r="F786" s="1950"/>
      <c r="G786" s="1950"/>
    </row>
    <row r="787" spans="1:7">
      <c r="A787" s="135"/>
      <c r="B787" s="135"/>
    </row>
    <row r="788" spans="1:7">
      <c r="A788" s="135"/>
      <c r="B788" s="1896" t="s">
        <v>470</v>
      </c>
      <c r="C788" s="1896"/>
      <c r="D788" s="1896"/>
      <c r="E788" s="1896"/>
      <c r="F788" s="1896"/>
    </row>
    <row r="789" spans="1:7">
      <c r="A789" s="135"/>
      <c r="B789" s="135"/>
      <c r="D789" s="258"/>
    </row>
    <row r="790" spans="1:7">
      <c r="A790" s="1950" t="s">
        <v>938</v>
      </c>
      <c r="B790" s="1950"/>
      <c r="C790" s="1950"/>
      <c r="D790" s="1950"/>
      <c r="E790" s="1950"/>
      <c r="F790" s="1950"/>
      <c r="G790" s="1950"/>
    </row>
    <row r="791" spans="1:7">
      <c r="A791" s="135"/>
      <c r="B791" s="135"/>
    </row>
    <row r="792" spans="1:7">
      <c r="A792" s="135"/>
      <c r="B792" s="1896" t="s">
        <v>470</v>
      </c>
      <c r="C792" s="1896"/>
      <c r="D792" s="1896"/>
      <c r="E792" s="1896"/>
      <c r="F792" s="1896"/>
      <c r="G792" s="12"/>
    </row>
    <row r="793" spans="1:7">
      <c r="A793" s="255"/>
      <c r="B793" s="672"/>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0" zoomScaleNormal="100" zoomScaleSheetLayoutView="100" workbookViewId="0"/>
  </sheetViews>
  <sheetFormatPr defaultColWidth="0" defaultRowHeight="12.4" customHeight="1" zeroHeight="1"/>
  <cols>
    <col min="1" max="10" width="10.7109375" style="721" customWidth="1"/>
    <col min="11" max="16384" width="8.85546875" style="721" hidden="1"/>
  </cols>
  <sheetData>
    <row r="1" spans="1:10" ht="14.25" customHeight="1"/>
    <row r="2" spans="1:10" ht="15.75">
      <c r="A2" s="1959" t="s">
        <v>2401</v>
      </c>
      <c r="B2" s="1960"/>
      <c r="C2" s="1960"/>
      <c r="D2" s="1960"/>
      <c r="E2" s="1960"/>
      <c r="F2" s="1960"/>
      <c r="G2" s="1960"/>
      <c r="H2" s="1960"/>
      <c r="I2" s="1960"/>
      <c r="J2" s="1960"/>
    </row>
    <row r="3" spans="1:10" ht="15">
      <c r="A3" s="1964" t="s">
        <v>1501</v>
      </c>
      <c r="B3" s="1965"/>
      <c r="C3" s="1965"/>
      <c r="D3" s="1965"/>
      <c r="E3" s="1965"/>
      <c r="F3" s="1965"/>
      <c r="G3" s="1965"/>
      <c r="H3" s="1965"/>
      <c r="I3" s="1965"/>
      <c r="J3" s="1965"/>
    </row>
    <row r="4" spans="1:10" ht="12.75"/>
    <row r="5" spans="1:10" ht="12.75" customHeight="1">
      <c r="A5" s="1961" t="s">
        <v>2404</v>
      </c>
      <c r="B5" s="1961"/>
      <c r="C5" s="1961"/>
      <c r="D5" s="1961"/>
      <c r="E5" s="1961"/>
      <c r="F5" s="1961"/>
      <c r="G5" s="1961"/>
      <c r="H5" s="1961"/>
      <c r="I5" s="1961"/>
      <c r="J5" s="1961"/>
    </row>
    <row r="6" spans="1:10" ht="12.75">
      <c r="A6" s="1961"/>
      <c r="B6" s="1961"/>
      <c r="C6" s="1961"/>
      <c r="D6" s="1961"/>
      <c r="E6" s="1961"/>
      <c r="F6" s="1961"/>
      <c r="G6" s="1961"/>
      <c r="H6" s="1961"/>
      <c r="I6" s="1961"/>
      <c r="J6" s="1961"/>
    </row>
    <row r="7" spans="1:10" ht="30" customHeight="1">
      <c r="A7" s="1961"/>
      <c r="B7" s="1961"/>
      <c r="C7" s="1961"/>
      <c r="D7" s="1961"/>
      <c r="E7" s="1961"/>
      <c r="F7" s="1961"/>
      <c r="G7" s="1961"/>
      <c r="H7" s="1961"/>
      <c r="I7" s="1961"/>
      <c r="J7" s="1961"/>
    </row>
    <row r="8" spans="1:10" ht="12.75">
      <c r="A8" s="771"/>
      <c r="B8" s="771"/>
      <c r="C8" s="771"/>
      <c r="D8" s="771"/>
      <c r="E8" s="771"/>
      <c r="F8" s="771"/>
      <c r="G8" s="771"/>
      <c r="H8" s="771"/>
      <c r="I8" s="771"/>
      <c r="J8" s="771"/>
    </row>
    <row r="9" spans="1:10" ht="12.75" customHeight="1">
      <c r="A9" s="1829" t="s">
        <v>2405</v>
      </c>
      <c r="B9" s="1828"/>
      <c r="C9" s="1828"/>
      <c r="D9" s="1828"/>
      <c r="E9" s="1828"/>
      <c r="F9" s="1828"/>
      <c r="G9" s="1828"/>
      <c r="H9" s="1828"/>
      <c r="I9" s="1828"/>
      <c r="J9" s="1828"/>
    </row>
    <row r="10" spans="1:10" ht="12.75"/>
    <row r="11" spans="1:10" ht="12.75" customHeight="1">
      <c r="A11" s="1966" t="s">
        <v>2407</v>
      </c>
      <c r="B11" s="1966"/>
      <c r="C11" s="1966"/>
      <c r="D11" s="1966"/>
      <c r="E11" s="1966"/>
      <c r="F11" s="1966"/>
      <c r="G11" s="1966"/>
      <c r="H11" s="1966"/>
      <c r="I11" s="1966"/>
      <c r="J11" s="1966"/>
    </row>
    <row r="12" spans="1:10" ht="12.75">
      <c r="A12" s="1966"/>
      <c r="B12" s="1966"/>
      <c r="C12" s="1966"/>
      <c r="D12" s="1966"/>
      <c r="E12" s="1966"/>
      <c r="F12" s="1966"/>
      <c r="G12" s="1966"/>
      <c r="H12" s="1966"/>
      <c r="I12" s="1966"/>
      <c r="J12" s="1966"/>
    </row>
    <row r="13" spans="1:10" s="1768" customFormat="1" ht="12.75">
      <c r="A13" s="1966"/>
      <c r="B13" s="1966"/>
      <c r="C13" s="1966"/>
      <c r="D13" s="1966"/>
      <c r="E13" s="1966"/>
      <c r="F13" s="1966"/>
      <c r="G13" s="1966"/>
      <c r="H13" s="1966"/>
      <c r="I13" s="1966"/>
      <c r="J13" s="1966"/>
    </row>
    <row r="14" spans="1:10" ht="12.75">
      <c r="A14" s="1967"/>
      <c r="B14" s="1967"/>
      <c r="C14" s="1967"/>
      <c r="D14" s="1967"/>
      <c r="E14" s="1967"/>
      <c r="F14" s="1967"/>
      <c r="G14" s="1967"/>
      <c r="H14" s="1967"/>
      <c r="I14" s="1967"/>
      <c r="J14" s="1967"/>
    </row>
    <row r="15" spans="1:10" ht="12.75">
      <c r="A15" s="1967"/>
      <c r="B15" s="1967"/>
      <c r="C15" s="1967"/>
      <c r="D15" s="1967"/>
      <c r="E15" s="1967"/>
      <c r="F15" s="1967"/>
      <c r="G15" s="1967"/>
      <c r="H15" s="1967"/>
      <c r="I15" s="1967"/>
      <c r="J15" s="1967"/>
    </row>
    <row r="16" spans="1:10" ht="12.75">
      <c r="A16" s="1967"/>
      <c r="B16" s="1967"/>
      <c r="C16" s="1967"/>
      <c r="D16" s="1967"/>
      <c r="E16" s="1967"/>
      <c r="F16" s="1967"/>
      <c r="G16" s="1967"/>
      <c r="H16" s="1967"/>
      <c r="I16" s="1967"/>
      <c r="J16" s="1967"/>
    </row>
    <row r="17" spans="1:10" s="1768" customFormat="1" ht="12.75">
      <c r="A17" s="1831"/>
      <c r="B17" s="1831"/>
      <c r="C17" s="1831"/>
      <c r="D17" s="1831"/>
      <c r="E17" s="1831"/>
      <c r="F17" s="1831"/>
      <c r="G17" s="1831"/>
      <c r="H17" s="1831"/>
      <c r="I17" s="1831"/>
      <c r="J17" s="1831"/>
    </row>
    <row r="18" spans="1:10" ht="12.75">
      <c r="A18" s="772" t="s">
        <v>2406</v>
      </c>
      <c r="B18" s="771"/>
      <c r="C18" s="771"/>
      <c r="D18" s="771"/>
      <c r="E18" s="771"/>
      <c r="F18" s="771"/>
      <c r="G18" s="771"/>
      <c r="H18" s="771"/>
      <c r="I18" s="771"/>
      <c r="J18" s="771"/>
    </row>
    <row r="19" spans="1:10" ht="12.75">
      <c r="A19" s="773" t="s">
        <v>256</v>
      </c>
      <c r="B19" s="773"/>
      <c r="C19" s="773"/>
      <c r="D19" s="773"/>
      <c r="E19" s="773"/>
      <c r="F19" s="773"/>
      <c r="G19" s="773"/>
      <c r="H19" s="773"/>
      <c r="I19" s="773"/>
      <c r="J19" s="773"/>
    </row>
    <row r="20" spans="1:10" ht="12.75">
      <c r="A20" s="1968" t="s">
        <v>1391</v>
      </c>
      <c r="B20" s="1965"/>
      <c r="C20" s="1965"/>
      <c r="D20" s="1965"/>
      <c r="E20" s="196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61" t="s">
        <v>1392</v>
      </c>
      <c r="B57" s="1962"/>
      <c r="C57" s="1962"/>
      <c r="D57" s="1962"/>
      <c r="E57" s="1962"/>
      <c r="F57" s="1962"/>
      <c r="G57" s="1962"/>
      <c r="H57" s="1962"/>
      <c r="I57" s="1962"/>
      <c r="J57" s="1962"/>
    </row>
    <row r="58" spans="1:10" ht="12.75">
      <c r="A58" s="1962"/>
      <c r="B58" s="1962"/>
      <c r="C58" s="1962"/>
      <c r="D58" s="1962"/>
      <c r="E58" s="1962"/>
      <c r="F58" s="1962"/>
      <c r="G58" s="1962"/>
      <c r="H58" s="1962"/>
      <c r="I58" s="1962"/>
      <c r="J58" s="1962"/>
    </row>
    <row r="59" spans="1:10" ht="12.75">
      <c r="A59" s="1962"/>
      <c r="B59" s="1962"/>
      <c r="C59" s="1962"/>
      <c r="D59" s="1962"/>
      <c r="E59" s="1962"/>
      <c r="F59" s="1962"/>
      <c r="G59" s="1962"/>
      <c r="H59" s="1962"/>
      <c r="I59" s="1962"/>
      <c r="J59" s="1962"/>
    </row>
    <row r="60" spans="1:10" ht="12.75"/>
    <row r="61" spans="1:10" ht="12.75">
      <c r="A61" s="671"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63" t="s">
        <v>2402</v>
      </c>
      <c r="B72" s="1963"/>
      <c r="C72" s="1963"/>
      <c r="D72" s="1963"/>
      <c r="E72" s="1963"/>
      <c r="F72" s="1963"/>
      <c r="G72" s="1963"/>
      <c r="H72" s="1963"/>
      <c r="I72" s="1963"/>
    </row>
    <row r="73" spans="1:9" ht="12.75">
      <c r="A73" s="1887" t="s">
        <v>1094</v>
      </c>
      <c r="B73" s="1887"/>
      <c r="C73" s="1887"/>
      <c r="D73" s="1887"/>
      <c r="E73" s="1887"/>
    </row>
    <row r="74" spans="1:9" ht="12.75">
      <c r="A74" s="1887" t="s">
        <v>1393</v>
      </c>
      <c r="B74" s="1887"/>
      <c r="C74" s="1887"/>
      <c r="D74" s="1887"/>
      <c r="E74" s="1887"/>
    </row>
    <row r="75" spans="1:9" ht="12.75">
      <c r="A75" s="1887" t="s">
        <v>2403</v>
      </c>
      <c r="B75" s="1887"/>
      <c r="C75" s="1887"/>
      <c r="D75" s="1887"/>
      <c r="E75" s="188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667" zoomScaleNormal="100" zoomScaleSheetLayoutView="100" workbookViewId="0">
      <selection activeCell="B683" sqref="B683"/>
    </sheetView>
  </sheetViews>
  <sheetFormatPr defaultColWidth="8.85546875" defaultRowHeight="12.75" zeroHeight="1"/>
  <cols>
    <col min="1" max="1" width="3.5703125" style="787" customWidth="1"/>
    <col min="2" max="2" width="13.5703125" style="787" customWidth="1"/>
    <col min="3" max="3" width="2.5703125" style="787" customWidth="1"/>
    <col min="4" max="5" width="3.5703125" style="788" customWidth="1"/>
    <col min="6" max="6" width="65.5703125" style="788" customWidth="1"/>
    <col min="7" max="7" width="1.5703125" style="788" customWidth="1"/>
    <col min="8" max="8" width="3.5703125" style="789" customWidth="1"/>
    <col min="9" max="9" width="24.42578125" style="1773" customWidth="1"/>
    <col min="10" max="16384" width="8.85546875" style="789"/>
  </cols>
  <sheetData>
    <row r="1" spans="1:9"/>
    <row r="2" spans="1:9">
      <c r="A2" s="2019" t="s">
        <v>2242</v>
      </c>
      <c r="B2" s="2019"/>
      <c r="C2" s="2019"/>
      <c r="D2" s="2019"/>
      <c r="E2" s="2019"/>
      <c r="F2" s="2019"/>
      <c r="G2" s="2019"/>
      <c r="H2" s="2019"/>
      <c r="I2" s="2019"/>
    </row>
    <row r="3" spans="1:9">
      <c r="A3" s="2020" t="s">
        <v>2243</v>
      </c>
      <c r="B3" s="2020"/>
      <c r="C3" s="2020"/>
      <c r="D3" s="2020"/>
      <c r="E3" s="2020"/>
      <c r="F3" s="2020"/>
      <c r="G3" s="2020"/>
      <c r="H3" s="2020"/>
      <c r="I3" s="2020"/>
    </row>
    <row r="4" spans="1:9">
      <c r="A4" s="2000"/>
      <c r="B4" s="2000"/>
      <c r="C4" s="2001"/>
      <c r="D4" s="2001"/>
      <c r="E4" s="2001"/>
      <c r="F4" s="2001"/>
      <c r="G4" s="2001"/>
      <c r="I4" s="641"/>
    </row>
    <row r="5" spans="1:9" s="790" customFormat="1">
      <c r="A5" s="2000"/>
      <c r="B5" s="2000"/>
      <c r="C5" s="2006"/>
      <c r="D5" s="2006"/>
      <c r="E5" s="2006"/>
      <c r="F5" s="2006"/>
      <c r="G5" s="2006"/>
      <c r="I5" s="1836"/>
    </row>
    <row r="6" spans="1:9" s="790" customFormat="1">
      <c r="A6" s="2008" t="s">
        <v>1255</v>
      </c>
      <c r="B6" s="2008"/>
      <c r="C6" s="2009"/>
      <c r="D6" s="2009"/>
      <c r="E6" s="2009"/>
      <c r="F6" s="2009"/>
      <c r="G6" s="2009"/>
      <c r="I6" s="1835" t="s">
        <v>2417</v>
      </c>
    </row>
    <row r="7" spans="1:9" s="790" customFormat="1">
      <c r="A7" s="2008" t="s">
        <v>1256</v>
      </c>
      <c r="B7" s="2008"/>
      <c r="C7" s="2009"/>
      <c r="D7" s="2009"/>
      <c r="E7" s="2009"/>
      <c r="F7" s="2009"/>
      <c r="G7" s="2009"/>
      <c r="I7" s="1835" t="s">
        <v>2418</v>
      </c>
    </row>
    <row r="8" spans="1:9">
      <c r="A8" s="791"/>
      <c r="B8" s="791"/>
      <c r="C8" s="792"/>
      <c r="D8" s="792"/>
      <c r="E8" s="792"/>
      <c r="F8" s="792"/>
    </row>
    <row r="9" spans="1:9">
      <c r="A9" s="1937" t="s">
        <v>1258</v>
      </c>
      <c r="B9" s="1937"/>
      <c r="C9" s="1937"/>
      <c r="D9" s="1937"/>
      <c r="E9" s="1937"/>
      <c r="F9" s="1937"/>
      <c r="G9" s="1937"/>
      <c r="H9" s="1852"/>
      <c r="I9" s="1853"/>
    </row>
    <row r="10" spans="1:9">
      <c r="A10" s="792"/>
      <c r="B10" s="792"/>
      <c r="E10" s="793"/>
    </row>
    <row r="11" spans="1:9" ht="13.7" customHeight="1">
      <c r="C11" s="792"/>
      <c r="D11" s="2010" t="s">
        <v>1257</v>
      </c>
      <c r="E11" s="2010"/>
      <c r="F11" s="2010"/>
    </row>
    <row r="12" spans="1:9">
      <c r="C12" s="792"/>
      <c r="D12" s="2010"/>
      <c r="E12" s="2010"/>
      <c r="F12" s="2010"/>
    </row>
    <row r="13" spans="1:9">
      <c r="A13" s="794"/>
      <c r="B13" s="794"/>
      <c r="C13" s="794"/>
      <c r="D13" s="1921" t="s">
        <v>1240</v>
      </c>
      <c r="E13" s="1921"/>
      <c r="F13" s="1921"/>
    </row>
    <row r="14" spans="1:9">
      <c r="A14" s="794"/>
      <c r="B14" s="794"/>
      <c r="C14" s="794"/>
      <c r="D14" s="795"/>
    </row>
    <row r="15" spans="1:9" ht="14.25">
      <c r="A15" s="796"/>
      <c r="B15" s="797" t="s">
        <v>2679</v>
      </c>
      <c r="C15" s="798"/>
      <c r="D15" s="1919" t="s">
        <v>1241</v>
      </c>
      <c r="E15" s="1919"/>
      <c r="F15" s="1919"/>
      <c r="I15" s="1773" t="s">
        <v>2419</v>
      </c>
    </row>
    <row r="16" spans="1:9">
      <c r="A16" s="794"/>
      <c r="B16" s="794"/>
      <c r="C16" s="798"/>
      <c r="D16" s="1919"/>
      <c r="E16" s="1919"/>
      <c r="F16" s="1919"/>
    </row>
    <row r="17" spans="1:9">
      <c r="A17" s="794"/>
      <c r="B17" s="794"/>
      <c r="C17" s="798"/>
      <c r="D17" s="1919"/>
      <c r="E17" s="1919"/>
      <c r="F17" s="1919"/>
    </row>
    <row r="18" spans="1:9">
      <c r="A18" s="794"/>
      <c r="B18" s="794"/>
      <c r="C18" s="794"/>
    </row>
    <row r="19" spans="1:9" ht="14.25">
      <c r="A19" s="796"/>
      <c r="B19" s="797" t="s">
        <v>2679</v>
      </c>
      <c r="D19" s="1945" t="s">
        <v>1242</v>
      </c>
      <c r="E19" s="1945"/>
      <c r="F19" s="1945"/>
      <c r="I19" s="1773" t="s">
        <v>2420</v>
      </c>
    </row>
    <row r="20" spans="1:9" ht="14.25">
      <c r="A20" s="796"/>
      <c r="B20" s="796"/>
      <c r="D20" s="799"/>
    </row>
    <row r="21" spans="1:9" ht="14.25">
      <c r="A21" s="796"/>
      <c r="B21" s="797" t="s">
        <v>2678</v>
      </c>
      <c r="D21" s="1919" t="s">
        <v>1243</v>
      </c>
      <c r="E21" s="1919"/>
      <c r="F21" s="1919"/>
      <c r="I21" s="1773" t="s">
        <v>2420</v>
      </c>
    </row>
    <row r="22" spans="1:9" ht="14.25">
      <c r="A22" s="796"/>
      <c r="B22" s="796"/>
      <c r="D22" s="1919"/>
      <c r="E22" s="1919"/>
      <c r="F22" s="1919"/>
    </row>
    <row r="23" spans="1:9"/>
    <row r="24" spans="1:9" ht="14.25">
      <c r="A24" s="796"/>
      <c r="B24" s="797" t="s">
        <v>2678</v>
      </c>
      <c r="D24" s="2005" t="s">
        <v>1244</v>
      </c>
      <c r="E24" s="2005"/>
      <c r="F24" s="2005"/>
      <c r="I24" s="1773" t="s">
        <v>2423</v>
      </c>
    </row>
    <row r="25" spans="1:9">
      <c r="D25" s="2005"/>
      <c r="E25" s="2005"/>
      <c r="F25" s="2005"/>
    </row>
    <row r="26" spans="1:9">
      <c r="D26" s="2005"/>
      <c r="E26" s="2005"/>
      <c r="F26" s="2005"/>
    </row>
    <row r="27" spans="1:9">
      <c r="D27" s="2005"/>
      <c r="E27" s="2005"/>
      <c r="F27" s="2005"/>
    </row>
    <row r="28" spans="1:9">
      <c r="D28" s="2005"/>
      <c r="E28" s="2005"/>
      <c r="F28" s="2005"/>
    </row>
    <row r="29" spans="1:9" s="790" customFormat="1">
      <c r="A29" s="800"/>
      <c r="B29" s="800"/>
      <c r="C29" s="800"/>
      <c r="D29" s="732"/>
      <c r="E29" s="801"/>
      <c r="F29" s="801"/>
      <c r="G29" s="801"/>
      <c r="I29" s="1836"/>
    </row>
    <row r="30" spans="1:9" s="790" customFormat="1">
      <c r="A30" s="800"/>
      <c r="B30" s="797" t="s">
        <v>2678</v>
      </c>
      <c r="C30" s="800"/>
      <c r="D30" s="1920" t="s">
        <v>1245</v>
      </c>
      <c r="E30" s="1920"/>
      <c r="F30" s="1920"/>
      <c r="G30" s="801"/>
      <c r="I30" s="1836" t="s">
        <v>2419</v>
      </c>
    </row>
    <row r="31" spans="1:9" s="790" customFormat="1">
      <c r="A31" s="800"/>
      <c r="B31" s="800"/>
      <c r="C31" s="800"/>
      <c r="D31" s="1920"/>
      <c r="E31" s="1920"/>
      <c r="F31" s="1920"/>
      <c r="G31" s="801"/>
      <c r="I31" s="1836"/>
    </row>
    <row r="32" spans="1:9" ht="14.25">
      <c r="A32" s="796"/>
      <c r="B32" s="796"/>
      <c r="D32" s="802"/>
    </row>
    <row r="33" spans="1:9" ht="14.45" customHeight="1">
      <c r="A33" s="796"/>
      <c r="B33" s="797" t="s">
        <v>2678</v>
      </c>
      <c r="D33" s="1920" t="s">
        <v>1424</v>
      </c>
      <c r="E33" s="1920"/>
      <c r="F33" s="1920"/>
      <c r="I33" s="1836" t="s">
        <v>2491</v>
      </c>
    </row>
    <row r="34" spans="1:9" ht="14.25">
      <c r="A34" s="796"/>
      <c r="B34" s="796"/>
      <c r="D34" s="1920"/>
      <c r="E34" s="1920"/>
      <c r="F34" s="1920"/>
    </row>
    <row r="35" spans="1:9" ht="14.25">
      <c r="A35" s="796"/>
      <c r="B35" s="796"/>
      <c r="D35" s="1920"/>
      <c r="E35" s="1920"/>
      <c r="F35" s="1920"/>
    </row>
    <row r="36" spans="1:9" ht="14.25">
      <c r="A36" s="796"/>
      <c r="B36" s="796"/>
      <c r="D36" s="1920"/>
      <c r="E36" s="1920"/>
      <c r="F36" s="1920"/>
    </row>
    <row r="37" spans="1:9" ht="14.25">
      <c r="A37" s="796"/>
      <c r="B37" s="796"/>
      <c r="D37" s="789"/>
    </row>
    <row r="38" spans="1:9" ht="14.25">
      <c r="A38" s="796"/>
      <c r="B38" s="797" t="s">
        <v>2678</v>
      </c>
      <c r="D38" s="1920" t="s">
        <v>1247</v>
      </c>
      <c r="E38" s="1920"/>
      <c r="F38" s="1920"/>
    </row>
    <row r="39" spans="1:9" ht="14.25">
      <c r="A39" s="796"/>
      <c r="B39" s="796"/>
      <c r="D39" s="1920"/>
      <c r="E39" s="1920"/>
      <c r="F39" s="1920"/>
    </row>
    <row r="40" spans="1:9" ht="14.25">
      <c r="A40" s="796"/>
      <c r="B40" s="796"/>
      <c r="D40" s="1920"/>
      <c r="E40" s="1920"/>
      <c r="F40" s="1920"/>
    </row>
    <row r="41" spans="1:9" ht="14.25">
      <c r="A41" s="796"/>
      <c r="B41" s="796"/>
      <c r="D41" s="1920"/>
      <c r="E41" s="1920"/>
      <c r="F41" s="1920"/>
    </row>
    <row r="42" spans="1:9" ht="14.25">
      <c r="A42" s="796"/>
      <c r="B42" s="796"/>
      <c r="D42" s="1920"/>
      <c r="E42" s="1920"/>
      <c r="F42" s="1920"/>
    </row>
    <row r="43" spans="1:9" ht="14.25">
      <c r="A43" s="796"/>
      <c r="B43" s="796"/>
      <c r="D43" s="780"/>
      <c r="E43" s="780"/>
      <c r="F43" s="780"/>
    </row>
    <row r="44" spans="1:9" ht="14.25">
      <c r="A44" s="796"/>
      <c r="B44" s="797" t="s">
        <v>2678</v>
      </c>
      <c r="D44" s="1920" t="s">
        <v>1248</v>
      </c>
      <c r="E44" s="1920"/>
      <c r="F44" s="1920"/>
      <c r="I44" s="1836" t="s">
        <v>2491</v>
      </c>
    </row>
    <row r="45" spans="1:9" ht="14.25">
      <c r="A45" s="796"/>
      <c r="B45" s="796"/>
      <c r="D45" s="1920"/>
      <c r="E45" s="1920"/>
      <c r="F45" s="1920"/>
    </row>
    <row r="46" spans="1:9" ht="14.25">
      <c r="A46" s="796"/>
      <c r="B46" s="796"/>
      <c r="D46" s="1920"/>
      <c r="E46" s="1920"/>
      <c r="F46" s="1920"/>
    </row>
    <row r="47" spans="1:9" ht="23.25" customHeight="1">
      <c r="A47" s="796"/>
      <c r="B47" s="796"/>
      <c r="D47" s="1920"/>
      <c r="E47" s="1920"/>
      <c r="F47" s="1920"/>
    </row>
    <row r="48" spans="1:9" ht="14.25">
      <c r="A48" s="796"/>
      <c r="B48" s="796"/>
      <c r="D48" s="784"/>
    </row>
    <row r="49" spans="1:9" ht="14.45" customHeight="1">
      <c r="A49" s="796"/>
      <c r="B49" s="797" t="s">
        <v>2678</v>
      </c>
      <c r="D49" s="1920" t="s">
        <v>1249</v>
      </c>
      <c r="E49" s="1920"/>
      <c r="F49" s="1920"/>
      <c r="I49" s="1836" t="s">
        <v>2491</v>
      </c>
    </row>
    <row r="50" spans="1:9" ht="14.25">
      <c r="A50" s="796"/>
      <c r="B50" s="796"/>
      <c r="D50" s="1920"/>
      <c r="E50" s="1920"/>
      <c r="F50" s="1920"/>
    </row>
    <row r="51" spans="1:9" ht="14.25">
      <c r="A51" s="796"/>
      <c r="B51" s="796"/>
      <c r="D51" s="1920"/>
      <c r="E51" s="1920"/>
      <c r="F51" s="1920"/>
    </row>
    <row r="52" spans="1:9" s="617" customFormat="1" ht="14.25">
      <c r="A52" s="796"/>
      <c r="B52" s="796"/>
      <c r="C52" s="803"/>
      <c r="D52" s="801"/>
      <c r="E52" s="692"/>
      <c r="F52" s="692"/>
      <c r="G52" s="692"/>
      <c r="I52" s="641"/>
    </row>
    <row r="53" spans="1:9" s="617" customFormat="1" ht="14.25">
      <c r="A53" s="804"/>
      <c r="B53" s="797" t="s">
        <v>2679</v>
      </c>
      <c r="C53" s="805"/>
      <c r="D53" s="1920" t="s">
        <v>1250</v>
      </c>
      <c r="E53" s="1920"/>
      <c r="F53" s="1920"/>
      <c r="G53" s="692"/>
      <c r="I53" s="1773"/>
    </row>
    <row r="54" spans="1:9" s="617" customFormat="1" ht="14.25">
      <c r="A54" s="804"/>
      <c r="B54" s="804"/>
      <c r="C54" s="805"/>
      <c r="D54" s="1920"/>
      <c r="E54" s="1920"/>
      <c r="F54" s="1920"/>
      <c r="G54" s="692"/>
      <c r="I54" s="641"/>
    </row>
    <row r="55" spans="1:9" s="790" customFormat="1">
      <c r="A55" s="800"/>
      <c r="B55" s="800"/>
      <c r="C55" s="800"/>
      <c r="D55" s="732"/>
      <c r="E55" s="801"/>
      <c r="F55" s="801"/>
      <c r="G55" s="801"/>
      <c r="I55" s="1836"/>
    </row>
    <row r="56" spans="1:9" ht="14.25">
      <c r="A56" s="796"/>
      <c r="B56" s="797" t="s">
        <v>2679</v>
      </c>
      <c r="D56" s="1920" t="s">
        <v>1251</v>
      </c>
      <c r="E56" s="1920"/>
      <c r="F56" s="1920"/>
      <c r="I56" s="1773" t="s">
        <v>2421</v>
      </c>
    </row>
    <row r="57" spans="1:9">
      <c r="D57" s="1920"/>
      <c r="E57" s="1920"/>
      <c r="F57" s="1920"/>
    </row>
    <row r="58" spans="1:9">
      <c r="D58" s="1920"/>
      <c r="E58" s="1920"/>
      <c r="F58" s="1920"/>
    </row>
    <row r="59" spans="1:9">
      <c r="D59" s="692"/>
    </row>
    <row r="60" spans="1:9" ht="14.25">
      <c r="A60" s="796"/>
      <c r="B60" s="797" t="s">
        <v>2678</v>
      </c>
      <c r="D60" s="1920" t="s">
        <v>1252</v>
      </c>
      <c r="E60" s="1920"/>
      <c r="F60" s="1920"/>
      <c r="I60" s="1773" t="s">
        <v>2422</v>
      </c>
    </row>
    <row r="61" spans="1:9">
      <c r="D61" s="1920"/>
      <c r="E61" s="1920"/>
      <c r="F61" s="1920"/>
    </row>
    <row r="62" spans="1:9"/>
    <row r="63" spans="1:9" ht="14.25">
      <c r="A63" s="796"/>
      <c r="B63" s="797" t="s">
        <v>2678</v>
      </c>
      <c r="D63" s="1920" t="s">
        <v>1253</v>
      </c>
      <c r="E63" s="1920"/>
      <c r="F63" s="1920"/>
    </row>
    <row r="64" spans="1:9">
      <c r="D64" s="1920"/>
      <c r="E64" s="1920"/>
      <c r="F64" s="1920"/>
      <c r="I64" s="1773" t="s">
        <v>2423</v>
      </c>
    </row>
    <row r="65" spans="1:9">
      <c r="D65" s="1920"/>
      <c r="E65" s="1920"/>
      <c r="F65" s="1920"/>
    </row>
    <row r="66" spans="1:9">
      <c r="D66" s="789"/>
    </row>
    <row r="67" spans="1:9" ht="14.25">
      <c r="A67" s="796"/>
      <c r="B67" s="797" t="s">
        <v>2679</v>
      </c>
      <c r="D67" s="1919" t="s">
        <v>1254</v>
      </c>
      <c r="E67" s="1919"/>
      <c r="F67" s="1919"/>
      <c r="I67" s="1773" t="s">
        <v>2423</v>
      </c>
    </row>
    <row r="68" spans="1:9">
      <c r="D68" s="1919"/>
      <c r="E68" s="1919"/>
      <c r="F68" s="1919"/>
    </row>
    <row r="69" spans="1:9" ht="14.25">
      <c r="A69" s="796"/>
      <c r="B69" s="796"/>
      <c r="D69" s="799"/>
    </row>
    <row r="70" spans="1:9">
      <c r="A70" s="1901" t="s">
        <v>1161</v>
      </c>
      <c r="B70" s="1901"/>
      <c r="C70" s="1901"/>
      <c r="D70" s="1901"/>
      <c r="E70" s="1901"/>
      <c r="F70" s="1901"/>
      <c r="G70" s="1901"/>
      <c r="H70" s="1852"/>
      <c r="I70" s="1853"/>
    </row>
    <row r="71" spans="1:9"/>
    <row r="72" spans="1:9">
      <c r="C72" s="806"/>
      <c r="D72" s="1990" t="s">
        <v>1259</v>
      </c>
      <c r="E72" s="1990"/>
      <c r="F72" s="1990"/>
    </row>
    <row r="73" spans="1:9">
      <c r="A73" s="799"/>
      <c r="B73" s="799"/>
      <c r="D73" s="1919" t="s">
        <v>1286</v>
      </c>
      <c r="E73" s="1919"/>
      <c r="F73" s="1919"/>
    </row>
    <row r="74" spans="1:9">
      <c r="A74" s="799"/>
      <c r="B74" s="799"/>
    </row>
    <row r="75" spans="1:9" ht="13.7" customHeight="1">
      <c r="A75" s="796"/>
      <c r="B75" s="797" t="s">
        <v>2679</v>
      </c>
      <c r="D75" s="1919" t="s">
        <v>1473</v>
      </c>
      <c r="E75" s="1919"/>
      <c r="F75" s="1919"/>
      <c r="I75" s="1773" t="s">
        <v>2424</v>
      </c>
    </row>
    <row r="76" spans="1:9" ht="14.25">
      <c r="A76" s="796"/>
      <c r="B76" s="796"/>
      <c r="D76" s="1919"/>
      <c r="E76" s="1919"/>
      <c r="F76" s="1919"/>
    </row>
    <row r="77" spans="1:9" ht="14.25">
      <c r="A77" s="796"/>
      <c r="B77" s="796"/>
      <c r="D77" s="1919"/>
      <c r="E77" s="1919"/>
      <c r="F77" s="1919"/>
    </row>
    <row r="78" spans="1:9" ht="14.25">
      <c r="A78" s="796"/>
      <c r="B78" s="796"/>
      <c r="D78" s="1919"/>
      <c r="E78" s="1919"/>
      <c r="F78" s="1919"/>
    </row>
    <row r="79" spans="1:9" ht="14.25">
      <c r="A79" s="796"/>
      <c r="B79" s="796"/>
      <c r="D79" s="1919"/>
      <c r="E79" s="1919"/>
      <c r="F79" s="1919"/>
    </row>
    <row r="80" spans="1:9" ht="14.25">
      <c r="A80" s="796"/>
      <c r="B80" s="796"/>
      <c r="D80" s="1919"/>
      <c r="E80" s="1919"/>
      <c r="F80" s="1919"/>
    </row>
    <row r="81" spans="1:9" ht="14.25">
      <c r="A81" s="796"/>
      <c r="B81" s="796"/>
      <c r="D81" s="1919"/>
      <c r="E81" s="1919"/>
      <c r="F81" s="1919"/>
    </row>
    <row r="82" spans="1:9" ht="14.25">
      <c r="A82" s="796"/>
      <c r="B82" s="796"/>
      <c r="D82" s="1919"/>
      <c r="E82" s="1919"/>
      <c r="F82" s="1919"/>
    </row>
    <row r="83" spans="1:9" ht="14.25">
      <c r="A83" s="796"/>
      <c r="B83" s="796"/>
      <c r="D83" s="877"/>
      <c r="E83" s="877"/>
      <c r="F83" s="877"/>
    </row>
    <row r="84" spans="1:9" ht="15" customHeight="1">
      <c r="A84" s="796"/>
      <c r="B84" s="797" t="s">
        <v>2679</v>
      </c>
      <c r="D84" s="1919" t="s">
        <v>2244</v>
      </c>
      <c r="E84" s="1919"/>
      <c r="F84" s="1919"/>
      <c r="I84" s="1773" t="s">
        <v>2425</v>
      </c>
    </row>
    <row r="85" spans="1:9" ht="14.25">
      <c r="A85" s="796"/>
      <c r="B85" s="796"/>
      <c r="D85" s="1919"/>
      <c r="E85" s="1919"/>
      <c r="F85" s="1919"/>
    </row>
    <row r="86" spans="1:9" ht="14.25">
      <c r="A86" s="796"/>
      <c r="B86" s="796"/>
      <c r="D86" s="1711"/>
      <c r="E86" s="1711"/>
      <c r="F86" s="1711"/>
    </row>
    <row r="87" spans="1:9" ht="14.25">
      <c r="A87" s="796"/>
      <c r="B87" s="797" t="s">
        <v>2679</v>
      </c>
      <c r="D87" s="1919" t="s">
        <v>2248</v>
      </c>
      <c r="E87" s="1919"/>
      <c r="F87" s="1919"/>
      <c r="I87" s="1773" t="s">
        <v>2426</v>
      </c>
    </row>
    <row r="88" spans="1:9" ht="14.25">
      <c r="A88" s="796"/>
      <c r="B88" s="796"/>
      <c r="D88" s="1919"/>
      <c r="E88" s="1919"/>
      <c r="F88" s="1919"/>
    </row>
    <row r="89" spans="1:9" ht="14.25">
      <c r="A89" s="796"/>
      <c r="B89" s="796"/>
      <c r="D89" s="1919"/>
      <c r="E89" s="1919"/>
      <c r="F89" s="1919"/>
    </row>
    <row r="90" spans="1:9" ht="14.25">
      <c r="A90" s="796"/>
      <c r="B90" s="796"/>
      <c r="D90" s="1711"/>
      <c r="E90" s="1711"/>
      <c r="F90" s="1711"/>
    </row>
    <row r="91" spans="1:9" ht="14.25">
      <c r="A91" s="796"/>
      <c r="B91" s="797" t="s">
        <v>2679</v>
      </c>
      <c r="D91" s="1919" t="s">
        <v>2246</v>
      </c>
      <c r="E91" s="1919"/>
      <c r="F91" s="1919"/>
      <c r="I91" s="1773" t="s">
        <v>2471</v>
      </c>
    </row>
    <row r="92" spans="1:9" s="1728" customFormat="1" ht="14.25">
      <c r="A92" s="1726"/>
      <c r="B92" s="1726"/>
      <c r="C92" s="1727"/>
      <c r="D92" s="1919"/>
      <c r="E92" s="1919"/>
      <c r="F92" s="1919"/>
      <c r="I92" s="1837"/>
    </row>
    <row r="93" spans="1:9" ht="14.25">
      <c r="A93" s="796"/>
      <c r="B93" s="796"/>
      <c r="D93" s="1717"/>
      <c r="E93" s="1718" t="s">
        <v>2247</v>
      </c>
      <c r="F93" s="1711"/>
    </row>
    <row r="94" spans="1:9" ht="14.25">
      <c r="A94" s="796"/>
      <c r="B94" s="796"/>
      <c r="D94" s="877"/>
      <c r="E94" s="877"/>
      <c r="F94" s="877"/>
    </row>
    <row r="95" spans="1:9" ht="14.25">
      <c r="A95" s="796"/>
      <c r="B95" s="797" t="s">
        <v>2678</v>
      </c>
      <c r="D95" s="1919" t="s">
        <v>2245</v>
      </c>
      <c r="E95" s="1919"/>
      <c r="F95" s="1919"/>
      <c r="I95" s="1773" t="s">
        <v>2427</v>
      </c>
    </row>
    <row r="96" spans="1:9" ht="14.25">
      <c r="A96" s="796"/>
      <c r="B96" s="796"/>
      <c r="D96" s="1919"/>
      <c r="E96" s="1919"/>
      <c r="F96" s="1919"/>
    </row>
    <row r="97" spans="1:9" ht="14.25">
      <c r="A97" s="796"/>
      <c r="B97" s="796"/>
      <c r="D97" s="1711"/>
      <c r="E97" s="1711"/>
      <c r="F97" s="1711"/>
    </row>
    <row r="98" spans="1:9" ht="14.45" customHeight="1">
      <c r="A98" s="796"/>
      <c r="B98" s="797" t="s">
        <v>2678</v>
      </c>
      <c r="D98" s="1919" t="s">
        <v>1399</v>
      </c>
      <c r="E98" s="1919"/>
      <c r="F98" s="1919"/>
      <c r="G98" s="789"/>
      <c r="I98" s="1773" t="s">
        <v>2428</v>
      </c>
    </row>
    <row r="99" spans="1:9" ht="14.25">
      <c r="A99" s="796"/>
      <c r="B99" s="796"/>
      <c r="D99" s="1919"/>
      <c r="E99" s="1919"/>
      <c r="F99" s="1919"/>
      <c r="G99" s="789"/>
    </row>
    <row r="100" spans="1:9" ht="14.25">
      <c r="A100" s="796"/>
      <c r="B100" s="796"/>
      <c r="D100" s="1919"/>
      <c r="E100" s="1919"/>
      <c r="F100" s="1919"/>
      <c r="G100" s="789"/>
    </row>
    <row r="101" spans="1:9" ht="14.25">
      <c r="A101" s="796"/>
      <c r="B101" s="796"/>
      <c r="D101" s="1919"/>
      <c r="E101" s="1919"/>
      <c r="F101" s="1919"/>
      <c r="G101" s="789"/>
    </row>
    <row r="102" spans="1:9" ht="14.25">
      <c r="A102" s="796"/>
      <c r="B102" s="796"/>
      <c r="D102" s="1919"/>
      <c r="E102" s="1919"/>
      <c r="F102" s="1919"/>
      <c r="G102" s="789"/>
    </row>
    <row r="103" spans="1:9" ht="14.25">
      <c r="A103" s="796"/>
      <c r="B103" s="796"/>
      <c r="D103" s="1919"/>
      <c r="E103" s="1919"/>
      <c r="F103" s="1919"/>
      <c r="G103" s="789"/>
    </row>
    <row r="104" spans="1:9" ht="14.25">
      <c r="A104" s="796"/>
      <c r="B104" s="796"/>
      <c r="D104" s="1919"/>
      <c r="E104" s="1919"/>
      <c r="F104" s="1919"/>
      <c r="G104" s="789"/>
    </row>
    <row r="105" spans="1:9" ht="14.25">
      <c r="A105" s="796"/>
      <c r="B105" s="796"/>
      <c r="D105" s="1919"/>
      <c r="E105" s="1919"/>
      <c r="F105" s="1919"/>
      <c r="G105" s="789"/>
    </row>
    <row r="106" spans="1:9" ht="14.25">
      <c r="A106" s="796"/>
      <c r="B106" s="796"/>
      <c r="D106" s="1919"/>
      <c r="E106" s="1919"/>
      <c r="F106" s="1919"/>
      <c r="G106" s="789"/>
    </row>
    <row r="107" spans="1:9" ht="14.25">
      <c r="A107" s="796"/>
      <c r="B107" s="796"/>
      <c r="D107" s="1919"/>
      <c r="E107" s="1919"/>
      <c r="F107" s="1919"/>
      <c r="G107" s="789"/>
    </row>
    <row r="108" spans="1:9" ht="14.25">
      <c r="A108" s="796"/>
      <c r="B108" s="796"/>
      <c r="D108" s="1919"/>
      <c r="E108" s="1919"/>
      <c r="F108" s="1919"/>
      <c r="G108" s="789"/>
    </row>
    <row r="109" spans="1:9" ht="14.25">
      <c r="A109" s="796"/>
      <c r="B109" s="796"/>
      <c r="D109" s="1919"/>
      <c r="E109" s="1919"/>
      <c r="F109" s="1919"/>
      <c r="G109" s="789"/>
    </row>
    <row r="110" spans="1:9" ht="14.25">
      <c r="A110" s="796"/>
      <c r="B110" s="796"/>
      <c r="D110" s="1919"/>
      <c r="E110" s="1919"/>
      <c r="F110" s="1919"/>
      <c r="G110" s="789"/>
    </row>
    <row r="111" spans="1:9" ht="14.25">
      <c r="A111" s="796"/>
      <c r="B111" s="796"/>
      <c r="D111" s="1919"/>
      <c r="E111" s="1919"/>
      <c r="F111" s="1919"/>
    </row>
    <row r="112" spans="1:9" ht="14.25">
      <c r="A112" s="796"/>
      <c r="B112" s="796"/>
      <c r="D112" s="1919"/>
      <c r="E112" s="1919"/>
      <c r="F112" s="1919"/>
    </row>
    <row r="113" spans="1:11" ht="14.25">
      <c r="A113" s="796"/>
      <c r="B113" s="796"/>
      <c r="D113" s="903"/>
      <c r="E113" s="903"/>
      <c r="F113" s="903"/>
    </row>
    <row r="114" spans="1:11" ht="14.25" customHeight="1">
      <c r="A114" s="796"/>
      <c r="B114" s="797" t="s">
        <v>2678</v>
      </c>
      <c r="D114" s="1939" t="s">
        <v>1261</v>
      </c>
      <c r="E114" s="1939"/>
      <c r="F114" s="1939"/>
    </row>
    <row r="115" spans="1:11" ht="14.25">
      <c r="A115" s="796"/>
      <c r="B115" s="796"/>
      <c r="D115" s="1939"/>
      <c r="E115" s="1939"/>
      <c r="F115" s="1939"/>
    </row>
    <row r="116" spans="1:11" ht="14.25">
      <c r="A116" s="796"/>
      <c r="B116" s="796"/>
      <c r="D116" s="1939"/>
      <c r="E116" s="1939"/>
      <c r="F116" s="1939"/>
    </row>
    <row r="117" spans="1:11" ht="14.25">
      <c r="A117" s="796"/>
      <c r="B117" s="796"/>
      <c r="D117" s="1939"/>
      <c r="E117" s="1939"/>
      <c r="F117" s="1939"/>
    </row>
    <row r="118" spans="1:11" ht="14.25">
      <c r="A118" s="796"/>
      <c r="B118" s="796"/>
      <c r="D118" s="1939"/>
      <c r="E118" s="1939"/>
      <c r="F118" s="1939"/>
    </row>
    <row r="119" spans="1:11" ht="14.25">
      <c r="A119" s="796"/>
      <c r="B119" s="796"/>
      <c r="D119" s="1939"/>
      <c r="E119" s="1939"/>
      <c r="F119" s="1939"/>
    </row>
    <row r="120" spans="1:11" ht="14.25">
      <c r="A120" s="796"/>
      <c r="B120" s="796"/>
      <c r="D120" s="1939"/>
      <c r="E120" s="1939"/>
      <c r="F120" s="1939"/>
    </row>
    <row r="121" spans="1:11" ht="14.25">
      <c r="A121" s="796"/>
      <c r="B121" s="796"/>
      <c r="D121" s="1939"/>
      <c r="E121" s="1939"/>
      <c r="F121" s="1939"/>
    </row>
    <row r="122" spans="1:11">
      <c r="C122" s="721"/>
      <c r="D122" s="904"/>
      <c r="E122" s="904"/>
      <c r="F122" s="904"/>
      <c r="G122" s="721"/>
      <c r="H122" s="721"/>
      <c r="I122" s="621"/>
      <c r="J122" s="721"/>
      <c r="K122" s="721"/>
    </row>
    <row r="123" spans="1:11" ht="14.25">
      <c r="A123" s="796"/>
      <c r="B123" s="797" t="s">
        <v>2679</v>
      </c>
      <c r="C123" s="721"/>
      <c r="D123" s="1939" t="s">
        <v>1263</v>
      </c>
      <c r="E123" s="1939"/>
      <c r="F123" s="1939"/>
      <c r="G123" s="721"/>
      <c r="H123" s="721"/>
      <c r="I123" s="621" t="s">
        <v>2429</v>
      </c>
      <c r="J123" s="721"/>
      <c r="K123" s="721"/>
    </row>
    <row r="124" spans="1:11" ht="14.25">
      <c r="A124" s="796"/>
      <c r="B124" s="796"/>
      <c r="C124" s="721"/>
      <c r="D124" s="1939"/>
      <c r="E124" s="1939"/>
      <c r="F124" s="1939"/>
      <c r="G124" s="721"/>
      <c r="H124" s="721"/>
      <c r="I124" s="621"/>
      <c r="J124" s="721"/>
      <c r="K124" s="721"/>
    </row>
    <row r="125" spans="1:11"/>
    <row r="126" spans="1:11" ht="14.25">
      <c r="A126" s="796"/>
      <c r="B126" s="797" t="s">
        <v>2679</v>
      </c>
      <c r="C126" s="803"/>
      <c r="D126" s="1919" t="s">
        <v>1264</v>
      </c>
      <c r="E126" s="1919"/>
      <c r="F126" s="1919"/>
      <c r="I126" s="621" t="s">
        <v>2429</v>
      </c>
    </row>
    <row r="127" spans="1:11">
      <c r="C127" s="803"/>
      <c r="D127" s="1919"/>
      <c r="E127" s="1919"/>
      <c r="F127" s="1919"/>
    </row>
    <row r="128" spans="1:11">
      <c r="C128" s="803"/>
      <c r="D128" s="1919"/>
      <c r="E128" s="1919"/>
      <c r="F128" s="1919"/>
    </row>
    <row r="129" spans="1:9">
      <c r="C129" s="803"/>
      <c r="D129" s="1919"/>
      <c r="E129" s="1919"/>
      <c r="F129" s="1919"/>
    </row>
    <row r="130" spans="1:9">
      <c r="C130" s="803"/>
      <c r="D130" s="1919"/>
      <c r="E130" s="1919"/>
      <c r="F130" s="1919"/>
    </row>
    <row r="131" spans="1:9">
      <c r="C131" s="803"/>
      <c r="D131" s="671"/>
      <c r="E131" s="671"/>
      <c r="F131" s="671"/>
    </row>
    <row r="132" spans="1:9" s="721" customFormat="1" ht="14.25">
      <c r="A132" s="796"/>
      <c r="B132" s="797" t="s">
        <v>2678</v>
      </c>
      <c r="C132" s="803"/>
      <c r="D132" s="1920" t="s">
        <v>1265</v>
      </c>
      <c r="E132" s="1920"/>
      <c r="F132" s="1920"/>
      <c r="G132" s="671"/>
      <c r="I132" s="621" t="s">
        <v>2430</v>
      </c>
    </row>
    <row r="133" spans="1:9" s="811" customFormat="1" ht="13.7" customHeight="1">
      <c r="A133" s="808"/>
      <c r="B133" s="808"/>
      <c r="C133" s="809"/>
      <c r="D133" s="1920"/>
      <c r="E133" s="1920"/>
      <c r="F133" s="1920"/>
      <c r="G133" s="810"/>
      <c r="I133" s="1838"/>
    </row>
    <row r="134" spans="1:9" s="721" customFormat="1" ht="13.7" customHeight="1">
      <c r="A134" s="787"/>
      <c r="B134" s="787"/>
      <c r="C134" s="803"/>
      <c r="D134" s="1920"/>
      <c r="E134" s="1920"/>
      <c r="F134" s="1920"/>
      <c r="G134" s="671"/>
      <c r="I134" s="621"/>
    </row>
    <row r="135" spans="1:9" s="721" customFormat="1" ht="13.7" customHeight="1">
      <c r="A135" s="787"/>
      <c r="B135" s="787"/>
      <c r="C135" s="803"/>
      <c r="D135" s="1920"/>
      <c r="E135" s="1920"/>
      <c r="F135" s="1920"/>
      <c r="G135" s="671"/>
      <c r="I135" s="621"/>
    </row>
    <row r="136" spans="1:9" s="721" customFormat="1" ht="13.7" customHeight="1">
      <c r="A136" s="787"/>
      <c r="B136" s="787"/>
      <c r="C136" s="803"/>
      <c r="D136" s="1920"/>
      <c r="E136" s="1920"/>
      <c r="F136" s="1920"/>
      <c r="G136" s="671"/>
      <c r="I136" s="621"/>
    </row>
    <row r="137" spans="1:9" s="721" customFormat="1" ht="13.7" customHeight="1">
      <c r="A137" s="812"/>
      <c r="B137" s="812"/>
      <c r="C137" s="803"/>
      <c r="D137" s="1920"/>
      <c r="E137" s="1920"/>
      <c r="F137" s="1920"/>
      <c r="G137" s="671"/>
      <c r="I137" s="621"/>
    </row>
    <row r="138" spans="1:9" s="617" customFormat="1" ht="13.7" customHeight="1">
      <c r="A138" s="800"/>
      <c r="B138" s="800"/>
      <c r="C138" s="805"/>
      <c r="D138" s="1920"/>
      <c r="E138" s="1920"/>
      <c r="F138" s="1920"/>
      <c r="G138" s="692"/>
      <c r="I138" s="641"/>
    </row>
    <row r="139" spans="1:9" s="617" customFormat="1" ht="13.7" customHeight="1">
      <c r="A139" s="800"/>
      <c r="B139" s="800"/>
      <c r="C139" s="805"/>
      <c r="D139" s="1920"/>
      <c r="E139" s="1920"/>
      <c r="F139" s="1920"/>
      <c r="G139" s="692"/>
      <c r="I139" s="641"/>
    </row>
    <row r="140" spans="1:9" s="721" customFormat="1" ht="13.7" customHeight="1">
      <c r="A140" s="787"/>
      <c r="B140" s="787"/>
      <c r="C140" s="803"/>
      <c r="D140" s="1920"/>
      <c r="E140" s="1920"/>
      <c r="F140" s="1920"/>
      <c r="G140" s="671"/>
      <c r="I140" s="621"/>
    </row>
    <row r="141" spans="1:9" s="721" customFormat="1" ht="13.7" customHeight="1">
      <c r="A141" s="787"/>
      <c r="B141" s="787"/>
      <c r="C141" s="803"/>
      <c r="D141" s="1920"/>
      <c r="E141" s="1920"/>
      <c r="F141" s="1920"/>
      <c r="G141" s="671"/>
      <c r="I141" s="621"/>
    </row>
    <row r="142" spans="1:9" s="721" customFormat="1" ht="13.7" customHeight="1">
      <c r="A142" s="787"/>
      <c r="B142" s="787"/>
      <c r="C142" s="803"/>
      <c r="D142" s="1920"/>
      <c r="E142" s="1920"/>
      <c r="F142" s="1920"/>
      <c r="G142" s="671"/>
      <c r="I142" s="621"/>
    </row>
    <row r="143" spans="1:9" s="721" customFormat="1" ht="13.7" customHeight="1">
      <c r="A143" s="787"/>
      <c r="B143" s="787"/>
      <c r="C143" s="803"/>
      <c r="D143" s="1920"/>
      <c r="E143" s="1920"/>
      <c r="F143" s="1920"/>
      <c r="G143" s="671"/>
      <c r="I143" s="621"/>
    </row>
    <row r="144" spans="1:9" s="721" customFormat="1" ht="13.7" customHeight="1">
      <c r="A144" s="787"/>
      <c r="B144" s="787"/>
      <c r="C144" s="803"/>
      <c r="D144" s="795"/>
      <c r="E144" s="784"/>
      <c r="F144" s="784"/>
      <c r="G144" s="671"/>
      <c r="I144" s="621"/>
    </row>
    <row r="145" spans="1:9" s="721" customFormat="1" ht="13.7" customHeight="1">
      <c r="A145" s="787"/>
      <c r="B145" s="797" t="s">
        <v>2679</v>
      </c>
      <c r="C145" s="803"/>
      <c r="D145" s="2003" t="s">
        <v>1373</v>
      </c>
      <c r="E145" s="2003"/>
      <c r="F145" s="2003"/>
      <c r="G145" s="671"/>
      <c r="I145" s="621" t="s">
        <v>2431</v>
      </c>
    </row>
    <row r="146" spans="1:9" s="721" customFormat="1" ht="13.7" customHeight="1">
      <c r="A146" s="787"/>
      <c r="B146" s="787"/>
      <c r="C146" s="803"/>
      <c r="D146" s="2003"/>
      <c r="E146" s="2003"/>
      <c r="F146" s="2003"/>
      <c r="G146" s="671"/>
      <c r="I146" s="621"/>
    </row>
    <row r="147" spans="1:9" s="721" customFormat="1" ht="13.7" customHeight="1">
      <c r="A147" s="787"/>
      <c r="B147" s="787"/>
      <c r="C147" s="803"/>
      <c r="D147" s="2003"/>
      <c r="E147" s="2003"/>
      <c r="F147" s="2003"/>
      <c r="G147" s="671"/>
      <c r="I147" s="621"/>
    </row>
    <row r="148" spans="1:9" s="721" customFormat="1" ht="13.7" customHeight="1">
      <c r="A148" s="787"/>
      <c r="B148" s="787"/>
      <c r="C148" s="803"/>
      <c r="D148" s="2003"/>
      <c r="E148" s="2003"/>
      <c r="F148" s="2003"/>
      <c r="G148" s="671"/>
      <c r="I148" s="621"/>
    </row>
    <row r="149" spans="1:9" s="721" customFormat="1" ht="13.7" customHeight="1">
      <c r="A149" s="787"/>
      <c r="B149" s="787"/>
      <c r="C149" s="803"/>
      <c r="D149" s="2003"/>
      <c r="E149" s="2003"/>
      <c r="F149" s="2003"/>
      <c r="G149" s="671"/>
      <c r="I149" s="621"/>
    </row>
    <row r="150" spans="1:9" s="721" customFormat="1" ht="13.7" customHeight="1">
      <c r="A150" s="787"/>
      <c r="B150" s="787"/>
      <c r="C150" s="803"/>
      <c r="D150" s="2003"/>
      <c r="E150" s="2003"/>
      <c r="F150" s="2003"/>
      <c r="G150" s="671"/>
      <c r="I150" s="621"/>
    </row>
    <row r="151" spans="1:9" s="721" customFormat="1" ht="13.7" customHeight="1">
      <c r="A151" s="787"/>
      <c r="B151" s="787"/>
      <c r="C151" s="803"/>
      <c r="D151" s="2003"/>
      <c r="E151" s="2003"/>
      <c r="F151" s="2003"/>
      <c r="G151" s="671"/>
      <c r="I151" s="621"/>
    </row>
    <row r="152" spans="1:9" s="721" customFormat="1" ht="13.7" customHeight="1">
      <c r="A152" s="787"/>
      <c r="B152" s="787"/>
      <c r="C152" s="803"/>
      <c r="D152" s="2003"/>
      <c r="E152" s="2003"/>
      <c r="F152" s="2003"/>
      <c r="G152" s="671"/>
      <c r="I152" s="621"/>
    </row>
    <row r="153" spans="1:9" s="721" customFormat="1" ht="13.7" customHeight="1">
      <c r="A153" s="787"/>
      <c r="B153" s="787"/>
      <c r="C153" s="803"/>
      <c r="D153" s="2003"/>
      <c r="E153" s="2003"/>
      <c r="F153" s="2003"/>
      <c r="G153" s="671"/>
      <c r="I153" s="621"/>
    </row>
    <row r="154" spans="1:9" s="721" customFormat="1" ht="13.7" customHeight="1">
      <c r="A154" s="787"/>
      <c r="B154" s="787"/>
      <c r="C154" s="803"/>
      <c r="D154" s="2003"/>
      <c r="E154" s="2003"/>
      <c r="F154" s="2003"/>
      <c r="G154" s="671"/>
      <c r="I154" s="621"/>
    </row>
    <row r="155" spans="1:9" s="721" customFormat="1" ht="13.7" customHeight="1">
      <c r="A155" s="787"/>
      <c r="B155" s="787"/>
      <c r="C155" s="803"/>
      <c r="D155" s="2003"/>
      <c r="E155" s="2003"/>
      <c r="F155" s="2003"/>
      <c r="G155" s="671"/>
      <c r="I155" s="621"/>
    </row>
    <row r="156" spans="1:9" s="721" customFormat="1" ht="13.7" customHeight="1">
      <c r="A156" s="787"/>
      <c r="B156" s="787"/>
      <c r="C156" s="803"/>
      <c r="D156" s="2003"/>
      <c r="E156" s="2003"/>
      <c r="F156" s="2003"/>
      <c r="G156" s="671"/>
      <c r="I156" s="621"/>
    </row>
    <row r="157" spans="1:9" s="721" customFormat="1" ht="13.7" customHeight="1">
      <c r="A157" s="787"/>
      <c r="B157" s="787"/>
      <c r="C157" s="803"/>
      <c r="D157" s="2003"/>
      <c r="E157" s="2003"/>
      <c r="F157" s="2003"/>
      <c r="G157" s="671"/>
      <c r="I157" s="621"/>
    </row>
    <row r="158" spans="1:9" s="721" customFormat="1" ht="13.7" customHeight="1">
      <c r="A158" s="787"/>
      <c r="B158" s="787"/>
      <c r="C158" s="803"/>
      <c r="D158" s="2003"/>
      <c r="E158" s="2003"/>
      <c r="F158" s="2003"/>
      <c r="G158" s="671"/>
      <c r="I158" s="621"/>
    </row>
    <row r="159" spans="1:9" s="721" customFormat="1" ht="13.7" customHeight="1">
      <c r="A159" s="787"/>
      <c r="B159" s="787"/>
      <c r="C159" s="803"/>
      <c r="D159" s="2003"/>
      <c r="E159" s="2003"/>
      <c r="F159" s="2003"/>
      <c r="G159" s="671"/>
      <c r="I159" s="621"/>
    </row>
    <row r="160" spans="1:9" s="721" customFormat="1" ht="13.7" customHeight="1">
      <c r="A160" s="787"/>
      <c r="B160" s="787"/>
      <c r="C160" s="803"/>
      <c r="D160" s="2003"/>
      <c r="E160" s="2003"/>
      <c r="F160" s="2003"/>
      <c r="G160" s="671"/>
      <c r="I160" s="621"/>
    </row>
    <row r="161" spans="1:9" s="721" customFormat="1" ht="13.7" customHeight="1">
      <c r="A161" s="787"/>
      <c r="B161" s="787"/>
      <c r="C161" s="803"/>
      <c r="D161" s="2003"/>
      <c r="E161" s="2003"/>
      <c r="F161" s="2003"/>
      <c r="G161" s="671"/>
      <c r="I161" s="621"/>
    </row>
    <row r="162" spans="1:9" s="721" customFormat="1" ht="13.7" customHeight="1">
      <c r="A162" s="787"/>
      <c r="B162" s="787"/>
      <c r="C162" s="803"/>
      <c r="D162" s="2003"/>
      <c r="E162" s="2003"/>
      <c r="F162" s="2003"/>
      <c r="G162" s="671"/>
      <c r="I162" s="621"/>
    </row>
    <row r="163" spans="1:9" s="721" customFormat="1" ht="13.7" customHeight="1">
      <c r="A163" s="787"/>
      <c r="B163" s="787"/>
      <c r="C163" s="803"/>
      <c r="D163" s="2004" t="s">
        <v>1407</v>
      </c>
      <c r="E163" s="2004"/>
      <c r="F163" s="2004"/>
      <c r="G163" s="855"/>
      <c r="I163" s="621"/>
    </row>
    <row r="164" spans="1:9" s="721" customFormat="1" ht="13.7" customHeight="1">
      <c r="A164" s="787"/>
      <c r="B164" s="787"/>
      <c r="C164" s="803"/>
      <c r="D164" s="2002"/>
      <c r="E164" s="2002"/>
      <c r="F164" s="2002"/>
      <c r="G164" s="2002"/>
      <c r="I164" s="621"/>
    </row>
    <row r="165" spans="1:9" s="721" customFormat="1" ht="14.45" customHeight="1">
      <c r="A165" s="812"/>
      <c r="B165" s="797" t="s">
        <v>2678</v>
      </c>
      <c r="C165" s="813"/>
      <c r="D165" s="1893" t="s">
        <v>1435</v>
      </c>
      <c r="E165" s="1893"/>
      <c r="F165" s="1893"/>
      <c r="G165" s="814"/>
      <c r="I165" s="621" t="s">
        <v>2426</v>
      </c>
    </row>
    <row r="166" spans="1:9" s="721" customFormat="1" ht="14.45" customHeight="1">
      <c r="A166" s="812"/>
      <c r="B166" s="812"/>
      <c r="C166" s="813"/>
      <c r="D166" s="1893"/>
      <c r="E166" s="1893"/>
      <c r="F166" s="1893"/>
      <c r="G166" s="814"/>
      <c r="I166" s="621"/>
    </row>
    <row r="167" spans="1:9" s="721" customFormat="1" ht="13.7" customHeight="1">
      <c r="A167" s="812"/>
      <c r="B167" s="812"/>
      <c r="C167" s="813"/>
      <c r="D167" s="1893"/>
      <c r="E167" s="1893"/>
      <c r="F167" s="1893"/>
      <c r="G167" s="814"/>
      <c r="I167" s="621"/>
    </row>
    <row r="168" spans="1:9" s="721" customFormat="1" ht="13.7" customHeight="1">
      <c r="A168" s="812"/>
      <c r="B168" s="812"/>
      <c r="C168" s="813"/>
      <c r="D168" s="795"/>
      <c r="E168" s="813"/>
      <c r="F168" s="813"/>
      <c r="G168" s="814"/>
      <c r="I168" s="621"/>
    </row>
    <row r="169" spans="1:9" s="721" customFormat="1" ht="13.7" customHeight="1">
      <c r="A169" s="812"/>
      <c r="B169" s="797" t="s">
        <v>2678</v>
      </c>
      <c r="C169" s="813"/>
      <c r="D169" s="1889" t="s">
        <v>1267</v>
      </c>
      <c r="E169" s="1889"/>
      <c r="F169" s="1889"/>
      <c r="G169" s="814"/>
      <c r="I169" s="621" t="s">
        <v>2432</v>
      </c>
    </row>
    <row r="170" spans="1:9" s="721" customFormat="1" ht="13.7" customHeight="1">
      <c r="A170" s="812"/>
      <c r="B170" s="812"/>
      <c r="C170" s="813"/>
      <c r="D170" s="1889"/>
      <c r="E170" s="1889"/>
      <c r="F170" s="1889"/>
      <c r="G170" s="814"/>
      <c r="I170" s="621"/>
    </row>
    <row r="171" spans="1:9" s="721" customFormat="1" ht="13.7" customHeight="1">
      <c r="A171" s="812"/>
      <c r="B171" s="812"/>
      <c r="C171" s="813"/>
      <c r="D171" s="1889"/>
      <c r="E171" s="1889"/>
      <c r="F171" s="1889"/>
      <c r="G171" s="814"/>
      <c r="I171" s="621"/>
    </row>
    <row r="172" spans="1:9" s="721" customFormat="1" ht="13.7" customHeight="1">
      <c r="A172" s="812"/>
      <c r="B172" s="812"/>
      <c r="C172" s="813"/>
      <c r="D172" s="1889"/>
      <c r="E172" s="1889"/>
      <c r="F172" s="1889"/>
      <c r="G172" s="814"/>
      <c r="I172" s="621"/>
    </row>
    <row r="173" spans="1:9" s="721" customFormat="1" ht="13.7" customHeight="1">
      <c r="A173" s="787"/>
      <c r="B173" s="787"/>
      <c r="C173" s="803"/>
      <c r="D173" s="784"/>
      <c r="E173" s="784"/>
      <c r="F173" s="784"/>
      <c r="G173" s="671"/>
      <c r="I173" s="621"/>
    </row>
    <row r="174" spans="1:9" s="721" customFormat="1" ht="13.7" customHeight="1">
      <c r="A174" s="787"/>
      <c r="B174" s="797" t="s">
        <v>2678</v>
      </c>
      <c r="C174" s="803"/>
      <c r="D174" s="1924" t="s">
        <v>1268</v>
      </c>
      <c r="E174" s="1924"/>
      <c r="F174" s="1924"/>
      <c r="G174" s="671"/>
      <c r="I174" s="621" t="s">
        <v>2433</v>
      </c>
    </row>
    <row r="175" spans="1:9" s="721" customFormat="1" ht="13.7" customHeight="1">
      <c r="A175" s="787"/>
      <c r="B175" s="787"/>
      <c r="C175" s="803"/>
      <c r="D175" s="1924"/>
      <c r="E175" s="1924"/>
      <c r="F175" s="1924"/>
      <c r="G175" s="671"/>
      <c r="I175" s="621"/>
    </row>
    <row r="176" spans="1:9" s="721" customFormat="1" ht="13.7" customHeight="1">
      <c r="A176" s="787"/>
      <c r="B176" s="787"/>
      <c r="C176" s="803"/>
      <c r="D176" s="1924"/>
      <c r="E176" s="1924"/>
      <c r="F176" s="1924"/>
      <c r="G176" s="671"/>
      <c r="I176" s="621"/>
    </row>
    <row r="177" spans="1:9" s="721" customFormat="1" ht="13.7" customHeight="1">
      <c r="A177" s="815"/>
      <c r="B177" s="815"/>
      <c r="C177" s="803"/>
      <c r="D177" s="788"/>
      <c r="E177" s="784"/>
      <c r="F177" s="784"/>
      <c r="G177" s="671"/>
      <c r="I177" s="621"/>
    </row>
    <row r="178" spans="1:9">
      <c r="A178" s="1901" t="s">
        <v>2408</v>
      </c>
      <c r="B178" s="1901"/>
      <c r="C178" s="1901"/>
      <c r="D178" s="1901"/>
      <c r="E178" s="1901"/>
      <c r="F178" s="1901"/>
      <c r="G178" s="1901"/>
      <c r="H178" s="1852"/>
      <c r="I178" s="1853"/>
    </row>
    <row r="179" spans="1:9" ht="12" customHeight="1">
      <c r="D179" s="799"/>
      <c r="E179" s="799"/>
      <c r="F179" s="799"/>
    </row>
    <row r="180" spans="1:9">
      <c r="B180" s="1991" t="s">
        <v>470</v>
      </c>
      <c r="C180" s="1991"/>
      <c r="D180" s="1991"/>
      <c r="E180" s="1991"/>
      <c r="F180" s="1991"/>
    </row>
    <row r="181" spans="1:9" s="1771" customFormat="1">
      <c r="A181" s="787"/>
      <c r="B181" s="1830" t="s">
        <v>2409</v>
      </c>
      <c r="C181" s="1830"/>
      <c r="D181" s="1830"/>
      <c r="E181" s="1830"/>
      <c r="F181" s="1830"/>
      <c r="G181" s="1770"/>
      <c r="I181" s="1773"/>
    </row>
    <row r="182" spans="1:9" ht="12" customHeight="1">
      <c r="A182" s="792"/>
      <c r="B182" s="792"/>
      <c r="C182" s="792"/>
    </row>
    <row r="183" spans="1:9">
      <c r="A183" s="1901" t="s">
        <v>1163</v>
      </c>
      <c r="B183" s="1901"/>
      <c r="C183" s="1901"/>
      <c r="D183" s="1901"/>
      <c r="E183" s="1901"/>
      <c r="F183" s="1901"/>
      <c r="G183" s="1901"/>
      <c r="H183" s="1852"/>
      <c r="I183" s="1853"/>
    </row>
    <row r="184" spans="1:9" ht="12" customHeight="1">
      <c r="A184" s="816"/>
      <c r="B184" s="816"/>
      <c r="C184" s="817"/>
      <c r="D184" s="818"/>
      <c r="E184" s="819"/>
      <c r="F184" s="818"/>
      <c r="G184" s="818"/>
    </row>
    <row r="185" spans="1:9" ht="13.7" customHeight="1">
      <c r="A185" s="816"/>
      <c r="B185" s="816"/>
      <c r="C185" s="817"/>
      <c r="D185" s="1925" t="s">
        <v>2249</v>
      </c>
      <c r="E185" s="1925"/>
      <c r="F185" s="1925"/>
      <c r="G185" s="818"/>
    </row>
    <row r="186" spans="1:9">
      <c r="A186" s="816"/>
      <c r="B186" s="816"/>
      <c r="C186" s="817"/>
      <c r="D186" s="1925"/>
      <c r="E186" s="1925"/>
      <c r="F186" s="1925"/>
      <c r="G186" s="818"/>
    </row>
    <row r="187" spans="1:9">
      <c r="A187" s="816"/>
      <c r="B187" s="816"/>
      <c r="C187" s="817"/>
      <c r="D187" s="1926" t="s">
        <v>1400</v>
      </c>
      <c r="E187" s="1926"/>
      <c r="F187" s="1926"/>
      <c r="G187" s="818"/>
    </row>
    <row r="188" spans="1:9">
      <c r="A188" s="816"/>
      <c r="B188" s="816"/>
      <c r="C188" s="817"/>
      <c r="D188" s="1712"/>
      <c r="E188" s="1712"/>
      <c r="F188" s="1712"/>
      <c r="G188" s="818"/>
    </row>
    <row r="189" spans="1:9">
      <c r="A189" s="816"/>
      <c r="B189" s="797" t="s">
        <v>2678</v>
      </c>
      <c r="C189" s="817"/>
      <c r="D189" s="1894" t="s">
        <v>2250</v>
      </c>
      <c r="E189" s="1894"/>
      <c r="F189" s="1894"/>
      <c r="G189" s="818"/>
      <c r="I189" s="1773" t="s">
        <v>2482</v>
      </c>
    </row>
    <row r="190" spans="1:9">
      <c r="A190" s="816"/>
      <c r="B190" s="816"/>
      <c r="C190" s="817"/>
      <c r="D190" s="1947" t="s">
        <v>2251</v>
      </c>
      <c r="E190" s="1947"/>
      <c r="F190" s="1947"/>
      <c r="G190" s="818"/>
    </row>
    <row r="191" spans="1:9">
      <c r="A191" s="816"/>
      <c r="B191" s="816"/>
      <c r="C191" s="817"/>
      <c r="D191" s="1729" t="s">
        <v>2252</v>
      </c>
      <c r="E191" s="1972" t="s">
        <v>2253</v>
      </c>
      <c r="F191" s="1972"/>
      <c r="G191" s="818"/>
    </row>
    <row r="192" spans="1:9">
      <c r="A192" s="816"/>
      <c r="B192" s="816"/>
      <c r="C192" s="817"/>
      <c r="D192" s="155"/>
      <c r="E192" s="155"/>
      <c r="F192" s="155"/>
      <c r="G192" s="818"/>
    </row>
    <row r="193" spans="1:9">
      <c r="A193" s="816"/>
      <c r="B193" s="797" t="s">
        <v>2679</v>
      </c>
      <c r="C193" s="817"/>
      <c r="D193" s="1947" t="s">
        <v>2254</v>
      </c>
      <c r="E193" s="1947"/>
      <c r="F193" s="1947"/>
      <c r="G193" s="818"/>
      <c r="I193" s="1773" t="s">
        <v>2483</v>
      </c>
    </row>
    <row r="194" spans="1:9">
      <c r="A194" s="816"/>
      <c r="B194" s="816"/>
      <c r="C194" s="817"/>
      <c r="D194" s="1894" t="s">
        <v>2251</v>
      </c>
      <c r="E194" s="1894"/>
      <c r="F194" s="1894"/>
      <c r="G194" s="818"/>
    </row>
    <row r="195" spans="1:9">
      <c r="A195" s="816"/>
      <c r="B195" s="816"/>
      <c r="C195" s="817"/>
      <c r="D195" s="1710" t="s">
        <v>2255</v>
      </c>
      <c r="E195" s="1989" t="s">
        <v>2256</v>
      </c>
      <c r="F195" s="1989"/>
      <c r="G195" s="818"/>
    </row>
    <row r="196" spans="1:9">
      <c r="A196" s="816"/>
      <c r="B196" s="816"/>
      <c r="C196" s="817"/>
      <c r="D196" s="155"/>
      <c r="E196" s="155"/>
      <c r="F196" s="155"/>
      <c r="G196" s="818"/>
    </row>
    <row r="197" spans="1:9">
      <c r="A197" s="816"/>
      <c r="B197" s="797" t="s">
        <v>2678</v>
      </c>
      <c r="C197" s="817"/>
      <c r="D197" s="1947" t="s">
        <v>2257</v>
      </c>
      <c r="E197" s="1947"/>
      <c r="F197" s="1947"/>
      <c r="G197" s="818"/>
      <c r="I197" s="1773" t="s">
        <v>2484</v>
      </c>
    </row>
    <row r="198" spans="1:9">
      <c r="A198" s="816"/>
      <c r="B198" s="816"/>
      <c r="C198" s="817"/>
      <c r="D198" s="1707" t="s">
        <v>2251</v>
      </c>
      <c r="E198" s="155"/>
      <c r="F198" s="155"/>
      <c r="G198" s="818"/>
    </row>
    <row r="199" spans="1:9">
      <c r="A199" s="816"/>
      <c r="B199" s="816"/>
      <c r="C199" s="817"/>
      <c r="D199" s="1710" t="s">
        <v>2252</v>
      </c>
      <c r="E199" s="1989" t="s">
        <v>2258</v>
      </c>
      <c r="F199" s="1989"/>
      <c r="G199" s="818"/>
    </row>
    <row r="200" spans="1:9">
      <c r="A200" s="816"/>
      <c r="B200" s="816"/>
      <c r="C200" s="817"/>
      <c r="D200" s="1712"/>
      <c r="E200" s="1712"/>
      <c r="F200" s="1712"/>
      <c r="G200" s="818"/>
    </row>
    <row r="201" spans="1:9" ht="14.25">
      <c r="A201" s="796"/>
      <c r="B201" s="797" t="s">
        <v>2678</v>
      </c>
      <c r="C201" s="817"/>
      <c r="D201" s="1919" t="s">
        <v>2259</v>
      </c>
      <c r="E201" s="1919"/>
      <c r="F201" s="1919"/>
      <c r="G201" s="818"/>
      <c r="I201" s="1773" t="s">
        <v>2485</v>
      </c>
    </row>
    <row r="202" spans="1:9" ht="14.25">
      <c r="A202" s="796"/>
      <c r="B202" s="796"/>
      <c r="C202" s="817"/>
      <c r="D202" s="1919"/>
      <c r="E202" s="1919"/>
      <c r="F202" s="1919"/>
      <c r="G202" s="818"/>
    </row>
    <row r="203" spans="1:9">
      <c r="A203" s="817"/>
      <c r="B203" s="817"/>
      <c r="C203" s="817"/>
      <c r="D203" s="1919"/>
      <c r="E203" s="1919"/>
      <c r="F203" s="1919"/>
    </row>
    <row r="204" spans="1:9">
      <c r="A204" s="817"/>
      <c r="B204" s="817"/>
      <c r="C204" s="817"/>
      <c r="D204" s="802"/>
      <c r="E204" s="818"/>
      <c r="F204" s="818"/>
    </row>
    <row r="205" spans="1:9">
      <c r="A205" s="817"/>
      <c r="B205" s="797" t="s">
        <v>2678</v>
      </c>
      <c r="C205" s="817"/>
      <c r="D205" s="1947" t="s">
        <v>2260</v>
      </c>
      <c r="E205" s="1947"/>
      <c r="F205" s="1947"/>
      <c r="I205" s="1773" t="s">
        <v>2486</v>
      </c>
    </row>
    <row r="206" spans="1:9">
      <c r="A206" s="817"/>
      <c r="B206" s="817"/>
      <c r="C206" s="817"/>
      <c r="D206" s="1947" t="s">
        <v>2251</v>
      </c>
      <c r="E206" s="1947"/>
      <c r="F206" s="1947"/>
    </row>
    <row r="207" spans="1:9">
      <c r="A207" s="817"/>
      <c r="B207" s="817"/>
      <c r="C207" s="817"/>
      <c r="D207" s="1710" t="s">
        <v>2252</v>
      </c>
      <c r="E207" s="1989" t="s">
        <v>2261</v>
      </c>
      <c r="F207" s="1989"/>
    </row>
    <row r="208" spans="1:9">
      <c r="A208" s="817"/>
      <c r="B208" s="817"/>
      <c r="C208" s="817"/>
      <c r="D208" s="778"/>
      <c r="E208" s="778"/>
      <c r="F208" s="778"/>
    </row>
    <row r="209" spans="1:9" s="617" customFormat="1" ht="14.25">
      <c r="A209" s="796"/>
      <c r="B209" s="797" t="s">
        <v>2678</v>
      </c>
      <c r="C209" s="805"/>
      <c r="D209" s="1919" t="s">
        <v>1426</v>
      </c>
      <c r="E209" s="1919"/>
      <c r="F209" s="1919"/>
      <c r="G209" s="692"/>
      <c r="I209" s="641"/>
    </row>
    <row r="210" spans="1:9" s="617" customFormat="1" ht="14.45" customHeight="1">
      <c r="A210" s="796"/>
      <c r="C210" s="805"/>
      <c r="D210" s="1919"/>
      <c r="E210" s="1919"/>
      <c r="F210" s="1919"/>
      <c r="G210" s="692"/>
      <c r="I210" s="641"/>
    </row>
    <row r="211" spans="1:9" s="617" customFormat="1" ht="14.25">
      <c r="A211" s="796"/>
      <c r="B211" s="817"/>
      <c r="C211" s="805"/>
      <c r="D211" s="1919"/>
      <c r="E211" s="1919"/>
      <c r="F211" s="1919"/>
      <c r="G211" s="692"/>
      <c r="I211" s="641"/>
    </row>
    <row r="212" spans="1:9" s="617" customFormat="1" ht="14.25">
      <c r="A212" s="796"/>
      <c r="B212" s="817"/>
      <c r="C212" s="805"/>
      <c r="D212" s="1919"/>
      <c r="E212" s="1919"/>
      <c r="F212" s="1919"/>
      <c r="G212" s="692"/>
      <c r="I212" s="641"/>
    </row>
    <row r="213" spans="1:9">
      <c r="A213" s="817"/>
      <c r="B213" s="817"/>
      <c r="C213" s="817"/>
      <c r="D213" s="778"/>
      <c r="E213" s="778"/>
      <c r="F213" s="778"/>
    </row>
    <row r="214" spans="1:9">
      <c r="A214" s="1901" t="s">
        <v>1164</v>
      </c>
      <c r="B214" s="1901"/>
      <c r="C214" s="1901"/>
      <c r="D214" s="1901"/>
      <c r="E214" s="1901"/>
      <c r="F214" s="1901"/>
      <c r="G214" s="1901"/>
      <c r="H214" s="1852"/>
      <c r="I214" s="1853"/>
    </row>
    <row r="215" spans="1:9" ht="12" customHeight="1">
      <c r="D215" s="799"/>
      <c r="E215" s="799"/>
      <c r="F215" s="799"/>
    </row>
    <row r="216" spans="1:9">
      <c r="C216" s="806"/>
      <c r="D216" s="2007" t="s">
        <v>214</v>
      </c>
      <c r="E216" s="2007"/>
      <c r="F216" s="2007"/>
    </row>
    <row r="217" spans="1:9">
      <c r="A217" s="792"/>
      <c r="B217" s="792"/>
      <c r="C217" s="792"/>
      <c r="D217" s="1993" t="s">
        <v>1293</v>
      </c>
      <c r="E217" s="1993"/>
      <c r="F217" s="1993"/>
    </row>
    <row r="218" spans="1:9" ht="12" customHeight="1">
      <c r="A218" s="815"/>
      <c r="B218" s="815"/>
      <c r="C218" s="815"/>
    </row>
    <row r="219" spans="1:9" ht="13.7" customHeight="1">
      <c r="A219" s="815"/>
      <c r="C219" s="815"/>
      <c r="D219" s="1918" t="s">
        <v>579</v>
      </c>
      <c r="E219" s="1918"/>
      <c r="F219" s="1918"/>
      <c r="I219" s="1773" t="s">
        <v>2434</v>
      </c>
    </row>
    <row r="220" spans="1:9" ht="14.25">
      <c r="A220" s="796"/>
      <c r="B220" s="797" t="s">
        <v>2679</v>
      </c>
      <c r="D220" s="1919" t="s">
        <v>2262</v>
      </c>
      <c r="E220" s="1919"/>
      <c r="F220" s="1919"/>
    </row>
    <row r="221" spans="1:9" ht="14.25" customHeight="1">
      <c r="A221" s="796"/>
      <c r="B221" s="796"/>
      <c r="D221" s="1919"/>
      <c r="E221" s="1919"/>
      <c r="F221" s="1919"/>
    </row>
    <row r="222" spans="1:9" ht="14.25" customHeight="1">
      <c r="A222" s="796"/>
      <c r="B222" s="796"/>
      <c r="D222" s="1919"/>
      <c r="E222" s="1919"/>
      <c r="F222" s="1919"/>
    </row>
    <row r="223" spans="1:9" ht="14.25">
      <c r="A223" s="796"/>
      <c r="B223" s="796"/>
      <c r="D223" s="1919"/>
      <c r="E223" s="1919"/>
      <c r="F223" s="1919"/>
    </row>
    <row r="224" spans="1:9" ht="14.25">
      <c r="A224" s="796"/>
      <c r="B224" s="796"/>
      <c r="D224" s="1711"/>
      <c r="E224" s="1711"/>
      <c r="F224" s="1711"/>
    </row>
    <row r="225" spans="1:9" ht="14.25">
      <c r="A225" s="796"/>
      <c r="B225" s="797" t="s">
        <v>2679</v>
      </c>
      <c r="D225" s="1919" t="s">
        <v>2263</v>
      </c>
      <c r="E225" s="1919"/>
      <c r="F225" s="1919"/>
      <c r="I225" s="1773" t="s">
        <v>2435</v>
      </c>
    </row>
    <row r="226" spans="1:9" ht="14.25">
      <c r="A226" s="796"/>
      <c r="B226" s="796"/>
      <c r="D226" s="1919"/>
      <c r="E226" s="1919"/>
      <c r="F226" s="1919"/>
    </row>
    <row r="227" spans="1:9" ht="14.25">
      <c r="A227" s="796"/>
      <c r="B227" s="796"/>
      <c r="D227" s="1919"/>
      <c r="E227" s="1919"/>
      <c r="F227" s="1919"/>
    </row>
    <row r="228" spans="1:9" ht="14.25">
      <c r="A228" s="796"/>
      <c r="B228" s="796"/>
      <c r="D228" s="1919"/>
      <c r="E228" s="1919"/>
      <c r="F228" s="1919"/>
    </row>
    <row r="229" spans="1:9" ht="14.25" customHeight="1">
      <c r="A229" s="796"/>
      <c r="B229" s="796"/>
      <c r="D229" s="1919"/>
      <c r="E229" s="1919"/>
      <c r="F229" s="1919"/>
    </row>
    <row r="230" spans="1:9" ht="14.25" customHeight="1">
      <c r="A230" s="796"/>
      <c r="B230" s="796"/>
      <c r="D230" s="1711"/>
      <c r="E230" s="1711"/>
      <c r="F230" s="1711"/>
    </row>
    <row r="231" spans="1:9" ht="14.25">
      <c r="A231" s="796"/>
      <c r="B231" s="796"/>
      <c r="D231" s="1919" t="s">
        <v>1289</v>
      </c>
      <c r="E231" s="1919"/>
      <c r="F231" s="1919"/>
      <c r="I231" s="1773" t="s">
        <v>2434</v>
      </c>
    </row>
    <row r="232" spans="1:9" ht="14.25">
      <c r="A232" s="796"/>
      <c r="B232" s="796"/>
      <c r="D232" s="1919"/>
      <c r="E232" s="1919"/>
      <c r="F232" s="1919"/>
    </row>
    <row r="233" spans="1:9" ht="14.25">
      <c r="A233" s="796"/>
      <c r="B233" s="796"/>
      <c r="D233" s="1919"/>
      <c r="E233" s="1919"/>
      <c r="F233" s="1919"/>
    </row>
    <row r="234" spans="1:9" ht="14.25">
      <c r="A234" s="796"/>
      <c r="B234" s="796"/>
      <c r="D234" s="1919"/>
      <c r="E234" s="1919"/>
      <c r="F234" s="1919"/>
    </row>
    <row r="235" spans="1:9" ht="14.25">
      <c r="A235" s="796"/>
      <c r="B235" s="796"/>
      <c r="D235" s="1919"/>
      <c r="E235" s="1919"/>
      <c r="F235" s="1919"/>
    </row>
    <row r="236" spans="1:9" ht="14.25">
      <c r="A236" s="796"/>
      <c r="B236" s="796"/>
      <c r="D236" s="799"/>
      <c r="E236" s="799"/>
      <c r="F236" s="799"/>
    </row>
    <row r="237" spans="1:9" ht="14.25">
      <c r="A237" s="796"/>
      <c r="B237" s="797" t="s">
        <v>2678</v>
      </c>
      <c r="D237" s="1997" t="s">
        <v>2267</v>
      </c>
      <c r="E237" s="1997"/>
      <c r="F237" s="1997"/>
      <c r="I237" s="1773" t="s">
        <v>2473</v>
      </c>
    </row>
    <row r="238" spans="1:9" ht="14.25">
      <c r="A238" s="796"/>
      <c r="B238" s="796"/>
      <c r="D238" s="1997"/>
      <c r="E238" s="1997"/>
      <c r="F238" s="1997"/>
    </row>
    <row r="239" spans="1:9" ht="14.25">
      <c r="A239" s="796"/>
      <c r="B239" s="796"/>
      <c r="D239" s="1997"/>
      <c r="E239" s="1997"/>
      <c r="F239" s="1997"/>
    </row>
    <row r="240" spans="1:9" ht="14.25">
      <c r="A240" s="796"/>
      <c r="B240" s="796"/>
      <c r="D240" s="1991" t="s">
        <v>963</v>
      </c>
      <c r="E240" s="1991"/>
      <c r="F240" s="1991"/>
    </row>
    <row r="241" spans="1:9" ht="14.25">
      <c r="A241" s="796"/>
      <c r="B241" s="796"/>
      <c r="D241" s="799"/>
      <c r="E241" s="799"/>
      <c r="F241" s="799"/>
    </row>
    <row r="242" spans="1:9" ht="14.45" customHeight="1">
      <c r="A242" s="796"/>
      <c r="B242" s="797" t="s">
        <v>2678</v>
      </c>
      <c r="D242" s="1997" t="s">
        <v>1292</v>
      </c>
      <c r="E242" s="1997"/>
      <c r="F242" s="1997"/>
      <c r="I242" s="1773" t="s">
        <v>2493</v>
      </c>
    </row>
    <row r="243" spans="1:9" ht="14.25">
      <c r="A243" s="796"/>
      <c r="B243" s="796"/>
      <c r="D243" s="1997"/>
      <c r="E243" s="1997"/>
      <c r="F243" s="1997"/>
    </row>
    <row r="244" spans="1:9" ht="14.25">
      <c r="A244" s="796"/>
      <c r="B244" s="796"/>
      <c r="D244" s="1997"/>
      <c r="E244" s="1997"/>
      <c r="F244" s="1997"/>
    </row>
    <row r="245" spans="1:9" ht="14.25">
      <c r="A245" s="796"/>
      <c r="B245" s="796"/>
      <c r="D245" s="1997"/>
      <c r="E245" s="1997"/>
      <c r="F245" s="1997"/>
    </row>
    <row r="246" spans="1:9" ht="14.25">
      <c r="A246" s="796"/>
      <c r="B246" s="796"/>
      <c r="D246" s="1997"/>
      <c r="E246" s="1997"/>
      <c r="F246" s="1997"/>
    </row>
    <row r="247" spans="1:9" ht="14.25">
      <c r="A247" s="796"/>
      <c r="B247" s="796"/>
      <c r="D247" s="1723"/>
      <c r="E247" s="1723"/>
      <c r="F247" s="1723"/>
    </row>
    <row r="248" spans="1:9" ht="14.25">
      <c r="A248" s="796"/>
      <c r="B248" s="797" t="s">
        <v>2679</v>
      </c>
      <c r="D248" s="1722" t="s">
        <v>2264</v>
      </c>
      <c r="E248" s="1723"/>
      <c r="F248" s="1723"/>
      <c r="I248" s="1773" t="s">
        <v>2472</v>
      </c>
    </row>
    <row r="249" spans="1:9" ht="14.25">
      <c r="A249" s="796"/>
      <c r="B249" s="796"/>
      <c r="D249" s="1722"/>
      <c r="E249" s="1730" t="s">
        <v>2265</v>
      </c>
      <c r="F249" s="1723"/>
    </row>
    <row r="250" spans="1:9">
      <c r="D250" s="799"/>
      <c r="E250" s="799"/>
      <c r="F250" s="799"/>
    </row>
    <row r="251" spans="1:9" ht="14.25">
      <c r="A251" s="796"/>
      <c r="B251" s="797" t="s">
        <v>2679</v>
      </c>
      <c r="D251" s="1919" t="s">
        <v>1291</v>
      </c>
      <c r="E251" s="1919"/>
      <c r="F251" s="1919"/>
    </row>
    <row r="252" spans="1:9" ht="14.25">
      <c r="A252" s="796"/>
      <c r="B252" s="796"/>
      <c r="D252" s="1919"/>
      <c r="E252" s="1919"/>
      <c r="F252" s="1919"/>
    </row>
    <row r="253" spans="1:9">
      <c r="D253" s="820"/>
    </row>
    <row r="254" spans="1:9">
      <c r="A254" s="1901" t="s">
        <v>1165</v>
      </c>
      <c r="B254" s="1901"/>
      <c r="C254" s="1901"/>
      <c r="D254" s="1901"/>
      <c r="E254" s="1901"/>
      <c r="F254" s="1901"/>
      <c r="G254" s="1901"/>
      <c r="H254" s="1852"/>
      <c r="I254" s="1853"/>
    </row>
    <row r="255" spans="1:9">
      <c r="D255" s="820"/>
    </row>
    <row r="256" spans="1:9">
      <c r="C256" s="806"/>
      <c r="D256" s="1918" t="s">
        <v>1294</v>
      </c>
      <c r="E256" s="1918"/>
      <c r="F256" s="1918"/>
    </row>
    <row r="257" spans="1:9">
      <c r="A257" s="792"/>
      <c r="B257" s="792"/>
      <c r="C257" s="792"/>
      <c r="D257" s="799"/>
      <c r="E257" s="799"/>
      <c r="F257" s="799"/>
    </row>
    <row r="258" spans="1:9">
      <c r="A258" s="794"/>
      <c r="B258" s="794"/>
      <c r="C258" s="794"/>
      <c r="D258" s="1918" t="s">
        <v>275</v>
      </c>
      <c r="E258" s="1918"/>
      <c r="F258" s="1918"/>
      <c r="I258" s="1773" t="s">
        <v>2474</v>
      </c>
    </row>
    <row r="259" spans="1:9" ht="14.45" customHeight="1">
      <c r="A259" s="796"/>
      <c r="B259" s="797" t="s">
        <v>2679</v>
      </c>
      <c r="D259" s="1999" t="s">
        <v>1401</v>
      </c>
      <c r="E259" s="1999"/>
      <c r="F259" s="1999"/>
    </row>
    <row r="260" spans="1:9">
      <c r="D260" s="1999"/>
      <c r="E260" s="1999"/>
      <c r="F260" s="1999"/>
    </row>
    <row r="261" spans="1:9">
      <c r="D261" s="1993" t="s">
        <v>954</v>
      </c>
      <c r="E261" s="1993"/>
      <c r="F261" s="1993"/>
    </row>
    <row r="262" spans="1:9">
      <c r="D262" s="799"/>
      <c r="E262" s="799"/>
      <c r="F262" s="799"/>
    </row>
    <row r="263" spans="1:9" ht="14.45" customHeight="1">
      <c r="A263" s="796"/>
      <c r="B263" s="797" t="s">
        <v>2678</v>
      </c>
      <c r="D263" s="1997" t="s">
        <v>2266</v>
      </c>
      <c r="E263" s="1997"/>
      <c r="F263" s="1997"/>
      <c r="I263" s="1773" t="s">
        <v>2494</v>
      </c>
    </row>
    <row r="264" spans="1:9">
      <c r="D264" s="1997"/>
      <c r="E264" s="1997"/>
      <c r="F264" s="1997"/>
    </row>
    <row r="265" spans="1:9">
      <c r="D265" s="1997"/>
      <c r="E265" s="1997"/>
      <c r="F265" s="1997"/>
    </row>
    <row r="266" spans="1:9">
      <c r="D266" s="1997"/>
      <c r="E266" s="1997"/>
      <c r="F266" s="1997"/>
    </row>
    <row r="267" spans="1:9">
      <c r="D267" s="1997"/>
      <c r="E267" s="1997"/>
      <c r="F267" s="1997"/>
    </row>
    <row r="268" spans="1:9">
      <c r="D268" s="1997"/>
      <c r="E268" s="1997"/>
      <c r="F268" s="1997"/>
    </row>
    <row r="269" spans="1:9">
      <c r="D269" s="799"/>
      <c r="E269" s="799"/>
      <c r="F269" s="799"/>
    </row>
    <row r="270" spans="1:9" ht="14.25">
      <c r="A270" s="796"/>
      <c r="B270" s="797" t="s">
        <v>2678</v>
      </c>
      <c r="D270" s="1919" t="s">
        <v>1297</v>
      </c>
      <c r="E270" s="1919"/>
      <c r="F270" s="1919"/>
    </row>
    <row r="271" spans="1:9">
      <c r="D271" s="1919"/>
      <c r="E271" s="1919"/>
      <c r="F271" s="1919"/>
    </row>
    <row r="272" spans="1:9">
      <c r="D272" s="1919"/>
      <c r="E272" s="1919"/>
      <c r="F272" s="1919"/>
    </row>
    <row r="273" spans="1:9">
      <c r="D273" s="821"/>
      <c r="E273" s="799"/>
      <c r="F273" s="799"/>
    </row>
    <row r="274" spans="1:9">
      <c r="A274" s="1901" t="s">
        <v>1166</v>
      </c>
      <c r="B274" s="1901"/>
      <c r="C274" s="1901"/>
      <c r="D274" s="1901"/>
      <c r="E274" s="1901"/>
      <c r="F274" s="1901"/>
      <c r="G274" s="1901"/>
      <c r="H274" s="1852"/>
      <c r="I274" s="1853"/>
    </row>
    <row r="275" spans="1:9">
      <c r="D275" s="821"/>
      <c r="E275" s="799"/>
      <c r="F275" s="799"/>
    </row>
    <row r="276" spans="1:9">
      <c r="C276" s="792"/>
      <c r="D276" s="1990" t="s">
        <v>1299</v>
      </c>
      <c r="E276" s="1990"/>
      <c r="F276" s="1990"/>
    </row>
    <row r="277" spans="1:9">
      <c r="C277" s="792"/>
      <c r="D277" s="1990"/>
      <c r="E277" s="1990"/>
      <c r="F277" s="1990"/>
    </row>
    <row r="278" spans="1:9">
      <c r="A278" s="794"/>
      <c r="B278" s="794"/>
      <c r="C278" s="794"/>
      <c r="D278" s="621"/>
      <c r="E278" s="671"/>
      <c r="F278" s="671"/>
    </row>
    <row r="279" spans="1:9">
      <c r="C279" s="794"/>
      <c r="D279" s="1918" t="s">
        <v>215</v>
      </c>
      <c r="E279" s="1918"/>
      <c r="F279" s="1918"/>
    </row>
    <row r="280" spans="1:9" ht="15.75" customHeight="1">
      <c r="A280" s="796"/>
      <c r="B280" s="796"/>
      <c r="D280" s="1992" t="s">
        <v>1300</v>
      </c>
      <c r="E280" s="1992"/>
      <c r="F280" s="1992"/>
    </row>
    <row r="281" spans="1:9">
      <c r="E281" s="799"/>
      <c r="F281" s="799"/>
    </row>
    <row r="282" spans="1:9" ht="14.25">
      <c r="A282" s="796"/>
      <c r="B282" s="797" t="s">
        <v>2678</v>
      </c>
      <c r="D282" s="1919" t="s">
        <v>1301</v>
      </c>
      <c r="E282" s="1919"/>
      <c r="F282" s="1919"/>
      <c r="I282" s="1773" t="s">
        <v>2436</v>
      </c>
    </row>
    <row r="283" spans="1:9" ht="14.25">
      <c r="A283" s="796"/>
      <c r="B283" s="796"/>
      <c r="D283" s="1919"/>
      <c r="E283" s="1919"/>
      <c r="F283" s="1919"/>
    </row>
    <row r="284" spans="1:9">
      <c r="D284" s="799"/>
      <c r="E284" s="799"/>
      <c r="F284" s="799"/>
    </row>
    <row r="285" spans="1:9" ht="14.25">
      <c r="A285" s="796"/>
      <c r="B285" s="797" t="s">
        <v>2678</v>
      </c>
      <c r="D285" s="1997" t="s">
        <v>1302</v>
      </c>
      <c r="E285" s="1997"/>
      <c r="F285" s="1997"/>
      <c r="I285" s="1773" t="s">
        <v>2436</v>
      </c>
    </row>
    <row r="286" spans="1:9" ht="14.25">
      <c r="A286" s="796"/>
      <c r="B286" s="796"/>
      <c r="D286" s="1997"/>
      <c r="E286" s="1997"/>
      <c r="F286" s="1997"/>
    </row>
    <row r="287" spans="1:9" ht="14.25">
      <c r="A287" s="796"/>
      <c r="B287" s="796"/>
      <c r="D287" s="1997"/>
      <c r="E287" s="1997"/>
      <c r="F287" s="1997"/>
    </row>
    <row r="288" spans="1:9">
      <c r="D288" s="799"/>
      <c r="E288" s="799"/>
      <c r="F288" s="799"/>
    </row>
    <row r="289" spans="1:9" ht="14.25">
      <c r="A289" s="796"/>
      <c r="B289" s="797" t="s">
        <v>2678</v>
      </c>
      <c r="D289" s="1919" t="s">
        <v>1303</v>
      </c>
      <c r="E289" s="1919"/>
      <c r="F289" s="1919"/>
      <c r="I289" s="1773" t="s">
        <v>2436</v>
      </c>
    </row>
    <row r="290" spans="1:9" ht="14.25">
      <c r="A290" s="796"/>
      <c r="B290" s="796"/>
      <c r="D290" s="1919"/>
      <c r="E290" s="1919"/>
      <c r="F290" s="1919"/>
    </row>
    <row r="291" spans="1:9">
      <c r="A291" s="815"/>
      <c r="B291" s="815"/>
      <c r="E291" s="799"/>
      <c r="F291" s="799"/>
    </row>
    <row r="292" spans="1:9">
      <c r="A292" s="1901" t="s">
        <v>1167</v>
      </c>
      <c r="B292" s="1901"/>
      <c r="C292" s="1901"/>
      <c r="D292" s="1901"/>
      <c r="E292" s="1901"/>
      <c r="F292" s="1901"/>
      <c r="G292" s="1901"/>
      <c r="H292" s="1852"/>
      <c r="I292" s="1853"/>
    </row>
    <row r="293" spans="1:9">
      <c r="A293" s="815"/>
      <c r="B293" s="815"/>
      <c r="D293" s="799"/>
      <c r="E293" s="799"/>
      <c r="F293" s="799"/>
    </row>
    <row r="294" spans="1:9">
      <c r="C294" s="815"/>
      <c r="D294" s="1918" t="s">
        <v>719</v>
      </c>
      <c r="E294" s="1918"/>
      <c r="F294" s="1918"/>
    </row>
    <row r="295" spans="1:9">
      <c r="C295" s="815"/>
      <c r="D295" s="1921" t="s">
        <v>1304</v>
      </c>
      <c r="E295" s="1921"/>
      <c r="F295" s="1921"/>
    </row>
    <row r="296" spans="1:9">
      <c r="C296" s="815"/>
      <c r="D296" s="822"/>
    </row>
    <row r="297" spans="1:9">
      <c r="A297" s="800"/>
      <c r="B297" s="797" t="s">
        <v>2678</v>
      </c>
      <c r="D297" s="1921" t="s">
        <v>1305</v>
      </c>
      <c r="E297" s="1921"/>
      <c r="F297" s="1921"/>
      <c r="I297" s="1773" t="s">
        <v>2437</v>
      </c>
    </row>
    <row r="298" spans="1:9" s="790" customFormat="1" ht="14.25">
      <c r="A298" s="804"/>
      <c r="B298" s="804"/>
      <c r="C298" s="800"/>
      <c r="D298" s="823"/>
      <c r="E298" s="824"/>
      <c r="F298" s="824"/>
      <c r="G298" s="801"/>
      <c r="I298" s="1836"/>
    </row>
    <row r="299" spans="1:9" s="790" customFormat="1" ht="13.7" customHeight="1">
      <c r="A299" s="800"/>
      <c r="B299" s="797" t="s">
        <v>2678</v>
      </c>
      <c r="C299" s="800"/>
      <c r="D299" s="2015" t="s">
        <v>1430</v>
      </c>
      <c r="E299" s="2015"/>
      <c r="F299" s="2015"/>
      <c r="G299" s="801"/>
      <c r="I299" s="1836" t="s">
        <v>2437</v>
      </c>
    </row>
    <row r="300" spans="1:9" s="790" customFormat="1" ht="14.25">
      <c r="A300" s="804"/>
      <c r="B300" s="804"/>
      <c r="C300" s="800"/>
      <c r="D300" s="2015"/>
      <c r="E300" s="2015"/>
      <c r="F300" s="2015"/>
      <c r="G300" s="801"/>
      <c r="I300" s="1836"/>
    </row>
    <row r="301" spans="1:9" s="790" customFormat="1" ht="14.25">
      <c r="A301" s="804"/>
      <c r="B301" s="804"/>
      <c r="C301" s="800"/>
      <c r="D301" s="2015"/>
      <c r="E301" s="2015"/>
      <c r="F301" s="2015"/>
      <c r="G301" s="801"/>
      <c r="I301" s="1836"/>
    </row>
    <row r="302" spans="1:9" s="790" customFormat="1" ht="14.25">
      <c r="A302" s="804"/>
      <c r="B302" s="804"/>
      <c r="C302" s="800"/>
      <c r="D302" s="2015"/>
      <c r="E302" s="2015"/>
      <c r="F302" s="2015"/>
      <c r="G302" s="801"/>
      <c r="I302" s="1836"/>
    </row>
    <row r="303" spans="1:9" s="790" customFormat="1" ht="14.25">
      <c r="A303" s="804"/>
      <c r="B303" s="804"/>
      <c r="C303" s="800"/>
      <c r="D303" s="2015"/>
      <c r="E303" s="2015"/>
      <c r="F303" s="2015"/>
      <c r="G303" s="801"/>
      <c r="I303" s="1836"/>
    </row>
    <row r="304" spans="1:9" s="790" customFormat="1" ht="14.25">
      <c r="A304" s="804"/>
      <c r="B304" s="804"/>
      <c r="C304" s="800"/>
      <c r="D304" s="823"/>
      <c r="E304" s="824"/>
      <c r="F304" s="824"/>
      <c r="G304" s="801"/>
      <c r="I304" s="1836"/>
    </row>
    <row r="305" spans="1:9" s="790" customFormat="1" ht="13.7" customHeight="1">
      <c r="A305" s="800"/>
      <c r="B305" s="797" t="s">
        <v>2678</v>
      </c>
      <c r="C305" s="800"/>
      <c r="D305" s="2015" t="s">
        <v>1307</v>
      </c>
      <c r="E305" s="2015"/>
      <c r="F305" s="2015"/>
      <c r="G305" s="801"/>
      <c r="I305" s="1836" t="s">
        <v>2437</v>
      </c>
    </row>
    <row r="306" spans="1:9" s="790" customFormat="1">
      <c r="A306" s="800"/>
      <c r="B306" s="800"/>
      <c r="C306" s="800"/>
      <c r="D306" s="2015"/>
      <c r="E306" s="2015"/>
      <c r="F306" s="2015"/>
      <c r="G306" s="801"/>
      <c r="I306" s="1836"/>
    </row>
    <row r="307" spans="1:9" s="790" customFormat="1" ht="14.25">
      <c r="A307" s="804"/>
      <c r="B307" s="804"/>
      <c r="C307" s="800"/>
      <c r="D307" s="823"/>
      <c r="E307" s="824"/>
      <c r="F307" s="824"/>
      <c r="G307" s="801"/>
      <c r="I307" s="1836"/>
    </row>
    <row r="308" spans="1:9">
      <c r="A308" s="800"/>
      <c r="B308" s="797" t="s">
        <v>2678</v>
      </c>
      <c r="D308" s="1921" t="s">
        <v>1308</v>
      </c>
      <c r="E308" s="1921"/>
      <c r="F308" s="1921"/>
      <c r="I308" s="1773" t="s">
        <v>2423</v>
      </c>
    </row>
    <row r="309" spans="1:9">
      <c r="E309" s="799"/>
      <c r="F309" s="799"/>
    </row>
    <row r="310" spans="1:9" ht="14.25">
      <c r="A310" s="796"/>
      <c r="B310" s="797" t="s">
        <v>2678</v>
      </c>
      <c r="D310" s="1997" t="s">
        <v>1457</v>
      </c>
      <c r="E310" s="1997"/>
      <c r="F310" s="1997"/>
      <c r="I310" s="1773" t="s">
        <v>2438</v>
      </c>
    </row>
    <row r="311" spans="1:9" ht="14.25">
      <c r="A311" s="796"/>
      <c r="B311" s="796"/>
      <c r="D311" s="1997"/>
      <c r="E311" s="1997"/>
      <c r="F311" s="1997"/>
    </row>
    <row r="312" spans="1:9" ht="14.25">
      <c r="A312" s="796"/>
      <c r="B312" s="796"/>
      <c r="D312" s="1997"/>
      <c r="E312" s="1997"/>
      <c r="F312" s="1997"/>
    </row>
    <row r="313" spans="1:9" ht="14.25">
      <c r="A313" s="796"/>
      <c r="B313" s="796"/>
      <c r="D313" s="1997"/>
      <c r="E313" s="1997"/>
      <c r="F313" s="1997"/>
    </row>
    <row r="314" spans="1:9" ht="14.25">
      <c r="A314" s="796"/>
      <c r="B314" s="796"/>
      <c r="D314" s="1997"/>
      <c r="E314" s="1997"/>
      <c r="F314" s="1997"/>
    </row>
    <row r="315" spans="1:9" ht="14.25">
      <c r="A315" s="796"/>
      <c r="B315" s="796"/>
      <c r="D315" s="1997"/>
      <c r="E315" s="1997"/>
      <c r="F315" s="1997"/>
    </row>
    <row r="316" spans="1:9" ht="14.25">
      <c r="A316" s="796"/>
      <c r="B316" s="796"/>
      <c r="D316" s="1997"/>
      <c r="E316" s="1997"/>
      <c r="F316" s="1997"/>
    </row>
    <row r="317" spans="1:9" ht="14.25">
      <c r="A317" s="796"/>
      <c r="B317" s="796"/>
      <c r="D317" s="1997"/>
      <c r="E317" s="1997"/>
      <c r="F317" s="1997"/>
    </row>
    <row r="318" spans="1:9" ht="14.25">
      <c r="A318" s="796"/>
      <c r="B318" s="796"/>
      <c r="D318" s="1997"/>
      <c r="E318" s="1997"/>
      <c r="F318" s="1997"/>
    </row>
    <row r="319" spans="1:9" ht="14.25">
      <c r="A319" s="796"/>
      <c r="B319" s="796"/>
      <c r="D319" s="1997"/>
      <c r="E319" s="1997"/>
      <c r="F319" s="1997"/>
    </row>
    <row r="320" spans="1:9" ht="14.25">
      <c r="A320" s="796"/>
      <c r="B320" s="796"/>
      <c r="D320" s="1997"/>
      <c r="E320" s="1997"/>
      <c r="F320" s="1997"/>
    </row>
    <row r="321" spans="1:9" ht="14.25">
      <c r="A321" s="796"/>
      <c r="B321" s="796"/>
      <c r="D321" s="1997"/>
      <c r="E321" s="1997"/>
      <c r="F321" s="1997"/>
    </row>
    <row r="322" spans="1:9" ht="14.25">
      <c r="A322" s="796"/>
      <c r="B322" s="796"/>
      <c r="D322" s="1997"/>
      <c r="E322" s="1997"/>
      <c r="F322" s="1997"/>
    </row>
    <row r="323" spans="1:9" ht="14.25">
      <c r="A323" s="796"/>
      <c r="B323" s="796"/>
      <c r="D323" s="1997"/>
      <c r="E323" s="1997"/>
      <c r="F323" s="1997"/>
    </row>
    <row r="324" spans="1:9" ht="14.25">
      <c r="A324" s="796"/>
      <c r="B324" s="796"/>
      <c r="D324" s="1997"/>
      <c r="E324" s="1997"/>
      <c r="F324" s="1997"/>
    </row>
    <row r="325" spans="1:9">
      <c r="D325" s="799"/>
      <c r="E325" s="799"/>
      <c r="F325" s="799"/>
    </row>
    <row r="326" spans="1:9" ht="14.25">
      <c r="A326" s="796"/>
      <c r="B326" s="797" t="s">
        <v>2678</v>
      </c>
      <c r="D326" s="1997" t="s">
        <v>1310</v>
      </c>
      <c r="E326" s="1997"/>
      <c r="F326" s="1997"/>
      <c r="I326" s="1773" t="s">
        <v>2438</v>
      </c>
    </row>
    <row r="327" spans="1:9">
      <c r="D327" s="1997"/>
      <c r="E327" s="1997"/>
      <c r="F327" s="1997"/>
    </row>
    <row r="328" spans="1:9">
      <c r="D328" s="1997"/>
      <c r="E328" s="1997"/>
      <c r="F328" s="1997"/>
    </row>
    <row r="329" spans="1:9">
      <c r="D329" s="1997"/>
      <c r="E329" s="1997"/>
      <c r="F329" s="1997"/>
    </row>
    <row r="330" spans="1:9">
      <c r="D330" s="1997"/>
      <c r="E330" s="1997"/>
      <c r="F330" s="1997"/>
    </row>
    <row r="331" spans="1:9">
      <c r="D331" s="1997"/>
      <c r="E331" s="1997"/>
      <c r="F331" s="1997"/>
    </row>
    <row r="332" spans="1:9">
      <c r="D332" s="1997"/>
      <c r="E332" s="1997"/>
      <c r="F332" s="1997"/>
    </row>
    <row r="333" spans="1:9">
      <c r="D333" s="1997"/>
      <c r="E333" s="1997"/>
      <c r="F333" s="1997"/>
    </row>
    <row r="334" spans="1:9">
      <c r="D334" s="1997"/>
      <c r="E334" s="1997"/>
      <c r="F334" s="1997"/>
    </row>
    <row r="335" spans="1:9">
      <c r="D335" s="799"/>
      <c r="E335" s="799"/>
      <c r="F335" s="799"/>
    </row>
    <row r="336" spans="1:9" ht="14.25">
      <c r="A336" s="796"/>
      <c r="B336" s="797" t="s">
        <v>2678</v>
      </c>
      <c r="D336" s="1919" t="s">
        <v>1507</v>
      </c>
      <c r="E336" s="1919"/>
      <c r="F336" s="1919"/>
      <c r="I336" s="1773" t="s">
        <v>2475</v>
      </c>
    </row>
    <row r="337" spans="1:9">
      <c r="D337" s="1919"/>
      <c r="E337" s="1919"/>
      <c r="F337" s="1919"/>
      <c r="G337" s="789"/>
    </row>
    <row r="338" spans="1:9">
      <c r="D338" s="1919"/>
      <c r="E338" s="1919"/>
      <c r="F338" s="1919"/>
      <c r="G338" s="789"/>
    </row>
    <row r="339" spans="1:9">
      <c r="D339" s="1919"/>
      <c r="E339" s="1919"/>
      <c r="F339" s="1919"/>
      <c r="G339" s="789"/>
    </row>
    <row r="340" spans="1:9">
      <c r="D340" s="1919"/>
      <c r="E340" s="1919"/>
      <c r="F340" s="1919"/>
      <c r="G340" s="789"/>
    </row>
    <row r="341" spans="1:9">
      <c r="D341" s="1919"/>
      <c r="E341" s="1919"/>
      <c r="F341" s="1919"/>
      <c r="G341" s="789"/>
    </row>
    <row r="342" spans="1:9" s="1771" customFormat="1">
      <c r="A342" s="787"/>
      <c r="B342" s="787"/>
      <c r="C342" s="787"/>
      <c r="D342" s="1826"/>
      <c r="E342" s="1826"/>
      <c r="F342" s="1826"/>
      <c r="I342" s="1773"/>
    </row>
    <row r="343" spans="1:9" ht="13.5" thickBot="1">
      <c r="A343" s="1827"/>
      <c r="B343" s="1827"/>
      <c r="C343" s="1827"/>
      <c r="D343" s="1998" t="s">
        <v>1060</v>
      </c>
      <c r="E343" s="1998"/>
      <c r="F343" s="1998"/>
      <c r="G343" s="1850"/>
      <c r="H343" s="1850"/>
      <c r="I343" s="1851"/>
    </row>
    <row r="344" spans="1:9" ht="13.5" thickTop="1">
      <c r="D344" s="2016" t="s">
        <v>1312</v>
      </c>
      <c r="E344" s="2016"/>
      <c r="F344" s="2016"/>
      <c r="G344" s="789"/>
    </row>
    <row r="345" spans="1:9" s="1771" customFormat="1">
      <c r="A345" s="787"/>
      <c r="B345" s="787"/>
      <c r="C345" s="787"/>
      <c r="D345" s="1844"/>
      <c r="E345" s="1844"/>
      <c r="F345" s="1844"/>
      <c r="I345" s="1773"/>
    </row>
    <row r="346" spans="1:9">
      <c r="A346" s="813"/>
      <c r="B346" s="813"/>
      <c r="C346" s="813"/>
      <c r="D346" s="785"/>
      <c r="E346" s="785"/>
      <c r="F346" s="799"/>
      <c r="G346" s="789"/>
      <c r="I346" s="1773" t="s">
        <v>2439</v>
      </c>
    </row>
    <row r="347" spans="1:9" ht="14.25">
      <c r="A347" s="796"/>
      <c r="B347" s="797" t="s">
        <v>2678</v>
      </c>
      <c r="C347" s="828"/>
      <c r="D347" s="1921" t="s">
        <v>1321</v>
      </c>
      <c r="E347" s="1921"/>
      <c r="F347" s="1921"/>
      <c r="I347" s="2021" t="s">
        <v>2490</v>
      </c>
    </row>
    <row r="348" spans="1:9" ht="12.75" customHeight="1">
      <c r="D348" s="1911" t="s">
        <v>1455</v>
      </c>
      <c r="E348" s="1911"/>
      <c r="F348" s="1911"/>
      <c r="I348" s="2022"/>
    </row>
    <row r="349" spans="1:9">
      <c r="D349" s="1997" t="s">
        <v>1454</v>
      </c>
      <c r="E349" s="1997"/>
      <c r="F349" s="1997"/>
      <c r="I349" s="2022"/>
    </row>
    <row r="350" spans="1:9">
      <c r="D350" s="1997"/>
      <c r="E350" s="1997"/>
      <c r="F350" s="1997"/>
      <c r="I350" s="2022"/>
    </row>
    <row r="351" spans="1:9">
      <c r="D351" s="1997"/>
      <c r="E351" s="1997"/>
      <c r="F351" s="1997"/>
      <c r="I351" s="2023"/>
    </row>
    <row r="352" spans="1:9" ht="14.25">
      <c r="A352" s="796"/>
      <c r="B352" s="797" t="s">
        <v>2678</v>
      </c>
      <c r="C352" s="813"/>
      <c r="D352" s="1915" t="s">
        <v>1313</v>
      </c>
      <c r="E352" s="1915"/>
      <c r="F352" s="1915"/>
      <c r="G352" s="789"/>
      <c r="I352" s="618"/>
    </row>
    <row r="353" spans="1:9">
      <c r="A353" s="813"/>
      <c r="B353" s="813"/>
      <c r="C353" s="813"/>
      <c r="D353" s="785"/>
      <c r="E353" s="785"/>
      <c r="F353" s="799"/>
      <c r="G353" s="789"/>
    </row>
    <row r="354" spans="1:9">
      <c r="A354" s="813"/>
      <c r="B354" s="797" t="s">
        <v>2678</v>
      </c>
      <c r="C354" s="813"/>
      <c r="D354" s="1910" t="s">
        <v>1433</v>
      </c>
      <c r="E354" s="1910"/>
      <c r="F354" s="1910"/>
      <c r="G354" s="789"/>
    </row>
    <row r="355" spans="1:9">
      <c r="A355" s="813"/>
      <c r="B355" s="813"/>
      <c r="C355" s="813"/>
      <c r="D355" s="1910"/>
      <c r="E355" s="1910"/>
      <c r="F355" s="1910"/>
      <c r="G355" s="789"/>
    </row>
    <row r="356" spans="1:9">
      <c r="A356" s="813"/>
      <c r="B356" s="813"/>
      <c r="C356" s="813"/>
      <c r="D356" s="1910"/>
      <c r="E356" s="1910"/>
      <c r="F356" s="1910"/>
      <c r="G356" s="789"/>
    </row>
    <row r="357" spans="1:9">
      <c r="A357" s="813"/>
      <c r="B357" s="813"/>
      <c r="C357" s="813"/>
      <c r="D357" s="1910"/>
      <c r="E357" s="1910"/>
      <c r="F357" s="1910"/>
      <c r="G357" s="789"/>
    </row>
    <row r="358" spans="1:9">
      <c r="A358" s="813"/>
      <c r="B358" s="813"/>
      <c r="C358" s="813"/>
      <c r="D358" s="1910"/>
      <c r="E358" s="1910"/>
      <c r="F358" s="1910"/>
      <c r="G358" s="789"/>
    </row>
    <row r="359" spans="1:9">
      <c r="A359" s="813"/>
      <c r="B359" s="813"/>
      <c r="C359" s="813"/>
      <c r="D359" s="1910"/>
      <c r="E359" s="1910"/>
      <c r="F359" s="1910"/>
      <c r="G359" s="789"/>
    </row>
    <row r="360" spans="1:9">
      <c r="A360" s="813"/>
      <c r="B360" s="813"/>
      <c r="C360" s="813"/>
      <c r="D360" s="1910"/>
      <c r="E360" s="1910"/>
      <c r="F360" s="1910"/>
      <c r="G360" s="789"/>
    </row>
    <row r="361" spans="1:9">
      <c r="A361" s="813"/>
      <c r="B361" s="813"/>
      <c r="C361" s="813"/>
      <c r="D361" s="1910"/>
      <c r="E361" s="1910"/>
      <c r="F361" s="1910"/>
      <c r="G361" s="789"/>
    </row>
    <row r="362" spans="1:9">
      <c r="A362" s="813"/>
      <c r="B362" s="813"/>
      <c r="C362" s="813"/>
      <c r="D362" s="1910"/>
      <c r="E362" s="1910"/>
      <c r="F362" s="1910"/>
      <c r="G362" s="789"/>
    </row>
    <row r="363" spans="1:9">
      <c r="A363" s="813"/>
      <c r="B363" s="813"/>
      <c r="C363" s="813"/>
      <c r="D363" s="1910"/>
      <c r="E363" s="1910"/>
      <c r="F363" s="1910"/>
      <c r="G363" s="789"/>
    </row>
    <row r="364" spans="1:9">
      <c r="A364" s="813"/>
      <c r="B364" s="813"/>
      <c r="C364" s="813"/>
      <c r="D364" s="1910"/>
      <c r="E364" s="1910"/>
      <c r="F364" s="1910"/>
      <c r="G364" s="789"/>
    </row>
    <row r="365" spans="1:9">
      <c r="A365" s="813"/>
      <c r="B365" s="813"/>
      <c r="C365" s="813"/>
      <c r="D365" s="1910"/>
      <c r="E365" s="1910"/>
      <c r="F365" s="1910"/>
      <c r="G365" s="789"/>
    </row>
    <row r="366" spans="1:9" s="1771" customFormat="1">
      <c r="A366" s="1776"/>
      <c r="B366" s="1776"/>
      <c r="C366" s="1776"/>
      <c r="D366" s="1778"/>
      <c r="E366" s="1778"/>
      <c r="F366" s="1778"/>
      <c r="I366" s="1773"/>
    </row>
    <row r="367" spans="1:9" ht="12.4" customHeight="1">
      <c r="A367" s="813"/>
      <c r="B367" s="797" t="s">
        <v>2678</v>
      </c>
      <c r="C367" s="813"/>
      <c r="D367" s="2024" t="s">
        <v>1434</v>
      </c>
      <c r="E367" s="2024"/>
      <c r="F367" s="2024"/>
      <c r="G367" s="789"/>
    </row>
    <row r="368" spans="1:9">
      <c r="A368" s="813"/>
      <c r="B368" s="813"/>
      <c r="C368" s="813"/>
      <c r="D368" s="2024"/>
      <c r="E368" s="2024"/>
      <c r="F368" s="2024"/>
      <c r="G368" s="789"/>
    </row>
    <row r="369" spans="1:9">
      <c r="A369" s="813"/>
      <c r="B369" s="813"/>
      <c r="C369" s="813"/>
      <c r="D369" s="2024"/>
      <c r="E369" s="2024"/>
      <c r="F369" s="2024"/>
      <c r="G369" s="789"/>
    </row>
    <row r="370" spans="1:9">
      <c r="A370" s="813"/>
      <c r="B370" s="813"/>
      <c r="C370" s="813"/>
      <c r="D370" s="2024"/>
      <c r="E370" s="2024"/>
      <c r="F370" s="2024"/>
      <c r="G370" s="789"/>
    </row>
    <row r="371" spans="1:9" s="1771" customFormat="1">
      <c r="A371" s="1776"/>
      <c r="B371" s="1776"/>
      <c r="C371" s="1776"/>
      <c r="D371" s="1777"/>
      <c r="E371" s="1777"/>
      <c r="F371" s="1777"/>
      <c r="I371" s="1773"/>
    </row>
    <row r="372" spans="1:9" s="1771" customFormat="1">
      <c r="A372" s="1776"/>
      <c r="B372" s="1774" t="s">
        <v>2678</v>
      </c>
      <c r="C372" s="1776"/>
      <c r="D372" s="1771" t="s">
        <v>2358</v>
      </c>
      <c r="E372" s="1777"/>
      <c r="F372" s="1777"/>
      <c r="I372" s="1773"/>
    </row>
    <row r="373" spans="1:9" s="1771" customFormat="1">
      <c r="A373" s="1776"/>
      <c r="B373" s="1776"/>
      <c r="C373" s="1776"/>
      <c r="D373" s="1771" t="s">
        <v>2359</v>
      </c>
      <c r="E373" s="1777"/>
      <c r="F373" s="1777"/>
      <c r="I373" s="1773"/>
    </row>
    <row r="374" spans="1:9" s="1771" customFormat="1">
      <c r="A374" s="1776"/>
      <c r="B374" s="1776"/>
      <c r="C374" s="1776"/>
      <c r="D374" s="1771" t="s">
        <v>2360</v>
      </c>
      <c r="E374" s="1777"/>
      <c r="F374" s="1777"/>
      <c r="I374" s="1773"/>
    </row>
    <row r="375" spans="1:9" s="1771" customFormat="1">
      <c r="A375" s="1776"/>
      <c r="B375" s="1776"/>
      <c r="C375" s="1776"/>
      <c r="D375" s="1771" t="s">
        <v>2361</v>
      </c>
      <c r="E375" s="1777"/>
      <c r="F375" s="1777"/>
      <c r="I375" s="1773"/>
    </row>
    <row r="376" spans="1:9" s="1771" customFormat="1">
      <c r="A376" s="1776"/>
      <c r="B376" s="1776"/>
      <c r="C376" s="1776"/>
      <c r="D376" s="1771" t="s">
        <v>2362</v>
      </c>
      <c r="E376" s="1777"/>
      <c r="F376" s="1777"/>
      <c r="I376" s="1773"/>
    </row>
    <row r="377" spans="1:9" s="1771" customFormat="1">
      <c r="A377" s="1776"/>
      <c r="B377" s="1776"/>
      <c r="C377" s="1776"/>
      <c r="D377" s="1771" t="s">
        <v>2363</v>
      </c>
      <c r="E377" s="1777"/>
      <c r="F377" s="1777"/>
      <c r="I377" s="1773"/>
    </row>
    <row r="378" spans="1:9">
      <c r="A378" s="813"/>
      <c r="B378" s="813"/>
      <c r="C378" s="813"/>
      <c r="D378" s="789"/>
      <c r="E378" s="785"/>
      <c r="F378" s="799"/>
      <c r="G378" s="789"/>
    </row>
    <row r="379" spans="1:9" ht="14.25">
      <c r="A379" s="796"/>
      <c r="B379" s="797" t="s">
        <v>2678</v>
      </c>
      <c r="C379" s="813"/>
      <c r="D379" s="1908" t="s">
        <v>1315</v>
      </c>
      <c r="E379" s="1908"/>
      <c r="F379" s="1908"/>
      <c r="G379" s="789"/>
    </row>
    <row r="380" spans="1:9">
      <c r="A380" s="813"/>
      <c r="B380" s="813"/>
      <c r="C380" s="813"/>
      <c r="D380" s="1908"/>
      <c r="E380" s="1908"/>
      <c r="F380" s="1908"/>
      <c r="G380" s="789"/>
    </row>
    <row r="381" spans="1:9">
      <c r="A381" s="813"/>
      <c r="B381" s="813"/>
      <c r="C381" s="813"/>
      <c r="D381" s="1908"/>
      <c r="E381" s="1908"/>
      <c r="F381" s="1908"/>
      <c r="G381" s="789"/>
    </row>
    <row r="382" spans="1:9">
      <c r="A382" s="813"/>
      <c r="B382" s="813"/>
      <c r="C382" s="813"/>
      <c r="D382" s="1908"/>
      <c r="E382" s="1908"/>
      <c r="F382" s="1908"/>
      <c r="G382" s="789"/>
    </row>
    <row r="383" spans="1:9">
      <c r="A383" s="813"/>
      <c r="B383" s="813"/>
      <c r="C383" s="813"/>
      <c r="D383" s="825"/>
      <c r="E383" s="785"/>
      <c r="F383" s="799"/>
      <c r="G383" s="789"/>
    </row>
    <row r="384" spans="1:9">
      <c r="A384" s="813"/>
      <c r="B384" s="813"/>
      <c r="C384" s="813"/>
      <c r="D384" s="1908" t="s">
        <v>1316</v>
      </c>
      <c r="E384" s="1908"/>
      <c r="F384" s="1908"/>
      <c r="G384" s="789"/>
    </row>
    <row r="385" spans="1:7">
      <c r="A385" s="813"/>
      <c r="B385" s="813"/>
      <c r="C385" s="813"/>
      <c r="D385" s="1908"/>
      <c r="E385" s="1908"/>
      <c r="F385" s="1908"/>
      <c r="G385" s="789"/>
    </row>
    <row r="386" spans="1:7">
      <c r="A386" s="813"/>
      <c r="B386" s="813"/>
      <c r="C386" s="813"/>
      <c r="D386" s="1908"/>
      <c r="E386" s="1908"/>
      <c r="F386" s="1908"/>
      <c r="G386" s="789"/>
    </row>
    <row r="387" spans="1:7">
      <c r="A387" s="813"/>
      <c r="B387" s="813"/>
      <c r="C387" s="813"/>
      <c r="D387" s="1908"/>
      <c r="E387" s="1908"/>
      <c r="F387" s="1908"/>
      <c r="G387" s="789"/>
    </row>
    <row r="388" spans="1:7" ht="18" customHeight="1">
      <c r="A388" s="813"/>
      <c r="B388" s="813"/>
      <c r="C388" s="813"/>
      <c r="D388" s="1908"/>
      <c r="E388" s="1908"/>
      <c r="F388" s="1908"/>
      <c r="G388" s="789"/>
    </row>
    <row r="389" spans="1:7">
      <c r="A389" s="813"/>
      <c r="B389" s="813"/>
      <c r="C389" s="813"/>
      <c r="D389" s="1908"/>
      <c r="E389" s="1908"/>
      <c r="F389" s="1908"/>
      <c r="G389" s="789"/>
    </row>
    <row r="390" spans="1:7">
      <c r="A390" s="813"/>
      <c r="B390" s="813"/>
      <c r="C390" s="813"/>
      <c r="D390" s="1908"/>
      <c r="E390" s="1908"/>
      <c r="F390" s="1908"/>
      <c r="G390" s="789"/>
    </row>
    <row r="391" spans="1:7">
      <c r="A391" s="813"/>
      <c r="B391" s="813"/>
      <c r="C391" s="813"/>
      <c r="D391" s="1908"/>
      <c r="E391" s="1908"/>
      <c r="F391" s="1908"/>
      <c r="G391" s="789"/>
    </row>
    <row r="392" spans="1:7" ht="8.25" customHeight="1">
      <c r="A392" s="813"/>
      <c r="B392" s="813"/>
      <c r="C392" s="813"/>
      <c r="D392" s="1908"/>
      <c r="E392" s="1908"/>
      <c r="F392" s="1908"/>
      <c r="G392" s="789"/>
    </row>
    <row r="393" spans="1:7" ht="13.7" customHeight="1">
      <c r="A393" s="813"/>
      <c r="B393" s="813"/>
      <c r="C393" s="813"/>
      <c r="D393" s="1909" t="s">
        <v>1317</v>
      </c>
      <c r="E393" s="1909"/>
      <c r="F393" s="1909"/>
      <c r="G393" s="789"/>
    </row>
    <row r="394" spans="1:7">
      <c r="A394" s="813"/>
      <c r="B394" s="813"/>
      <c r="C394" s="813"/>
      <c r="D394" s="1909"/>
      <c r="E394" s="1909"/>
      <c r="F394" s="1909"/>
      <c r="G394" s="789"/>
    </row>
    <row r="395" spans="1:7">
      <c r="A395" s="813"/>
      <c r="B395" s="813"/>
      <c r="C395" s="813"/>
      <c r="D395" s="1909"/>
      <c r="E395" s="1909"/>
      <c r="F395" s="1909"/>
      <c r="G395" s="789"/>
    </row>
    <row r="396" spans="1:7">
      <c r="A396" s="813"/>
      <c r="B396" s="813"/>
      <c r="C396" s="813"/>
      <c r="D396" s="1909"/>
      <c r="E396" s="1909"/>
      <c r="F396" s="1909"/>
      <c r="G396" s="789"/>
    </row>
    <row r="397" spans="1:7">
      <c r="A397" s="813"/>
      <c r="B397" s="813"/>
      <c r="C397" s="813"/>
      <c r="D397" s="1909"/>
      <c r="E397" s="1909"/>
      <c r="F397" s="1909"/>
      <c r="G397" s="789"/>
    </row>
    <row r="398" spans="1:7">
      <c r="A398" s="813"/>
      <c r="B398" s="813"/>
      <c r="C398" s="813"/>
      <c r="D398" s="1909"/>
      <c r="E398" s="1909"/>
      <c r="F398" s="1909"/>
      <c r="G398" s="789"/>
    </row>
    <row r="399" spans="1:7">
      <c r="A399" s="813"/>
      <c r="B399" s="813"/>
      <c r="C399" s="813"/>
      <c r="D399" s="1909"/>
      <c r="E399" s="1909"/>
      <c r="F399" s="1909"/>
      <c r="G399" s="789"/>
    </row>
    <row r="400" spans="1:7">
      <c r="A400" s="813"/>
      <c r="B400" s="813"/>
      <c r="C400" s="813"/>
      <c r="D400" s="1909"/>
      <c r="E400" s="1909"/>
      <c r="F400" s="1909"/>
      <c r="G400" s="789"/>
    </row>
    <row r="401" spans="1:7">
      <c r="A401" s="813"/>
      <c r="B401" s="813"/>
      <c r="C401" s="813"/>
      <c r="D401" s="1909"/>
      <c r="E401" s="1909"/>
      <c r="F401" s="1909"/>
      <c r="G401" s="789"/>
    </row>
    <row r="402" spans="1:7">
      <c r="A402" s="813"/>
      <c r="B402" s="813"/>
      <c r="C402" s="813"/>
      <c r="D402" s="1909"/>
      <c r="E402" s="1909"/>
      <c r="F402" s="1909"/>
      <c r="G402" s="789"/>
    </row>
    <row r="403" spans="1:7">
      <c r="A403" s="813"/>
      <c r="B403" s="813"/>
      <c r="C403" s="813"/>
      <c r="D403" s="1909"/>
      <c r="E403" s="1909"/>
      <c r="F403" s="1909"/>
      <c r="G403" s="789"/>
    </row>
    <row r="404" spans="1:7">
      <c r="A404" s="813"/>
      <c r="B404" s="813"/>
      <c r="C404" s="813"/>
      <c r="D404" s="1909"/>
      <c r="E404" s="1909"/>
      <c r="F404" s="1909"/>
      <c r="G404" s="789"/>
    </row>
    <row r="405" spans="1:7">
      <c r="A405" s="813"/>
      <c r="B405" s="813"/>
      <c r="C405" s="826"/>
      <c r="D405" s="1909"/>
      <c r="E405" s="1909"/>
      <c r="F405" s="1909"/>
      <c r="G405" s="789"/>
    </row>
    <row r="406" spans="1:7">
      <c r="A406" s="813"/>
      <c r="B406" s="813"/>
      <c r="C406" s="826"/>
      <c r="D406" s="1909"/>
      <c r="E406" s="1909"/>
      <c r="F406" s="1909"/>
      <c r="G406" s="789"/>
    </row>
    <row r="407" spans="1:7">
      <c r="A407" s="813"/>
      <c r="B407" s="813"/>
      <c r="C407" s="813"/>
      <c r="D407" s="1909"/>
      <c r="E407" s="1909"/>
      <c r="F407" s="1909"/>
      <c r="G407" s="789"/>
    </row>
    <row r="408" spans="1:7">
      <c r="A408" s="813"/>
      <c r="B408" s="813"/>
      <c r="C408" s="826"/>
      <c r="D408" s="1909"/>
      <c r="E408" s="1909"/>
      <c r="F408" s="1909"/>
      <c r="G408" s="789"/>
    </row>
    <row r="409" spans="1:7">
      <c r="A409" s="813"/>
      <c r="B409" s="813"/>
      <c r="C409" s="826"/>
      <c r="D409" s="1909"/>
      <c r="E409" s="1909"/>
      <c r="F409" s="1909"/>
      <c r="G409" s="789"/>
    </row>
    <row r="410" spans="1:7">
      <c r="A410" s="813"/>
      <c r="B410" s="813"/>
      <c r="C410" s="826"/>
      <c r="D410" s="1909"/>
      <c r="E410" s="1909"/>
      <c r="F410" s="1909"/>
      <c r="G410" s="789"/>
    </row>
    <row r="411" spans="1:7">
      <c r="A411" s="813"/>
      <c r="B411" s="813"/>
      <c r="C411" s="813"/>
      <c r="D411" s="825"/>
      <c r="E411" s="785"/>
      <c r="F411" s="799"/>
      <c r="G411" s="789"/>
    </row>
    <row r="412" spans="1:7">
      <c r="A412" s="813"/>
      <c r="B412" s="797" t="s">
        <v>2678</v>
      </c>
      <c r="C412" s="813"/>
      <c r="D412" s="1909" t="s">
        <v>1318</v>
      </c>
      <c r="E412" s="1909"/>
      <c r="F412" s="1909"/>
      <c r="G412" s="789"/>
    </row>
    <row r="413" spans="1:7">
      <c r="A413" s="813"/>
      <c r="B413" s="813"/>
      <c r="C413" s="813"/>
      <c r="D413" s="1909"/>
      <c r="E413" s="1909"/>
      <c r="F413" s="1909"/>
      <c r="G413" s="789"/>
    </row>
    <row r="414" spans="1:7">
      <c r="A414" s="813"/>
      <c r="B414" s="813"/>
      <c r="C414" s="813"/>
      <c r="D414" s="902"/>
      <c r="E414" s="902"/>
      <c r="F414" s="902"/>
      <c r="G414" s="789"/>
    </row>
    <row r="415" spans="1:7" ht="14.45" customHeight="1">
      <c r="A415" s="796"/>
      <c r="B415" s="797" t="s">
        <v>2678</v>
      </c>
      <c r="D415" s="1909" t="s">
        <v>2476</v>
      </c>
      <c r="E415" s="1909"/>
      <c r="F415" s="1909"/>
    </row>
    <row r="416" spans="1:7" ht="14.45" customHeight="1">
      <c r="A416" s="796"/>
      <c r="D416" s="1909"/>
      <c r="E416" s="1909"/>
      <c r="F416" s="1909"/>
    </row>
    <row r="417" spans="1:7" ht="14.45" customHeight="1">
      <c r="A417" s="796"/>
      <c r="D417" s="1909"/>
      <c r="E417" s="1909"/>
      <c r="F417" s="1909"/>
    </row>
    <row r="418" spans="1:7" ht="14.45" customHeight="1">
      <c r="A418" s="796"/>
      <c r="D418" s="1909"/>
      <c r="E418" s="1909"/>
      <c r="F418" s="1909"/>
    </row>
    <row r="419" spans="1:7" ht="14.45" customHeight="1">
      <c r="A419" s="796"/>
      <c r="D419" s="1909"/>
      <c r="E419" s="1909"/>
      <c r="F419" s="1909"/>
    </row>
    <row r="420" spans="1:7" ht="14.45" customHeight="1">
      <c r="A420" s="796"/>
      <c r="D420" s="877"/>
      <c r="E420" s="877"/>
      <c r="F420" s="877"/>
    </row>
    <row r="421" spans="1:7" ht="13.7" customHeight="1">
      <c r="A421" s="796"/>
      <c r="B421" s="797" t="s">
        <v>2678</v>
      </c>
      <c r="C421" s="813"/>
      <c r="D421" s="1910" t="s">
        <v>1458</v>
      </c>
      <c r="E421" s="1910"/>
      <c r="F421" s="1910"/>
      <c r="G421" s="789"/>
    </row>
    <row r="422" spans="1:7" ht="14.25">
      <c r="A422" s="827"/>
      <c r="B422" s="827"/>
      <c r="C422" s="813"/>
      <c r="D422" s="1910"/>
      <c r="E422" s="1910"/>
      <c r="F422" s="1910"/>
      <c r="G422" s="789"/>
    </row>
    <row r="423" spans="1:7" ht="14.25">
      <c r="A423" s="827"/>
      <c r="B423" s="827"/>
      <c r="C423" s="813"/>
      <c r="D423" s="1910"/>
      <c r="E423" s="1910"/>
      <c r="F423" s="1910"/>
      <c r="G423" s="789"/>
    </row>
    <row r="424" spans="1:7" ht="14.25">
      <c r="A424" s="827"/>
      <c r="B424" s="827"/>
      <c r="C424" s="813"/>
      <c r="D424" s="1910"/>
      <c r="E424" s="1910"/>
      <c r="F424" s="1910"/>
      <c r="G424" s="789"/>
    </row>
    <row r="425" spans="1:7" ht="15.75" customHeight="1">
      <c r="A425" s="827"/>
      <c r="B425" s="827"/>
      <c r="C425" s="813"/>
      <c r="D425" s="2017" t="s">
        <v>1508</v>
      </c>
      <c r="E425" s="1910"/>
      <c r="F425" s="1910"/>
      <c r="G425" s="789"/>
    </row>
    <row r="426" spans="1:7">
      <c r="D426" s="799"/>
      <c r="E426" s="799"/>
      <c r="F426" s="799"/>
      <c r="G426" s="789"/>
    </row>
    <row r="427" spans="1:7" ht="14.25">
      <c r="A427" s="796"/>
      <c r="B427" s="797" t="s">
        <v>2678</v>
      </c>
      <c r="C427" s="828"/>
      <c r="D427" s="1919" t="s">
        <v>1320</v>
      </c>
      <c r="E427" s="1919"/>
      <c r="F427" s="1919"/>
      <c r="G427" s="789"/>
    </row>
    <row r="428" spans="1:7" ht="14.25">
      <c r="A428" s="796"/>
      <c r="B428" s="796"/>
      <c r="D428" s="1919"/>
      <c r="E428" s="1919"/>
      <c r="F428" s="1919"/>
      <c r="G428" s="789"/>
    </row>
    <row r="429" spans="1:7">
      <c r="D429" s="1919"/>
      <c r="E429" s="1919"/>
      <c r="F429" s="1919"/>
      <c r="G429" s="789"/>
    </row>
    <row r="430" spans="1:7">
      <c r="D430" s="1919"/>
      <c r="E430" s="1919"/>
      <c r="F430" s="1919"/>
      <c r="G430" s="789"/>
    </row>
    <row r="431" spans="1:7">
      <c r="D431" s="1919"/>
      <c r="E431" s="1919"/>
      <c r="F431" s="1919"/>
      <c r="G431" s="789"/>
    </row>
    <row r="432" spans="1:7">
      <c r="D432" s="1919"/>
      <c r="E432" s="1919"/>
      <c r="F432" s="1919"/>
      <c r="G432" s="789"/>
    </row>
    <row r="433" spans="1:7">
      <c r="D433" s="1919"/>
      <c r="E433" s="1919"/>
      <c r="F433" s="1919"/>
      <c r="G433" s="789"/>
    </row>
    <row r="434" spans="1:7">
      <c r="D434" s="1919"/>
      <c r="E434" s="1919"/>
      <c r="F434" s="1919"/>
      <c r="G434" s="789"/>
    </row>
    <row r="435" spans="1:7">
      <c r="D435" s="1919"/>
      <c r="E435" s="1919"/>
      <c r="F435" s="1919"/>
      <c r="G435" s="789"/>
    </row>
    <row r="436" spans="1:7">
      <c r="D436" s="1919"/>
      <c r="E436" s="1919"/>
      <c r="F436" s="1919"/>
      <c r="G436" s="789"/>
    </row>
    <row r="437" spans="1:7">
      <c r="D437" s="1919"/>
      <c r="E437" s="1919"/>
      <c r="F437" s="1919"/>
      <c r="G437" s="789"/>
    </row>
    <row r="438" spans="1:7">
      <c r="D438" s="1919"/>
      <c r="E438" s="1919"/>
      <c r="F438" s="1919"/>
      <c r="G438" s="789"/>
    </row>
    <row r="439" spans="1:7">
      <c r="D439" s="1919"/>
      <c r="E439" s="1919"/>
      <c r="F439" s="1919"/>
      <c r="G439" s="789"/>
    </row>
    <row r="440" spans="1:7">
      <c r="A440" s="789"/>
      <c r="B440" s="789"/>
      <c r="C440" s="789"/>
      <c r="D440" s="1919"/>
      <c r="E440" s="1919"/>
      <c r="F440" s="1919"/>
      <c r="G440" s="789"/>
    </row>
    <row r="441" spans="1:7">
      <c r="A441" s="789"/>
      <c r="B441" s="789"/>
      <c r="C441" s="789"/>
      <c r="D441" s="1919"/>
      <c r="E441" s="1919"/>
      <c r="F441" s="1919"/>
      <c r="G441" s="789"/>
    </row>
    <row r="442" spans="1:7">
      <c r="A442" s="789"/>
      <c r="B442" s="789"/>
      <c r="C442" s="789"/>
      <c r="D442" s="1919"/>
      <c r="E442" s="1919"/>
      <c r="F442" s="1919"/>
      <c r="G442" s="789"/>
    </row>
    <row r="443" spans="1:7">
      <c r="A443" s="789"/>
      <c r="B443" s="789"/>
      <c r="C443" s="789"/>
      <c r="D443" s="1919"/>
      <c r="E443" s="1919"/>
      <c r="F443" s="1919"/>
      <c r="G443" s="789"/>
    </row>
    <row r="444" spans="1:7">
      <c r="A444" s="789"/>
      <c r="B444" s="789"/>
      <c r="C444" s="789"/>
      <c r="D444" s="1919"/>
      <c r="E444" s="1919"/>
      <c r="F444" s="1919"/>
      <c r="G444" s="789"/>
    </row>
    <row r="445" spans="1:7">
      <c r="A445" s="789"/>
      <c r="B445" s="789"/>
      <c r="C445" s="789"/>
      <c r="D445" s="1919"/>
      <c r="E445" s="1919"/>
      <c r="F445" s="1919"/>
      <c r="G445" s="789"/>
    </row>
    <row r="446" spans="1:7">
      <c r="A446" s="789"/>
      <c r="B446" s="789"/>
      <c r="C446" s="789"/>
      <c r="D446" s="1919"/>
      <c r="E446" s="1919"/>
      <c r="F446" s="1919"/>
      <c r="G446" s="789"/>
    </row>
    <row r="447" spans="1:7">
      <c r="A447" s="789"/>
      <c r="B447" s="789"/>
      <c r="C447" s="789"/>
      <c r="D447" s="1919"/>
      <c r="E447" s="1919"/>
      <c r="F447" s="1919"/>
      <c r="G447" s="789"/>
    </row>
    <row r="448" spans="1:7">
      <c r="A448" s="789"/>
      <c r="B448" s="789"/>
      <c r="C448" s="789"/>
      <c r="D448" s="1919"/>
      <c r="E448" s="1919"/>
      <c r="F448" s="1919"/>
      <c r="G448" s="789"/>
    </row>
    <row r="449" spans="1:9">
      <c r="A449" s="789"/>
      <c r="B449" s="789"/>
      <c r="C449" s="789"/>
      <c r="D449" s="1919"/>
      <c r="E449" s="1919"/>
      <c r="F449" s="1919"/>
      <c r="G449" s="789"/>
    </row>
    <row r="450" spans="1:9">
      <c r="A450" s="789"/>
      <c r="B450" s="789"/>
      <c r="C450" s="789"/>
      <c r="D450" s="1919"/>
      <c r="E450" s="1919"/>
      <c r="F450" s="1919"/>
      <c r="G450" s="789"/>
    </row>
    <row r="451" spans="1:9">
      <c r="A451" s="789"/>
      <c r="B451" s="789"/>
      <c r="C451" s="789"/>
      <c r="D451" s="1919"/>
      <c r="E451" s="1919"/>
      <c r="F451" s="1919"/>
      <c r="G451" s="789"/>
    </row>
    <row r="452" spans="1:9">
      <c r="A452" s="789"/>
      <c r="B452" s="789"/>
      <c r="C452" s="789"/>
      <c r="D452" s="1919"/>
      <c r="E452" s="1919"/>
      <c r="F452" s="1919"/>
      <c r="G452" s="789"/>
    </row>
    <row r="453" spans="1:9">
      <c r="A453" s="789"/>
      <c r="B453" s="789"/>
      <c r="C453" s="789"/>
      <c r="D453" s="1919"/>
      <c r="E453" s="1919"/>
      <c r="F453" s="1919"/>
      <c r="G453" s="789"/>
    </row>
    <row r="454" spans="1:9">
      <c r="A454" s="789"/>
      <c r="B454" s="789"/>
      <c r="C454" s="789"/>
      <c r="D454" s="1919"/>
      <c r="E454" s="1919"/>
      <c r="F454" s="1919"/>
      <c r="G454" s="789"/>
    </row>
    <row r="455" spans="1:9">
      <c r="A455" s="789"/>
      <c r="B455" s="789"/>
      <c r="C455" s="789"/>
      <c r="D455" s="1919"/>
      <c r="E455" s="1919"/>
      <c r="F455" s="1919"/>
      <c r="G455" s="789"/>
    </row>
    <row r="456" spans="1:9" s="830" customFormat="1">
      <c r="A456" s="787"/>
      <c r="B456" s="787"/>
      <c r="C456" s="787"/>
      <c r="D456" s="1919"/>
      <c r="E456" s="1919"/>
      <c r="F456" s="1919"/>
      <c r="G456" s="829"/>
      <c r="I456" s="1839"/>
    </row>
    <row r="457" spans="1:9" s="830" customFormat="1" ht="40.700000000000003" customHeight="1">
      <c r="A457" s="787"/>
      <c r="B457" s="787"/>
      <c r="C457" s="787"/>
      <c r="D457" s="1919"/>
      <c r="E457" s="1919"/>
      <c r="F457" s="1919"/>
      <c r="G457" s="829"/>
      <c r="I457" s="1839"/>
    </row>
    <row r="458" spans="1:9">
      <c r="D458" s="799"/>
      <c r="E458" s="799"/>
      <c r="F458" s="799"/>
      <c r="G458" s="789"/>
    </row>
    <row r="459" spans="1:9" ht="14.25">
      <c r="A459" s="796"/>
      <c r="B459" s="1774" t="s">
        <v>2678</v>
      </c>
      <c r="C459" s="828"/>
      <c r="D459" s="1919" t="s">
        <v>1323</v>
      </c>
      <c r="E459" s="1919"/>
      <c r="F459" s="1919"/>
      <c r="G459" s="789"/>
    </row>
    <row r="460" spans="1:9">
      <c r="D460" s="1919"/>
      <c r="E460" s="1919"/>
      <c r="F460" s="1919"/>
      <c r="G460" s="789"/>
    </row>
    <row r="461" spans="1:9">
      <c r="D461" s="1919"/>
      <c r="E461" s="1919"/>
      <c r="F461" s="1919"/>
      <c r="G461" s="789"/>
    </row>
    <row r="462" spans="1:9">
      <c r="D462" s="783"/>
      <c r="E462" s="783"/>
      <c r="F462" s="783"/>
      <c r="G462" s="789"/>
    </row>
    <row r="463" spans="1:9" ht="14.25">
      <c r="B463" s="1774" t="s">
        <v>2678</v>
      </c>
      <c r="C463" s="796"/>
      <c r="D463" s="1997" t="s">
        <v>1402</v>
      </c>
      <c r="E463" s="1997"/>
      <c r="F463" s="1997"/>
      <c r="G463" s="789"/>
    </row>
    <row r="464" spans="1:9">
      <c r="D464" s="1997"/>
      <c r="E464" s="1997"/>
      <c r="F464" s="1997"/>
      <c r="G464" s="789"/>
    </row>
    <row r="465" spans="1:7">
      <c r="D465" s="799"/>
      <c r="E465" s="799"/>
      <c r="F465" s="799"/>
      <c r="G465" s="789"/>
    </row>
    <row r="466" spans="1:7" ht="14.25">
      <c r="B466" s="1774" t="s">
        <v>2678</v>
      </c>
      <c r="C466" s="796"/>
      <c r="D466" s="1997" t="s">
        <v>1325</v>
      </c>
      <c r="E466" s="1997"/>
      <c r="F466" s="1997"/>
      <c r="G466" s="789"/>
    </row>
    <row r="467" spans="1:7">
      <c r="D467" s="1997"/>
      <c r="E467" s="1997"/>
      <c r="F467" s="1997"/>
      <c r="G467" s="789"/>
    </row>
    <row r="468" spans="1:7">
      <c r="D468" s="1997"/>
      <c r="E468" s="1997"/>
      <c r="F468" s="1997"/>
      <c r="G468" s="789"/>
    </row>
    <row r="469" spans="1:7">
      <c r="D469" s="1997"/>
      <c r="E469" s="1997"/>
      <c r="F469" s="1997"/>
      <c r="G469" s="789"/>
    </row>
    <row r="470" spans="1:7">
      <c r="B470" s="1774" t="s">
        <v>2678</v>
      </c>
      <c r="D470" s="1997"/>
      <c r="E470" s="1997"/>
      <c r="F470" s="1997"/>
      <c r="G470" s="789"/>
    </row>
    <row r="471" spans="1:7">
      <c r="A471" s="789"/>
      <c r="B471" s="789"/>
      <c r="C471" s="789"/>
      <c r="D471" s="1997"/>
      <c r="E471" s="1997"/>
      <c r="F471" s="1997"/>
      <c r="G471" s="789"/>
    </row>
    <row r="472" spans="1:7">
      <c r="A472" s="789"/>
      <c r="C472" s="789"/>
      <c r="D472" s="1997"/>
      <c r="E472" s="1997"/>
      <c r="F472" s="1997"/>
      <c r="G472" s="789"/>
    </row>
    <row r="473" spans="1:7">
      <c r="A473" s="789"/>
      <c r="B473" s="1774" t="s">
        <v>2678</v>
      </c>
      <c r="C473" s="789"/>
      <c r="D473" s="1997"/>
      <c r="E473" s="1997"/>
      <c r="F473" s="1997"/>
      <c r="G473" s="789"/>
    </row>
    <row r="474" spans="1:7">
      <c r="A474" s="789"/>
      <c r="B474" s="789"/>
      <c r="C474" s="789"/>
      <c r="D474" s="1997"/>
      <c r="E474" s="1997"/>
      <c r="F474" s="1997"/>
      <c r="G474" s="789"/>
    </row>
    <row r="475" spans="1:7">
      <c r="A475" s="789"/>
      <c r="C475" s="789"/>
      <c r="D475" s="1997"/>
      <c r="E475" s="1997"/>
      <c r="F475" s="1997"/>
      <c r="G475" s="789"/>
    </row>
    <row r="476" spans="1:7">
      <c r="A476" s="789"/>
      <c r="C476" s="789"/>
      <c r="D476" s="1997"/>
      <c r="E476" s="1997"/>
      <c r="F476" s="1997"/>
      <c r="G476" s="789"/>
    </row>
    <row r="477" spans="1:7">
      <c r="A477" s="789"/>
      <c r="C477" s="789"/>
      <c r="D477" s="1997"/>
      <c r="E477" s="1997"/>
      <c r="F477" s="1997"/>
      <c r="G477" s="789"/>
    </row>
    <row r="478" spans="1:7">
      <c r="A478" s="789"/>
      <c r="B478" s="1774" t="s">
        <v>2678</v>
      </c>
      <c r="C478" s="789"/>
      <c r="D478" s="1997"/>
      <c r="E478" s="1997"/>
      <c r="F478" s="1997"/>
      <c r="G478" s="789"/>
    </row>
    <row r="479" spans="1:7">
      <c r="A479" s="789"/>
      <c r="C479" s="789"/>
      <c r="D479" s="1997"/>
      <c r="E479" s="1997"/>
      <c r="F479" s="1997"/>
      <c r="G479" s="789"/>
    </row>
    <row r="480" spans="1:7">
      <c r="A480" s="789"/>
      <c r="B480" s="1774" t="s">
        <v>2678</v>
      </c>
      <c r="C480" s="789"/>
      <c r="D480" s="1997" t="s">
        <v>1326</v>
      </c>
      <c r="E480" s="1997"/>
      <c r="F480" s="1997"/>
      <c r="G480" s="789"/>
    </row>
    <row r="481" spans="1:9">
      <c r="A481" s="789"/>
      <c r="B481" s="789"/>
      <c r="C481" s="789"/>
      <c r="D481" s="1997"/>
      <c r="E481" s="1997"/>
      <c r="F481" s="1997"/>
      <c r="G481" s="789"/>
    </row>
    <row r="482" spans="1:9">
      <c r="A482" s="789"/>
      <c r="B482" s="789"/>
      <c r="C482" s="789"/>
      <c r="D482" s="1997"/>
      <c r="E482" s="1997"/>
      <c r="F482" s="1997"/>
      <c r="G482" s="789"/>
    </row>
    <row r="483" spans="1:9">
      <c r="A483" s="789"/>
      <c r="B483" s="789"/>
      <c r="C483" s="789"/>
      <c r="D483" s="1997"/>
      <c r="E483" s="1997"/>
      <c r="F483" s="1997"/>
      <c r="G483" s="789"/>
    </row>
    <row r="484" spans="1:9">
      <c r="D484" s="1997"/>
      <c r="E484" s="1997"/>
      <c r="F484" s="1997"/>
    </row>
    <row r="485" spans="1:9">
      <c r="D485" s="799"/>
      <c r="E485" s="799"/>
      <c r="F485" s="799"/>
    </row>
    <row r="486" spans="1:9">
      <c r="B486" s="797" t="s">
        <v>2678</v>
      </c>
      <c r="D486" s="1993" t="s">
        <v>1327</v>
      </c>
      <c r="E486" s="1993"/>
      <c r="F486" s="1993"/>
    </row>
    <row r="487" spans="1:9">
      <c r="A487" s="799"/>
      <c r="B487" s="799"/>
    </row>
    <row r="488" spans="1:9">
      <c r="A488" s="1901" t="s">
        <v>1168</v>
      </c>
      <c r="B488" s="1901"/>
      <c r="C488" s="1901"/>
      <c r="D488" s="1901"/>
      <c r="E488" s="1901"/>
      <c r="F488" s="1901"/>
      <c r="G488" s="1901"/>
      <c r="H488" s="1852"/>
      <c r="I488" s="1853"/>
    </row>
    <row r="489" spans="1:9">
      <c r="A489" s="799"/>
      <c r="B489" s="799"/>
    </row>
    <row r="490" spans="1:9">
      <c r="D490" s="1897" t="s">
        <v>948</v>
      </c>
      <c r="E490" s="1897"/>
      <c r="F490" s="1897"/>
    </row>
    <row r="491" spans="1:9" s="790" customFormat="1" ht="14.25">
      <c r="A491" s="804"/>
      <c r="B491" s="804"/>
      <c r="C491" s="800"/>
      <c r="D491" s="1898" t="s">
        <v>1328</v>
      </c>
      <c r="E491" s="1898"/>
      <c r="F491" s="1898"/>
      <c r="G491" s="801"/>
      <c r="I491" s="1836"/>
    </row>
    <row r="492" spans="1:9" s="790" customFormat="1" ht="14.25">
      <c r="A492" s="804"/>
      <c r="B492" s="804"/>
      <c r="C492" s="800"/>
      <c r="D492" s="786"/>
      <c r="E492" s="671"/>
      <c r="F492" s="671"/>
      <c r="G492" s="801"/>
      <c r="I492" s="1836"/>
    </row>
    <row r="493" spans="1:9" s="790" customFormat="1" ht="14.25">
      <c r="A493" s="796"/>
      <c r="B493" s="1774" t="s">
        <v>2678</v>
      </c>
      <c r="C493" s="800"/>
      <c r="D493" s="1899" t="s">
        <v>1329</v>
      </c>
      <c r="E493" s="1899"/>
      <c r="F493" s="1899"/>
      <c r="G493" s="801"/>
      <c r="I493" s="1836" t="s">
        <v>2440</v>
      </c>
    </row>
    <row r="494" spans="1:9" s="790" customFormat="1" ht="14.25">
      <c r="A494" s="796"/>
      <c r="B494" s="796"/>
      <c r="C494" s="800"/>
      <c r="D494" s="1899"/>
      <c r="E494" s="1899"/>
      <c r="F494" s="1899"/>
      <c r="G494" s="801"/>
      <c r="I494" s="1836"/>
    </row>
    <row r="495" spans="1:9" s="790" customFormat="1" ht="14.25">
      <c r="A495" s="796"/>
      <c r="B495" s="796"/>
      <c r="C495" s="800"/>
      <c r="D495" s="784"/>
      <c r="E495" s="671"/>
      <c r="F495" s="671"/>
      <c r="G495" s="801"/>
      <c r="I495" s="1836"/>
    </row>
    <row r="496" spans="1:9" ht="12.75" customHeight="1">
      <c r="B496" s="1774" t="s">
        <v>2678</v>
      </c>
      <c r="D496" s="1900" t="s">
        <v>1509</v>
      </c>
      <c r="E496" s="1900"/>
      <c r="F496" s="1900"/>
      <c r="I496" s="1773" t="s">
        <v>2441</v>
      </c>
    </row>
    <row r="497" spans="1:9" ht="14.25">
      <c r="A497" s="796"/>
      <c r="D497" s="1900"/>
      <c r="E497" s="1900"/>
      <c r="F497" s="1900"/>
    </row>
    <row r="498" spans="1:9" ht="14.25">
      <c r="A498" s="796"/>
      <c r="B498" s="796"/>
      <c r="D498" s="1900"/>
      <c r="E498" s="1900"/>
      <c r="F498" s="1900"/>
    </row>
    <row r="499" spans="1:9" ht="14.25">
      <c r="A499" s="796"/>
      <c r="B499" s="796"/>
      <c r="D499" s="1900"/>
      <c r="E499" s="1900"/>
      <c r="F499" s="1900"/>
    </row>
    <row r="500" spans="1:9" ht="14.25">
      <c r="A500" s="796"/>
      <c r="D500" s="892"/>
      <c r="E500" s="892"/>
      <c r="F500" s="892"/>
      <c r="G500" s="789"/>
    </row>
    <row r="501" spans="1:9" ht="14.25">
      <c r="A501" s="796"/>
      <c r="B501" s="1774" t="s">
        <v>2678</v>
      </c>
      <c r="D501" s="1921" t="s">
        <v>1332</v>
      </c>
      <c r="E501" s="1921"/>
      <c r="F501" s="1921"/>
      <c r="G501" s="789"/>
      <c r="I501" s="1773" t="s">
        <v>2442</v>
      </c>
    </row>
    <row r="502" spans="1:9" ht="14.25">
      <c r="A502" s="796"/>
      <c r="B502" s="796"/>
      <c r="D502" s="784"/>
      <c r="E502" s="671"/>
      <c r="F502" s="671"/>
      <c r="G502" s="789"/>
    </row>
    <row r="503" spans="1:9" ht="14.25">
      <c r="A503" s="796"/>
      <c r="B503" s="1774" t="s">
        <v>2678</v>
      </c>
      <c r="D503" s="1919" t="s">
        <v>1333</v>
      </c>
      <c r="E503" s="1919"/>
      <c r="F503" s="1919"/>
      <c r="G503" s="789"/>
      <c r="I503" s="1773" t="s">
        <v>2442</v>
      </c>
    </row>
    <row r="504" spans="1:9" ht="14.25">
      <c r="A504" s="796"/>
      <c r="D504" s="1919"/>
      <c r="E504" s="1919"/>
      <c r="F504" s="1919"/>
      <c r="G504" s="789"/>
    </row>
    <row r="505" spans="1:9">
      <c r="A505" s="815"/>
      <c r="B505" s="815"/>
      <c r="D505" s="732"/>
      <c r="E505" s="671"/>
      <c r="F505" s="671"/>
      <c r="G505" s="789"/>
    </row>
    <row r="506" spans="1:9">
      <c r="A506" s="815"/>
      <c r="B506" s="1774" t="s">
        <v>2678</v>
      </c>
      <c r="D506" s="1921" t="s">
        <v>1334</v>
      </c>
      <c r="E506" s="1921"/>
      <c r="F506" s="1921"/>
      <c r="G506" s="789"/>
      <c r="I506" s="1773" t="s">
        <v>2497</v>
      </c>
    </row>
    <row r="507" spans="1:9" ht="14.25">
      <c r="A507" s="796"/>
      <c r="B507" s="796"/>
      <c r="D507" s="799"/>
    </row>
    <row r="508" spans="1:9">
      <c r="A508" s="1901" t="s">
        <v>1169</v>
      </c>
      <c r="B508" s="1901"/>
      <c r="C508" s="1901"/>
      <c r="D508" s="1901"/>
      <c r="E508" s="1901"/>
      <c r="F508" s="1901"/>
      <c r="G508" s="1901"/>
      <c r="H508" s="1852"/>
      <c r="I508" s="1853"/>
    </row>
    <row r="509" spans="1:9" s="721" customFormat="1" ht="12" customHeight="1">
      <c r="A509" s="796"/>
      <c r="B509" s="796"/>
      <c r="C509" s="803"/>
      <c r="D509" s="784"/>
      <c r="E509" s="671"/>
      <c r="F509" s="671"/>
      <c r="G509" s="671"/>
      <c r="I509" s="621"/>
    </row>
    <row r="510" spans="1:9" s="721" customFormat="1">
      <c r="A510" s="800"/>
      <c r="B510" s="800"/>
      <c r="C510" s="831"/>
      <c r="D510" s="2025" t="s">
        <v>851</v>
      </c>
      <c r="E510" s="2025"/>
      <c r="F510" s="2025"/>
      <c r="G510" s="692"/>
      <c r="I510" s="621"/>
    </row>
    <row r="511" spans="1:9" s="721" customFormat="1">
      <c r="A511" s="800"/>
      <c r="B511" s="800"/>
      <c r="C511" s="831"/>
      <c r="D511" s="854" t="s">
        <v>1404</v>
      </c>
      <c r="E511" s="854"/>
      <c r="F511" s="854"/>
      <c r="G511" s="692"/>
      <c r="I511" s="621"/>
    </row>
    <row r="512" spans="1:9" s="721" customFormat="1">
      <c r="A512" s="800"/>
      <c r="B512" s="800"/>
      <c r="C512" s="831"/>
      <c r="D512" s="854" t="s">
        <v>1405</v>
      </c>
      <c r="E512" s="854"/>
      <c r="F512" s="854"/>
      <c r="G512" s="692"/>
      <c r="I512" s="621"/>
    </row>
    <row r="513" spans="1:9" s="721" customFormat="1">
      <c r="A513" s="800"/>
      <c r="B513" s="800"/>
      <c r="C513" s="831"/>
      <c r="D513" s="853"/>
      <c r="E513" s="853"/>
      <c r="F513" s="853"/>
      <c r="G513" s="692"/>
      <c r="I513" s="621"/>
    </row>
    <row r="514" spans="1:9" s="721" customFormat="1" ht="13.7" customHeight="1">
      <c r="A514" s="794"/>
      <c r="B514" s="797" t="s">
        <v>2679</v>
      </c>
      <c r="C514" s="798"/>
      <c r="D514" s="1893" t="s">
        <v>2268</v>
      </c>
      <c r="E514" s="1893"/>
      <c r="F514" s="1893"/>
      <c r="G514" s="671"/>
      <c r="I514" s="621" t="s">
        <v>2477</v>
      </c>
    </row>
    <row r="515" spans="1:9" s="721" customFormat="1">
      <c r="A515" s="794"/>
      <c r="B515" s="794"/>
      <c r="C515" s="798"/>
      <c r="D515" s="1893"/>
      <c r="E515" s="1893"/>
      <c r="F515" s="1893"/>
      <c r="G515" s="671"/>
      <c r="I515" s="621"/>
    </row>
    <row r="516" spans="1:9" s="721" customFormat="1">
      <c r="A516" s="794"/>
      <c r="B516" s="794"/>
      <c r="C516" s="798"/>
      <c r="D516" s="1706"/>
      <c r="E516" s="1706"/>
      <c r="F516" s="1706"/>
      <c r="G516" s="671"/>
    </row>
    <row r="517" spans="1:9" s="721" customFormat="1">
      <c r="A517" s="794"/>
      <c r="B517" s="797" t="s">
        <v>2678</v>
      </c>
      <c r="C517" s="803"/>
      <c r="D517" s="1893" t="s">
        <v>1207</v>
      </c>
      <c r="E517" s="1893"/>
      <c r="F517" s="1893"/>
      <c r="G517" s="671"/>
      <c r="I517" s="621" t="s">
        <v>2443</v>
      </c>
    </row>
    <row r="518" spans="1:9" s="721" customFormat="1">
      <c r="A518" s="794"/>
      <c r="B518" s="794"/>
      <c r="C518" s="803"/>
      <c r="D518" s="1893"/>
      <c r="E518" s="1893"/>
      <c r="F518" s="1893"/>
      <c r="G518" s="671"/>
      <c r="I518" s="621"/>
    </row>
    <row r="519" spans="1:9" s="721" customFormat="1">
      <c r="A519" s="794"/>
      <c r="B519" s="794"/>
      <c r="C519" s="798"/>
      <c r="D519" s="1893"/>
      <c r="E519" s="1893"/>
      <c r="F519" s="1893"/>
      <c r="G519" s="671"/>
      <c r="I519" s="621"/>
    </row>
    <row r="520" spans="1:9" s="721" customFormat="1">
      <c r="A520" s="794"/>
      <c r="B520" s="794"/>
      <c r="C520" s="798"/>
      <c r="D520" s="832"/>
      <c r="E520" s="671"/>
      <c r="F520" s="784"/>
      <c r="G520" s="671"/>
      <c r="I520" s="621"/>
    </row>
    <row r="521" spans="1:9" s="721" customFormat="1" ht="13.15" customHeight="1">
      <c r="A521" s="794"/>
      <c r="B521" s="797" t="s">
        <v>2678</v>
      </c>
      <c r="C521" s="798"/>
      <c r="D521" s="2005" t="s">
        <v>1233</v>
      </c>
      <c r="E521" s="2005"/>
      <c r="F521" s="2005"/>
      <c r="G521" s="671"/>
      <c r="I521" s="621" t="s">
        <v>2443</v>
      </c>
    </row>
    <row r="522" spans="1:9" s="721" customFormat="1">
      <c r="A522" s="794"/>
      <c r="B522" s="794"/>
      <c r="C522" s="798"/>
      <c r="D522" s="2005"/>
      <c r="E522" s="2005"/>
      <c r="F522" s="2005"/>
      <c r="G522" s="671"/>
      <c r="I522" s="621"/>
    </row>
    <row r="523" spans="1:9" s="721" customFormat="1" ht="12" customHeight="1">
      <c r="A523" s="799"/>
      <c r="B523" s="799"/>
      <c r="C523" s="807"/>
      <c r="D523" s="799"/>
      <c r="E523" s="671"/>
      <c r="F523" s="834"/>
      <c r="G523" s="671"/>
      <c r="I523" s="621"/>
    </row>
    <row r="524" spans="1:9">
      <c r="A524" s="1901" t="s">
        <v>1170</v>
      </c>
      <c r="B524" s="1901"/>
      <c r="C524" s="1901"/>
      <c r="D524" s="1901"/>
      <c r="E524" s="1901"/>
      <c r="F524" s="1901"/>
      <c r="G524" s="1901"/>
      <c r="H524" s="1852"/>
      <c r="I524" s="1853"/>
    </row>
    <row r="525" spans="1:9">
      <c r="A525" s="799"/>
      <c r="B525" s="799"/>
      <c r="C525" s="828"/>
      <c r="F525" s="835"/>
    </row>
    <row r="526" spans="1:9">
      <c r="B526" s="1991" t="s">
        <v>470</v>
      </c>
      <c r="C526" s="1991"/>
      <c r="D526" s="1991"/>
      <c r="E526" s="1991"/>
      <c r="F526" s="1991"/>
    </row>
    <row r="527" spans="1:9">
      <c r="A527" s="799"/>
      <c r="B527" s="799"/>
      <c r="C527" s="828"/>
      <c r="D527" s="799"/>
      <c r="F527" s="799"/>
    </row>
    <row r="528" spans="1:9">
      <c r="A528" s="1951" t="s">
        <v>1171</v>
      </c>
      <c r="B528" s="1951"/>
      <c r="C528" s="1951"/>
      <c r="D528" s="1951"/>
      <c r="E528" s="1951"/>
      <c r="F528" s="1951"/>
      <c r="G528" s="1951"/>
      <c r="H528" s="1852"/>
      <c r="I528" s="1853"/>
    </row>
    <row r="529" spans="1:9">
      <c r="A529" s="799"/>
      <c r="B529" s="799"/>
      <c r="C529" s="828"/>
      <c r="D529" s="799"/>
      <c r="F529" s="799"/>
    </row>
    <row r="530" spans="1:9">
      <c r="C530" s="828"/>
      <c r="D530" s="1918" t="s">
        <v>720</v>
      </c>
      <c r="E530" s="1918"/>
      <c r="F530" s="1918"/>
    </row>
    <row r="531" spans="1:9">
      <c r="C531" s="828"/>
      <c r="D531" s="1921" t="s">
        <v>1228</v>
      </c>
      <c r="E531" s="1921"/>
      <c r="F531" s="1921"/>
    </row>
    <row r="532" spans="1:9">
      <c r="C532" s="828"/>
      <c r="D532" s="784"/>
      <c r="E532" s="784"/>
      <c r="F532" s="784"/>
    </row>
    <row r="533" spans="1:9" ht="13.7" customHeight="1">
      <c r="A533" s="796"/>
      <c r="B533" s="797" t="s">
        <v>2679</v>
      </c>
      <c r="C533" s="828"/>
      <c r="D533" s="1921" t="s">
        <v>949</v>
      </c>
      <c r="E533" s="1921"/>
      <c r="F533" s="1921"/>
      <c r="G533" s="789"/>
      <c r="I533" s="1773" t="s">
        <v>2495</v>
      </c>
    </row>
    <row r="534" spans="1:9" ht="13.7" customHeight="1">
      <c r="A534" s="828"/>
      <c r="B534" s="828"/>
      <c r="C534" s="828"/>
      <c r="D534" s="784"/>
      <c r="E534" s="617"/>
      <c r="F534" s="617"/>
      <c r="G534" s="789"/>
    </row>
    <row r="535" spans="1:9" ht="14.25">
      <c r="A535" s="796"/>
      <c r="B535" s="797" t="s">
        <v>2679</v>
      </c>
      <c r="C535" s="828"/>
      <c r="D535" s="1919" t="s">
        <v>1229</v>
      </c>
      <c r="E535" s="1919"/>
      <c r="F535" s="1919"/>
      <c r="G535" s="789"/>
      <c r="I535" s="1773" t="s">
        <v>2495</v>
      </c>
    </row>
    <row r="536" spans="1:9">
      <c r="A536" s="828"/>
      <c r="B536" s="828"/>
      <c r="C536" s="828"/>
      <c r="D536" s="1919"/>
      <c r="E536" s="1919"/>
      <c r="F536" s="1919"/>
      <c r="G536" s="789"/>
    </row>
    <row r="537" spans="1:9">
      <c r="A537" s="828"/>
      <c r="B537" s="828"/>
      <c r="C537" s="828"/>
      <c r="D537" s="799"/>
      <c r="E537" s="799"/>
      <c r="F537" s="799"/>
      <c r="G537" s="789"/>
    </row>
    <row r="538" spans="1:9" ht="14.25">
      <c r="A538" s="796"/>
      <c r="B538" s="797" t="s">
        <v>2679</v>
      </c>
      <c r="C538" s="828"/>
      <c r="D538" s="1919" t="s">
        <v>1230</v>
      </c>
      <c r="E538" s="1919"/>
      <c r="F538" s="1919"/>
      <c r="G538" s="789"/>
      <c r="I538" s="1773" t="s">
        <v>2444</v>
      </c>
    </row>
    <row r="539" spans="1:9">
      <c r="A539" s="828"/>
      <c r="B539" s="828"/>
      <c r="C539" s="828"/>
      <c r="D539" s="1919"/>
      <c r="E539" s="1919"/>
      <c r="F539" s="1919"/>
      <c r="G539" s="789"/>
    </row>
    <row r="540" spans="1:9">
      <c r="A540" s="828"/>
      <c r="B540" s="828"/>
      <c r="C540" s="828"/>
      <c r="D540" s="799"/>
      <c r="E540" s="799"/>
      <c r="F540" s="799"/>
      <c r="G540" s="789"/>
    </row>
    <row r="541" spans="1:9" ht="14.25">
      <c r="A541" s="796"/>
      <c r="B541" s="797" t="s">
        <v>2679</v>
      </c>
      <c r="C541" s="828"/>
      <c r="D541" s="1919" t="s">
        <v>1231</v>
      </c>
      <c r="E541" s="1919"/>
      <c r="F541" s="1919"/>
      <c r="G541" s="789"/>
      <c r="I541" s="1773" t="s">
        <v>2445</v>
      </c>
    </row>
    <row r="542" spans="1:9">
      <c r="A542" s="828"/>
      <c r="B542" s="828"/>
      <c r="C542" s="828"/>
      <c r="D542" s="1919"/>
      <c r="E542" s="1919"/>
      <c r="F542" s="1919"/>
      <c r="G542" s="789"/>
    </row>
    <row r="543" spans="1:9">
      <c r="A543" s="828"/>
      <c r="B543" s="828"/>
      <c r="C543" s="828"/>
      <c r="D543" s="799"/>
      <c r="E543" s="799"/>
      <c r="F543" s="799"/>
      <c r="G543" s="789"/>
    </row>
    <row r="544" spans="1:9" ht="14.25">
      <c r="A544" s="796"/>
      <c r="B544" s="797" t="s">
        <v>2679</v>
      </c>
      <c r="C544" s="828"/>
      <c r="D544" s="1919" t="s">
        <v>1232</v>
      </c>
      <c r="E544" s="1919"/>
      <c r="F544" s="1919"/>
      <c r="G544" s="789"/>
      <c r="I544" s="1773" t="s">
        <v>2496</v>
      </c>
    </row>
    <row r="545" spans="1:9">
      <c r="A545" s="828"/>
      <c r="B545" s="828"/>
      <c r="C545" s="828"/>
      <c r="D545" s="1919"/>
      <c r="E545" s="1919"/>
      <c r="F545" s="1919"/>
      <c r="G545" s="789"/>
    </row>
    <row r="546" spans="1:9">
      <c r="A546" s="828"/>
      <c r="B546" s="828"/>
      <c r="C546" s="828"/>
      <c r="D546" s="1919"/>
      <c r="E546" s="1919"/>
      <c r="F546" s="1919"/>
      <c r="G546" s="789"/>
    </row>
    <row r="547" spans="1:9">
      <c r="A547" s="828"/>
      <c r="B547" s="828"/>
      <c r="C547" s="828"/>
      <c r="D547" s="799"/>
      <c r="E547" s="799"/>
      <c r="F547" s="799"/>
    </row>
    <row r="548" spans="1:9" ht="14.25">
      <c r="A548" s="796"/>
      <c r="B548" s="797" t="s">
        <v>2678</v>
      </c>
      <c r="C548" s="828"/>
      <c r="D548" s="2005" t="s">
        <v>1350</v>
      </c>
      <c r="E548" s="2005"/>
      <c r="F548" s="2005"/>
      <c r="I548" s="1773" t="s">
        <v>2495</v>
      </c>
    </row>
    <row r="549" spans="1:9">
      <c r="A549" s="828"/>
      <c r="B549" s="828"/>
      <c r="C549" s="828"/>
      <c r="D549" s="2005"/>
      <c r="E549" s="2005"/>
      <c r="F549" s="2005"/>
    </row>
    <row r="550" spans="1:9">
      <c r="A550" s="828"/>
      <c r="B550" s="828"/>
      <c r="C550" s="828"/>
      <c r="D550" s="799"/>
      <c r="E550" s="799"/>
      <c r="F550" s="799"/>
    </row>
    <row r="551" spans="1:9" ht="14.25">
      <c r="A551" s="796"/>
      <c r="B551" s="797" t="s">
        <v>2679</v>
      </c>
      <c r="C551" s="828"/>
      <c r="D551" s="1919" t="s">
        <v>1234</v>
      </c>
      <c r="E551" s="1919"/>
      <c r="F551" s="1919"/>
      <c r="I551" s="1773" t="s">
        <v>2495</v>
      </c>
    </row>
    <row r="552" spans="1:9">
      <c r="A552" s="828"/>
      <c r="B552" s="828"/>
      <c r="C552" s="828"/>
      <c r="D552" s="1919"/>
      <c r="E552" s="1919"/>
      <c r="F552" s="1919"/>
      <c r="G552" s="818"/>
    </row>
    <row r="553" spans="1:9">
      <c r="A553" s="828"/>
      <c r="B553" s="828"/>
      <c r="C553" s="828"/>
      <c r="D553" s="799"/>
      <c r="E553" s="799"/>
      <c r="F553" s="799"/>
      <c r="G553" s="818"/>
    </row>
    <row r="554" spans="1:9" ht="14.25">
      <c r="A554" s="796"/>
      <c r="B554" s="797" t="s">
        <v>2679</v>
      </c>
      <c r="C554" s="828"/>
      <c r="D554" s="1921" t="s">
        <v>1235</v>
      </c>
      <c r="E554" s="1921"/>
      <c r="F554" s="1921"/>
      <c r="G554" s="818"/>
      <c r="I554" s="1773" t="s">
        <v>2498</v>
      </c>
    </row>
    <row r="555" spans="1:9">
      <c r="A555" s="815"/>
      <c r="B555" s="815"/>
      <c r="C555" s="828"/>
      <c r="D555" s="1921" t="s">
        <v>881</v>
      </c>
      <c r="E555" s="1921"/>
      <c r="F555" s="1921"/>
      <c r="G555" s="818"/>
    </row>
    <row r="556" spans="1:9">
      <c r="A556" s="815"/>
      <c r="B556" s="815"/>
      <c r="C556" s="828"/>
      <c r="D556" s="671"/>
      <c r="E556" s="1992" t="s">
        <v>1236</v>
      </c>
      <c r="F556" s="1992"/>
      <c r="G556" s="818"/>
    </row>
    <row r="557" spans="1:9" ht="14.25">
      <c r="A557" s="796"/>
      <c r="B557" s="796"/>
      <c r="C557" s="828"/>
      <c r="E557" s="799"/>
      <c r="F557" s="799"/>
      <c r="G557" s="818"/>
    </row>
    <row r="558" spans="1:9" ht="14.25">
      <c r="A558" s="796"/>
      <c r="B558" s="797" t="s">
        <v>2679</v>
      </c>
      <c r="C558" s="828"/>
      <c r="D558" s="2018" t="s">
        <v>1237</v>
      </c>
      <c r="E558" s="2018"/>
      <c r="F558" s="2018"/>
      <c r="G558" s="818"/>
      <c r="I558" s="1773" t="s">
        <v>2446</v>
      </c>
    </row>
    <row r="559" spans="1:9">
      <c r="C559" s="828"/>
      <c r="D559" s="1919" t="s">
        <v>1238</v>
      </c>
      <c r="E559" s="1919"/>
      <c r="F559" s="1919"/>
      <c r="G559" s="818"/>
    </row>
    <row r="560" spans="1:9">
      <c r="A560" s="828"/>
      <c r="B560" s="828"/>
      <c r="C560" s="828"/>
      <c r="D560" s="1919"/>
      <c r="E560" s="1919"/>
      <c r="F560" s="1919"/>
      <c r="G560" s="818"/>
    </row>
    <row r="561" spans="1:9">
      <c r="A561" s="828"/>
      <c r="B561" s="828"/>
      <c r="C561" s="828"/>
      <c r="D561" s="1919"/>
      <c r="E561" s="1919"/>
      <c r="F561" s="1919"/>
      <c r="G561" s="818"/>
    </row>
    <row r="562" spans="1:9">
      <c r="A562" s="828"/>
      <c r="B562" s="828"/>
      <c r="C562" s="828"/>
      <c r="D562" s="799"/>
      <c r="E562" s="799"/>
      <c r="F562" s="799"/>
      <c r="G562" s="818"/>
    </row>
    <row r="563" spans="1:9" ht="14.25">
      <c r="A563" s="796"/>
      <c r="B563" s="797" t="s">
        <v>2679</v>
      </c>
      <c r="C563" s="828"/>
      <c r="D563" s="1919" t="s">
        <v>1239</v>
      </c>
      <c r="E563" s="1919"/>
      <c r="F563" s="1919"/>
      <c r="G563" s="818"/>
      <c r="I563" s="1773" t="s">
        <v>2447</v>
      </c>
    </row>
    <row r="564" spans="1:9" ht="14.25">
      <c r="A564" s="796"/>
      <c r="B564" s="796"/>
      <c r="C564" s="828"/>
      <c r="D564" s="1919"/>
      <c r="E564" s="1919"/>
      <c r="F564" s="1919"/>
      <c r="G564" s="818"/>
    </row>
    <row r="565" spans="1:9" ht="14.25">
      <c r="A565" s="796"/>
      <c r="B565" s="796"/>
      <c r="C565" s="828"/>
      <c r="D565" s="1919"/>
      <c r="E565" s="1919"/>
      <c r="F565" s="1919"/>
      <c r="G565" s="818"/>
    </row>
    <row r="566" spans="1:9" ht="14.25">
      <c r="A566" s="796"/>
      <c r="B566" s="796"/>
      <c r="C566" s="828"/>
      <c r="D566" s="1919"/>
      <c r="E566" s="1919"/>
      <c r="F566" s="1919"/>
      <c r="G566" s="818"/>
    </row>
    <row r="567" spans="1:9" ht="14.25">
      <c r="A567" s="796"/>
      <c r="B567" s="796"/>
      <c r="C567" s="828"/>
      <c r="D567" s="799"/>
      <c r="E567" s="799"/>
      <c r="F567" s="799"/>
      <c r="G567" s="818"/>
    </row>
    <row r="568" spans="1:9">
      <c r="A568" s="1901" t="s">
        <v>1172</v>
      </c>
      <c r="B568" s="1901"/>
      <c r="C568" s="1901"/>
      <c r="D568" s="1901"/>
      <c r="E568" s="1901"/>
      <c r="F568" s="1901"/>
      <c r="G568" s="1901"/>
      <c r="H568" s="1852"/>
      <c r="I568" s="1853"/>
    </row>
    <row r="569" spans="1:9">
      <c r="A569" s="828"/>
      <c r="B569" s="828"/>
      <c r="C569" s="828"/>
      <c r="E569" s="799"/>
      <c r="F569" s="799"/>
      <c r="G569" s="818"/>
    </row>
    <row r="570" spans="1:9" ht="12.75" customHeight="1">
      <c r="C570" s="792"/>
      <c r="D570" s="1990" t="s">
        <v>216</v>
      </c>
      <c r="E570" s="1990"/>
      <c r="F570" s="1990"/>
      <c r="G570" s="818"/>
    </row>
    <row r="571" spans="1:9">
      <c r="A571" s="794"/>
      <c r="B571" s="794"/>
      <c r="C571" s="794"/>
      <c r="D571" s="1924" t="s">
        <v>1188</v>
      </c>
      <c r="E571" s="1924"/>
      <c r="F571" s="1924"/>
      <c r="G571" s="818"/>
    </row>
    <row r="572" spans="1:9">
      <c r="A572" s="789"/>
      <c r="B572" s="789"/>
      <c r="C572" s="794"/>
      <c r="D572" s="836"/>
      <c r="G572" s="818"/>
      <c r="I572" s="1773" t="s">
        <v>2448</v>
      </c>
    </row>
    <row r="573" spans="1:9">
      <c r="A573" s="794"/>
      <c r="B573" s="797" t="s">
        <v>2679</v>
      </c>
      <c r="D573" s="1924" t="s">
        <v>955</v>
      </c>
      <c r="E573" s="1924"/>
      <c r="F573" s="1924"/>
      <c r="G573" s="818"/>
    </row>
    <row r="574" spans="1:9">
      <c r="A574" s="815"/>
      <c r="B574" s="815"/>
      <c r="D574" s="813"/>
    </row>
    <row r="575" spans="1:9">
      <c r="A575" s="815"/>
      <c r="B575" s="797" t="s">
        <v>2679</v>
      </c>
      <c r="D575" s="1900" t="s">
        <v>1189</v>
      </c>
      <c r="E575" s="1900"/>
      <c r="F575" s="1900"/>
      <c r="I575" s="1773" t="s">
        <v>2450</v>
      </c>
    </row>
    <row r="576" spans="1:9">
      <c r="A576" s="815"/>
      <c r="B576" s="815"/>
      <c r="D576" s="1900"/>
      <c r="E576" s="1900"/>
      <c r="F576" s="1900"/>
      <c r="G576" s="789"/>
      <c r="I576" s="1773" t="s">
        <v>2449</v>
      </c>
    </row>
    <row r="577" spans="1:9">
      <c r="A577" s="815"/>
      <c r="B577" s="815"/>
      <c r="D577" s="1900"/>
      <c r="E577" s="1900"/>
      <c r="F577" s="1900"/>
      <c r="G577" s="789"/>
    </row>
    <row r="578" spans="1:9">
      <c r="A578" s="815"/>
      <c r="B578" s="815"/>
      <c r="D578" s="1900"/>
      <c r="E578" s="1900"/>
      <c r="F578" s="1900"/>
      <c r="G578" s="789"/>
    </row>
    <row r="579" spans="1:9">
      <c r="A579" s="815"/>
      <c r="B579" s="797" t="s">
        <v>2678</v>
      </c>
      <c r="D579" s="1900" t="s">
        <v>1190</v>
      </c>
      <c r="E579" s="1900"/>
      <c r="F579" s="1900"/>
      <c r="G579" s="789"/>
    </row>
    <row r="580" spans="1:9">
      <c r="A580" s="815"/>
      <c r="B580" s="815"/>
      <c r="D580" s="1900"/>
      <c r="E580" s="1900"/>
      <c r="F580" s="1900"/>
      <c r="G580" s="789"/>
    </row>
    <row r="581" spans="1:9">
      <c r="A581" s="815"/>
      <c r="B581" s="815"/>
      <c r="D581" s="1900"/>
      <c r="E581" s="1900"/>
      <c r="F581" s="1900"/>
      <c r="G581" s="789"/>
    </row>
    <row r="582" spans="1:9">
      <c r="A582" s="815"/>
      <c r="B582" s="815"/>
      <c r="D582" s="1900"/>
      <c r="E582" s="1900"/>
      <c r="F582" s="1900"/>
      <c r="G582" s="789"/>
    </row>
    <row r="583" spans="1:9">
      <c r="A583" s="815"/>
      <c r="B583" s="815"/>
      <c r="D583" s="782"/>
      <c r="E583" s="782"/>
      <c r="F583" s="782"/>
      <c r="G583" s="789"/>
    </row>
    <row r="584" spans="1:9">
      <c r="A584" s="815"/>
      <c r="B584" s="797" t="s">
        <v>2679</v>
      </c>
      <c r="D584" s="1900" t="s">
        <v>1191</v>
      </c>
      <c r="E584" s="1900"/>
      <c r="F584" s="1900"/>
      <c r="G584" s="789"/>
    </row>
    <row r="585" spans="1:9">
      <c r="A585" s="815"/>
      <c r="B585" s="815"/>
      <c r="D585" s="1900"/>
      <c r="E585" s="1900"/>
      <c r="F585" s="1900"/>
      <c r="G585" s="789"/>
    </row>
    <row r="586" spans="1:9">
      <c r="A586" s="815"/>
      <c r="B586" s="815"/>
      <c r="D586" s="836"/>
      <c r="G586" s="789"/>
    </row>
    <row r="587" spans="1:9">
      <c r="A587" s="815"/>
      <c r="B587" s="797" t="s">
        <v>2678</v>
      </c>
      <c r="D587" s="1924" t="s">
        <v>1192</v>
      </c>
      <c r="E587" s="1924"/>
      <c r="F587" s="1924"/>
      <c r="G587" s="789"/>
      <c r="I587" s="1773" t="s">
        <v>2499</v>
      </c>
    </row>
    <row r="588" spans="1:9">
      <c r="A588" s="815"/>
      <c r="B588" s="815"/>
      <c r="D588" s="1924"/>
      <c r="E588" s="1924"/>
      <c r="F588" s="1924"/>
      <c r="G588" s="789"/>
    </row>
    <row r="589" spans="1:9" ht="14.25">
      <c r="A589" s="796"/>
      <c r="B589" s="796"/>
      <c r="D589" s="836"/>
      <c r="G589" s="789"/>
    </row>
    <row r="590" spans="1:9">
      <c r="A590" s="1901" t="s">
        <v>1173</v>
      </c>
      <c r="B590" s="1901"/>
      <c r="C590" s="1901"/>
      <c r="D590" s="1901"/>
      <c r="E590" s="1901"/>
      <c r="F590" s="1901"/>
      <c r="G590" s="1901"/>
      <c r="H590" s="1852"/>
      <c r="I590" s="1853"/>
    </row>
    <row r="591" spans="1:9"/>
    <row r="592" spans="1:9">
      <c r="D592" s="1918" t="s">
        <v>1273</v>
      </c>
      <c r="E592" s="1918"/>
      <c r="F592" s="1918"/>
    </row>
    <row r="593" spans="1:9">
      <c r="D593" s="1957" t="s">
        <v>1274</v>
      </c>
      <c r="E593" s="1957"/>
      <c r="F593" s="1957"/>
    </row>
    <row r="594" spans="1:9">
      <c r="D594" s="779"/>
      <c r="E594" s="721"/>
      <c r="F594" s="721"/>
    </row>
    <row r="595" spans="1:9" s="790" customFormat="1" ht="14.25">
      <c r="A595" s="804"/>
      <c r="B595" s="797" t="s">
        <v>2679</v>
      </c>
      <c r="C595" s="800"/>
      <c r="D595" s="1920" t="s">
        <v>1275</v>
      </c>
      <c r="E595" s="1920"/>
      <c r="F595" s="1920"/>
      <c r="G595" s="801"/>
      <c r="I595" s="1836" t="s">
        <v>2478</v>
      </c>
    </row>
    <row r="596" spans="1:9">
      <c r="D596" s="1920"/>
      <c r="E596" s="1920"/>
      <c r="F596" s="1920"/>
    </row>
    <row r="597" spans="1:9">
      <c r="D597" s="1920"/>
      <c r="E597" s="1920"/>
      <c r="F597" s="1920"/>
    </row>
    <row r="598" spans="1:9"/>
    <row r="599" spans="1:9">
      <c r="A599" s="1901" t="s">
        <v>1174</v>
      </c>
      <c r="B599" s="1901"/>
      <c r="C599" s="1901"/>
      <c r="D599" s="1901"/>
      <c r="E599" s="1901"/>
      <c r="F599" s="1901"/>
      <c r="G599" s="1901"/>
      <c r="H599" s="1852"/>
      <c r="I599" s="1853"/>
    </row>
    <row r="600" spans="1:9">
      <c r="A600" s="799"/>
      <c r="B600" s="799"/>
      <c r="G600" s="818"/>
    </row>
    <row r="601" spans="1:9">
      <c r="A601" s="837"/>
      <c r="B601" s="837"/>
      <c r="C601" s="792"/>
      <c r="D601" s="1958" t="s">
        <v>1276</v>
      </c>
      <c r="E601" s="1958"/>
      <c r="F601" s="1958"/>
      <c r="G601" s="818"/>
    </row>
    <row r="602" spans="1:9">
      <c r="A602" s="837"/>
      <c r="B602" s="837"/>
      <c r="C602" s="792"/>
      <c r="D602" s="1958"/>
      <c r="E602" s="1958"/>
      <c r="F602" s="1958"/>
      <c r="G602" s="818"/>
    </row>
    <row r="603" spans="1:9">
      <c r="C603" s="794"/>
      <c r="D603" s="1957" t="s">
        <v>1277</v>
      </c>
      <c r="E603" s="1957"/>
      <c r="F603" s="1957"/>
      <c r="G603" s="818"/>
    </row>
    <row r="604" spans="1:9">
      <c r="C604" s="794"/>
      <c r="D604" s="779"/>
      <c r="E604" s="779"/>
      <c r="F604" s="779"/>
      <c r="G604" s="818"/>
    </row>
    <row r="605" spans="1:9" ht="12.75" customHeight="1">
      <c r="A605" s="815"/>
      <c r="B605" s="797" t="s">
        <v>2679</v>
      </c>
      <c r="D605" s="1917" t="s">
        <v>1278</v>
      </c>
      <c r="E605" s="1917"/>
      <c r="F605" s="1917"/>
      <c r="G605" s="818"/>
      <c r="I605" s="1773" t="s">
        <v>2500</v>
      </c>
    </row>
    <row r="606" spans="1:9">
      <c r="D606" s="1917"/>
      <c r="E606" s="1917"/>
      <c r="F606" s="1917"/>
      <c r="G606" s="818"/>
    </row>
    <row r="607" spans="1:9">
      <c r="D607" s="789"/>
      <c r="G607" s="818"/>
    </row>
    <row r="608" spans="1:9">
      <c r="B608" s="797" t="s">
        <v>2679</v>
      </c>
      <c r="D608" s="1917" t="s">
        <v>1279</v>
      </c>
      <c r="E608" s="1917"/>
      <c r="F608" s="1917"/>
      <c r="G608" s="818"/>
      <c r="I608" s="1773" t="s">
        <v>2451</v>
      </c>
    </row>
    <row r="609" spans="1:9">
      <c r="C609" s="838"/>
      <c r="D609" s="1917"/>
      <c r="E609" s="1917"/>
      <c r="F609" s="1917"/>
      <c r="G609" s="818"/>
    </row>
    <row r="610" spans="1:9">
      <c r="C610" s="838"/>
      <c r="G610" s="818"/>
    </row>
    <row r="611" spans="1:9">
      <c r="B611" s="797" t="s">
        <v>2678</v>
      </c>
      <c r="C611" s="838"/>
      <c r="D611" s="1917" t="s">
        <v>1280</v>
      </c>
      <c r="E611" s="1917"/>
      <c r="F611" s="1917"/>
      <c r="G611" s="818"/>
      <c r="I611" s="1773" t="s">
        <v>2501</v>
      </c>
    </row>
    <row r="612" spans="1:9">
      <c r="C612" s="838"/>
      <c r="D612" s="1917"/>
      <c r="E612" s="1917"/>
      <c r="F612" s="1917"/>
      <c r="G612" s="818"/>
      <c r="I612" s="1849" t="s">
        <v>2502</v>
      </c>
    </row>
    <row r="613" spans="1:9">
      <c r="C613" s="838"/>
      <c r="G613" s="818"/>
    </row>
    <row r="614" spans="1:9">
      <c r="A614" s="1901" t="s">
        <v>1175</v>
      </c>
      <c r="B614" s="1901"/>
      <c r="C614" s="1901"/>
      <c r="D614" s="1901"/>
      <c r="E614" s="1901"/>
      <c r="F614" s="1901"/>
      <c r="G614" s="1901"/>
      <c r="H614" s="1852"/>
      <c r="I614" s="1853"/>
    </row>
    <row r="615" spans="1:9">
      <c r="A615" s="839"/>
      <c r="B615" s="839"/>
      <c r="C615" s="839"/>
      <c r="G615" s="818"/>
    </row>
    <row r="616" spans="1:9">
      <c r="C616" s="815"/>
      <c r="D616" s="1918" t="s">
        <v>1281</v>
      </c>
      <c r="E616" s="1918"/>
      <c r="F616" s="1918"/>
      <c r="G616" s="818"/>
    </row>
    <row r="617" spans="1:9">
      <c r="A617" s="815"/>
      <c r="B617" s="815"/>
      <c r="C617" s="817"/>
      <c r="D617" s="793"/>
      <c r="G617" s="818"/>
    </row>
    <row r="618" spans="1:9" ht="14.25">
      <c r="A618" s="796"/>
      <c r="B618" s="797" t="s">
        <v>2679</v>
      </c>
      <c r="C618" s="817"/>
      <c r="D618" s="1919" t="s">
        <v>1503</v>
      </c>
      <c r="E618" s="1919"/>
      <c r="F618" s="1919"/>
      <c r="G618" s="818"/>
      <c r="I618" s="1773" t="s">
        <v>2479</v>
      </c>
    </row>
    <row r="619" spans="1:9">
      <c r="C619" s="817"/>
      <c r="D619" s="1919"/>
      <c r="E619" s="1919"/>
      <c r="F619" s="1919"/>
      <c r="G619" s="818"/>
    </row>
    <row r="620" spans="1:9">
      <c r="C620" s="817"/>
      <c r="D620" s="1919"/>
      <c r="E620" s="1919"/>
      <c r="F620" s="1919"/>
      <c r="G620" s="818"/>
    </row>
    <row r="621" spans="1:9">
      <c r="C621" s="817"/>
      <c r="D621" s="1919"/>
      <c r="E621" s="1919"/>
      <c r="F621" s="1919"/>
      <c r="G621" s="818"/>
    </row>
    <row r="622" spans="1:9">
      <c r="C622" s="817"/>
      <c r="D622" s="1919"/>
      <c r="E622" s="1919"/>
      <c r="F622" s="1919"/>
      <c r="G622" s="818"/>
    </row>
    <row r="623" spans="1:9">
      <c r="C623" s="817"/>
      <c r="D623" s="1919"/>
      <c r="E623" s="1919"/>
      <c r="F623" s="1919"/>
      <c r="G623" s="818"/>
    </row>
    <row r="624" spans="1:9">
      <c r="C624" s="817"/>
      <c r="D624" s="783"/>
      <c r="E624" s="783"/>
      <c r="F624" s="783"/>
      <c r="G624" s="818"/>
    </row>
    <row r="625" spans="1:9" ht="14.25">
      <c r="A625" s="796"/>
      <c r="B625" s="797" t="s">
        <v>2678</v>
      </c>
      <c r="C625" s="817"/>
      <c r="D625" s="1919" t="s">
        <v>1283</v>
      </c>
      <c r="E625" s="1919"/>
      <c r="F625" s="1919"/>
      <c r="G625" s="818"/>
      <c r="I625" s="1773" t="s">
        <v>2503</v>
      </c>
    </row>
    <row r="626" spans="1:9">
      <c r="A626" s="828"/>
      <c r="B626" s="828"/>
      <c r="C626" s="828"/>
      <c r="D626" s="1919"/>
      <c r="E626" s="1919"/>
      <c r="F626" s="1919"/>
      <c r="G626" s="818"/>
    </row>
    <row r="627" spans="1:9">
      <c r="A627" s="828"/>
      <c r="B627" s="828"/>
      <c r="C627" s="828"/>
      <c r="D627" s="784"/>
      <c r="E627" s="840"/>
      <c r="F627" s="840"/>
      <c r="G627" s="818"/>
    </row>
    <row r="628" spans="1:9" ht="14.25">
      <c r="A628" s="796"/>
      <c r="B628" s="797" t="s">
        <v>2678</v>
      </c>
      <c r="C628" s="828"/>
      <c r="D628" s="1920" t="s">
        <v>1440</v>
      </c>
      <c r="E628" s="1920"/>
      <c r="F628" s="1920"/>
      <c r="G628" s="818"/>
      <c r="I628" s="1773" t="s">
        <v>2452</v>
      </c>
    </row>
    <row r="629" spans="1:9" ht="14.25">
      <c r="A629" s="796"/>
      <c r="B629" s="796"/>
      <c r="C629" s="828"/>
      <c r="D629" s="1920"/>
      <c r="E629" s="1920"/>
      <c r="F629" s="1920"/>
      <c r="G629" s="818"/>
    </row>
    <row r="630" spans="1:9" ht="14.25">
      <c r="A630" s="796"/>
      <c r="B630" s="796"/>
      <c r="C630" s="828"/>
      <c r="D630" s="1920"/>
      <c r="E630" s="1920"/>
      <c r="F630" s="1920"/>
      <c r="G630" s="818"/>
    </row>
    <row r="631" spans="1:9">
      <c r="A631" s="828"/>
      <c r="B631" s="797" t="s">
        <v>2678</v>
      </c>
      <c r="C631" s="828"/>
      <c r="D631" s="1921" t="s">
        <v>1285</v>
      </c>
      <c r="E631" s="1921"/>
      <c r="F631" s="1921"/>
      <c r="G631" s="818"/>
      <c r="I631" s="1773" t="s">
        <v>2452</v>
      </c>
    </row>
    <row r="632" spans="1:9">
      <c r="A632" s="828"/>
      <c r="B632" s="828"/>
      <c r="C632" s="828"/>
      <c r="D632" s="726"/>
      <c r="E632" s="726"/>
      <c r="F632" s="726"/>
      <c r="G632" s="818"/>
    </row>
    <row r="633" spans="1:9">
      <c r="A633" s="1901" t="s">
        <v>1176</v>
      </c>
      <c r="B633" s="1901"/>
      <c r="C633" s="1901"/>
      <c r="D633" s="1901"/>
      <c r="E633" s="1901"/>
      <c r="F633" s="1901"/>
      <c r="G633" s="1901"/>
      <c r="H633" s="1852"/>
      <c r="I633" s="1853"/>
    </row>
    <row r="634" spans="1:9">
      <c r="A634" s="799"/>
      <c r="B634" s="799"/>
      <c r="C634" s="828"/>
      <c r="D634" s="840"/>
      <c r="E634" s="840"/>
      <c r="F634" s="840"/>
      <c r="G634" s="818"/>
    </row>
    <row r="635" spans="1:9">
      <c r="C635" s="839"/>
      <c r="D635" s="1995" t="s">
        <v>1335</v>
      </c>
      <c r="E635" s="1995"/>
      <c r="F635" s="1995"/>
      <c r="G635" s="818"/>
    </row>
    <row r="636" spans="1:9">
      <c r="A636" s="794"/>
      <c r="B636" s="794"/>
      <c r="C636" s="794"/>
      <c r="D636" s="1996" t="s">
        <v>1336</v>
      </c>
      <c r="E636" s="1996"/>
      <c r="F636" s="1996"/>
      <c r="G636" s="818"/>
    </row>
    <row r="637" spans="1:9">
      <c r="A637" s="794"/>
      <c r="B637" s="794"/>
      <c r="C637" s="794"/>
      <c r="D637" s="726"/>
      <c r="E637" s="726"/>
      <c r="F637" s="726"/>
      <c r="G637" s="818"/>
    </row>
    <row r="638" spans="1:9" ht="12.75" customHeight="1">
      <c r="B638" s="797" t="s">
        <v>2679</v>
      </c>
      <c r="C638" s="828"/>
      <c r="D638" s="2003" t="s">
        <v>1524</v>
      </c>
      <c r="E638" s="2003"/>
      <c r="F638" s="2003"/>
      <c r="I638" s="1773" t="s">
        <v>2506</v>
      </c>
    </row>
    <row r="639" spans="1:9">
      <c r="D639" s="2003"/>
      <c r="E639" s="2003"/>
      <c r="F639" s="2003"/>
    </row>
    <row r="640" spans="1:9">
      <c r="D640" s="2003"/>
      <c r="E640" s="2003"/>
      <c r="F640" s="2003"/>
    </row>
    <row r="641" spans="1:9">
      <c r="D641" s="2003"/>
      <c r="E641" s="2003"/>
      <c r="F641" s="2003"/>
    </row>
    <row r="642" spans="1:9" ht="14.45" customHeight="1">
      <c r="A642" s="796"/>
      <c r="B642" s="796"/>
      <c r="C642" s="828"/>
      <c r="D642" s="899"/>
      <c r="E642" s="899"/>
      <c r="F642" s="899"/>
      <c r="G642" s="818"/>
    </row>
    <row r="643" spans="1:9" ht="12.75" customHeight="1">
      <c r="A643" s="794"/>
      <c r="B643" s="797" t="s">
        <v>2679</v>
      </c>
      <c r="C643" s="828"/>
      <c r="D643" s="2003" t="s">
        <v>1527</v>
      </c>
      <c r="E643" s="2003"/>
      <c r="F643" s="2003"/>
      <c r="G643" s="818"/>
      <c r="I643" s="1773" t="s">
        <v>2506</v>
      </c>
    </row>
    <row r="644" spans="1:9" ht="14.25">
      <c r="A644" s="794"/>
      <c r="B644" s="796"/>
      <c r="C644" s="828"/>
      <c r="D644" s="2003"/>
      <c r="E644" s="2003"/>
      <c r="F644" s="2003"/>
      <c r="G644" s="818"/>
    </row>
    <row r="645" spans="1:9" ht="14.25">
      <c r="A645" s="794"/>
      <c r="B645" s="796"/>
      <c r="C645" s="828"/>
      <c r="D645" s="2003"/>
      <c r="E645" s="2003"/>
      <c r="F645" s="2003"/>
      <c r="G645" s="818"/>
    </row>
    <row r="646" spans="1:9" ht="14.25">
      <c r="A646" s="794"/>
      <c r="B646" s="796"/>
      <c r="C646" s="828"/>
      <c r="D646" s="2003"/>
      <c r="E646" s="2003"/>
      <c r="F646" s="2003"/>
      <c r="G646" s="818"/>
    </row>
    <row r="647" spans="1:9" ht="14.25">
      <c r="A647" s="794"/>
      <c r="B647" s="796"/>
      <c r="C647" s="828"/>
      <c r="D647" s="2003"/>
      <c r="E647" s="2003"/>
      <c r="F647" s="2003"/>
      <c r="G647" s="818"/>
    </row>
    <row r="648" spans="1:9" ht="14.25" customHeight="1">
      <c r="A648" s="794"/>
      <c r="B648" s="796"/>
      <c r="C648" s="828"/>
      <c r="F648" s="900"/>
      <c r="G648" s="818"/>
    </row>
    <row r="649" spans="1:9" ht="12.75" customHeight="1">
      <c r="A649" s="794"/>
      <c r="B649" s="797" t="s">
        <v>2679</v>
      </c>
      <c r="C649" s="828"/>
      <c r="D649" s="2003" t="s">
        <v>1525</v>
      </c>
      <c r="E649" s="2003"/>
      <c r="F649" s="2003"/>
      <c r="G649" s="818"/>
      <c r="I649" s="1773" t="s">
        <v>2506</v>
      </c>
    </row>
    <row r="650" spans="1:9" ht="14.25">
      <c r="A650" s="794"/>
      <c r="B650" s="796"/>
      <c r="C650" s="828"/>
      <c r="D650" s="2003"/>
      <c r="E650" s="2003"/>
      <c r="F650" s="2003"/>
      <c r="G650" s="818"/>
    </row>
    <row r="651" spans="1:9" ht="14.25">
      <c r="A651" s="796"/>
      <c r="B651" s="796"/>
      <c r="C651" s="828"/>
      <c r="D651" s="2003"/>
      <c r="E651" s="2003"/>
      <c r="F651" s="2003"/>
      <c r="G651" s="818"/>
    </row>
    <row r="652" spans="1:9" ht="14.25">
      <c r="A652" s="796"/>
      <c r="B652" s="796"/>
      <c r="C652" s="828"/>
      <c r="D652" s="2003"/>
      <c r="E652" s="2003"/>
      <c r="F652" s="2003"/>
      <c r="G652" s="818"/>
    </row>
    <row r="653" spans="1:9" ht="14.25">
      <c r="A653" s="796"/>
      <c r="B653" s="796"/>
      <c r="C653" s="828"/>
      <c r="D653" s="891"/>
      <c r="E653" s="891"/>
      <c r="F653" s="891"/>
      <c r="G653" s="818"/>
    </row>
    <row r="654" spans="1:9" ht="12.75" customHeight="1">
      <c r="A654" s="794"/>
      <c r="B654" s="797" t="s">
        <v>2678</v>
      </c>
      <c r="C654" s="828"/>
      <c r="D654" s="2003" t="s">
        <v>1526</v>
      </c>
      <c r="E654" s="2003"/>
      <c r="F654" s="2003"/>
      <c r="G654" s="818"/>
      <c r="I654" s="1773" t="s">
        <v>2506</v>
      </c>
    </row>
    <row r="655" spans="1:9" ht="12.75" customHeight="1">
      <c r="A655" s="794"/>
      <c r="B655" s="796"/>
      <c r="C655" s="828"/>
      <c r="D655" s="2003"/>
      <c r="E655" s="2003"/>
      <c r="F655" s="2003"/>
      <c r="G655" s="818"/>
    </row>
    <row r="656" spans="1:9" ht="12.75" customHeight="1">
      <c r="A656" s="794"/>
      <c r="B656" s="796"/>
      <c r="C656" s="828"/>
      <c r="D656" s="2003"/>
      <c r="E656" s="2003"/>
      <c r="F656" s="2003"/>
      <c r="G656" s="818"/>
    </row>
    <row r="657" spans="1:11" ht="12.75" customHeight="1">
      <c r="A657" s="794"/>
      <c r="B657" s="796"/>
      <c r="C657" s="828"/>
      <c r="D657" s="2003"/>
      <c r="E657" s="2003"/>
      <c r="F657" s="2003"/>
      <c r="G657" s="818"/>
    </row>
    <row r="658" spans="1:11" ht="12.75" customHeight="1">
      <c r="A658" s="794"/>
      <c r="B658" s="796"/>
      <c r="C658" s="828"/>
      <c r="D658" s="2003"/>
      <c r="E658" s="2003"/>
      <c r="F658" s="2003"/>
      <c r="G658" s="818"/>
    </row>
    <row r="659" spans="1:11" ht="12.75" customHeight="1">
      <c r="A659" s="794"/>
      <c r="B659" s="796"/>
      <c r="C659" s="828"/>
      <c r="D659" s="2003"/>
      <c r="E659" s="2003"/>
      <c r="F659" s="2003"/>
      <c r="G659" s="818"/>
    </row>
    <row r="660" spans="1:11" ht="12.75" customHeight="1">
      <c r="A660" s="794"/>
      <c r="B660" s="796"/>
      <c r="C660" s="828"/>
      <c r="D660" s="2003"/>
      <c r="E660" s="2003"/>
      <c r="F660" s="2003"/>
      <c r="G660" s="818"/>
    </row>
    <row r="661" spans="1:11" ht="12.75" customHeight="1">
      <c r="A661" s="794"/>
      <c r="B661" s="796"/>
      <c r="C661" s="828"/>
      <c r="D661" s="2003"/>
      <c r="E661" s="2003"/>
      <c r="F661" s="2003"/>
      <c r="G661" s="818"/>
    </row>
    <row r="662" spans="1:11" ht="12.75" customHeight="1">
      <c r="A662" s="794"/>
      <c r="B662" s="796"/>
      <c r="C662" s="828"/>
      <c r="D662" s="2003"/>
      <c r="E662" s="2003"/>
      <c r="F662" s="2003"/>
      <c r="G662" s="818"/>
    </row>
    <row r="663" spans="1:11">
      <c r="A663" s="828"/>
      <c r="B663" s="828"/>
      <c r="C663" s="828"/>
      <c r="D663" s="840"/>
      <c r="E663" s="840"/>
      <c r="F663" s="840"/>
      <c r="G663" s="818"/>
    </row>
    <row r="664" spans="1:11">
      <c r="A664" s="1901" t="s">
        <v>1177</v>
      </c>
      <c r="B664" s="1901"/>
      <c r="C664" s="1901"/>
      <c r="D664" s="1901"/>
      <c r="E664" s="1901"/>
      <c r="F664" s="1901"/>
      <c r="G664" s="1901"/>
      <c r="H664" s="1854"/>
      <c r="I664" s="1855"/>
      <c r="J664" s="841"/>
      <c r="K664" s="841"/>
    </row>
    <row r="665" spans="1:11">
      <c r="A665" s="734"/>
      <c r="B665" s="734"/>
      <c r="C665" s="734"/>
      <c r="D665" s="734"/>
      <c r="E665" s="734"/>
      <c r="F665" s="734"/>
      <c r="G665" s="734"/>
      <c r="H665" s="841"/>
      <c r="I665" s="1840"/>
      <c r="J665" s="841"/>
      <c r="K665" s="841"/>
    </row>
    <row r="666" spans="1:11">
      <c r="C666" s="839"/>
      <c r="D666" s="1918" t="s">
        <v>104</v>
      </c>
      <c r="E666" s="1918"/>
      <c r="F666" s="1918"/>
      <c r="G666" s="818"/>
      <c r="H666" s="841"/>
      <c r="I666" s="1840"/>
      <c r="J666" s="841"/>
      <c r="K666" s="841"/>
    </row>
    <row r="667" spans="1:11">
      <c r="A667" s="839"/>
      <c r="B667" s="839"/>
      <c r="C667" s="839"/>
      <c r="D667" s="1918" t="s">
        <v>128</v>
      </c>
      <c r="E667" s="1918"/>
      <c r="F667" s="1918"/>
      <c r="G667" s="818"/>
      <c r="H667" s="841"/>
      <c r="I667" s="1840"/>
      <c r="J667" s="841"/>
      <c r="K667" s="841"/>
    </row>
    <row r="668" spans="1:11">
      <c r="A668" s="794"/>
      <c r="B668" s="794"/>
      <c r="C668" s="794"/>
      <c r="D668" s="1921" t="s">
        <v>1213</v>
      </c>
      <c r="E668" s="1921"/>
      <c r="F668" s="1921"/>
      <c r="G668" s="818"/>
      <c r="H668" s="841"/>
      <c r="I668" s="1840"/>
      <c r="J668" s="841"/>
      <c r="K668" s="841"/>
    </row>
    <row r="669" spans="1:11">
      <c r="A669" s="794"/>
      <c r="B669" s="794"/>
      <c r="C669" s="794"/>
      <c r="G669" s="818"/>
      <c r="H669" s="841"/>
      <c r="I669" s="1840"/>
      <c r="J669" s="841"/>
      <c r="K669" s="841"/>
    </row>
    <row r="670" spans="1:11" ht="14.25">
      <c r="A670" s="796"/>
      <c r="B670" s="797" t="s">
        <v>2679</v>
      </c>
      <c r="C670" s="794"/>
      <c r="D670" s="1921" t="s">
        <v>951</v>
      </c>
      <c r="E670" s="1921"/>
      <c r="F670" s="1921"/>
      <c r="G670" s="818"/>
      <c r="H670" s="841"/>
      <c r="I670" s="1840" t="s">
        <v>2480</v>
      </c>
      <c r="J670" s="841"/>
      <c r="K670" s="841"/>
    </row>
    <row r="671" spans="1:11">
      <c r="A671" s="794"/>
      <c r="B671" s="794"/>
      <c r="C671" s="794"/>
      <c r="D671" s="1921" t="s">
        <v>962</v>
      </c>
      <c r="E671" s="1921"/>
      <c r="F671" s="1921"/>
      <c r="G671" s="818"/>
      <c r="H671" s="841"/>
      <c r="I671" s="1840"/>
      <c r="J671" s="841"/>
      <c r="K671" s="841"/>
    </row>
    <row r="672" spans="1:11">
      <c r="A672" s="794"/>
      <c r="B672" s="794"/>
      <c r="C672" s="794"/>
      <c r="D672" s="671"/>
      <c r="E672" s="2013" t="s">
        <v>1214</v>
      </c>
      <c r="F672" s="2013"/>
      <c r="G672" s="818"/>
      <c r="H672" s="841"/>
      <c r="I672" s="1840"/>
      <c r="J672" s="841"/>
      <c r="K672" s="841"/>
    </row>
    <row r="673" spans="1:11">
      <c r="A673" s="794"/>
      <c r="B673" s="794"/>
      <c r="C673" s="794"/>
      <c r="D673" s="671"/>
      <c r="E673" s="2013"/>
      <c r="F673" s="2013"/>
      <c r="G673" s="818"/>
      <c r="H673" s="841"/>
      <c r="I673" s="1840"/>
      <c r="J673" s="841"/>
      <c r="K673" s="841"/>
    </row>
    <row r="674" spans="1:11">
      <c r="A674" s="794"/>
      <c r="B674" s="794"/>
      <c r="C674" s="794"/>
      <c r="D674" s="842"/>
      <c r="E674" s="799"/>
      <c r="G674" s="818"/>
      <c r="H674" s="841"/>
      <c r="I674" s="1840"/>
      <c r="J674" s="841"/>
      <c r="K674" s="841"/>
    </row>
    <row r="675" spans="1:11" ht="14.25">
      <c r="A675" s="796"/>
      <c r="B675" s="797" t="s">
        <v>2678</v>
      </c>
      <c r="C675" s="794"/>
      <c r="D675" s="1919" t="s">
        <v>1406</v>
      </c>
      <c r="E675" s="1919"/>
      <c r="F675" s="1919"/>
      <c r="G675" s="818"/>
      <c r="H675" s="841"/>
      <c r="I675" s="1840" t="s">
        <v>2504</v>
      </c>
      <c r="J675" s="841"/>
      <c r="K675" s="841"/>
    </row>
    <row r="676" spans="1:11">
      <c r="A676" s="815"/>
      <c r="B676" s="815"/>
      <c r="C676" s="794"/>
      <c r="D676" s="1919"/>
      <c r="E676" s="1919"/>
      <c r="F676" s="1919"/>
      <c r="G676" s="818"/>
      <c r="H676" s="841"/>
      <c r="I676" s="1840"/>
      <c r="J676" s="841"/>
      <c r="K676" s="841"/>
    </row>
    <row r="677" spans="1:11">
      <c r="A677" s="794"/>
      <c r="B677" s="794"/>
      <c r="C677" s="794"/>
      <c r="D677" s="1919"/>
      <c r="E677" s="1919"/>
      <c r="F677" s="1919"/>
      <c r="G677" s="818"/>
      <c r="H677" s="841"/>
      <c r="I677" s="1840"/>
      <c r="J677" s="841"/>
      <c r="K677" s="841"/>
    </row>
    <row r="678" spans="1:11">
      <c r="A678" s="794"/>
      <c r="B678" s="794"/>
      <c r="C678" s="794"/>
      <c r="G678" s="818"/>
      <c r="H678" s="841"/>
      <c r="I678" s="1840" t="s">
        <v>2481</v>
      </c>
      <c r="J678" s="841"/>
      <c r="K678" s="841"/>
    </row>
    <row r="679" spans="1:11" ht="14.25">
      <c r="A679" s="796"/>
      <c r="B679" s="797" t="s">
        <v>2679</v>
      </c>
      <c r="C679" s="794"/>
      <c r="D679" s="1921" t="s">
        <v>991</v>
      </c>
      <c r="E679" s="1921"/>
      <c r="F679" s="1921"/>
      <c r="G679" s="818"/>
      <c r="H679" s="841"/>
      <c r="I679" s="1840"/>
      <c r="J679" s="841"/>
      <c r="K679" s="841"/>
    </row>
    <row r="680" spans="1:11" ht="14.25">
      <c r="A680" s="796"/>
      <c r="B680" s="796"/>
      <c r="C680" s="794"/>
      <c r="D680" s="1921" t="s">
        <v>962</v>
      </c>
      <c r="E680" s="1921"/>
      <c r="F680" s="1921"/>
      <c r="G680" s="818"/>
      <c r="H680" s="841"/>
      <c r="I680" s="1840"/>
      <c r="J680" s="841"/>
      <c r="K680" s="841"/>
    </row>
    <row r="681" spans="1:11">
      <c r="A681" s="794"/>
      <c r="B681" s="794"/>
      <c r="C681" s="794"/>
      <c r="D681" s="671"/>
      <c r="E681" s="1992" t="s">
        <v>1216</v>
      </c>
      <c r="F681" s="1992"/>
      <c r="G681" s="818"/>
      <c r="H681" s="841"/>
      <c r="I681" s="1840"/>
      <c r="J681" s="841"/>
      <c r="K681" s="841"/>
    </row>
    <row r="682" spans="1:11">
      <c r="A682" s="794"/>
      <c r="B682" s="794"/>
      <c r="C682" s="794"/>
      <c r="D682" s="793"/>
      <c r="G682" s="818"/>
      <c r="H682" s="841"/>
      <c r="I682" s="1840"/>
      <c r="J682" s="841"/>
      <c r="K682" s="841"/>
    </row>
    <row r="683" spans="1:11" ht="14.25">
      <c r="A683" s="796"/>
      <c r="B683" s="797" t="s">
        <v>2679</v>
      </c>
      <c r="C683" s="794"/>
      <c r="D683" s="2005" t="s">
        <v>1226</v>
      </c>
      <c r="E683" s="2005"/>
      <c r="F683" s="2005"/>
      <c r="G683" s="818"/>
      <c r="H683" s="841"/>
      <c r="I683" s="1840" t="s">
        <v>2453</v>
      </c>
      <c r="J683" s="841"/>
      <c r="K683" s="841"/>
    </row>
    <row r="684" spans="1:11">
      <c r="A684" s="794"/>
      <c r="B684" s="794"/>
      <c r="C684" s="794"/>
      <c r="D684" s="2005"/>
      <c r="E684" s="2005"/>
      <c r="F684" s="2005"/>
      <c r="G684" s="818"/>
      <c r="H684" s="841"/>
      <c r="I684" s="1840"/>
      <c r="J684" s="841"/>
      <c r="K684" s="841"/>
    </row>
    <row r="685" spans="1:11">
      <c r="A685" s="794"/>
      <c r="B685" s="794"/>
      <c r="C685" s="794"/>
      <c r="D685" s="2005"/>
      <c r="E685" s="2005"/>
      <c r="F685" s="2005"/>
      <c r="G685" s="818"/>
      <c r="H685" s="841"/>
      <c r="I685" s="1840"/>
      <c r="J685" s="841"/>
      <c r="K685" s="841"/>
    </row>
    <row r="686" spans="1:11">
      <c r="A686" s="794"/>
      <c r="B686" s="794"/>
      <c r="C686" s="794"/>
      <c r="D686" s="2005"/>
      <c r="E686" s="2005"/>
      <c r="F686" s="2005"/>
      <c r="G686" s="818"/>
      <c r="H686" s="841"/>
      <c r="I686" s="1840"/>
      <c r="J686" s="841"/>
      <c r="K686" s="841"/>
    </row>
    <row r="687" spans="1:11">
      <c r="A687" s="794"/>
      <c r="B687" s="794"/>
      <c r="C687" s="794"/>
      <c r="D687" s="2005"/>
      <c r="E687" s="2005"/>
      <c r="F687" s="2005"/>
      <c r="G687" s="818"/>
      <c r="H687" s="841"/>
      <c r="I687" s="1840"/>
      <c r="J687" s="841"/>
      <c r="K687" s="841"/>
    </row>
    <row r="688" spans="1:11" s="790" customFormat="1">
      <c r="A688" s="833"/>
      <c r="B688" s="833"/>
      <c r="C688" s="833"/>
      <c r="D688" s="2005"/>
      <c r="E688" s="2005"/>
      <c r="F688" s="2005"/>
      <c r="G688" s="843"/>
      <c r="H688" s="844"/>
      <c r="I688" s="1841"/>
      <c r="J688" s="844"/>
      <c r="K688" s="844"/>
    </row>
    <row r="689" spans="1:11" s="790" customFormat="1">
      <c r="A689" s="833"/>
      <c r="B689" s="833"/>
      <c r="C689" s="833"/>
      <c r="D689" s="845"/>
      <c r="E689" s="845"/>
      <c r="F689" s="845"/>
      <c r="G689" s="843"/>
      <c r="H689" s="844"/>
      <c r="I689" s="1841"/>
      <c r="J689" s="844"/>
      <c r="K689" s="844"/>
    </row>
    <row r="690" spans="1:11" s="790" customFormat="1">
      <c r="A690" s="833"/>
      <c r="B690" s="797" t="s">
        <v>2678</v>
      </c>
      <c r="C690" s="833"/>
      <c r="D690" s="2005" t="s">
        <v>1408</v>
      </c>
      <c r="E690" s="2005"/>
      <c r="F690" s="2005"/>
      <c r="G690" s="843"/>
      <c r="H690" s="844"/>
      <c r="I690" s="1841" t="s">
        <v>2453</v>
      </c>
      <c r="J690" s="844"/>
      <c r="K690" s="844"/>
    </row>
    <row r="691" spans="1:11" s="790" customFormat="1">
      <c r="A691" s="833"/>
      <c r="B691" s="833"/>
      <c r="C691" s="833"/>
      <c r="D691" s="2005"/>
      <c r="E691" s="2005"/>
      <c r="F691" s="2005"/>
      <c r="G691" s="843"/>
      <c r="H691" s="844"/>
      <c r="I691" s="1841"/>
      <c r="J691" s="844"/>
      <c r="K691" s="844"/>
    </row>
    <row r="692" spans="1:11" s="790" customFormat="1">
      <c r="A692" s="833"/>
      <c r="B692" s="833"/>
      <c r="C692" s="833"/>
      <c r="D692" s="845"/>
      <c r="E692" s="845"/>
      <c r="F692" s="845"/>
      <c r="G692" s="843"/>
      <c r="H692" s="844"/>
      <c r="I692" s="1841"/>
      <c r="J692" s="844"/>
      <c r="K692" s="844"/>
    </row>
    <row r="693" spans="1:11" ht="14.25">
      <c r="A693" s="796"/>
      <c r="B693" s="797" t="s">
        <v>2678</v>
      </c>
      <c r="C693" s="794"/>
      <c r="D693" s="2005" t="s">
        <v>1217</v>
      </c>
      <c r="E693" s="2005"/>
      <c r="F693" s="2005"/>
      <c r="G693" s="818"/>
      <c r="H693" s="841"/>
      <c r="I693" s="1840" t="s">
        <v>2453</v>
      </c>
      <c r="J693" s="841"/>
      <c r="K693" s="841"/>
    </row>
    <row r="694" spans="1:11">
      <c r="A694" s="794"/>
      <c r="B694" s="794"/>
      <c r="C694" s="794"/>
      <c r="D694" s="2005"/>
      <c r="E694" s="2005"/>
      <c r="F694" s="2005"/>
      <c r="G694" s="818"/>
      <c r="H694" s="841"/>
      <c r="I694" s="1840"/>
      <c r="J694" s="841"/>
      <c r="K694" s="841"/>
    </row>
    <row r="695" spans="1:11">
      <c r="A695" s="794"/>
      <c r="B695" s="794"/>
      <c r="C695" s="794"/>
      <c r="D695" s="2005"/>
      <c r="E695" s="2005"/>
      <c r="F695" s="2005"/>
      <c r="G695" s="818"/>
      <c r="H695" s="841"/>
      <c r="I695" s="1840"/>
      <c r="J695" s="841"/>
      <c r="K695" s="841"/>
    </row>
    <row r="696" spans="1:11" ht="15" customHeight="1">
      <c r="A696" s="794"/>
      <c r="B696" s="794"/>
      <c r="C696" s="794"/>
      <c r="D696" s="2005"/>
      <c r="E696" s="2005"/>
      <c r="F696" s="2005"/>
      <c r="G696" s="818"/>
      <c r="H696" s="841"/>
      <c r="I696" s="1840"/>
      <c r="J696" s="841"/>
      <c r="K696" s="841"/>
    </row>
    <row r="697" spans="1:11" ht="15" customHeight="1">
      <c r="A697" s="794"/>
      <c r="B697" s="794"/>
      <c r="C697" s="794"/>
      <c r="D697" s="2005"/>
      <c r="E697" s="2005"/>
      <c r="F697" s="2005"/>
      <c r="G697" s="818"/>
      <c r="H697" s="841"/>
      <c r="I697" s="1840"/>
      <c r="J697" s="841"/>
      <c r="K697" s="841"/>
    </row>
    <row r="698" spans="1:11">
      <c r="A698" s="794"/>
      <c r="B698" s="794"/>
      <c r="C698" s="794"/>
      <c r="D698" s="2005"/>
      <c r="E698" s="2005"/>
      <c r="F698" s="2005"/>
      <c r="G698" s="818"/>
      <c r="H698" s="841"/>
      <c r="I698" s="1840"/>
      <c r="J698" s="841"/>
      <c r="K698" s="841"/>
    </row>
    <row r="699" spans="1:11">
      <c r="A699" s="794"/>
      <c r="B699" s="794"/>
      <c r="C699" s="794"/>
      <c r="D699" s="2005"/>
      <c r="E699" s="2005"/>
      <c r="F699" s="2005"/>
      <c r="G699" s="818"/>
      <c r="H699" s="841"/>
      <c r="I699" s="1840"/>
      <c r="J699" s="841"/>
      <c r="K699" s="841"/>
    </row>
    <row r="700" spans="1:11">
      <c r="A700" s="794"/>
      <c r="B700" s="794"/>
      <c r="C700" s="794"/>
      <c r="D700" s="2005"/>
      <c r="E700" s="2005"/>
      <c r="F700" s="2005"/>
      <c r="G700" s="818"/>
      <c r="H700" s="841"/>
      <c r="I700" s="1840"/>
      <c r="J700" s="841"/>
      <c r="K700" s="841"/>
    </row>
    <row r="701" spans="1:11" ht="15" customHeight="1">
      <c r="A701" s="794"/>
      <c r="B701" s="794"/>
      <c r="C701" s="794"/>
      <c r="D701" s="2005"/>
      <c r="E701" s="2005"/>
      <c r="F701" s="2005"/>
      <c r="G701" s="818"/>
      <c r="H701" s="841"/>
      <c r="I701" s="1840"/>
      <c r="J701" s="841"/>
      <c r="K701" s="841"/>
    </row>
    <row r="702" spans="1:11">
      <c r="A702" s="794"/>
      <c r="B702" s="794"/>
      <c r="C702" s="794"/>
      <c r="D702" s="2005"/>
      <c r="E702" s="2005"/>
      <c r="F702" s="2005"/>
      <c r="G702" s="818"/>
      <c r="H702" s="841"/>
      <c r="I702" s="1840"/>
      <c r="J702" s="841"/>
      <c r="K702" s="841"/>
    </row>
    <row r="703" spans="1:11">
      <c r="A703" s="794"/>
      <c r="B703" s="794"/>
      <c r="C703" s="794"/>
      <c r="D703" s="2005"/>
      <c r="E703" s="2005"/>
      <c r="F703" s="2005"/>
      <c r="G703" s="818"/>
      <c r="H703" s="841"/>
      <c r="I703" s="1840"/>
      <c r="J703" s="841"/>
      <c r="K703" s="841"/>
    </row>
    <row r="704" spans="1:11">
      <c r="A704" s="794"/>
      <c r="B704" s="794"/>
      <c r="C704" s="794"/>
      <c r="D704" s="2005"/>
      <c r="E704" s="2005"/>
      <c r="F704" s="2005"/>
      <c r="G704" s="818"/>
      <c r="H704" s="841"/>
      <c r="I704" s="1840"/>
      <c r="J704" s="841"/>
      <c r="K704" s="841"/>
    </row>
    <row r="705" spans="1:11">
      <c r="A705" s="794"/>
      <c r="B705" s="794"/>
      <c r="C705" s="794"/>
      <c r="D705" s="2005"/>
      <c r="E705" s="2005"/>
      <c r="F705" s="2005"/>
      <c r="G705" s="818"/>
      <c r="H705" s="841"/>
      <c r="I705" s="1840"/>
      <c r="J705" s="841"/>
      <c r="K705" s="841"/>
    </row>
    <row r="706" spans="1:11">
      <c r="A706" s="794"/>
      <c r="B706" s="797" t="s">
        <v>2678</v>
      </c>
      <c r="C706" s="794"/>
      <c r="D706" s="2005" t="s">
        <v>1224</v>
      </c>
      <c r="E706" s="2005"/>
      <c r="F706" s="2005"/>
      <c r="G706" s="818"/>
      <c r="H706" s="841"/>
      <c r="I706" s="1840" t="s">
        <v>2505</v>
      </c>
      <c r="J706" s="841"/>
      <c r="K706" s="841"/>
    </row>
    <row r="707" spans="1:11">
      <c r="A707" s="794"/>
      <c r="B707" s="794"/>
      <c r="C707" s="794"/>
      <c r="D707" s="2005"/>
      <c r="E707" s="2005"/>
      <c r="F707" s="2005"/>
      <c r="G707" s="818"/>
      <c r="H707" s="841"/>
      <c r="I707" s="1840"/>
      <c r="J707" s="841"/>
      <c r="K707" s="841"/>
    </row>
    <row r="708" spans="1:11">
      <c r="A708" s="794"/>
      <c r="B708" s="794"/>
      <c r="C708" s="794"/>
      <c r="D708" s="845"/>
      <c r="E708" s="845"/>
      <c r="F708" s="845"/>
      <c r="G708" s="818"/>
      <c r="H708" s="841"/>
      <c r="I708" s="1840"/>
      <c r="J708" s="841"/>
      <c r="K708" s="841"/>
    </row>
    <row r="709" spans="1:11">
      <c r="A709" s="794"/>
      <c r="B709" s="797" t="s">
        <v>2678</v>
      </c>
      <c r="C709" s="794"/>
      <c r="D709" s="2005" t="s">
        <v>1218</v>
      </c>
      <c r="E709" s="2005"/>
      <c r="F709" s="2005"/>
      <c r="G709" s="818"/>
      <c r="H709" s="841"/>
      <c r="I709" s="1840" t="s">
        <v>2505</v>
      </c>
      <c r="J709" s="841"/>
      <c r="K709" s="841"/>
    </row>
    <row r="710" spans="1:11">
      <c r="A710" s="794"/>
      <c r="B710" s="794"/>
      <c r="C710" s="794"/>
      <c r="D710" s="2005"/>
      <c r="E710" s="2005"/>
      <c r="F710" s="2005"/>
      <c r="G710" s="818"/>
      <c r="H710" s="841"/>
      <c r="I710" s="1840"/>
      <c r="J710" s="841"/>
      <c r="K710" s="841"/>
    </row>
    <row r="711" spans="1:11">
      <c r="A711" s="794"/>
      <c r="B711" s="794"/>
      <c r="C711" s="794"/>
      <c r="D711" s="2005"/>
      <c r="E711" s="2005"/>
      <c r="F711" s="2005"/>
      <c r="G711" s="818"/>
      <c r="H711" s="841"/>
      <c r="I711" s="1840"/>
      <c r="J711" s="841"/>
      <c r="K711" s="841"/>
    </row>
    <row r="712" spans="1:11">
      <c r="A712" s="794"/>
      <c r="B712" s="794"/>
      <c r="C712" s="794"/>
      <c r="D712" s="801"/>
      <c r="G712" s="818"/>
      <c r="H712" s="841"/>
      <c r="I712" s="1840"/>
      <c r="J712" s="841"/>
      <c r="K712" s="841"/>
    </row>
    <row r="713" spans="1:11">
      <c r="A713" s="794"/>
      <c r="B713" s="797" t="s">
        <v>2678</v>
      </c>
      <c r="C713" s="794"/>
      <c r="D713" s="2005" t="s">
        <v>1219</v>
      </c>
      <c r="E713" s="2005"/>
      <c r="F713" s="2005"/>
      <c r="G713" s="818"/>
      <c r="H713" s="841"/>
      <c r="I713" s="1840" t="s">
        <v>2505</v>
      </c>
      <c r="J713" s="841"/>
      <c r="K713" s="841"/>
    </row>
    <row r="714" spans="1:11">
      <c r="A714" s="794"/>
      <c r="B714" s="794"/>
      <c r="C714" s="794"/>
      <c r="D714" s="2005"/>
      <c r="E714" s="2005"/>
      <c r="F714" s="2005"/>
      <c r="G714" s="818"/>
      <c r="H714" s="841"/>
      <c r="I714" s="1840"/>
      <c r="J714" s="841"/>
      <c r="K714" s="841"/>
    </row>
    <row r="715" spans="1:11">
      <c r="A715" s="794"/>
      <c r="B715" s="794"/>
      <c r="C715" s="794"/>
      <c r="D715" s="2005"/>
      <c r="E715" s="2005"/>
      <c r="F715" s="2005"/>
      <c r="G715" s="818"/>
      <c r="H715" s="841"/>
      <c r="I715" s="1840"/>
      <c r="J715" s="841"/>
      <c r="K715" s="841"/>
    </row>
    <row r="716" spans="1:11">
      <c r="A716" s="794"/>
      <c r="B716" s="794"/>
      <c r="C716" s="794"/>
      <c r="D716" s="789"/>
      <c r="G716" s="818"/>
      <c r="H716" s="841"/>
      <c r="I716" s="1840"/>
      <c r="J716" s="841"/>
      <c r="K716" s="841"/>
    </row>
    <row r="717" spans="1:11" ht="14.25">
      <c r="A717" s="796"/>
      <c r="B717" s="797" t="s">
        <v>2678</v>
      </c>
      <c r="C717" s="794"/>
      <c r="D717" s="1919" t="s">
        <v>1220</v>
      </c>
      <c r="E717" s="1919"/>
      <c r="F717" s="1919"/>
      <c r="G717" s="818"/>
      <c r="H717" s="841"/>
      <c r="I717" s="1840" t="s">
        <v>2454</v>
      </c>
      <c r="J717" s="841"/>
      <c r="K717" s="841"/>
    </row>
    <row r="718" spans="1:11">
      <c r="A718" s="794"/>
      <c r="B718" s="794"/>
      <c r="C718" s="794"/>
      <c r="D718" s="1919"/>
      <c r="E718" s="1919"/>
      <c r="F718" s="1919"/>
      <c r="G718" s="818"/>
      <c r="H718" s="841"/>
      <c r="I718" s="1840"/>
      <c r="J718" s="841"/>
      <c r="K718" s="841"/>
    </row>
    <row r="719" spans="1:11">
      <c r="A719" s="794"/>
      <c r="B719" s="794"/>
      <c r="C719" s="794"/>
      <c r="D719" s="1919"/>
      <c r="E719" s="1919"/>
      <c r="F719" s="1919"/>
      <c r="G719" s="818"/>
      <c r="H719" s="841"/>
      <c r="I719" s="1840"/>
      <c r="J719" s="841"/>
      <c r="K719" s="841"/>
    </row>
    <row r="720" spans="1:11">
      <c r="A720" s="794"/>
      <c r="B720" s="794"/>
      <c r="C720" s="794"/>
      <c r="D720" s="1919"/>
      <c r="E720" s="1919"/>
      <c r="F720" s="1919"/>
      <c r="G720" s="818"/>
      <c r="H720" s="841"/>
      <c r="I720" s="1840"/>
      <c r="J720" s="841"/>
      <c r="K720" s="841"/>
    </row>
    <row r="721" spans="1:11">
      <c r="A721" s="794"/>
      <c r="B721" s="794"/>
      <c r="C721" s="794"/>
      <c r="D721" s="821"/>
      <c r="G721" s="818"/>
      <c r="H721" s="841"/>
      <c r="I721" s="1840"/>
      <c r="J721" s="841"/>
      <c r="K721" s="841"/>
    </row>
    <row r="722" spans="1:11" ht="14.25">
      <c r="A722" s="796"/>
      <c r="B722" s="797" t="s">
        <v>2678</v>
      </c>
      <c r="C722" s="794"/>
      <c r="D722" s="2005" t="s">
        <v>1353</v>
      </c>
      <c r="E722" s="2005"/>
      <c r="F722" s="2005"/>
      <c r="G722" s="818"/>
      <c r="H722" s="841"/>
      <c r="I722" s="1840" t="s">
        <v>2470</v>
      </c>
      <c r="J722" s="841"/>
      <c r="K722" s="841"/>
    </row>
    <row r="723" spans="1:11">
      <c r="A723" s="794"/>
      <c r="B723" s="794"/>
      <c r="C723" s="794"/>
      <c r="D723" s="2005"/>
      <c r="E723" s="2005"/>
      <c r="F723" s="2005"/>
      <c r="G723" s="818"/>
      <c r="H723" s="841"/>
      <c r="I723" s="1840"/>
      <c r="J723" s="841"/>
      <c r="K723" s="841"/>
    </row>
    <row r="724" spans="1:11">
      <c r="A724" s="794"/>
      <c r="B724" s="794"/>
      <c r="C724" s="794"/>
      <c r="D724" s="2005"/>
      <c r="E724" s="2005"/>
      <c r="F724" s="2005"/>
      <c r="G724" s="818"/>
      <c r="H724" s="841"/>
      <c r="I724" s="1840"/>
      <c r="J724" s="841"/>
      <c r="K724" s="841"/>
    </row>
    <row r="725" spans="1:11">
      <c r="A725" s="794"/>
      <c r="B725" s="794"/>
      <c r="C725" s="794"/>
      <c r="D725" s="2005"/>
      <c r="E725" s="2005"/>
      <c r="F725" s="2005"/>
      <c r="G725" s="818"/>
      <c r="H725" s="841"/>
      <c r="I725" s="1840"/>
      <c r="J725" s="841"/>
      <c r="K725" s="841"/>
    </row>
    <row r="726" spans="1:11">
      <c r="A726" s="794"/>
      <c r="B726" s="794"/>
      <c r="C726" s="794"/>
      <c r="D726" s="2005"/>
      <c r="E726" s="2005"/>
      <c r="F726" s="2005"/>
      <c r="G726" s="818"/>
      <c r="H726" s="841"/>
      <c r="I726" s="1840"/>
      <c r="J726" s="841"/>
      <c r="K726" s="841"/>
    </row>
    <row r="727" spans="1:11">
      <c r="A727" s="794"/>
      <c r="B727" s="794"/>
      <c r="C727" s="794"/>
      <c r="D727" s="2005"/>
      <c r="E727" s="2005"/>
      <c r="F727" s="2005"/>
      <c r="G727" s="818"/>
      <c r="H727" s="841"/>
      <c r="I727" s="1840"/>
      <c r="J727" s="841"/>
      <c r="K727" s="841"/>
    </row>
    <row r="728" spans="1:11">
      <c r="A728" s="794"/>
      <c r="B728" s="794"/>
      <c r="C728" s="794"/>
      <c r="D728" s="2005"/>
      <c r="E728" s="2005"/>
      <c r="F728" s="2005"/>
      <c r="G728" s="818"/>
      <c r="H728" s="841"/>
      <c r="I728" s="1840"/>
      <c r="J728" s="841"/>
      <c r="K728" s="841"/>
    </row>
    <row r="729" spans="1:11">
      <c r="A729" s="794"/>
      <c r="B729" s="794"/>
      <c r="C729" s="794"/>
      <c r="D729" s="1949" t="s">
        <v>1221</v>
      </c>
      <c r="E729" s="1949"/>
      <c r="F729" s="1949"/>
      <c r="G729" s="818"/>
      <c r="H729" s="841"/>
      <c r="I729" s="1840"/>
      <c r="J729" s="841"/>
      <c r="K729" s="841"/>
    </row>
    <row r="730" spans="1:11">
      <c r="A730" s="794"/>
      <c r="B730" s="794"/>
      <c r="C730" s="794"/>
      <c r="D730" s="781"/>
      <c r="G730" s="818"/>
      <c r="H730" s="841"/>
      <c r="I730" s="1840"/>
      <c r="J730" s="841"/>
      <c r="K730" s="841"/>
    </row>
    <row r="731" spans="1:11">
      <c r="A731" s="1951" t="s">
        <v>1178</v>
      </c>
      <c r="B731" s="1951"/>
      <c r="C731" s="1951"/>
      <c r="D731" s="1951"/>
      <c r="E731" s="1951"/>
      <c r="F731" s="1951"/>
      <c r="G731" s="1951"/>
      <c r="H731" s="1854"/>
      <c r="I731" s="1855"/>
      <c r="J731" s="841"/>
      <c r="K731" s="841"/>
    </row>
    <row r="732" spans="1:11">
      <c r="A732" s="794"/>
      <c r="B732" s="794"/>
      <c r="C732" s="794"/>
      <c r="D732" s="821"/>
      <c r="G732" s="846"/>
      <c r="H732" s="841"/>
      <c r="I732" s="1840"/>
      <c r="J732" s="841"/>
      <c r="K732" s="841"/>
    </row>
    <row r="733" spans="1:11" ht="13.7" customHeight="1">
      <c r="C733" s="794"/>
      <c r="D733" s="1990" t="s">
        <v>1194</v>
      </c>
      <c r="E733" s="1990"/>
      <c r="F733" s="1990"/>
      <c r="G733" s="846"/>
      <c r="H733" s="841"/>
      <c r="I733" s="1840"/>
      <c r="J733" s="841"/>
      <c r="K733" s="841"/>
    </row>
    <row r="734" spans="1:11">
      <c r="A734" s="794"/>
      <c r="B734" s="794"/>
      <c r="C734" s="794"/>
      <c r="D734" s="1945" t="s">
        <v>1195</v>
      </c>
      <c r="E734" s="1945"/>
      <c r="F734" s="1945"/>
      <c r="G734" s="846"/>
      <c r="H734" s="841"/>
      <c r="I734" s="1840"/>
      <c r="J734" s="841"/>
      <c r="K734" s="841"/>
    </row>
    <row r="735" spans="1:11">
      <c r="A735" s="794"/>
      <c r="B735" s="794"/>
      <c r="C735" s="794"/>
      <c r="G735" s="846"/>
      <c r="H735" s="841"/>
      <c r="I735" s="1840"/>
      <c r="J735" s="841"/>
      <c r="K735" s="841"/>
    </row>
    <row r="736" spans="1:11" s="790" customFormat="1" ht="14.25">
      <c r="A736" s="796"/>
      <c r="B736" s="797" t="s">
        <v>2679</v>
      </c>
      <c r="C736" s="787"/>
      <c r="D736" s="1919" t="s">
        <v>1196</v>
      </c>
      <c r="E736" s="1919"/>
      <c r="F736" s="1919"/>
      <c r="G736" s="846"/>
      <c r="H736" s="844"/>
      <c r="I736" s="1841" t="s">
        <v>2455</v>
      </c>
      <c r="J736" s="844"/>
      <c r="K736" s="844"/>
    </row>
    <row r="737" spans="1:11" s="790" customFormat="1" ht="10.5" customHeight="1">
      <c r="A737" s="787"/>
      <c r="B737" s="787"/>
      <c r="C737" s="787"/>
      <c r="D737" s="1919"/>
      <c r="E737" s="1919"/>
      <c r="F737" s="1919"/>
      <c r="G737" s="846"/>
      <c r="H737" s="844"/>
      <c r="I737" s="1841"/>
      <c r="J737" s="844"/>
      <c r="K737" s="844"/>
    </row>
    <row r="738" spans="1:11" s="790" customFormat="1">
      <c r="A738" s="787"/>
      <c r="B738" s="787"/>
      <c r="C738" s="787"/>
      <c r="D738" s="1919"/>
      <c r="E738" s="1919"/>
      <c r="F738" s="1919"/>
      <c r="G738" s="846"/>
      <c r="H738" s="844"/>
      <c r="I738" s="1841"/>
      <c r="J738" s="844"/>
      <c r="K738" s="844"/>
    </row>
    <row r="739" spans="1:11">
      <c r="D739" s="1919"/>
      <c r="E739" s="1919"/>
      <c r="F739" s="1919"/>
      <c r="G739" s="846"/>
      <c r="H739" s="841"/>
      <c r="I739" s="1840"/>
      <c r="J739" s="841"/>
      <c r="K739" s="841"/>
    </row>
    <row r="740" spans="1:11">
      <c r="A740" s="800"/>
      <c r="B740" s="800"/>
      <c r="C740" s="800"/>
      <c r="D740" s="1919"/>
      <c r="E740" s="1919"/>
      <c r="F740" s="1919"/>
      <c r="G740" s="847"/>
      <c r="H740" s="841"/>
      <c r="I740" s="1840"/>
      <c r="J740" s="841"/>
      <c r="K740" s="841"/>
    </row>
    <row r="741" spans="1:11" ht="15.6" customHeight="1">
      <c r="A741" s="800"/>
      <c r="B741" s="800"/>
      <c r="C741" s="800"/>
      <c r="D741" s="1919"/>
      <c r="E741" s="1919"/>
      <c r="F741" s="1919"/>
      <c r="G741" s="847"/>
      <c r="H741" s="841"/>
      <c r="I741" s="1840"/>
      <c r="J741" s="841"/>
      <c r="K741" s="841"/>
    </row>
    <row r="742" spans="1:11">
      <c r="A742" s="800"/>
      <c r="B742" s="800"/>
      <c r="C742" s="800"/>
      <c r="D742" s="836"/>
      <c r="E742" s="848"/>
      <c r="F742" s="848"/>
      <c r="G742" s="847"/>
      <c r="H742" s="841"/>
      <c r="I742" s="1840"/>
      <c r="J742" s="841"/>
      <c r="K742" s="841"/>
    </row>
    <row r="743" spans="1:11" s="852" customFormat="1" ht="14.25">
      <c r="A743" s="849"/>
      <c r="B743" s="797" t="s">
        <v>2679</v>
      </c>
      <c r="C743" s="850"/>
      <c r="D743" s="1920" t="s">
        <v>1459</v>
      </c>
      <c r="E743" s="1920"/>
      <c r="F743" s="1920"/>
      <c r="G743" s="851"/>
      <c r="I743" s="1842" t="s">
        <v>2455</v>
      </c>
    </row>
    <row r="744" spans="1:11" s="852" customFormat="1">
      <c r="A744" s="850"/>
      <c r="B744" s="850"/>
      <c r="C744" s="850"/>
      <c r="D744" s="1920"/>
      <c r="E744" s="1920"/>
      <c r="F744" s="1920"/>
      <c r="G744" s="851"/>
      <c r="I744" s="1842"/>
    </row>
    <row r="745" spans="1:11" s="852" customFormat="1">
      <c r="A745" s="850"/>
      <c r="B745" s="850"/>
      <c r="C745" s="850"/>
      <c r="D745" s="1920"/>
      <c r="E745" s="1920"/>
      <c r="F745" s="1920"/>
      <c r="G745" s="851"/>
      <c r="I745" s="1842"/>
    </row>
    <row r="746" spans="1:11" s="852" customFormat="1">
      <c r="A746" s="850"/>
      <c r="B746" s="850"/>
      <c r="C746" s="850"/>
      <c r="D746" s="1920"/>
      <c r="E746" s="1920"/>
      <c r="F746" s="1920"/>
      <c r="G746" s="851"/>
      <c r="I746" s="1842"/>
    </row>
    <row r="747" spans="1:11" s="852" customFormat="1">
      <c r="A747" s="850"/>
      <c r="B747" s="850"/>
      <c r="C747" s="850"/>
      <c r="D747" s="836"/>
      <c r="E747" s="851"/>
      <c r="F747" s="851"/>
      <c r="G747" s="851"/>
      <c r="I747" s="1842"/>
    </row>
    <row r="748" spans="1:11" s="852" customFormat="1" ht="14.25">
      <c r="A748" s="796"/>
      <c r="B748" s="797" t="s">
        <v>2679</v>
      </c>
      <c r="C748" s="850"/>
      <c r="D748" s="2014" t="s">
        <v>1460</v>
      </c>
      <c r="E748" s="2014"/>
      <c r="F748" s="2014"/>
      <c r="G748" s="851"/>
      <c r="I748" s="1842" t="s">
        <v>2456</v>
      </c>
    </row>
    <row r="749" spans="1:11" s="852" customFormat="1">
      <c r="A749" s="850"/>
      <c r="B749" s="850"/>
      <c r="C749" s="850"/>
      <c r="D749" s="2014"/>
      <c r="E749" s="2014"/>
      <c r="F749" s="2014"/>
      <c r="G749" s="851"/>
      <c r="I749" s="1842"/>
    </row>
    <row r="750" spans="1:11" s="852" customFormat="1">
      <c r="A750" s="850"/>
      <c r="B750" s="850"/>
      <c r="C750" s="850"/>
      <c r="D750" s="2014"/>
      <c r="E750" s="2014"/>
      <c r="F750" s="2014"/>
      <c r="G750" s="851"/>
      <c r="I750" s="1842"/>
    </row>
    <row r="751" spans="1:11">
      <c r="A751" s="800"/>
      <c r="B751" s="800"/>
      <c r="C751" s="800"/>
      <c r="D751" s="836"/>
      <c r="E751" s="848"/>
      <c r="F751" s="848"/>
      <c r="G751" s="847"/>
      <c r="H751" s="841"/>
      <c r="I751" s="1840"/>
      <c r="J751" s="841"/>
      <c r="K751" s="841"/>
    </row>
    <row r="752" spans="1:11" ht="14.25">
      <c r="A752" s="796"/>
      <c r="B752" s="797" t="s">
        <v>2678</v>
      </c>
      <c r="C752" s="800"/>
      <c r="D752" s="1920" t="s">
        <v>1403</v>
      </c>
      <c r="E752" s="1920"/>
      <c r="F752" s="1920"/>
      <c r="G752" s="847"/>
      <c r="H752" s="841"/>
      <c r="I752" s="1840" t="s">
        <v>2455</v>
      </c>
      <c r="J752" s="841"/>
      <c r="K752" s="841"/>
    </row>
    <row r="753" spans="1:11">
      <c r="A753" s="800"/>
      <c r="B753" s="800"/>
      <c r="C753" s="800"/>
      <c r="D753" s="1920"/>
      <c r="E753" s="1920"/>
      <c r="F753" s="1920"/>
      <c r="G753" s="847"/>
      <c r="H753" s="841"/>
      <c r="I753" s="1840"/>
      <c r="J753" s="841"/>
      <c r="K753" s="841"/>
    </row>
    <row r="754" spans="1:11">
      <c r="A754" s="800"/>
      <c r="B754" s="800"/>
      <c r="C754" s="800"/>
      <c r="D754" s="780"/>
      <c r="E754" s="780"/>
      <c r="F754" s="780"/>
      <c r="G754" s="847"/>
      <c r="H754" s="841"/>
      <c r="I754" s="1840"/>
      <c r="J754" s="841"/>
      <c r="K754" s="841"/>
    </row>
    <row r="755" spans="1:11">
      <c r="A755" s="800"/>
      <c r="B755" s="797" t="s">
        <v>2678</v>
      </c>
      <c r="C755" s="800"/>
      <c r="D755" s="1920" t="s">
        <v>1425</v>
      </c>
      <c r="E755" s="1920"/>
      <c r="F755" s="1920"/>
      <c r="G755" s="847"/>
      <c r="H755" s="841"/>
      <c r="I755" s="1840" t="s">
        <v>2455</v>
      </c>
      <c r="J755" s="841"/>
      <c r="K755" s="841"/>
    </row>
    <row r="756" spans="1:11">
      <c r="A756" s="800"/>
      <c r="B756" s="800"/>
      <c r="C756" s="800"/>
      <c r="D756" s="1920"/>
      <c r="E756" s="1920"/>
      <c r="F756" s="1920"/>
      <c r="G756" s="847"/>
      <c r="H756" s="841"/>
      <c r="I756" s="1840"/>
      <c r="J756" s="841"/>
      <c r="K756" s="841"/>
    </row>
    <row r="757" spans="1:11">
      <c r="A757" s="800"/>
      <c r="B757" s="800"/>
      <c r="C757" s="800"/>
      <c r="D757" s="1920"/>
      <c r="E757" s="1920"/>
      <c r="F757" s="1920"/>
      <c r="G757" s="847"/>
      <c r="H757" s="841"/>
      <c r="I757" s="1840"/>
      <c r="J757" s="841"/>
      <c r="K757" s="841"/>
    </row>
    <row r="758" spans="1:11">
      <c r="A758" s="800"/>
      <c r="B758" s="800"/>
      <c r="C758" s="800"/>
      <c r="D758" s="780"/>
      <c r="E758" s="780"/>
      <c r="F758" s="780"/>
      <c r="G758" s="847"/>
      <c r="H758" s="841"/>
      <c r="I758" s="1840"/>
      <c r="J758" s="841"/>
      <c r="K758" s="841"/>
    </row>
    <row r="759" spans="1:11">
      <c r="A759" s="2011" t="s">
        <v>2324</v>
      </c>
      <c r="B759" s="2011"/>
      <c r="C759" s="2011"/>
      <c r="D759" s="2011"/>
      <c r="E759" s="2011"/>
      <c r="F759" s="2011"/>
      <c r="G759" s="2011"/>
      <c r="H759" s="1852"/>
      <c r="I759" s="1853"/>
    </row>
    <row r="760" spans="1:11">
      <c r="A760" s="93"/>
      <c r="B760" s="93"/>
      <c r="C760" s="1731"/>
      <c r="D760" s="155"/>
      <c r="E760" s="155"/>
      <c r="F760" s="155"/>
      <c r="G760" s="685"/>
    </row>
    <row r="761" spans="1:11">
      <c r="A761" s="93"/>
      <c r="B761" s="93"/>
      <c r="C761" s="1731"/>
      <c r="D761" s="2012" t="s">
        <v>2383</v>
      </c>
      <c r="E761" s="2012"/>
      <c r="F761" s="2012"/>
      <c r="G761" s="685"/>
    </row>
    <row r="762" spans="1:11">
      <c r="A762" s="93"/>
      <c r="B762" s="93"/>
      <c r="C762" s="1731"/>
      <c r="D762" s="1994" t="s">
        <v>2269</v>
      </c>
      <c r="E762" s="1994"/>
      <c r="F762" s="1994"/>
      <c r="G762" s="685"/>
    </row>
    <row r="763" spans="1:11">
      <c r="A763" s="93"/>
      <c r="B763" s="93"/>
      <c r="C763" s="1731"/>
      <c r="D763" s="732"/>
      <c r="E763" s="732"/>
      <c r="F763" s="732"/>
      <c r="G763" s="685"/>
    </row>
    <row r="764" spans="1:11">
      <c r="A764" s="93"/>
      <c r="B764" s="797" t="s">
        <v>2679</v>
      </c>
      <c r="C764" s="1731"/>
      <c r="D764" s="1941" t="s">
        <v>2270</v>
      </c>
      <c r="E764" s="1941"/>
      <c r="F764" s="1941"/>
      <c r="G764" s="685"/>
      <c r="I764" s="1840" t="s">
        <v>2507</v>
      </c>
    </row>
    <row r="765" spans="1:11">
      <c r="A765" s="93"/>
      <c r="B765" s="93"/>
      <c r="C765" s="1731"/>
      <c r="D765" s="1941"/>
      <c r="E765" s="1941"/>
      <c r="F765" s="1941"/>
      <c r="G765" s="685"/>
    </row>
    <row r="766" spans="1:11">
      <c r="A766" s="719"/>
      <c r="B766" s="719"/>
      <c r="C766" s="313"/>
      <c r="D766" s="1941"/>
      <c r="E766" s="1941"/>
      <c r="F766" s="1941"/>
      <c r="G766" s="1732"/>
    </row>
    <row r="767" spans="1:11">
      <c r="A767" s="1725"/>
      <c r="B767" s="1725"/>
      <c r="C767" s="1733"/>
      <c r="D767" s="1709"/>
      <c r="E767" s="685"/>
      <c r="F767" s="685"/>
      <c r="G767" s="685"/>
    </row>
    <row r="768" spans="1:11">
      <c r="A768" s="267"/>
      <c r="B768" s="797" t="s">
        <v>2678</v>
      </c>
      <c r="C768" s="1734"/>
      <c r="D768" s="1941" t="s">
        <v>2271</v>
      </c>
      <c r="E768" s="1941"/>
      <c r="F768" s="1941"/>
      <c r="G768" s="685"/>
      <c r="I768" s="1840" t="s">
        <v>2507</v>
      </c>
    </row>
    <row r="769" spans="1:9">
      <c r="A769" s="1735"/>
      <c r="B769" s="1735"/>
      <c r="C769" s="1736"/>
      <c r="D769" s="1941"/>
      <c r="E769" s="1941"/>
      <c r="F769" s="1941"/>
      <c r="G769" s="685"/>
    </row>
    <row r="770" spans="1:9">
      <c r="A770" s="267"/>
      <c r="B770" s="267"/>
      <c r="C770" s="1734"/>
      <c r="D770" s="1941"/>
      <c r="E770" s="1941"/>
      <c r="F770" s="1941"/>
      <c r="G770" s="685"/>
    </row>
    <row r="771" spans="1:9">
      <c r="A771" s="719"/>
      <c r="B771" s="719"/>
      <c r="C771" s="313"/>
      <c r="D771" s="6"/>
      <c r="E771" s="1737"/>
      <c r="F771" s="1737"/>
      <c r="G771" s="1738"/>
    </row>
    <row r="772" spans="1:9" ht="14.25">
      <c r="A772" s="713"/>
      <c r="B772" s="797" t="s">
        <v>2678</v>
      </c>
      <c r="C772" s="1739"/>
      <c r="D772" s="1941" t="s">
        <v>2272</v>
      </c>
      <c r="E772" s="1941"/>
      <c r="F772" s="1941"/>
      <c r="G772" s="1738"/>
      <c r="I772" s="1840" t="s">
        <v>2507</v>
      </c>
    </row>
    <row r="773" spans="1:9" ht="14.25">
      <c r="A773" s="713"/>
      <c r="B773" s="713"/>
      <c r="C773" s="1739"/>
      <c r="D773" s="1941"/>
      <c r="E773" s="1941"/>
      <c r="F773" s="1941"/>
      <c r="G773" s="1738"/>
    </row>
    <row r="774" spans="1:9" ht="14.25">
      <c r="A774" s="713"/>
      <c r="B774" s="713"/>
      <c r="C774" s="1739"/>
      <c r="D774" s="1941"/>
      <c r="E774" s="1941"/>
      <c r="F774" s="1941"/>
      <c r="G774" s="1738"/>
    </row>
    <row r="775" spans="1:9" ht="14.25">
      <c r="A775" s="713"/>
      <c r="B775" s="713"/>
      <c r="C775" s="1739"/>
      <c r="D775" s="1707"/>
      <c r="E775" s="6"/>
      <c r="F775" s="6"/>
      <c r="G775" s="1738"/>
    </row>
    <row r="776" spans="1:9" ht="14.25">
      <c r="A776" s="713"/>
      <c r="B776" s="797" t="s">
        <v>2678</v>
      </c>
      <c r="C776" s="1739"/>
      <c r="D776" s="1941" t="s">
        <v>2273</v>
      </c>
      <c r="E776" s="1941"/>
      <c r="F776" s="1941"/>
      <c r="G776" s="1738"/>
      <c r="I776" s="1840" t="s">
        <v>2507</v>
      </c>
    </row>
    <row r="777" spans="1:9" ht="14.25">
      <c r="A777" s="713"/>
      <c r="B777" s="713"/>
      <c r="C777" s="1739"/>
      <c r="D777" s="1941"/>
      <c r="E777" s="1941"/>
      <c r="F777" s="1941"/>
      <c r="G777" s="1738"/>
    </row>
    <row r="778" spans="1:9" ht="14.25">
      <c r="A778" s="713"/>
      <c r="B778" s="713"/>
      <c r="C778" s="1739"/>
      <c r="D778" s="1941"/>
      <c r="E778" s="1941"/>
      <c r="F778" s="1941"/>
      <c r="G778" s="1738"/>
    </row>
    <row r="779" spans="1:9" ht="14.25">
      <c r="A779" s="713"/>
      <c r="B779" s="713"/>
      <c r="C779" s="1739"/>
      <c r="D779" s="1941"/>
      <c r="E779" s="1941"/>
      <c r="F779" s="1941"/>
      <c r="G779" s="1738"/>
    </row>
    <row r="780" spans="1:9" ht="14.25">
      <c r="A780" s="713"/>
      <c r="B780" s="713"/>
      <c r="C780" s="1739"/>
      <c r="D780" s="1941"/>
      <c r="E780" s="1941"/>
      <c r="F780" s="1941"/>
      <c r="G780" s="1738"/>
    </row>
    <row r="781" spans="1:9" ht="14.25">
      <c r="A781" s="713"/>
      <c r="B781" s="713"/>
      <c r="C781" s="1739"/>
      <c r="D781" s="1941"/>
      <c r="E781" s="1941"/>
      <c r="F781" s="1941"/>
      <c r="G781" s="1738"/>
    </row>
    <row r="782" spans="1:9" ht="14.25">
      <c r="A782" s="713"/>
      <c r="B782" s="713"/>
      <c r="C782" s="1739"/>
      <c r="D782" s="1941" t="s">
        <v>2325</v>
      </c>
      <c r="E782" s="1941"/>
      <c r="F782" s="1941"/>
      <c r="G782" s="1738"/>
    </row>
    <row r="783" spans="1:9" ht="14.25">
      <c r="A783" s="713"/>
      <c r="B783" s="713"/>
      <c r="C783" s="1739"/>
      <c r="D783" s="1941"/>
      <c r="E783" s="1941"/>
      <c r="F783" s="1941"/>
      <c r="G783" s="1738"/>
    </row>
    <row r="784" spans="1:9" ht="14.25">
      <c r="A784" s="713"/>
      <c r="B784" s="713"/>
      <c r="C784" s="1739"/>
      <c r="D784" s="1941"/>
      <c r="E784" s="1941"/>
      <c r="F784" s="1941"/>
      <c r="G784" s="1738"/>
    </row>
    <row r="785" spans="1:9" ht="14.25">
      <c r="A785" s="713"/>
      <c r="B785" s="555"/>
      <c r="C785" s="1739"/>
      <c r="D785" s="1740"/>
      <c r="E785" s="1740"/>
      <c r="F785" s="1740"/>
      <c r="G785" s="1738"/>
    </row>
    <row r="786" spans="1:9" ht="14.25">
      <c r="A786" s="713"/>
      <c r="B786" s="797" t="s">
        <v>2678</v>
      </c>
      <c r="C786" s="1739"/>
      <c r="D786" s="1941" t="s">
        <v>2274</v>
      </c>
      <c r="E786" s="1941"/>
      <c r="F786" s="1941"/>
      <c r="G786" s="1738"/>
      <c r="I786" s="1840" t="s">
        <v>2507</v>
      </c>
    </row>
    <row r="787" spans="1:9" ht="14.25">
      <c r="A787" s="713"/>
      <c r="B787" s="713"/>
      <c r="C787" s="1739"/>
      <c r="D787" s="1941"/>
      <c r="E787" s="1941"/>
      <c r="F787" s="1941"/>
      <c r="G787" s="1738"/>
    </row>
    <row r="788" spans="1:9" ht="14.25">
      <c r="A788" s="713"/>
      <c r="B788" s="713"/>
      <c r="C788" s="1739"/>
      <c r="D788" s="1941"/>
      <c r="E788" s="1941"/>
      <c r="F788" s="1941"/>
      <c r="G788" s="1738"/>
    </row>
    <row r="789" spans="1:9" ht="14.25">
      <c r="A789" s="713"/>
      <c r="B789" s="713"/>
      <c r="C789" s="1739"/>
      <c r="D789" s="1941"/>
      <c r="E789" s="1941"/>
      <c r="F789" s="1941"/>
      <c r="G789" s="1738"/>
    </row>
    <row r="790" spans="1:9" ht="14.25">
      <c r="A790" s="713"/>
      <c r="B790" s="713"/>
      <c r="C790" s="1739"/>
      <c r="D790" s="1941"/>
      <c r="E790" s="1941"/>
      <c r="F790" s="1941"/>
      <c r="G790" s="1738"/>
    </row>
    <row r="791" spans="1:9" ht="14.25">
      <c r="A791" s="713"/>
      <c r="B791" s="713"/>
      <c r="C791" s="1739"/>
      <c r="D791" s="1941"/>
      <c r="E791" s="1941"/>
      <c r="F791" s="1941"/>
      <c r="G791" s="1738"/>
    </row>
    <row r="792" spans="1:9" ht="14.25">
      <c r="A792" s="713"/>
      <c r="B792" s="713"/>
      <c r="C792" s="1739"/>
      <c r="D792" s="1716"/>
      <c r="E792" s="1716"/>
      <c r="F792" s="1716"/>
      <c r="G792" s="1738"/>
    </row>
    <row r="793" spans="1:9" ht="14.25">
      <c r="A793" s="713"/>
      <c r="B793" s="797" t="s">
        <v>2678</v>
      </c>
      <c r="C793" s="1739"/>
      <c r="D793" s="1941" t="s">
        <v>2275</v>
      </c>
      <c r="E793" s="1941"/>
      <c r="F793" s="1941"/>
      <c r="G793" s="1738"/>
      <c r="I793" s="1840" t="s">
        <v>2507</v>
      </c>
    </row>
    <row r="794" spans="1:9" ht="14.25">
      <c r="A794" s="713"/>
      <c r="B794" s="713"/>
      <c r="C794" s="1739"/>
      <c r="D794" s="1941"/>
      <c r="E794" s="1941"/>
      <c r="F794" s="1941"/>
      <c r="G794" s="1738"/>
    </row>
    <row r="795" spans="1:9" ht="14.25">
      <c r="A795" s="713"/>
      <c r="B795" s="713"/>
      <c r="C795" s="1739"/>
      <c r="D795" s="1941"/>
      <c r="E795" s="1941"/>
      <c r="F795" s="1941"/>
      <c r="G795" s="1738"/>
    </row>
    <row r="796" spans="1:9" ht="14.25">
      <c r="A796" s="713"/>
      <c r="B796" s="713"/>
      <c r="C796" s="1739"/>
      <c r="D796" s="1941"/>
      <c r="E796" s="1941"/>
      <c r="F796" s="1941"/>
      <c r="G796" s="1738"/>
    </row>
    <row r="797" spans="1:9" ht="14.25">
      <c r="A797" s="713"/>
      <c r="B797" s="713"/>
      <c r="C797" s="1739"/>
      <c r="D797" s="1941"/>
      <c r="E797" s="1941"/>
      <c r="F797" s="1941"/>
      <c r="G797" s="1738"/>
    </row>
    <row r="798" spans="1:9" ht="14.25">
      <c r="A798" s="713"/>
      <c r="B798" s="713"/>
      <c r="C798" s="1739"/>
      <c r="D798" s="1941"/>
      <c r="E798" s="1941"/>
      <c r="F798" s="1941"/>
      <c r="G798" s="1738"/>
    </row>
    <row r="799" spans="1:9" ht="14.25">
      <c r="A799" s="713"/>
      <c r="B799" s="713"/>
      <c r="C799" s="1739"/>
      <c r="D799" s="1716"/>
      <c r="E799" s="1716"/>
      <c r="F799" s="1716"/>
      <c r="G799" s="1738"/>
    </row>
    <row r="800" spans="1:9" ht="14.25">
      <c r="A800" s="713"/>
      <c r="B800" s="797" t="s">
        <v>2678</v>
      </c>
      <c r="C800" s="1739"/>
      <c r="D800" s="1938" t="s">
        <v>2276</v>
      </c>
      <c r="E800" s="1938"/>
      <c r="F800" s="1938"/>
      <c r="G800" s="1738"/>
      <c r="I800" s="1840" t="s">
        <v>2507</v>
      </c>
    </row>
    <row r="801" spans="1:9" ht="14.25">
      <c r="A801" s="713"/>
      <c r="B801" s="713"/>
      <c r="C801" s="1739"/>
      <c r="D801" s="1938"/>
      <c r="E801" s="1938"/>
      <c r="F801" s="1938"/>
      <c r="G801" s="1738"/>
    </row>
    <row r="802" spans="1:9">
      <c r="A802" s="1724"/>
      <c r="B802" s="1724"/>
      <c r="C802" s="1739"/>
      <c r="D802" s="1938"/>
      <c r="E802" s="1938"/>
      <c r="F802" s="1938"/>
      <c r="G802" s="1738"/>
    </row>
    <row r="803" spans="1:9" ht="14.25">
      <c r="A803" s="713"/>
      <c r="B803" s="1724"/>
      <c r="C803" s="1739"/>
      <c r="D803" s="1938"/>
      <c r="E803" s="1938"/>
      <c r="F803" s="1938"/>
      <c r="G803" s="1738"/>
    </row>
    <row r="804" spans="1:9" ht="12.75" customHeight="1">
      <c r="A804" s="713"/>
      <c r="B804" s="1724"/>
      <c r="C804" s="1739"/>
      <c r="D804" s="1938"/>
      <c r="E804" s="1938"/>
      <c r="F804" s="1938"/>
      <c r="G804" s="1738"/>
    </row>
    <row r="805" spans="1:9" ht="12.75" customHeight="1">
      <c r="A805" s="713"/>
      <c r="B805" s="1724"/>
      <c r="C805" s="1739"/>
      <c r="D805" s="1938"/>
      <c r="E805" s="1938"/>
      <c r="F805" s="1938"/>
      <c r="G805" s="1738"/>
    </row>
    <row r="806" spans="1:9" ht="12.75" customHeight="1">
      <c r="A806" s="1724"/>
      <c r="B806" s="1724"/>
      <c r="C806" s="1739"/>
      <c r="D806" s="1737"/>
      <c r="E806" s="6"/>
      <c r="F806" s="6"/>
      <c r="G806" s="1738"/>
    </row>
    <row r="807" spans="1:9" ht="12.75" customHeight="1">
      <c r="A807" s="1950" t="s">
        <v>2277</v>
      </c>
      <c r="B807" s="1950"/>
      <c r="C807" s="1950"/>
      <c r="D807" s="1950"/>
      <c r="E807" s="1950"/>
      <c r="F807" s="1950"/>
      <c r="G807" s="1950"/>
      <c r="H807" s="1852"/>
      <c r="I807" s="1853"/>
    </row>
    <row r="808" spans="1:9" ht="12.75" customHeight="1">
      <c r="A808" s="1713"/>
      <c r="B808" s="1713"/>
      <c r="C808" s="1739"/>
      <c r="D808" s="1737"/>
      <c r="E808" s="1737"/>
      <c r="F808" s="1737"/>
      <c r="G808" s="1738"/>
    </row>
    <row r="809" spans="1:9" ht="12.75" customHeight="1">
      <c r="A809" s="713"/>
      <c r="B809" s="713"/>
      <c r="C809" s="555"/>
      <c r="D809" s="1930" t="s">
        <v>2326</v>
      </c>
      <c r="E809" s="1930"/>
      <c r="F809" s="1930"/>
      <c r="G809" s="677"/>
    </row>
    <row r="810" spans="1:9" ht="14.25" customHeight="1">
      <c r="A810" s="713"/>
      <c r="B810" s="713"/>
      <c r="C810" s="555"/>
      <c r="D810" s="1881" t="s">
        <v>2278</v>
      </c>
      <c r="E810" s="1881"/>
      <c r="F810" s="1881"/>
      <c r="G810" s="677"/>
    </row>
    <row r="811" spans="1:9" ht="12.75" customHeight="1">
      <c r="A811" s="713"/>
      <c r="B811" s="713"/>
      <c r="C811" s="555"/>
      <c r="D811" s="1702"/>
      <c r="E811" s="1702"/>
      <c r="F811" s="1702"/>
      <c r="G811" s="677"/>
    </row>
    <row r="812" spans="1:9" ht="12.75" customHeight="1">
      <c r="A812" s="1741"/>
      <c r="B812" s="797" t="s">
        <v>2679</v>
      </c>
      <c r="C812" s="1739"/>
      <c r="D812" s="1881" t="s">
        <v>2279</v>
      </c>
      <c r="E812" s="1881"/>
      <c r="F812" s="1881"/>
      <c r="G812" s="677"/>
      <c r="I812" s="1773" t="s">
        <v>2473</v>
      </c>
    </row>
    <row r="813" spans="1:9" ht="14.25" customHeight="1">
      <c r="A813" s="1724"/>
      <c r="B813" s="1724"/>
      <c r="C813" s="1739"/>
      <c r="D813" s="5" t="s">
        <v>2255</v>
      </c>
      <c r="E813" s="1890" t="s">
        <v>2280</v>
      </c>
      <c r="F813" s="1890"/>
      <c r="G813" s="677"/>
    </row>
    <row r="814" spans="1:9" ht="12.75" customHeight="1">
      <c r="A814" s="1724"/>
      <c r="B814" s="1724"/>
      <c r="C814" s="1739"/>
      <c r="D814" s="1742"/>
      <c r="E814" s="6"/>
      <c r="F814" s="6"/>
      <c r="G814" s="677"/>
    </row>
    <row r="815" spans="1:9" ht="14.25" hidden="1" customHeight="1">
      <c r="A815" s="1724"/>
      <c r="B815" s="797" t="s">
        <v>316</v>
      </c>
      <c r="C815" s="1739"/>
      <c r="D815" s="1988" t="s">
        <v>2281</v>
      </c>
      <c r="E815" s="1988"/>
      <c r="F815" s="1988"/>
      <c r="G815" s="677"/>
    </row>
    <row r="816" spans="1:9" ht="12.75" hidden="1" customHeight="1">
      <c r="A816" s="1724"/>
      <c r="B816" s="1724"/>
      <c r="C816" s="1739"/>
      <c r="D816" s="1988"/>
      <c r="E816" s="1988"/>
      <c r="F816" s="1988"/>
      <c r="G816" s="677"/>
    </row>
    <row r="817" spans="1:9" ht="12.75" hidden="1" customHeight="1">
      <c r="A817" s="1724"/>
      <c r="B817" s="1724"/>
      <c r="C817" s="1739"/>
      <c r="D817" s="1988"/>
      <c r="E817" s="1988"/>
      <c r="F817" s="1988"/>
      <c r="G817" s="677"/>
    </row>
    <row r="818" spans="1:9" ht="12.75" hidden="1" customHeight="1">
      <c r="A818" s="1724"/>
      <c r="B818" s="1724"/>
      <c r="C818" s="1739"/>
      <c r="D818" s="1988"/>
      <c r="E818" s="1988"/>
      <c r="F818" s="1988"/>
      <c r="G818" s="677"/>
    </row>
    <row r="819" spans="1:9" ht="12.75" hidden="1" customHeight="1">
      <c r="A819" s="1724"/>
      <c r="B819" s="1724"/>
      <c r="C819" s="1739"/>
      <c r="D819" s="1988"/>
      <c r="E819" s="1988"/>
      <c r="F819" s="1988"/>
      <c r="G819" s="677"/>
    </row>
    <row r="820" spans="1:9" ht="12.75" hidden="1" customHeight="1">
      <c r="A820" s="1724"/>
      <c r="B820" s="1724"/>
      <c r="C820" s="1739"/>
      <c r="D820" s="1988"/>
      <c r="E820" s="1988"/>
      <c r="F820" s="1988"/>
      <c r="G820" s="677"/>
    </row>
    <row r="821" spans="1:9" ht="12.75" hidden="1" customHeight="1">
      <c r="A821" s="1724"/>
      <c r="B821" s="1724"/>
      <c r="C821" s="1739"/>
      <c r="D821" s="1988"/>
      <c r="E821" s="1988"/>
      <c r="F821" s="1988"/>
      <c r="G821" s="677"/>
    </row>
    <row r="822" spans="1:9" ht="12.75" hidden="1" customHeight="1">
      <c r="A822" s="1724"/>
      <c r="B822" s="1724"/>
      <c r="C822" s="1739"/>
      <c r="D822" s="1988"/>
      <c r="E822" s="1988"/>
      <c r="F822" s="1988"/>
      <c r="G822" s="677"/>
    </row>
    <row r="823" spans="1:9" ht="12.75" hidden="1" customHeight="1">
      <c r="A823" s="1724"/>
      <c r="B823" s="1724"/>
      <c r="C823" s="1739"/>
      <c r="D823" s="1988"/>
      <c r="E823" s="1988"/>
      <c r="F823" s="1988"/>
      <c r="G823" s="677"/>
    </row>
    <row r="824" spans="1:9" ht="12.75" hidden="1" customHeight="1">
      <c r="A824" s="1724"/>
      <c r="B824" s="1724"/>
      <c r="C824" s="1739"/>
      <c r="D824" s="1988"/>
      <c r="E824" s="1988"/>
      <c r="F824" s="1988"/>
      <c r="G824" s="677"/>
    </row>
    <row r="825" spans="1:9" ht="12.75" hidden="1" customHeight="1">
      <c r="A825" s="1724"/>
      <c r="B825" s="1724"/>
      <c r="C825" s="1739"/>
      <c r="D825" s="1742"/>
      <c r="E825" s="6"/>
      <c r="F825" s="6"/>
      <c r="G825" s="677"/>
    </row>
    <row r="826" spans="1:9" ht="12.75" customHeight="1">
      <c r="A826" s="713"/>
      <c r="B826" s="797" t="s">
        <v>2679</v>
      </c>
      <c r="C826" s="1739"/>
      <c r="D826" s="1881" t="s">
        <v>2282</v>
      </c>
      <c r="E826" s="1881"/>
      <c r="F826" s="1881"/>
      <c r="G826" s="677"/>
      <c r="I826" s="1773" t="s">
        <v>2493</v>
      </c>
    </row>
    <row r="827" spans="1:9" ht="12.75" customHeight="1">
      <c r="A827" s="713"/>
      <c r="B827" s="713"/>
      <c r="C827" s="1739"/>
      <c r="D827" s="1881"/>
      <c r="E827" s="1881"/>
      <c r="F827" s="1881"/>
      <c r="G827" s="677"/>
    </row>
    <row r="828" spans="1:9" ht="12.75" customHeight="1">
      <c r="A828" s="713"/>
      <c r="B828" s="713"/>
      <c r="C828" s="1739"/>
      <c r="D828" s="1881"/>
      <c r="E828" s="1881"/>
      <c r="F828" s="1881"/>
      <c r="G828" s="677"/>
    </row>
    <row r="829" spans="1:9" ht="12.75" customHeight="1">
      <c r="A829" s="402"/>
      <c r="B829" s="402"/>
      <c r="C829" s="1743"/>
      <c r="D829" s="1720"/>
      <c r="E829" s="677"/>
      <c r="F829" s="677"/>
      <c r="G829" s="677"/>
    </row>
    <row r="830" spans="1:9" ht="12.75" customHeight="1">
      <c r="A830" s="1744"/>
      <c r="B830" s="797" t="s">
        <v>2678</v>
      </c>
      <c r="C830" s="1743"/>
      <c r="D830" s="1986" t="s">
        <v>2283</v>
      </c>
      <c r="E830" s="1986"/>
      <c r="F830" s="1986"/>
      <c r="G830" s="677"/>
    </row>
    <row r="831" spans="1:9" ht="12.75" customHeight="1">
      <c r="A831" s="555"/>
      <c r="B831" s="1744"/>
      <c r="C831" s="1743"/>
      <c r="D831" s="1986"/>
      <c r="E831" s="1986"/>
      <c r="F831" s="1986"/>
      <c r="G831" s="677"/>
    </row>
    <row r="832" spans="1:9" ht="12.75" customHeight="1">
      <c r="A832" s="402"/>
      <c r="B832" s="555"/>
      <c r="C832" s="1743"/>
      <c r="D832" s="1882" t="s">
        <v>2284</v>
      </c>
      <c r="E832" s="1882"/>
      <c r="F832" s="1882"/>
      <c r="G832" s="677"/>
    </row>
    <row r="833" spans="1:9" ht="12.75" customHeight="1">
      <c r="A833" s="402"/>
      <c r="B833" s="402"/>
      <c r="C833" s="1743"/>
      <c r="D833" s="1882"/>
      <c r="E833" s="1882"/>
      <c r="F833" s="1882"/>
      <c r="G833" s="677"/>
    </row>
    <row r="834" spans="1:9" ht="12.75" customHeight="1">
      <c r="A834" s="402"/>
      <c r="B834" s="402"/>
      <c r="C834" s="1743"/>
      <c r="D834" s="1882"/>
      <c r="E834" s="1882"/>
      <c r="F834" s="1882"/>
      <c r="G834" s="677"/>
    </row>
    <row r="835" spans="1:9" ht="12.75" customHeight="1">
      <c r="A835" s="402"/>
      <c r="B835" s="402"/>
      <c r="C835" s="1743"/>
      <c r="D835" s="1882"/>
      <c r="E835" s="1882"/>
      <c r="F835" s="1882"/>
      <c r="G835" s="677"/>
    </row>
    <row r="836" spans="1:9" ht="12.75" customHeight="1">
      <c r="A836" s="402"/>
      <c r="B836" s="402"/>
      <c r="C836" s="1743"/>
      <c r="D836" s="1882"/>
      <c r="E836" s="1882"/>
      <c r="F836" s="1882"/>
      <c r="G836" s="677"/>
    </row>
    <row r="837" spans="1:9" ht="12.75" customHeight="1">
      <c r="A837" s="402"/>
      <c r="B837" s="402"/>
      <c r="C837" s="1743"/>
      <c r="D837" s="1882"/>
      <c r="E837" s="1882"/>
      <c r="F837" s="1882"/>
      <c r="G837" s="677"/>
    </row>
    <row r="838" spans="1:9" ht="12.75" customHeight="1">
      <c r="A838" s="402"/>
      <c r="B838" s="402"/>
      <c r="C838" s="1743"/>
      <c r="D838" s="1720"/>
      <c r="E838" s="677"/>
      <c r="F838" s="677"/>
      <c r="G838" s="677"/>
    </row>
    <row r="839" spans="1:9" ht="12.75" customHeight="1">
      <c r="A839" s="402"/>
      <c r="B839" s="797" t="s">
        <v>2678</v>
      </c>
      <c r="C839" s="1743"/>
      <c r="D839" s="1882" t="s">
        <v>2285</v>
      </c>
      <c r="E839" s="1882"/>
      <c r="F839" s="1882"/>
      <c r="G839" s="677"/>
      <c r="I839" s="1773" t="s">
        <v>2474</v>
      </c>
    </row>
    <row r="840" spans="1:9" ht="12.75" customHeight="1">
      <c r="A840" s="402"/>
      <c r="B840" s="402"/>
      <c r="C840" s="1743"/>
      <c r="D840" s="1882" t="s">
        <v>2286</v>
      </c>
      <c r="E840" s="1882"/>
      <c r="F840" s="1882"/>
      <c r="G840" s="677"/>
    </row>
    <row r="841" spans="1:9" ht="12.75" customHeight="1">
      <c r="A841" s="402"/>
      <c r="B841" s="402"/>
      <c r="C841" s="1743"/>
      <c r="D841" s="183" t="s">
        <v>2252</v>
      </c>
      <c r="E841" s="1980" t="s">
        <v>2287</v>
      </c>
      <c r="F841" s="1980"/>
      <c r="G841" s="677"/>
    </row>
    <row r="842" spans="1:9" ht="12.75" customHeight="1">
      <c r="A842" s="402"/>
      <c r="B842" s="402"/>
      <c r="C842" s="1743"/>
      <c r="D842" s="1720"/>
      <c r="E842" s="677"/>
      <c r="F842" s="677"/>
      <c r="G842" s="677"/>
    </row>
    <row r="843" spans="1:9" ht="12.75" customHeight="1">
      <c r="A843" s="402"/>
      <c r="B843" s="797" t="s">
        <v>2678</v>
      </c>
      <c r="C843" s="1743"/>
      <c r="D843" s="1882" t="s">
        <v>2288</v>
      </c>
      <c r="E843" s="1882"/>
      <c r="F843" s="1882"/>
      <c r="G843" s="677"/>
      <c r="I843" s="1773" t="s">
        <v>2494</v>
      </c>
    </row>
    <row r="844" spans="1:9" ht="12.75" customHeight="1">
      <c r="A844" s="402"/>
      <c r="B844" s="402"/>
      <c r="C844" s="1743"/>
      <c r="D844" s="1882"/>
      <c r="E844" s="1882"/>
      <c r="F844" s="1882"/>
      <c r="G844" s="677"/>
    </row>
    <row r="845" spans="1:9" ht="12.75" customHeight="1">
      <c r="A845" s="402"/>
      <c r="B845" s="402"/>
      <c r="C845" s="1743"/>
      <c r="D845" s="1882"/>
      <c r="E845" s="1882"/>
      <c r="F845" s="1882"/>
      <c r="G845" s="677"/>
    </row>
    <row r="846" spans="1:9" ht="12.75" customHeight="1">
      <c r="A846" s="402"/>
      <c r="B846" s="402"/>
      <c r="C846" s="1743"/>
      <c r="D846" s="1882"/>
      <c r="E846" s="1882"/>
      <c r="F846" s="1882"/>
      <c r="G846" s="677"/>
    </row>
    <row r="847" spans="1:9" ht="12.75" customHeight="1">
      <c r="A847" s="1713"/>
      <c r="B847" s="1713"/>
      <c r="C847" s="1745"/>
      <c r="D847" s="1707"/>
      <c r="E847" s="6"/>
      <c r="F847" s="6"/>
      <c r="G847" s="677"/>
    </row>
    <row r="848" spans="1:9" ht="12.75" customHeight="1">
      <c r="A848" s="1719" t="s">
        <v>2289</v>
      </c>
      <c r="B848" s="1719"/>
      <c r="C848" s="1746"/>
      <c r="D848" s="1746"/>
      <c r="E848" s="1746"/>
      <c r="F848" s="1746"/>
      <c r="G848" s="1747"/>
      <c r="H848" s="1852"/>
      <c r="I848" s="1853"/>
    </row>
    <row r="849" spans="1:9" ht="12.75" customHeight="1">
      <c r="A849" s="1713"/>
      <c r="B849" s="1713"/>
      <c r="C849" s="1745"/>
      <c r="D849" s="1748"/>
      <c r="E849" s="6"/>
      <c r="F849" s="6"/>
      <c r="G849" s="677"/>
    </row>
    <row r="850" spans="1:9" ht="12.75" customHeight="1">
      <c r="A850" s="1741"/>
      <c r="B850" s="1741"/>
      <c r="C850" s="313"/>
      <c r="D850" s="1904" t="s">
        <v>2327</v>
      </c>
      <c r="E850" s="1904"/>
      <c r="F850" s="1904"/>
      <c r="G850" s="1738"/>
    </row>
    <row r="851" spans="1:9" ht="12.75" customHeight="1">
      <c r="A851" s="1741"/>
      <c r="B851" s="1741"/>
      <c r="C851" s="313"/>
      <c r="D851" s="1987" t="s">
        <v>2290</v>
      </c>
      <c r="E851" s="1987"/>
      <c r="F851" s="1987"/>
      <c r="G851" s="1738"/>
    </row>
    <row r="852" spans="1:9" ht="12.75" customHeight="1">
      <c r="A852" s="1741"/>
      <c r="B852" s="1741"/>
      <c r="C852" s="313"/>
      <c r="D852" s="1749"/>
      <c r="E852" s="1749"/>
      <c r="F852" s="1749"/>
      <c r="G852" s="1738"/>
    </row>
    <row r="853" spans="1:9" ht="12.75" customHeight="1">
      <c r="A853" s="713"/>
      <c r="B853" s="797" t="s">
        <v>2679</v>
      </c>
      <c r="C853" s="555"/>
      <c r="D853" s="1894" t="s">
        <v>2291</v>
      </c>
      <c r="E853" s="1894"/>
      <c r="F853" s="1894"/>
      <c r="G853" s="1738"/>
      <c r="I853" s="1773" t="s">
        <v>2474</v>
      </c>
    </row>
    <row r="854" spans="1:9" ht="12.75" customHeight="1">
      <c r="A854" s="1741"/>
      <c r="B854" s="1741"/>
      <c r="C854" s="555"/>
      <c r="D854" s="5" t="s">
        <v>2252</v>
      </c>
      <c r="E854" s="1982" t="s">
        <v>2287</v>
      </c>
      <c r="F854" s="1982"/>
      <c r="G854" s="1738"/>
    </row>
    <row r="855" spans="1:9" ht="12.75" customHeight="1">
      <c r="A855" s="1741"/>
      <c r="B855" s="1741"/>
      <c r="C855" s="555"/>
      <c r="D855" s="1707"/>
      <c r="E855" s="1737"/>
      <c r="F855" s="1737"/>
      <c r="G855" s="1738"/>
    </row>
    <row r="856" spans="1:9" ht="12.75" customHeight="1">
      <c r="A856" s="713"/>
      <c r="B856" s="797" t="s">
        <v>2679</v>
      </c>
      <c r="C856" s="555"/>
      <c r="D856" s="1881" t="s">
        <v>2292</v>
      </c>
      <c r="E856" s="1905"/>
      <c r="F856" s="1905"/>
      <c r="G856" s="677"/>
      <c r="I856" s="1773" t="s">
        <v>2494</v>
      </c>
    </row>
    <row r="857" spans="1:9" ht="12.75" customHeight="1">
      <c r="A857" s="1741"/>
      <c r="B857" s="1741"/>
      <c r="C857" s="555"/>
      <c r="D857" s="1905"/>
      <c r="E857" s="1905"/>
      <c r="F857" s="1905"/>
      <c r="G857" s="677"/>
    </row>
    <row r="858" spans="1:9" ht="12.75" customHeight="1">
      <c r="A858" s="1741"/>
      <c r="B858" s="1741"/>
      <c r="C858" s="555"/>
      <c r="D858" s="1707"/>
      <c r="E858" s="6"/>
      <c r="F858" s="6"/>
      <c r="G858" s="677"/>
    </row>
    <row r="859" spans="1:9" ht="12.75" customHeight="1">
      <c r="A859" s="555"/>
      <c r="B859" s="797" t="s">
        <v>2678</v>
      </c>
      <c r="C859" s="556"/>
      <c r="D859" s="1983" t="s">
        <v>2293</v>
      </c>
      <c r="E859" s="1983"/>
      <c r="F859" s="1983"/>
      <c r="G859" s="1738"/>
    </row>
    <row r="860" spans="1:9" ht="12.75" customHeight="1">
      <c r="A860" s="555"/>
      <c r="B860" s="1750"/>
      <c r="C860" s="556"/>
      <c r="D860" s="1983"/>
      <c r="E860" s="1983"/>
      <c r="F860" s="1983"/>
      <c r="G860" s="1738"/>
    </row>
    <row r="861" spans="1:9" ht="12.75" customHeight="1">
      <c r="A861" s="713"/>
      <c r="B861" s="676"/>
      <c r="C861" s="555"/>
      <c r="D861" s="1882" t="s">
        <v>2284</v>
      </c>
      <c r="E861" s="1882"/>
      <c r="F861" s="1882"/>
      <c r="G861" s="1738"/>
    </row>
    <row r="862" spans="1:9" ht="12.75" customHeight="1">
      <c r="A862" s="713"/>
      <c r="B862" s="713"/>
      <c r="C862" s="555"/>
      <c r="D862" s="1882"/>
      <c r="E862" s="1882"/>
      <c r="F862" s="1882"/>
      <c r="G862" s="1738"/>
    </row>
    <row r="863" spans="1:9" ht="12.75" customHeight="1">
      <c r="A863" s="713"/>
      <c r="B863" s="713"/>
      <c r="C863" s="555"/>
      <c r="D863" s="1882"/>
      <c r="E863" s="1882"/>
      <c r="F863" s="1882"/>
      <c r="G863" s="1738"/>
    </row>
    <row r="864" spans="1:9" ht="12.75" customHeight="1">
      <c r="A864" s="713"/>
      <c r="B864" s="713"/>
      <c r="C864" s="555"/>
      <c r="D864" s="1882"/>
      <c r="E864" s="1882"/>
      <c r="F864" s="1882"/>
      <c r="G864" s="1738"/>
    </row>
    <row r="865" spans="1:9" ht="12.75" customHeight="1">
      <c r="A865" s="713"/>
      <c r="B865" s="713"/>
      <c r="C865" s="555"/>
      <c r="D865" s="1882"/>
      <c r="E865" s="1882"/>
      <c r="F865" s="1882"/>
      <c r="G865" s="1738"/>
    </row>
    <row r="866" spans="1:9" ht="12.75" customHeight="1">
      <c r="A866" s="713"/>
      <c r="B866" s="713"/>
      <c r="C866" s="555"/>
      <c r="D866" s="1882"/>
      <c r="E866" s="1882"/>
      <c r="F866" s="1882"/>
      <c r="G866" s="1738"/>
    </row>
    <row r="867" spans="1:9" ht="12.75" customHeight="1">
      <c r="A867" s="713"/>
      <c r="B867" s="713"/>
      <c r="C867" s="555"/>
      <c r="D867" s="1707"/>
      <c r="E867" s="1737"/>
      <c r="F867" s="1737"/>
      <c r="G867" s="1738"/>
    </row>
    <row r="868" spans="1:9" ht="12.75" customHeight="1">
      <c r="A868" s="713"/>
      <c r="B868" s="797" t="s">
        <v>2678</v>
      </c>
      <c r="C868" s="555"/>
      <c r="D868" s="1947" t="s">
        <v>2285</v>
      </c>
      <c r="E868" s="1947"/>
      <c r="F868" s="1947"/>
      <c r="G868" s="1738"/>
      <c r="I868" s="1773" t="s">
        <v>2474</v>
      </c>
    </row>
    <row r="869" spans="1:9" ht="12.75" customHeight="1">
      <c r="A869" s="713"/>
      <c r="B869" s="713"/>
      <c r="C869" s="555"/>
      <c r="D869" s="1947" t="s">
        <v>2286</v>
      </c>
      <c r="E869" s="1947"/>
      <c r="F869" s="1947"/>
      <c r="G869" s="1738"/>
    </row>
    <row r="870" spans="1:9" ht="12.75" customHeight="1">
      <c r="A870" s="713"/>
      <c r="B870" s="713"/>
      <c r="C870" s="555"/>
      <c r="D870" s="5" t="s">
        <v>1504</v>
      </c>
      <c r="E870" s="1984" t="s">
        <v>2287</v>
      </c>
      <c r="F870" s="1984"/>
      <c r="G870" s="1738"/>
    </row>
    <row r="871" spans="1:9" ht="12.75" customHeight="1">
      <c r="A871" s="713"/>
      <c r="B871" s="713"/>
      <c r="C871" s="555"/>
      <c r="D871" s="1707"/>
      <c r="E871" s="1737"/>
      <c r="F871" s="1737"/>
      <c r="G871" s="1738"/>
    </row>
    <row r="872" spans="1:9" ht="12.75" customHeight="1">
      <c r="A872" s="713"/>
      <c r="B872" s="797" t="s">
        <v>2678</v>
      </c>
      <c r="C872" s="555"/>
      <c r="D872" s="1881" t="s">
        <v>2288</v>
      </c>
      <c r="E872" s="1881"/>
      <c r="F872" s="1881"/>
      <c r="G872" s="1738"/>
      <c r="I872" s="1773" t="s">
        <v>2494</v>
      </c>
    </row>
    <row r="873" spans="1:9" ht="12.75" customHeight="1">
      <c r="A873" s="713"/>
      <c r="B873" s="713"/>
      <c r="C873" s="555"/>
      <c r="D873" s="1881"/>
      <c r="E873" s="1881"/>
      <c r="F873" s="1881"/>
      <c r="G873" s="1738"/>
    </row>
    <row r="874" spans="1:9" ht="12.75" customHeight="1">
      <c r="A874" s="713"/>
      <c r="B874" s="713"/>
      <c r="C874" s="555"/>
      <c r="D874" s="1881"/>
      <c r="E874" s="1881"/>
      <c r="F874" s="1881"/>
      <c r="G874" s="1738"/>
    </row>
    <row r="875" spans="1:9" ht="12.75" customHeight="1">
      <c r="A875" s="713"/>
      <c r="B875" s="713"/>
      <c r="C875" s="555"/>
      <c r="D875" s="1881"/>
      <c r="E875" s="1881"/>
      <c r="F875" s="1881"/>
      <c r="G875" s="1738"/>
    </row>
    <row r="876" spans="1:9" ht="12.75" customHeight="1">
      <c r="A876" s="1708"/>
      <c r="B876" s="1708"/>
      <c r="C876" s="1739"/>
      <c r="D876" s="1737"/>
      <c r="E876" s="1737"/>
      <c r="F876" s="1737"/>
      <c r="G876" s="1738"/>
    </row>
    <row r="877" spans="1:9" ht="12.75" customHeight="1">
      <c r="A877" s="1950" t="s">
        <v>2328</v>
      </c>
      <c r="B877" s="1950"/>
      <c r="C877" s="1950"/>
      <c r="D877" s="1950"/>
      <c r="E877" s="1950"/>
      <c r="F877" s="1950"/>
      <c r="G877" s="1950"/>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40" t="s">
        <v>2334</v>
      </c>
      <c r="E879" s="1940"/>
      <c r="F879" s="1940"/>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2679</v>
      </c>
      <c r="C881" s="93"/>
      <c r="D881" s="1721" t="s">
        <v>2335</v>
      </c>
      <c r="E881" s="1715"/>
      <c r="F881" s="1715"/>
      <c r="G881" s="93"/>
      <c r="I881" s="1773" t="s">
        <v>2508</v>
      </c>
    </row>
    <row r="882" spans="1:9" s="1771" customFormat="1" ht="12.75" customHeight="1">
      <c r="A882" s="93"/>
      <c r="B882" s="93"/>
      <c r="C882" s="93"/>
      <c r="D882" s="1715"/>
      <c r="E882" s="1715"/>
      <c r="F882" s="1715"/>
      <c r="G882" s="93"/>
      <c r="I882" s="1773"/>
    </row>
    <row r="883" spans="1:9" ht="12.75" customHeight="1">
      <c r="A883" s="1741"/>
      <c r="B883" s="1741"/>
      <c r="C883" s="1739"/>
      <c r="D883" s="1940" t="s">
        <v>2329</v>
      </c>
      <c r="E883" s="1940"/>
      <c r="F883" s="1940"/>
      <c r="G883" s="1738"/>
    </row>
    <row r="884" spans="1:9" ht="12.75" customHeight="1">
      <c r="A884" s="1713"/>
      <c r="B884" s="1713"/>
      <c r="C884" s="1745"/>
      <c r="D884" s="1894" t="s">
        <v>2294</v>
      </c>
      <c r="E884" s="1894"/>
      <c r="F884" s="1894"/>
      <c r="G884" s="1738"/>
    </row>
    <row r="885" spans="1:9" ht="12.75" customHeight="1">
      <c r="A885" s="1755"/>
      <c r="B885" s="1755"/>
      <c r="C885" s="1739"/>
      <c r="D885" s="5"/>
      <c r="E885" s="1737"/>
      <c r="F885" s="1737"/>
      <c r="G885" s="1738"/>
    </row>
    <row r="886" spans="1:9" ht="12.75" customHeight="1">
      <c r="A886" s="713"/>
      <c r="B886" s="797" t="s">
        <v>2679</v>
      </c>
      <c r="C886" s="555"/>
      <c r="D886" s="1881" t="s">
        <v>2298</v>
      </c>
      <c r="E886" s="1881"/>
      <c r="F886" s="1881"/>
      <c r="G886" s="677"/>
      <c r="I886" s="1773" t="s">
        <v>2458</v>
      </c>
    </row>
    <row r="887" spans="1:9" ht="12.75" customHeight="1">
      <c r="A887" s="1741"/>
      <c r="B887" s="1741"/>
      <c r="C887" s="555"/>
      <c r="D887" s="1881"/>
      <c r="E887" s="1881"/>
      <c r="F887" s="1881"/>
      <c r="G887" s="677"/>
    </row>
    <row r="888" spans="1:9" s="1771" customFormat="1" ht="12.75" customHeight="1">
      <c r="A888" s="1845"/>
      <c r="B888" s="1845"/>
      <c r="C888" s="1745"/>
      <c r="D888" s="1881" t="s">
        <v>2297</v>
      </c>
      <c r="E888" s="1881"/>
      <c r="F888" s="1881"/>
      <c r="G888" s="1738"/>
      <c r="I888" s="1773"/>
    </row>
    <row r="889" spans="1:9" s="1771" customFormat="1" ht="12.75" customHeight="1">
      <c r="A889" s="1845"/>
      <c r="B889" s="1845"/>
      <c r="C889" s="1745"/>
      <c r="D889" s="1881"/>
      <c r="E889" s="1881"/>
      <c r="F889" s="1881"/>
      <c r="G889" s="1738"/>
      <c r="I889" s="1773"/>
    </row>
    <row r="890" spans="1:9" ht="12.75" customHeight="1">
      <c r="A890" s="1713"/>
      <c r="B890" s="1713"/>
      <c r="C890" s="1745"/>
      <c r="D890" s="6"/>
      <c r="E890" s="6"/>
      <c r="F890" s="1737"/>
      <c r="G890" s="1738"/>
    </row>
    <row r="891" spans="1:9" ht="12.75" customHeight="1">
      <c r="A891" s="402"/>
      <c r="B891" s="797" t="s">
        <v>2679</v>
      </c>
      <c r="C891" s="485"/>
      <c r="D891" s="1980" t="s">
        <v>2295</v>
      </c>
      <c r="E891" s="1980"/>
      <c r="F891" s="1980"/>
      <c r="G891" s="1738"/>
      <c r="I891" s="1773" t="s">
        <v>2457</v>
      </c>
    </row>
    <row r="892" spans="1:9" ht="12.75" customHeight="1">
      <c r="A892" s="402"/>
      <c r="B892" s="402"/>
      <c r="C892" s="485"/>
      <c r="D892" s="1980"/>
      <c r="E892" s="1980"/>
      <c r="F892" s="1980"/>
      <c r="G892" s="1738"/>
    </row>
    <row r="893" spans="1:9" ht="12.75" customHeight="1">
      <c r="A893" s="402"/>
      <c r="B893" s="402"/>
      <c r="C893" s="485"/>
      <c r="D893" s="1980"/>
      <c r="E893" s="1980"/>
      <c r="F893" s="1980"/>
      <c r="G893" s="1738"/>
    </row>
    <row r="894" spans="1:9" s="1771" customFormat="1" ht="12.75" customHeight="1">
      <c r="A894" s="402"/>
      <c r="B894" s="402"/>
      <c r="C894" s="485"/>
      <c r="D894" s="1980"/>
      <c r="E894" s="1980"/>
      <c r="F894" s="1980"/>
      <c r="G894" s="1738"/>
      <c r="I894" s="1773"/>
    </row>
    <row r="895" spans="1:9" ht="12.75" customHeight="1">
      <c r="A895" s="402"/>
      <c r="B895" s="402"/>
      <c r="C895" s="485"/>
      <c r="D895" s="1980"/>
      <c r="E895" s="1980"/>
      <c r="F895" s="1980"/>
      <c r="G895" s="1738"/>
    </row>
    <row r="896" spans="1:9" ht="12.75" customHeight="1">
      <c r="A896" s="486"/>
      <c r="B896" s="486"/>
      <c r="C896" s="485"/>
      <c r="D896" s="1980"/>
      <c r="E896" s="1980"/>
      <c r="F896" s="1980"/>
      <c r="G896" s="1738"/>
    </row>
    <row r="897" spans="1:9" ht="12.75" customHeight="1">
      <c r="A897" s="486"/>
      <c r="B897" s="486"/>
      <c r="C897" s="485"/>
      <c r="D897" s="1980"/>
      <c r="E897" s="1980"/>
      <c r="F897" s="1980"/>
      <c r="G897" s="1738"/>
    </row>
    <row r="898" spans="1:9" ht="12.75" customHeight="1">
      <c r="A898" s="486"/>
      <c r="B898" s="486"/>
      <c r="C898" s="485"/>
      <c r="D898" s="1980"/>
      <c r="E898" s="1980"/>
      <c r="F898" s="1980"/>
      <c r="G898" s="1738"/>
    </row>
    <row r="899" spans="1:9" s="1771" customFormat="1" ht="12.75" customHeight="1">
      <c r="A899" s="486"/>
      <c r="B899" s="486"/>
      <c r="C899" s="485"/>
      <c r="D899" s="1846"/>
      <c r="E899" s="1846"/>
      <c r="F899" s="1846"/>
      <c r="G899" s="1738"/>
      <c r="I899" s="1773"/>
    </row>
    <row r="900" spans="1:9" ht="12.75" customHeight="1">
      <c r="A900" s="1755"/>
      <c r="B900" s="797" t="s">
        <v>2678</v>
      </c>
      <c r="C900" s="1739"/>
      <c r="D900" s="1881" t="s">
        <v>2299</v>
      </c>
      <c r="E900" s="1881"/>
      <c r="F900" s="1881"/>
      <c r="G900" s="1738"/>
    </row>
    <row r="901" spans="1:9" ht="12.75" customHeight="1">
      <c r="A901" s="1755"/>
      <c r="B901" s="1755"/>
      <c r="C901" s="1739"/>
      <c r="D901" s="1881"/>
      <c r="E901" s="1881"/>
      <c r="F901" s="1881"/>
      <c r="G901" s="1738"/>
    </row>
    <row r="902" spans="1:9" ht="12.75" customHeight="1">
      <c r="A902" s="1755"/>
      <c r="B902" s="1755"/>
      <c r="C902" s="1739"/>
      <c r="D902" s="1737"/>
      <c r="E902" s="1737"/>
      <c r="F902" s="1737"/>
      <c r="G902" s="1738"/>
    </row>
    <row r="903" spans="1:9" ht="12.75" customHeight="1">
      <c r="A903" s="1755"/>
      <c r="B903" s="797" t="s">
        <v>2678</v>
      </c>
      <c r="C903" s="1739"/>
      <c r="D903" s="1938" t="s">
        <v>2300</v>
      </c>
      <c r="E903" s="1938"/>
      <c r="F903" s="1938"/>
      <c r="G903" s="1738"/>
    </row>
    <row r="904" spans="1:9" ht="12.75" customHeight="1">
      <c r="A904" s="1755"/>
      <c r="B904" s="1755"/>
      <c r="C904" s="1739"/>
      <c r="D904" s="1938"/>
      <c r="E904" s="1938"/>
      <c r="F904" s="1938"/>
      <c r="G904" s="1738"/>
    </row>
    <row r="905" spans="1:9" ht="12.75" customHeight="1">
      <c r="A905" s="1755"/>
      <c r="B905" s="1755"/>
      <c r="C905" s="1739"/>
      <c r="D905" s="1938"/>
      <c r="E905" s="1938"/>
      <c r="F905" s="1938"/>
      <c r="G905" s="1738"/>
    </row>
    <row r="906" spans="1:9" ht="12.75" customHeight="1">
      <c r="A906" s="1755"/>
      <c r="B906" s="1755"/>
      <c r="C906" s="1739"/>
      <c r="D906" s="1938"/>
      <c r="E906" s="1938"/>
      <c r="F906" s="1938"/>
      <c r="G906" s="1738"/>
    </row>
    <row r="907" spans="1:9" ht="12.75" customHeight="1">
      <c r="A907" s="1755"/>
      <c r="B907" s="1755"/>
      <c r="C907" s="1739"/>
      <c r="D907" s="1707"/>
      <c r="E907" s="1737"/>
      <c r="F907" s="1737"/>
      <c r="G907" s="1738"/>
    </row>
    <row r="908" spans="1:9" ht="12.75" customHeight="1">
      <c r="A908" s="1755"/>
      <c r="B908" s="797" t="s">
        <v>2678</v>
      </c>
      <c r="C908" s="1739"/>
      <c r="D908" s="1894" t="s">
        <v>2301</v>
      </c>
      <c r="E908" s="1894"/>
      <c r="F908" s="1894"/>
      <c r="G908" s="1738"/>
    </row>
    <row r="909" spans="1:9" ht="12.75" customHeight="1">
      <c r="A909" s="1755"/>
      <c r="B909" s="1755"/>
      <c r="C909" s="1739"/>
      <c r="D909" s="1707"/>
      <c r="E909" s="1737"/>
      <c r="F909" s="1737"/>
      <c r="G909" s="1738"/>
    </row>
    <row r="910" spans="1:9" ht="12.75" customHeight="1">
      <c r="A910" s="1755"/>
      <c r="B910" s="797" t="s">
        <v>2678</v>
      </c>
      <c r="C910" s="1739"/>
      <c r="D910" s="1894" t="s">
        <v>2302</v>
      </c>
      <c r="E910" s="1894"/>
      <c r="F910" s="1894"/>
      <c r="G910" s="1738"/>
    </row>
    <row r="911" spans="1:9" ht="12.75" customHeight="1">
      <c r="A911" s="486"/>
      <c r="B911" s="486"/>
      <c r="C911" s="485"/>
      <c r="D911" s="183"/>
      <c r="E911" s="677"/>
      <c r="F911" s="1738"/>
      <c r="G911" s="1738"/>
    </row>
    <row r="912" spans="1:9" ht="12.75" customHeight="1">
      <c r="A912" s="1751"/>
      <c r="B912" s="797" t="s">
        <v>2678</v>
      </c>
      <c r="C912" s="1752"/>
      <c r="D912" s="1980" t="s">
        <v>2296</v>
      </c>
      <c r="E912" s="1980"/>
      <c r="F912" s="1980"/>
      <c r="G912" s="1753"/>
      <c r="I912" s="1773" t="s">
        <v>2509</v>
      </c>
    </row>
    <row r="913" spans="1:9" ht="12.75" customHeight="1">
      <c r="A913" s="1751"/>
      <c r="B913" s="1751"/>
      <c r="C913" s="1752"/>
      <c r="D913" s="1980"/>
      <c r="E913" s="1980"/>
      <c r="F913" s="1980"/>
      <c r="G913" s="1753"/>
    </row>
    <row r="914" spans="1:9" ht="12.75" customHeight="1">
      <c r="A914" s="1751"/>
      <c r="B914" s="1751"/>
      <c r="C914" s="1752"/>
      <c r="D914" s="1980"/>
      <c r="E914" s="1980"/>
      <c r="F914" s="1980"/>
      <c r="G914" s="1753"/>
    </row>
    <row r="915" spans="1:9" ht="12.75" customHeight="1">
      <c r="A915" s="1751"/>
      <c r="B915" s="1751"/>
      <c r="C915" s="1752"/>
      <c r="D915" s="1980"/>
      <c r="E915" s="1980"/>
      <c r="F915" s="1980"/>
      <c r="G915" s="1753"/>
    </row>
    <row r="916" spans="1:9" ht="12.75" customHeight="1">
      <c r="A916" s="1751"/>
      <c r="B916" s="1751"/>
      <c r="C916" s="1752"/>
      <c r="D916" s="1980"/>
      <c r="E916" s="1980"/>
      <c r="F916" s="1980"/>
      <c r="G916" s="1753"/>
    </row>
    <row r="917" spans="1:9" ht="12.75" customHeight="1">
      <c r="A917" s="1751"/>
      <c r="B917" s="1751"/>
      <c r="C917" s="1752"/>
      <c r="D917" s="1980"/>
      <c r="E917" s="1980"/>
      <c r="F917" s="1980"/>
      <c r="G917" s="1753"/>
    </row>
    <row r="918" spans="1:9" ht="12.75" customHeight="1">
      <c r="A918" s="1751"/>
      <c r="B918" s="1751"/>
      <c r="C918" s="1752"/>
      <c r="D918" s="1980"/>
      <c r="E918" s="1980"/>
      <c r="F918" s="1980"/>
      <c r="G918" s="1753"/>
    </row>
    <row r="919" spans="1:9" ht="12.75" customHeight="1">
      <c r="A919" s="1751"/>
      <c r="B919" s="1751"/>
      <c r="C919" s="1752"/>
      <c r="D919" s="1980"/>
      <c r="E919" s="1980"/>
      <c r="F919" s="1980"/>
      <c r="G919" s="1753"/>
    </row>
    <row r="920" spans="1:9" ht="12.75" customHeight="1">
      <c r="A920" s="1751"/>
      <c r="B920" s="1751"/>
      <c r="C920" s="1752"/>
      <c r="D920" s="1980"/>
      <c r="E920" s="1980"/>
      <c r="F920" s="1980"/>
      <c r="G920" s="1753"/>
    </row>
    <row r="921" spans="1:9" ht="12.75" customHeight="1">
      <c r="A921" s="486"/>
      <c r="B921" s="486"/>
      <c r="C921" s="485"/>
      <c r="D921" s="183"/>
      <c r="E921" s="677"/>
      <c r="F921" s="1738"/>
      <c r="G921" s="1738"/>
    </row>
    <row r="922" spans="1:9" ht="12.75" customHeight="1">
      <c r="A922" s="402"/>
      <c r="B922" s="797" t="s">
        <v>2679</v>
      </c>
      <c r="C922" s="485"/>
      <c r="D922" s="1981" t="s">
        <v>2512</v>
      </c>
      <c r="E922" s="1981"/>
      <c r="F922" s="1981"/>
      <c r="G922" s="1738"/>
      <c r="I922" s="1773" t="s">
        <v>2509</v>
      </c>
    </row>
    <row r="923" spans="1:9" ht="12.75" customHeight="1">
      <c r="A923" s="402"/>
      <c r="B923" s="402"/>
      <c r="C923" s="485"/>
      <c r="D923" s="1981"/>
      <c r="E923" s="1981"/>
      <c r="F923" s="1981"/>
      <c r="G923" s="1738"/>
    </row>
    <row r="924" spans="1:9" ht="12.75" customHeight="1">
      <c r="A924" s="402"/>
      <c r="B924" s="402"/>
      <c r="C924" s="485"/>
      <c r="D924" s="1981"/>
      <c r="E924" s="1981"/>
      <c r="F924" s="1981"/>
      <c r="G924" s="1738"/>
    </row>
    <row r="925" spans="1:9" ht="12.75" customHeight="1">
      <c r="A925" s="402"/>
      <c r="B925" s="402"/>
      <c r="C925" s="485"/>
      <c r="D925" s="1981"/>
      <c r="E925" s="1981"/>
      <c r="F925" s="1981"/>
      <c r="G925" s="1738"/>
    </row>
    <row r="926" spans="1:9" ht="12.75" customHeight="1">
      <c r="A926" s="402"/>
      <c r="B926" s="402"/>
      <c r="C926" s="485"/>
      <c r="D926" s="1981"/>
      <c r="E926" s="1981"/>
      <c r="F926" s="1981"/>
      <c r="G926" s="1738"/>
    </row>
    <row r="927" spans="1:9" ht="12.75" customHeight="1">
      <c r="A927" s="402"/>
      <c r="B927" s="402"/>
      <c r="C927" s="485"/>
      <c r="D927" s="1981"/>
      <c r="E927" s="1981"/>
      <c r="F927" s="1981"/>
      <c r="G927" s="1738"/>
    </row>
    <row r="928" spans="1:9" ht="12.75" customHeight="1">
      <c r="A928" s="402"/>
      <c r="B928" s="402"/>
      <c r="C928" s="485"/>
      <c r="D928" s="1981"/>
      <c r="E928" s="1981"/>
      <c r="F928" s="1981"/>
      <c r="G928" s="1738"/>
    </row>
    <row r="929" spans="1:9" s="1771" customFormat="1" ht="12.75" customHeight="1">
      <c r="A929" s="402"/>
      <c r="B929" s="402"/>
      <c r="C929" s="485"/>
      <c r="D929" s="1847"/>
      <c r="E929" s="1847"/>
      <c r="F929" s="1847"/>
      <c r="G929" s="1738"/>
      <c r="I929" s="1773"/>
    </row>
    <row r="930" spans="1:9" s="1771" customFormat="1" ht="12.75" customHeight="1">
      <c r="A930" s="402"/>
      <c r="B930" s="1774" t="s">
        <v>2679</v>
      </c>
      <c r="C930" s="485"/>
      <c r="D930" s="1893" t="s">
        <v>2510</v>
      </c>
      <c r="E930" s="1893"/>
      <c r="F930" s="1893"/>
      <c r="G930" s="1738"/>
      <c r="I930" s="1773"/>
    </row>
    <row r="931" spans="1:9" s="1771" customFormat="1" ht="12.75" customHeight="1">
      <c r="A931" s="402"/>
      <c r="B931" s="402"/>
      <c r="C931" s="485"/>
      <c r="D931" s="1893"/>
      <c r="E931" s="1893"/>
      <c r="F931" s="1893"/>
      <c r="G931" s="1738"/>
      <c r="I931" s="1773"/>
    </row>
    <row r="932" spans="1:9" s="1771" customFormat="1" ht="12.75" customHeight="1">
      <c r="A932" s="402"/>
      <c r="B932" s="402"/>
      <c r="C932" s="485"/>
      <c r="D932" s="1893"/>
      <c r="E932" s="1893"/>
      <c r="F932" s="1893"/>
      <c r="G932" s="1738"/>
      <c r="I932" s="1773"/>
    </row>
    <row r="933" spans="1:9" s="1771" customFormat="1" ht="12.75" customHeight="1">
      <c r="A933" s="402"/>
      <c r="B933" s="402"/>
      <c r="C933" s="485"/>
      <c r="D933" s="1893"/>
      <c r="E933" s="1893"/>
      <c r="F933" s="1893"/>
      <c r="G933" s="1738"/>
      <c r="I933" s="1773"/>
    </row>
    <row r="934" spans="1:9" s="1771" customFormat="1" ht="12.75" customHeight="1">
      <c r="A934" s="402"/>
      <c r="B934" s="402"/>
      <c r="C934" s="485"/>
      <c r="D934" s="1893"/>
      <c r="E934" s="1893"/>
      <c r="F934" s="1893"/>
      <c r="G934" s="1738"/>
      <c r="I934" s="1773"/>
    </row>
    <row r="935" spans="1:9" s="1771" customFormat="1" ht="12.75" customHeight="1">
      <c r="A935" s="402"/>
      <c r="B935" s="402"/>
      <c r="C935" s="485"/>
      <c r="D935" s="1893"/>
      <c r="E935" s="1893"/>
      <c r="F935" s="1893"/>
      <c r="G935" s="1738"/>
      <c r="I935" s="1773"/>
    </row>
    <row r="936" spans="1:9" s="1771" customFormat="1" ht="12.75" customHeight="1">
      <c r="A936" s="402"/>
      <c r="B936" s="402"/>
      <c r="C936" s="485"/>
      <c r="D936" s="1847"/>
      <c r="E936" s="1847"/>
      <c r="F936" s="1847"/>
      <c r="G936" s="1738"/>
      <c r="I936" s="1773"/>
    </row>
    <row r="937" spans="1:9" ht="12.75" customHeight="1">
      <c r="A937" s="1755"/>
      <c r="B937" s="797" t="s">
        <v>2678</v>
      </c>
      <c r="C937" s="1739"/>
      <c r="D937" s="1985" t="s">
        <v>2303</v>
      </c>
      <c r="E937" s="1985"/>
      <c r="F937" s="1985"/>
      <c r="G937" s="1738"/>
    </row>
    <row r="938" spans="1:9" ht="12.75" customHeight="1">
      <c r="A938" s="1755"/>
      <c r="B938" s="1755"/>
      <c r="C938" s="1739"/>
      <c r="D938" s="1985"/>
      <c r="E938" s="1985"/>
      <c r="F938" s="1985"/>
      <c r="G938" s="1738"/>
    </row>
    <row r="939" spans="1:9" ht="12.75" customHeight="1">
      <c r="A939" s="1755"/>
      <c r="B939" s="1755"/>
      <c r="C939" s="1739"/>
      <c r="D939" s="1985"/>
      <c r="E939" s="1985"/>
      <c r="F939" s="1985"/>
      <c r="G939" s="1738"/>
    </row>
    <row r="940" spans="1:9" s="1771" customFormat="1" ht="12.75" customHeight="1">
      <c r="A940" s="402"/>
      <c r="B940" s="402"/>
      <c r="C940" s="485"/>
      <c r="D940" s="1847"/>
      <c r="E940" s="1847"/>
      <c r="F940" s="1847"/>
      <c r="G940" s="1738"/>
      <c r="I940" s="1773"/>
    </row>
    <row r="941" spans="1:9" ht="12.75" customHeight="1">
      <c r="A941" s="402"/>
      <c r="B941" s="402"/>
      <c r="C941" s="485"/>
      <c r="D941" s="1754"/>
      <c r="E941" s="677"/>
      <c r="F941" s="1738"/>
      <c r="G941" s="1738"/>
    </row>
    <row r="942" spans="1:9" ht="12.75" customHeight="1">
      <c r="A942" s="402"/>
      <c r="B942" s="797" t="s">
        <v>2678</v>
      </c>
      <c r="C942" s="485"/>
      <c r="D942" s="1980" t="s">
        <v>2511</v>
      </c>
      <c r="E942" s="1980"/>
      <c r="F942" s="1980"/>
      <c r="G942" s="1738"/>
      <c r="I942" s="1773" t="s">
        <v>2509</v>
      </c>
    </row>
    <row r="943" spans="1:9" ht="12.75" customHeight="1">
      <c r="A943" s="402"/>
      <c r="B943" s="402"/>
      <c r="C943" s="485"/>
      <c r="D943" s="1980"/>
      <c r="E943" s="1980"/>
      <c r="F943" s="1980"/>
      <c r="G943" s="1738"/>
    </row>
    <row r="944" spans="1:9" ht="12.75" customHeight="1">
      <c r="A944" s="402"/>
      <c r="B944" s="402"/>
      <c r="C944" s="485"/>
      <c r="D944" s="1980"/>
      <c r="E944" s="1980"/>
      <c r="F944" s="1980"/>
      <c r="G944" s="1738"/>
    </row>
    <row r="945" spans="1:9" ht="12.75" customHeight="1">
      <c r="A945" s="402"/>
      <c r="B945" s="402"/>
      <c r="C945" s="485"/>
      <c r="D945" s="1980"/>
      <c r="E945" s="1980"/>
      <c r="F945" s="1980"/>
      <c r="G945" s="1738"/>
    </row>
    <row r="946" spans="1:9" ht="12.75" customHeight="1">
      <c r="A946" s="1757"/>
      <c r="B946" s="1757"/>
      <c r="C946" s="1743"/>
      <c r="D946" s="1704"/>
      <c r="E946" s="1704"/>
      <c r="F946" s="1704"/>
      <c r="G946" s="1704"/>
    </row>
    <row r="947" spans="1:9" ht="12.75" customHeight="1">
      <c r="A947" s="1741"/>
      <c r="B947" s="1741"/>
      <c r="C947" s="555"/>
      <c r="D947" s="1904" t="s">
        <v>2304</v>
      </c>
      <c r="E947" s="1904"/>
      <c r="F947" s="1904"/>
      <c r="G947" s="677"/>
    </row>
    <row r="948" spans="1:9" ht="12.75" customHeight="1">
      <c r="A948" s="713"/>
      <c r="B948" s="797" t="s">
        <v>2678</v>
      </c>
      <c r="C948" s="555"/>
      <c r="D948" s="1894" t="s">
        <v>2330</v>
      </c>
      <c r="E948" s="1894"/>
      <c r="F948" s="1894"/>
      <c r="G948" s="677"/>
      <c r="I948" s="1773" t="s">
        <v>2509</v>
      </c>
    </row>
    <row r="949" spans="1:9" ht="12.75" customHeight="1">
      <c r="A949" s="1741"/>
      <c r="B949" s="1741"/>
      <c r="C949" s="555"/>
      <c r="D949" s="6"/>
      <c r="E949" s="6"/>
      <c r="F949" s="6"/>
      <c r="G949" s="677"/>
    </row>
    <row r="950" spans="1:9" ht="12.75" customHeight="1">
      <c r="A950" s="1741"/>
      <c r="B950" s="1741"/>
      <c r="C950" s="555"/>
      <c r="D950" s="1904" t="s">
        <v>2305</v>
      </c>
      <c r="E950" s="1904"/>
      <c r="F950" s="1904"/>
      <c r="G950" s="676"/>
    </row>
    <row r="951" spans="1:9" ht="12.75" customHeight="1">
      <c r="A951" s="713"/>
      <c r="B951" s="797" t="s">
        <v>2678</v>
      </c>
      <c r="C951" s="555"/>
      <c r="D951" s="1881" t="s">
        <v>2306</v>
      </c>
      <c r="E951" s="1881"/>
      <c r="F951" s="1881"/>
      <c r="G951" s="676"/>
      <c r="I951" s="1773" t="s">
        <v>2509</v>
      </c>
    </row>
    <row r="952" spans="1:9" ht="12.75" customHeight="1">
      <c r="A952" s="713"/>
      <c r="B952" s="713"/>
      <c r="C952" s="555"/>
      <c r="D952" s="1881"/>
      <c r="E952" s="1881"/>
      <c r="F952" s="1881"/>
      <c r="G952" s="676"/>
    </row>
    <row r="953" spans="1:9" ht="12.75" customHeight="1">
      <c r="A953" s="713"/>
      <c r="B953" s="713"/>
      <c r="C953" s="555"/>
      <c r="D953" s="1881"/>
      <c r="E953" s="1881"/>
      <c r="F953" s="1881"/>
      <c r="G953" s="676"/>
    </row>
    <row r="954" spans="1:9" ht="12.75" customHeight="1">
      <c r="A954" s="713"/>
      <c r="B954" s="713"/>
      <c r="C954" s="555"/>
      <c r="D954" s="1881"/>
      <c r="E954" s="1881"/>
      <c r="F954" s="1881"/>
      <c r="G954" s="676"/>
    </row>
    <row r="955" spans="1:9" ht="12.75" customHeight="1">
      <c r="A955" s="713"/>
      <c r="B955" s="713"/>
      <c r="C955" s="555"/>
      <c r="D955" s="1881"/>
      <c r="E955" s="1881"/>
      <c r="F955" s="1881"/>
      <c r="G955" s="676"/>
    </row>
    <row r="956" spans="1:9" ht="12.75" customHeight="1">
      <c r="A956" s="713"/>
      <c r="B956" s="713"/>
      <c r="C956" s="555"/>
      <c r="D956" s="1881"/>
      <c r="E956" s="1881"/>
      <c r="F956" s="1881"/>
      <c r="G956" s="676"/>
    </row>
    <row r="957" spans="1:9" ht="12.75" customHeight="1">
      <c r="A957" s="713"/>
      <c r="B957" s="713"/>
      <c r="C957" s="555"/>
      <c r="D957" s="1881"/>
      <c r="E957" s="1881"/>
      <c r="F957" s="1881"/>
      <c r="G957" s="676"/>
    </row>
    <row r="958" spans="1:9" ht="12.75" customHeight="1">
      <c r="A958" s="713"/>
      <c r="B958" s="713"/>
      <c r="C958" s="555"/>
      <c r="D958" s="1881"/>
      <c r="E958" s="1881"/>
      <c r="F958" s="1881"/>
      <c r="G958" s="676"/>
    </row>
    <row r="959" spans="1:9" ht="12.75" customHeight="1">
      <c r="A959" s="713"/>
      <c r="B959" s="713"/>
      <c r="C959" s="555"/>
      <c r="D959" s="1881"/>
      <c r="E959" s="1881"/>
      <c r="F959" s="1881"/>
      <c r="G959" s="676"/>
    </row>
    <row r="960" spans="1:9" ht="12.75" customHeight="1">
      <c r="A960" s="713"/>
      <c r="B960" s="713"/>
      <c r="C960" s="555"/>
      <c r="D960" s="1881"/>
      <c r="E960" s="1881"/>
      <c r="F960" s="1881"/>
      <c r="G960" s="676"/>
    </row>
    <row r="961" spans="1:9" ht="12.75" customHeight="1">
      <c r="A961" s="713"/>
      <c r="B961" s="713"/>
      <c r="C961" s="555"/>
      <c r="D961" s="1881"/>
      <c r="E961" s="1881"/>
      <c r="F961" s="1881"/>
      <c r="G961" s="676"/>
    </row>
    <row r="962" spans="1:9" ht="12.75" customHeight="1">
      <c r="A962" s="713"/>
      <c r="B962" s="713"/>
      <c r="C962" s="555"/>
      <c r="D962" s="1881"/>
      <c r="E962" s="1881"/>
      <c r="F962" s="1881"/>
      <c r="G962" s="676"/>
    </row>
    <row r="963" spans="1:9" s="1771" customFormat="1" ht="12.75" customHeight="1">
      <c r="A963" s="713"/>
      <c r="B963" s="713"/>
      <c r="C963" s="555"/>
      <c r="D963" s="1881"/>
      <c r="E963" s="1881"/>
      <c r="F963" s="1881"/>
      <c r="G963" s="676"/>
      <c r="I963" s="1773"/>
    </row>
    <row r="964" spans="1:9" ht="12.75" customHeight="1">
      <c r="A964" s="713"/>
      <c r="B964" s="713"/>
      <c r="C964" s="555"/>
      <c r="D964" s="1881"/>
      <c r="E964" s="1881"/>
      <c r="F964" s="1881"/>
      <c r="G964" s="676"/>
    </row>
    <row r="965" spans="1:9" ht="12.75" customHeight="1">
      <c r="A965" s="713"/>
      <c r="B965" s="713"/>
      <c r="C965" s="555"/>
      <c r="D965" s="1881"/>
      <c r="E965" s="1881"/>
      <c r="F965" s="1881"/>
      <c r="G965" s="677"/>
    </row>
    <row r="966" spans="1:9" ht="12.75" customHeight="1">
      <c r="A966" s="1741"/>
      <c r="B966" s="1741"/>
      <c r="C966" s="555"/>
      <c r="D966" s="6"/>
      <c r="E966" s="6"/>
      <c r="F966" s="6"/>
      <c r="G966" s="677"/>
    </row>
    <row r="967" spans="1:9" ht="12.75" customHeight="1">
      <c r="A967" s="1950" t="s">
        <v>2307</v>
      </c>
      <c r="B967" s="1950"/>
      <c r="C967" s="1950"/>
      <c r="D967" s="1950"/>
      <c r="E967" s="1950"/>
      <c r="F967" s="1950"/>
      <c r="G967" s="1950"/>
      <c r="H967" s="1852"/>
      <c r="I967" s="1853"/>
    </row>
    <row r="968" spans="1:9" ht="12.75" customHeight="1">
      <c r="A968" s="1708"/>
      <c r="B968" s="1708"/>
      <c r="C968" s="555"/>
      <c r="D968" s="6"/>
      <c r="E968" s="6"/>
      <c r="F968" s="6"/>
      <c r="G968" s="677"/>
    </row>
    <row r="969" spans="1:9" ht="12.75" customHeight="1">
      <c r="A969" s="1741"/>
      <c r="B969" s="1741"/>
      <c r="C969" s="1739"/>
      <c r="D969" s="1904" t="s">
        <v>2331</v>
      </c>
      <c r="E969" s="1904"/>
      <c r="F969" s="1904"/>
      <c r="G969" s="677"/>
    </row>
    <row r="970" spans="1:9" ht="12.75" customHeight="1">
      <c r="A970" s="1713"/>
      <c r="B970" s="1713"/>
      <c r="C970" s="1745"/>
      <c r="D970" s="1894" t="s">
        <v>2308</v>
      </c>
      <c r="E970" s="1894"/>
      <c r="F970" s="1894"/>
      <c r="G970" s="677"/>
    </row>
    <row r="971" spans="1:9" ht="12.75" customHeight="1">
      <c r="A971" s="1713"/>
      <c r="B971" s="1713"/>
      <c r="C971" s="1745"/>
      <c r="D971" s="6"/>
      <c r="E971" s="6"/>
      <c r="F971" s="1737"/>
      <c r="G971" s="676"/>
    </row>
    <row r="972" spans="1:9" ht="12.75" customHeight="1">
      <c r="A972" s="1741"/>
      <c r="B972" s="797" t="s">
        <v>2679</v>
      </c>
      <c r="C972" s="555"/>
      <c r="D972" s="1890" t="s">
        <v>2309</v>
      </c>
      <c r="E972" s="1890"/>
      <c r="F972" s="1890"/>
      <c r="G972" s="676"/>
      <c r="I972" s="1773" t="s">
        <v>2487</v>
      </c>
    </row>
    <row r="973" spans="1:9" ht="12.75" customHeight="1">
      <c r="A973" s="1741"/>
      <c r="B973" s="1741"/>
      <c r="C973" s="555"/>
      <c r="D973" s="1890"/>
      <c r="E973" s="1890"/>
      <c r="F973" s="1890"/>
      <c r="G973" s="676"/>
    </row>
    <row r="974" spans="1:9" ht="12.75" customHeight="1">
      <c r="A974" s="1741"/>
      <c r="B974" s="1741"/>
      <c r="C974" s="555"/>
      <c r="D974" s="1890"/>
      <c r="E974" s="1890"/>
      <c r="F974" s="1890"/>
      <c r="G974" s="676"/>
    </row>
    <row r="975" spans="1:9" ht="12.75" customHeight="1">
      <c r="A975" s="1741"/>
      <c r="B975" s="1741"/>
      <c r="C975" s="555"/>
      <c r="D975" s="1890"/>
      <c r="E975" s="1890"/>
      <c r="F975" s="1890"/>
      <c r="G975" s="676"/>
    </row>
    <row r="976" spans="1:9" ht="12.75" customHeight="1">
      <c r="A976" s="1725"/>
      <c r="B976" s="1725"/>
      <c r="C976" s="556"/>
      <c r="D976" s="1890"/>
      <c r="E976" s="1890"/>
      <c r="F976" s="1890"/>
      <c r="G976" s="676"/>
    </row>
    <row r="977" spans="1:7" ht="12.75" customHeight="1">
      <c r="A977" s="1725"/>
      <c r="B977" s="1725"/>
      <c r="C977" s="556"/>
      <c r="D977" s="1890"/>
      <c r="E977" s="1890"/>
      <c r="F977" s="1890"/>
      <c r="G977" s="676"/>
    </row>
    <row r="978" spans="1:7" ht="12.75" customHeight="1">
      <c r="A978" s="719"/>
      <c r="B978" s="719"/>
      <c r="C978" s="313"/>
      <c r="D978" s="1890"/>
      <c r="E978" s="1890"/>
      <c r="F978" s="1890"/>
      <c r="G978" s="676"/>
    </row>
    <row r="979" spans="1:7" ht="12.75" customHeight="1">
      <c r="A979" s="719"/>
      <c r="B979" s="719"/>
      <c r="C979" s="313"/>
      <c r="D979" s="1890"/>
      <c r="E979" s="1890"/>
      <c r="F979" s="1890"/>
      <c r="G979" s="676"/>
    </row>
    <row r="980" spans="1:7" ht="12.75" customHeight="1">
      <c r="A980" s="719"/>
      <c r="B980" s="719"/>
      <c r="C980" s="313"/>
      <c r="D980" s="1705"/>
      <c r="E980" s="1705"/>
      <c r="F980" s="1705"/>
      <c r="G980" s="676"/>
    </row>
    <row r="981" spans="1:7" ht="12.75" customHeight="1">
      <c r="A981" s="719"/>
      <c r="B981" s="797" t="s">
        <v>2678</v>
      </c>
      <c r="C981" s="313"/>
      <c r="D981" s="1882" t="s">
        <v>2310</v>
      </c>
      <c r="E981" s="1882"/>
      <c r="F981" s="1882"/>
      <c r="G981" s="676"/>
    </row>
    <row r="982" spans="1:7" ht="12.75" customHeight="1">
      <c r="A982" s="719"/>
      <c r="B982" s="719"/>
      <c r="C982" s="313"/>
      <c r="D982" s="1882"/>
      <c r="E982" s="1882"/>
      <c r="F982" s="1882"/>
      <c r="G982" s="676"/>
    </row>
    <row r="983" spans="1:7" ht="12.75" customHeight="1">
      <c r="A983" s="719"/>
      <c r="B983" s="719"/>
      <c r="C983" s="313"/>
      <c r="D983" s="1882"/>
      <c r="E983" s="1882"/>
      <c r="F983" s="1882"/>
      <c r="G983" s="676"/>
    </row>
    <row r="984" spans="1:7" ht="12.75" customHeight="1">
      <c r="A984" s="719"/>
      <c r="B984" s="719"/>
      <c r="C984" s="313"/>
      <c r="D984" s="1882"/>
      <c r="E984" s="1882"/>
      <c r="F984" s="1882"/>
      <c r="G984" s="676"/>
    </row>
    <row r="985" spans="1:7" ht="12.75" customHeight="1">
      <c r="A985" s="719"/>
      <c r="B985" s="719"/>
      <c r="C985" s="313"/>
      <c r="D985" s="1703"/>
      <c r="E985" s="1703"/>
      <c r="F985" s="1703"/>
      <c r="G985" s="676"/>
    </row>
    <row r="986" spans="1:7" ht="12.75" customHeight="1">
      <c r="A986" s="719"/>
      <c r="B986" s="797" t="s">
        <v>2678</v>
      </c>
      <c r="C986" s="313"/>
      <c r="D986" s="1882" t="s">
        <v>2311</v>
      </c>
      <c r="E986" s="1882"/>
      <c r="F986" s="1882"/>
      <c r="G986" s="676"/>
    </row>
    <row r="987" spans="1:7" ht="12.75" customHeight="1">
      <c r="A987" s="719"/>
      <c r="B987" s="719"/>
      <c r="C987" s="313"/>
      <c r="D987" s="1882"/>
      <c r="E987" s="1882"/>
      <c r="F987" s="1882"/>
      <c r="G987" s="676"/>
    </row>
    <row r="988" spans="1:7" ht="12.75" customHeight="1">
      <c r="A988" s="719"/>
      <c r="B988" s="719"/>
      <c r="C988" s="313"/>
      <c r="D988" s="1703"/>
      <c r="E988" s="1703"/>
      <c r="F988" s="1703"/>
      <c r="G988" s="676"/>
    </row>
    <row r="989" spans="1:7" ht="12.75" customHeight="1">
      <c r="A989" s="713"/>
      <c r="B989" s="797" t="s">
        <v>2679</v>
      </c>
      <c r="C989" s="555"/>
      <c r="D989" s="1894" t="s">
        <v>2312</v>
      </c>
      <c r="E989" s="1894"/>
      <c r="F989" s="1894"/>
      <c r="G989" s="676"/>
    </row>
    <row r="990" spans="1:7" ht="12.75" customHeight="1">
      <c r="A990" s="1741"/>
      <c r="B990" s="1741"/>
      <c r="C990" s="555"/>
      <c r="D990" s="6"/>
      <c r="E990" s="6"/>
      <c r="F990" s="6"/>
      <c r="G990" s="676"/>
    </row>
    <row r="991" spans="1:7" ht="12.75" customHeight="1">
      <c r="A991" s="713"/>
      <c r="B991" s="797" t="s">
        <v>2678</v>
      </c>
      <c r="C991" s="555"/>
      <c r="D991" s="1894" t="s">
        <v>2313</v>
      </c>
      <c r="E991" s="1894"/>
      <c r="F991" s="1894"/>
      <c r="G991" s="676"/>
    </row>
    <row r="992" spans="1:7" ht="12.75" customHeight="1">
      <c r="A992" s="1741"/>
      <c r="B992" s="1741"/>
      <c r="C992" s="555"/>
      <c r="D992" s="1707"/>
      <c r="E992" s="6"/>
      <c r="F992" s="6"/>
      <c r="G992" s="676"/>
    </row>
    <row r="993" spans="1:9" ht="12.75" customHeight="1">
      <c r="A993" s="713"/>
      <c r="B993" s="797" t="s">
        <v>2679</v>
      </c>
      <c r="C993" s="555"/>
      <c r="D993" s="1894" t="s">
        <v>2314</v>
      </c>
      <c r="E993" s="1894"/>
      <c r="F993" s="1894"/>
      <c r="G993" s="676"/>
    </row>
    <row r="994" spans="1:9" ht="12.75" customHeight="1">
      <c r="A994" s="1741"/>
      <c r="B994" s="1741"/>
      <c r="C994" s="555"/>
      <c r="D994" s="1707"/>
      <c r="E994" s="6"/>
      <c r="F994" s="6"/>
      <c r="G994" s="676"/>
    </row>
    <row r="995" spans="1:9" ht="12.75" customHeight="1">
      <c r="A995" s="713"/>
      <c r="B995" s="797" t="s">
        <v>2678</v>
      </c>
      <c r="C995" s="555"/>
      <c r="D995" s="1881" t="s">
        <v>2315</v>
      </c>
      <c r="E995" s="1881"/>
      <c r="F995" s="1881"/>
      <c r="G995" s="676"/>
    </row>
    <row r="996" spans="1:9" ht="12.75" customHeight="1">
      <c r="A996" s="713"/>
      <c r="B996" s="713"/>
      <c r="C996" s="555"/>
      <c r="D996" s="1881"/>
      <c r="E996" s="1881"/>
      <c r="F996" s="1881"/>
      <c r="G996" s="676"/>
    </row>
    <row r="997" spans="1:9" ht="12.75" customHeight="1">
      <c r="A997" s="713"/>
      <c r="B997" s="713"/>
      <c r="C997" s="555"/>
      <c r="D997" s="1707"/>
      <c r="E997" s="6"/>
      <c r="F997" s="6"/>
      <c r="G997" s="677"/>
    </row>
    <row r="998" spans="1:9" ht="12.75" customHeight="1">
      <c r="A998" s="406"/>
      <c r="B998" s="797" t="s">
        <v>2678</v>
      </c>
      <c r="C998" s="1758"/>
      <c r="D998" s="1948" t="s">
        <v>2316</v>
      </c>
      <c r="E998" s="1948"/>
      <c r="F998" s="1948"/>
      <c r="G998" s="1759"/>
    </row>
    <row r="999" spans="1:9" ht="12.75" customHeight="1">
      <c r="A999" s="1758"/>
      <c r="B999" s="1758"/>
      <c r="C999" s="1758"/>
      <c r="D999" s="1948"/>
      <c r="E999" s="1948"/>
      <c r="F999" s="1948"/>
      <c r="G999" s="1759"/>
    </row>
    <row r="1000" spans="1:9" ht="12.75" customHeight="1">
      <c r="A1000" s="1758"/>
      <c r="B1000" s="1758"/>
      <c r="C1000" s="1758"/>
      <c r="D1000" s="1760"/>
      <c r="E1000" s="1761"/>
      <c r="F1000" s="1761"/>
      <c r="G1000" s="1759"/>
    </row>
    <row r="1001" spans="1:9" ht="12.75" customHeight="1">
      <c r="A1001" s="406"/>
      <c r="B1001" s="797" t="s">
        <v>2678</v>
      </c>
      <c r="C1001" s="1758"/>
      <c r="D1001" s="1979" t="s">
        <v>2317</v>
      </c>
      <c r="E1001" s="1979"/>
      <c r="F1001" s="1979"/>
      <c r="G1001" s="1759"/>
    </row>
    <row r="1002" spans="1:9" ht="12.75" customHeight="1">
      <c r="A1002" s="1758"/>
      <c r="B1002" s="1758"/>
      <c r="C1002" s="1758"/>
      <c r="D1002" s="1760"/>
      <c r="E1002" s="1761"/>
      <c r="F1002" s="1761"/>
      <c r="G1002" s="1759"/>
    </row>
    <row r="1003" spans="1:9" ht="12.75" customHeight="1">
      <c r="A1003" s="713"/>
      <c r="B1003" s="797" t="s">
        <v>2678</v>
      </c>
      <c r="C1003" s="555"/>
      <c r="D1003" s="1894" t="s">
        <v>2318</v>
      </c>
      <c r="E1003" s="1894"/>
      <c r="F1003" s="1894"/>
      <c r="G1003" s="677"/>
    </row>
    <row r="1004" spans="1:9" ht="12.75" customHeight="1">
      <c r="A1004" s="713"/>
      <c r="B1004" s="713"/>
      <c r="C1004" s="555"/>
      <c r="D1004" s="1707"/>
      <c r="E1004" s="6"/>
      <c r="F1004" s="6"/>
      <c r="G1004" s="677"/>
    </row>
    <row r="1005" spans="1:9" ht="12.75" customHeight="1">
      <c r="A1005" s="713"/>
      <c r="B1005" s="797" t="s">
        <v>2678</v>
      </c>
      <c r="C1005" s="555"/>
      <c r="D1005" s="1881" t="s">
        <v>2319</v>
      </c>
      <c r="E1005" s="1881"/>
      <c r="F1005" s="1881"/>
      <c r="G1005" s="677"/>
    </row>
    <row r="1006" spans="1:9" ht="12.75" customHeight="1">
      <c r="A1006" s="713"/>
      <c r="B1006" s="713"/>
      <c r="C1006" s="555"/>
      <c r="D1006" s="1881"/>
      <c r="E1006" s="1881"/>
      <c r="F1006" s="1881"/>
      <c r="G1006" s="677"/>
    </row>
    <row r="1007" spans="1:9" ht="12.75" customHeight="1">
      <c r="A1007" s="1741"/>
      <c r="B1007" s="1741"/>
      <c r="C1007" s="555"/>
      <c r="D1007" s="6"/>
      <c r="E1007" s="6"/>
      <c r="F1007" s="6"/>
      <c r="G1007" s="677"/>
    </row>
    <row r="1008" spans="1:9" ht="12.75" customHeight="1">
      <c r="A1008" s="1950" t="s">
        <v>2320</v>
      </c>
      <c r="B1008" s="1950"/>
      <c r="C1008" s="1950"/>
      <c r="D1008" s="1950"/>
      <c r="E1008" s="1950"/>
      <c r="F1008" s="1950"/>
      <c r="G1008" s="1950"/>
      <c r="H1008" s="1852"/>
      <c r="I1008" s="1853"/>
    </row>
    <row r="1009" spans="1:9" ht="12.75" customHeight="1">
      <c r="A1009" s="1741"/>
      <c r="B1009" s="1741"/>
      <c r="C1009" s="555"/>
      <c r="D1009" s="6"/>
      <c r="E1009" s="6"/>
      <c r="F1009" s="6"/>
      <c r="G1009" s="677"/>
    </row>
    <row r="1010" spans="1:9" ht="12.75" customHeight="1">
      <c r="A1010" s="1725"/>
      <c r="B1010" s="1725"/>
      <c r="C1010" s="556"/>
      <c r="D1010" s="1940" t="s">
        <v>2321</v>
      </c>
      <c r="E1010" s="1940"/>
      <c r="F1010" s="1940"/>
      <c r="G1010" s="677"/>
    </row>
    <row r="1011" spans="1:9" ht="12.75" customHeight="1">
      <c r="A1011" s="1725"/>
      <c r="B1011" s="1725"/>
      <c r="C1011" s="556"/>
      <c r="D1011" s="1978" t="s">
        <v>2322</v>
      </c>
      <c r="E1011" s="1978"/>
      <c r="F1011" s="1978"/>
      <c r="G1011" s="677"/>
    </row>
    <row r="1012" spans="1:9" ht="12.75" customHeight="1">
      <c r="A1012" s="673"/>
      <c r="B1012" s="673"/>
      <c r="C1012" s="1714"/>
      <c r="D1012" s="677"/>
      <c r="E1012" s="677"/>
      <c r="F1012" s="677"/>
      <c r="G1012" s="677"/>
    </row>
    <row r="1013" spans="1:9" ht="12.75" customHeight="1">
      <c r="A1013" s="713"/>
      <c r="B1013" s="713"/>
      <c r="C1013" s="313"/>
      <c r="D1013" s="1940" t="s">
        <v>2336</v>
      </c>
      <c r="E1013" s="1940"/>
      <c r="F1013" s="1940"/>
      <c r="G1013" s="677"/>
      <c r="I1013" s="1773" t="s">
        <v>2459</v>
      </c>
    </row>
    <row r="1014" spans="1:9" ht="12.75" customHeight="1">
      <c r="A1014" s="1741"/>
      <c r="B1014" s="797" t="s">
        <v>2679</v>
      </c>
      <c r="C1014" s="555"/>
      <c r="D1014" s="1978" t="s">
        <v>1505</v>
      </c>
      <c r="E1014" s="1978"/>
      <c r="F1014" s="1978"/>
      <c r="G1014" s="677"/>
    </row>
    <row r="1015" spans="1:9" s="1771" customFormat="1" ht="12.75" customHeight="1">
      <c r="A1015" s="1741"/>
      <c r="B1015" s="713"/>
      <c r="C1015" s="555"/>
      <c r="D1015" s="1975" t="s">
        <v>2323</v>
      </c>
      <c r="E1015" s="1975"/>
      <c r="F1015" s="1975"/>
      <c r="G1015" s="677"/>
      <c r="I1015" s="1773"/>
    </row>
    <row r="1016" spans="1:9" ht="12.75" customHeight="1">
      <c r="A1016" s="1741"/>
      <c r="B1016" s="1741"/>
      <c r="C1016" s="555"/>
      <c r="D1016" s="1978"/>
      <c r="E1016" s="1978"/>
      <c r="F1016" s="1978"/>
      <c r="G1016" s="677"/>
    </row>
    <row r="1017" spans="1:9" ht="12.75" customHeight="1">
      <c r="A1017" s="1970" t="s">
        <v>2332</v>
      </c>
      <c r="B1017" s="1970"/>
      <c r="C1017" s="1970"/>
      <c r="D1017" s="1970"/>
      <c r="E1017" s="1970"/>
      <c r="F1017" s="1970"/>
      <c r="G1017" s="1970"/>
      <c r="H1017" s="1852"/>
      <c r="I1017" s="1853"/>
    </row>
    <row r="1018" spans="1:9" ht="12.75" customHeight="1">
      <c r="A1018" s="254"/>
      <c r="B1018" s="254"/>
      <c r="C1018" s="1733"/>
      <c r="D1018" s="685"/>
      <c r="E1018" s="685"/>
      <c r="F1018" s="685"/>
      <c r="G1018" s="685"/>
    </row>
    <row r="1019" spans="1:9" ht="12.75" customHeight="1">
      <c r="A1019" s="254"/>
      <c r="B1019" s="1768"/>
      <c r="C1019" s="1775"/>
      <c r="D1019" s="1954" t="s">
        <v>1506</v>
      </c>
      <c r="E1019" s="1954"/>
      <c r="F1019" s="1954"/>
      <c r="G1019" s="685"/>
    </row>
    <row r="1020" spans="1:9" ht="12.75" customHeight="1">
      <c r="A1020" s="254"/>
      <c r="B1020" s="1774" t="s">
        <v>2679</v>
      </c>
      <c r="C1020" s="1775"/>
      <c r="D1020" s="1957" t="s">
        <v>1505</v>
      </c>
      <c r="E1020" s="1957"/>
      <c r="F1020" s="1957"/>
      <c r="G1020" s="685"/>
    </row>
    <row r="1021" spans="1:9" ht="12.75" customHeight="1">
      <c r="A1021" s="254"/>
      <c r="B1021" s="1771"/>
      <c r="C1021" s="1775"/>
      <c r="D1021" s="1957" t="s">
        <v>2333</v>
      </c>
      <c r="E1021" s="1957"/>
      <c r="F1021" s="1957"/>
      <c r="G1021" s="685"/>
    </row>
    <row r="1022" spans="1:9" s="1771" customFormat="1" ht="12.75" customHeight="1">
      <c r="A1022" s="254"/>
      <c r="C1022" s="1775"/>
      <c r="D1022" s="1769"/>
      <c r="E1022" s="1769"/>
      <c r="F1022" s="1769"/>
      <c r="G1022" s="685"/>
      <c r="I1022" s="1773"/>
    </row>
    <row r="1023" spans="1:9" ht="12.75" customHeight="1">
      <c r="A1023" s="254"/>
      <c r="B1023" s="254"/>
      <c r="C1023" s="1733"/>
      <c r="D1023" s="1976" t="s">
        <v>1185</v>
      </c>
      <c r="E1023" s="1976"/>
      <c r="F1023" s="1976"/>
      <c r="G1023" s="685"/>
      <c r="I1023" s="1773" t="s">
        <v>2488</v>
      </c>
    </row>
    <row r="1024" spans="1:9" ht="12.75" customHeight="1">
      <c r="A1024" s="502"/>
      <c r="B1024" s="502"/>
      <c r="C1024" s="501"/>
      <c r="D1024" s="1977" t="s">
        <v>1202</v>
      </c>
      <c r="E1024" s="1977"/>
      <c r="F1024" s="1977"/>
      <c r="G1024" s="1762"/>
    </row>
    <row r="1025" spans="1:9" ht="12.75" customHeight="1">
      <c r="A1025" s="713"/>
      <c r="B1025" s="1774" t="s">
        <v>2678</v>
      </c>
      <c r="C1025" s="556"/>
      <c r="D1025" s="1947" t="s">
        <v>1070</v>
      </c>
      <c r="E1025" s="1947"/>
      <c r="F1025" s="1947"/>
      <c r="G1025" s="677"/>
    </row>
    <row r="1026" spans="1:9" ht="12.75" customHeight="1">
      <c r="A1026" s="1725"/>
      <c r="B1026" s="1725"/>
      <c r="C1026" s="556"/>
      <c r="D1026" s="6"/>
      <c r="E1026" s="1972" t="s">
        <v>1186</v>
      </c>
      <c r="F1026" s="1972"/>
      <c r="G1026" s="677"/>
    </row>
    <row r="1027" spans="1:9">
      <c r="A1027" s="789"/>
      <c r="B1027" s="789"/>
      <c r="C1027" s="789"/>
      <c r="D1027" s="789"/>
      <c r="E1027" s="789"/>
      <c r="F1027" s="789"/>
      <c r="G1027" s="789"/>
    </row>
    <row r="1028" spans="1:9">
      <c r="A1028" s="1970" t="s">
        <v>2353</v>
      </c>
      <c r="B1028" s="1970"/>
      <c r="C1028" s="1970"/>
      <c r="D1028" s="1970"/>
      <c r="E1028" s="1970"/>
      <c r="F1028" s="1970"/>
      <c r="G1028" s="1970"/>
      <c r="H1028" s="1852"/>
      <c r="I1028" s="1853"/>
    </row>
    <row r="1029" spans="1:9">
      <c r="A1029" s="789"/>
      <c r="B1029" s="789"/>
      <c r="C1029" s="789"/>
      <c r="D1029" s="789"/>
      <c r="E1029" s="789"/>
      <c r="F1029" s="789"/>
      <c r="G1029" s="789"/>
    </row>
    <row r="1030" spans="1:9">
      <c r="A1030" s="789"/>
      <c r="B1030" s="789"/>
      <c r="C1030" s="789"/>
      <c r="D1030" s="1773" t="s">
        <v>2339</v>
      </c>
      <c r="E1030" s="789"/>
      <c r="F1030" s="789"/>
      <c r="G1030" s="789"/>
    </row>
    <row r="1031" spans="1:9" s="1771" customFormat="1">
      <c r="D1031" s="1770" t="s">
        <v>2338</v>
      </c>
      <c r="I1031" s="1773"/>
    </row>
    <row r="1032" spans="1:9" s="1771" customFormat="1">
      <c r="D1032" s="1773"/>
      <c r="I1032" s="1773"/>
    </row>
    <row r="1033" spans="1:9">
      <c r="A1033" s="789"/>
      <c r="B1033" s="1774" t="s">
        <v>2678</v>
      </c>
      <c r="C1033" s="789"/>
      <c r="D1033" s="1973" t="s">
        <v>2337</v>
      </c>
      <c r="E1033" s="1973"/>
      <c r="F1033" s="1973"/>
      <c r="G1033" s="789"/>
      <c r="I1033" s="1773" t="s">
        <v>2460</v>
      </c>
    </row>
    <row r="1034" spans="1:9">
      <c r="A1034" s="789"/>
      <c r="B1034" s="789"/>
      <c r="C1034" s="789"/>
      <c r="D1034" s="1973"/>
      <c r="E1034" s="1973"/>
      <c r="F1034" s="1973"/>
      <c r="G1034" s="789"/>
    </row>
    <row r="1035" spans="1:9">
      <c r="A1035" s="789"/>
      <c r="B1035" s="789"/>
      <c r="C1035" s="789"/>
      <c r="D1035" s="1973"/>
      <c r="E1035" s="1973"/>
      <c r="F1035" s="1973"/>
      <c r="G1035" s="789"/>
    </row>
    <row r="1036" spans="1:9">
      <c r="A1036" s="789"/>
      <c r="B1036" s="789"/>
      <c r="C1036" s="789"/>
      <c r="D1036" s="1973"/>
      <c r="E1036" s="1973"/>
      <c r="F1036" s="1973"/>
      <c r="G1036" s="789"/>
    </row>
    <row r="1037" spans="1:9">
      <c r="A1037" s="789"/>
      <c r="B1037" s="789"/>
      <c r="C1037" s="789"/>
      <c r="D1037" s="789"/>
      <c r="E1037" s="789"/>
      <c r="F1037" s="789"/>
      <c r="G1037" s="789"/>
    </row>
    <row r="1038" spans="1:9">
      <c r="A1038" s="789"/>
      <c r="B1038" s="1771"/>
      <c r="C1038" s="789"/>
      <c r="D1038" s="1773" t="s">
        <v>1584</v>
      </c>
      <c r="E1038" s="789"/>
      <c r="F1038" s="789"/>
      <c r="G1038" s="789"/>
    </row>
    <row r="1039" spans="1:9">
      <c r="A1039" s="789"/>
      <c r="B1039" s="789"/>
      <c r="C1039" s="789"/>
      <c r="D1039" s="1771" t="s">
        <v>2340</v>
      </c>
      <c r="E1039" s="789"/>
      <c r="F1039" s="789"/>
      <c r="G1039" s="789"/>
    </row>
    <row r="1040" spans="1:9">
      <c r="A1040" s="789"/>
      <c r="B1040" s="789"/>
      <c r="C1040" s="789"/>
      <c r="D1040" s="789"/>
      <c r="E1040" s="789"/>
      <c r="F1040" s="789"/>
      <c r="G1040" s="789"/>
    </row>
    <row r="1041" spans="1:9">
      <c r="A1041" s="789"/>
      <c r="B1041" s="1774" t="s">
        <v>2679</v>
      </c>
      <c r="C1041" s="789"/>
      <c r="D1041" s="1771" t="s">
        <v>2335</v>
      </c>
      <c r="E1041" s="789"/>
      <c r="F1041" s="789"/>
      <c r="G1041" s="789"/>
      <c r="I1041" s="1773" t="s">
        <v>2461</v>
      </c>
    </row>
    <row r="1042" spans="1:9">
      <c r="A1042" s="789"/>
      <c r="B1042" s="789"/>
      <c r="C1042" s="789"/>
      <c r="D1042" s="789"/>
      <c r="E1042" s="789"/>
      <c r="F1042" s="789"/>
      <c r="G1042" s="789"/>
    </row>
    <row r="1043" spans="1:9">
      <c r="A1043" s="789"/>
      <c r="B1043" s="1774" t="s">
        <v>2679</v>
      </c>
      <c r="C1043" s="789"/>
      <c r="D1043" s="1973" t="s">
        <v>2341</v>
      </c>
      <c r="E1043" s="1973"/>
      <c r="F1043" s="1973"/>
      <c r="G1043" s="789"/>
      <c r="I1043" s="1773" t="s">
        <v>2462</v>
      </c>
    </row>
    <row r="1044" spans="1:9">
      <c r="A1044" s="789"/>
      <c r="B1044" s="789"/>
      <c r="C1044" s="789"/>
      <c r="D1044" s="1973"/>
      <c r="E1044" s="1973"/>
      <c r="F1044" s="1973"/>
      <c r="G1044" s="789"/>
    </row>
    <row r="1045" spans="1:9">
      <c r="A1045" s="789"/>
      <c r="B1045" s="789"/>
      <c r="C1045" s="789"/>
      <c r="D1045" s="1973"/>
      <c r="E1045" s="1973"/>
      <c r="F1045" s="1973"/>
      <c r="G1045" s="789"/>
    </row>
    <row r="1046" spans="1:9">
      <c r="A1046" s="789"/>
      <c r="B1046" s="789"/>
      <c r="C1046" s="789"/>
      <c r="D1046" s="1973"/>
      <c r="E1046" s="1973"/>
      <c r="F1046" s="1973"/>
      <c r="G1046" s="789"/>
    </row>
    <row r="1047" spans="1:9">
      <c r="A1047" s="789"/>
      <c r="B1047" s="789"/>
      <c r="C1047" s="789"/>
      <c r="D1047" s="1973"/>
      <c r="E1047" s="1973"/>
      <c r="F1047" s="1973"/>
      <c r="G1047" s="789"/>
    </row>
    <row r="1048" spans="1:9">
      <c r="A1048" s="789"/>
      <c r="B1048" s="789"/>
      <c r="C1048" s="789"/>
      <c r="D1048" s="789"/>
      <c r="E1048" s="789"/>
      <c r="F1048" s="789"/>
      <c r="G1048" s="789"/>
    </row>
    <row r="1049" spans="1:9">
      <c r="A1049" s="1970" t="s">
        <v>2342</v>
      </c>
      <c r="B1049" s="1970"/>
      <c r="C1049" s="1970"/>
      <c r="D1049" s="1970"/>
      <c r="E1049" s="1970"/>
      <c r="F1049" s="1970"/>
      <c r="G1049" s="1970"/>
      <c r="H1049" s="1852"/>
      <c r="I1049" s="1853"/>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4" t="s">
        <v>2679</v>
      </c>
      <c r="C1052" s="789"/>
      <c r="D1052" s="1766" t="s">
        <v>2345</v>
      </c>
      <c r="E1052" s="1770"/>
      <c r="F1052" s="789"/>
      <c r="G1052" s="789"/>
      <c r="I1052" s="1773" t="s">
        <v>2463</v>
      </c>
    </row>
    <row r="1053" spans="1:9">
      <c r="A1053" s="789"/>
      <c r="B1053" s="789"/>
      <c r="C1053" s="789"/>
      <c r="D1053" s="1766" t="s">
        <v>2347</v>
      </c>
      <c r="E1053" s="1770"/>
      <c r="F1053" s="789"/>
      <c r="G1053" s="789"/>
    </row>
    <row r="1054" spans="1:9" s="1771" customFormat="1">
      <c r="D1054" s="1766"/>
      <c r="E1054" s="1770"/>
      <c r="I1054" s="1773"/>
    </row>
    <row r="1055" spans="1:9">
      <c r="A1055" s="789"/>
      <c r="B1055" s="1774" t="s">
        <v>2678</v>
      </c>
      <c r="C1055" s="789"/>
      <c r="D1055" s="1766" t="s">
        <v>2348</v>
      </c>
      <c r="E1055" s="1770"/>
      <c r="F1055" s="789"/>
      <c r="G1055" s="789"/>
      <c r="I1055" s="1773" t="s">
        <v>2464</v>
      </c>
    </row>
    <row r="1056" spans="1:9" s="1771" customFormat="1">
      <c r="D1056" s="1766" t="s">
        <v>2346</v>
      </c>
      <c r="E1056" s="1770"/>
      <c r="I1056" s="1773"/>
    </row>
    <row r="1057" spans="1:9" s="1771" customFormat="1">
      <c r="D1057" s="1766"/>
      <c r="E1057" s="1770"/>
      <c r="I1057" s="1773"/>
    </row>
    <row r="1058" spans="1:9">
      <c r="A1058" s="789"/>
      <c r="B1058" s="1774" t="s">
        <v>2678</v>
      </c>
      <c r="C1058" s="789"/>
      <c r="D1058" s="1765" t="s">
        <v>2351</v>
      </c>
      <c r="E1058" s="1770"/>
      <c r="F1058" s="789"/>
      <c r="G1058" s="789"/>
      <c r="I1058" s="1773" t="s">
        <v>2465</v>
      </c>
    </row>
    <row r="1059" spans="1:9" s="1771" customFormat="1">
      <c r="D1059" s="1974" t="s">
        <v>2352</v>
      </c>
      <c r="E1059" s="1974"/>
      <c r="F1059" s="1974"/>
      <c r="I1059" s="1773"/>
    </row>
    <row r="1060" spans="1:9" s="1771" customFormat="1">
      <c r="D1060" s="1974"/>
      <c r="E1060" s="1974"/>
      <c r="F1060" s="1974"/>
      <c r="I1060" s="1773"/>
    </row>
    <row r="1061" spans="1:9" s="1771" customFormat="1">
      <c r="D1061" s="1974"/>
      <c r="E1061" s="1974"/>
      <c r="F1061" s="1974"/>
      <c r="I1061" s="1773"/>
    </row>
    <row r="1062" spans="1:9" s="1771" customFormat="1">
      <c r="D1062" s="1974"/>
      <c r="E1062" s="1974"/>
      <c r="F1062" s="1974"/>
      <c r="I1062" s="1773"/>
    </row>
    <row r="1063" spans="1:9" s="1771" customFormat="1">
      <c r="D1063" s="1765" t="s">
        <v>2350</v>
      </c>
      <c r="E1063" s="1770"/>
      <c r="I1063" s="1773"/>
    </row>
    <row r="1064" spans="1:9" s="1771" customFormat="1">
      <c r="D1064" s="1765"/>
      <c r="E1064" s="1770"/>
      <c r="I1064" s="1773"/>
    </row>
    <row r="1065" spans="1:9">
      <c r="A1065" s="789"/>
      <c r="B1065" s="789"/>
      <c r="C1065" s="789"/>
      <c r="D1065" s="1766" t="s">
        <v>2343</v>
      </c>
      <c r="E1065" s="1770"/>
      <c r="F1065" s="789"/>
      <c r="G1065" s="789"/>
      <c r="I1065" s="1773" t="s">
        <v>2466</v>
      </c>
    </row>
    <row r="1066" spans="1:9">
      <c r="A1066" s="789"/>
      <c r="B1066" s="1774" t="s">
        <v>2678</v>
      </c>
      <c r="C1066" s="789"/>
      <c r="D1066" s="1969" t="s">
        <v>2344</v>
      </c>
      <c r="E1066" s="1969"/>
      <c r="F1066" s="1969"/>
      <c r="G1066" s="789"/>
    </row>
    <row r="1067" spans="1:9" s="1771" customFormat="1">
      <c r="D1067" s="1969"/>
      <c r="E1067" s="1969"/>
      <c r="F1067" s="1969"/>
      <c r="I1067" s="1773"/>
    </row>
    <row r="1068" spans="1:9" s="1771" customFormat="1">
      <c r="D1068" s="1969"/>
      <c r="E1068" s="1969"/>
      <c r="F1068" s="1969"/>
      <c r="I1068" s="1773"/>
    </row>
    <row r="1069" spans="1:9" s="1771" customFormat="1">
      <c r="D1069" s="1969"/>
      <c r="E1069" s="1969"/>
      <c r="F1069" s="1969"/>
      <c r="I1069" s="1773"/>
    </row>
    <row r="1070" spans="1:9">
      <c r="A1070" s="789"/>
      <c r="B1070" s="789"/>
      <c r="C1070" s="789"/>
      <c r="D1070" s="1969"/>
      <c r="E1070" s="1969"/>
      <c r="F1070" s="1969"/>
      <c r="G1070" s="789"/>
    </row>
    <row r="1071" spans="1:9">
      <c r="A1071" s="789"/>
      <c r="B1071" s="789"/>
      <c r="C1071" s="789"/>
      <c r="D1071" s="1766" t="s">
        <v>2349</v>
      </c>
      <c r="E1071" s="789"/>
      <c r="F1071" s="789"/>
      <c r="G1071" s="789"/>
    </row>
    <row r="1072" spans="1:9">
      <c r="A1072" s="789"/>
      <c r="B1072" s="789"/>
      <c r="C1072" s="789"/>
      <c r="D1072" s="789"/>
      <c r="E1072" s="789"/>
      <c r="F1072" s="789"/>
      <c r="G1072" s="789"/>
    </row>
    <row r="1073" spans="1:9">
      <c r="A1073" s="1970" t="s">
        <v>2354</v>
      </c>
      <c r="B1073" s="1970"/>
      <c r="C1073" s="1970"/>
      <c r="D1073" s="1970"/>
      <c r="E1073" s="1970"/>
      <c r="F1073" s="1970"/>
      <c r="G1073" s="1970"/>
      <c r="H1073" s="1852"/>
      <c r="I1073" s="1853"/>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4" t="s">
        <v>2678</v>
      </c>
      <c r="C1076" s="789"/>
      <c r="D1076" s="1969" t="s">
        <v>2355</v>
      </c>
      <c r="E1076" s="1969"/>
      <c r="F1076" s="1969"/>
      <c r="G1076" s="789"/>
      <c r="I1076" s="1773" t="s">
        <v>2467</v>
      </c>
    </row>
    <row r="1077" spans="1:9" s="1771" customFormat="1">
      <c r="D1077" s="1969"/>
      <c r="E1077" s="1969"/>
      <c r="F1077" s="1969"/>
      <c r="I1077" s="1773"/>
    </row>
    <row r="1078" spans="1:9" s="1771" customFormat="1">
      <c r="D1078" s="1969"/>
      <c r="E1078" s="1969"/>
      <c r="F1078" s="1969"/>
      <c r="I1078" s="1773"/>
    </row>
    <row r="1079" spans="1:9" s="1771" customFormat="1">
      <c r="D1079" s="1766"/>
      <c r="I1079" s="1773"/>
    </row>
    <row r="1080" spans="1:9">
      <c r="A1080" s="789"/>
      <c r="B1080" s="1774" t="s">
        <v>2678</v>
      </c>
      <c r="C1080" s="789"/>
      <c r="D1080" s="1969" t="s">
        <v>2356</v>
      </c>
      <c r="E1080" s="1969"/>
      <c r="F1080" s="1969"/>
      <c r="G1080" s="789"/>
      <c r="I1080" s="1773" t="s">
        <v>2468</v>
      </c>
    </row>
    <row r="1081" spans="1:9" s="1771" customFormat="1">
      <c r="D1081" s="1969"/>
      <c r="E1081" s="1969"/>
      <c r="F1081" s="1969"/>
      <c r="I1081" s="1773"/>
    </row>
    <row r="1082" spans="1:9" s="1771" customFormat="1">
      <c r="D1082" s="1766"/>
      <c r="I1082" s="1773"/>
    </row>
    <row r="1083" spans="1:9">
      <c r="A1083" s="789"/>
      <c r="B1083" s="1774" t="s">
        <v>2678</v>
      </c>
      <c r="C1083" s="789"/>
      <c r="D1083" s="1969" t="s">
        <v>2515</v>
      </c>
      <c r="E1083" s="1969"/>
      <c r="F1083" s="1969"/>
      <c r="G1083" s="789"/>
      <c r="I1083" s="1773" t="s">
        <v>2513</v>
      </c>
    </row>
    <row r="1084" spans="1:9" s="1771" customFormat="1">
      <c r="D1084" s="1969"/>
      <c r="E1084" s="1969"/>
      <c r="F1084" s="1969"/>
      <c r="I1084" s="1773"/>
    </row>
    <row r="1085" spans="1:9" s="1771" customFormat="1">
      <c r="D1085" s="1969"/>
      <c r="E1085" s="1969"/>
      <c r="F1085" s="1969"/>
      <c r="I1085" s="1773"/>
    </row>
    <row r="1086" spans="1:9" s="1771" customFormat="1">
      <c r="D1086" s="1969"/>
      <c r="E1086" s="1969"/>
      <c r="F1086" s="1969"/>
      <c r="I1086" s="1773"/>
    </row>
    <row r="1087" spans="1:9" s="1771" customFormat="1">
      <c r="D1087" s="1969"/>
      <c r="E1087" s="1969"/>
      <c r="F1087" s="1969"/>
      <c r="I1087" s="1773"/>
    </row>
    <row r="1088" spans="1:9" s="1771" customFormat="1">
      <c r="D1088" s="1969"/>
      <c r="E1088" s="1969"/>
      <c r="F1088" s="1969"/>
      <c r="I1088" s="1773"/>
    </row>
    <row r="1089" spans="1:9" s="1772" customFormat="1">
      <c r="B1089" s="1771"/>
      <c r="D1089" s="1766" t="s">
        <v>2514</v>
      </c>
    </row>
    <row r="1090" spans="1:9">
      <c r="A1090" s="789"/>
      <c r="B1090" s="1774" t="s">
        <v>2678</v>
      </c>
      <c r="C1090" s="789"/>
      <c r="D1090" s="1969" t="s">
        <v>2357</v>
      </c>
      <c r="E1090" s="1969"/>
      <c r="F1090" s="1969"/>
      <c r="G1090" s="789"/>
      <c r="I1090" s="1836" t="s">
        <v>2469</v>
      </c>
    </row>
    <row r="1091" spans="1:9" s="1771" customFormat="1">
      <c r="D1091" s="1969"/>
      <c r="E1091" s="1969"/>
      <c r="F1091" s="1969"/>
      <c r="I1091" s="1773"/>
    </row>
    <row r="1092" spans="1:9" s="1771" customFormat="1">
      <c r="D1092" s="1969"/>
      <c r="E1092" s="1969"/>
      <c r="F1092" s="1969"/>
      <c r="I1092" s="1773"/>
    </row>
    <row r="1093" spans="1:9" s="1771" customFormat="1">
      <c r="D1093" s="1766"/>
      <c r="I1093" s="1773"/>
    </row>
    <row r="1094" spans="1:9">
      <c r="A1094" s="789"/>
      <c r="B1094" s="1774" t="s">
        <v>2678</v>
      </c>
      <c r="C1094" s="789"/>
      <c r="D1094" s="1971" t="s">
        <v>2516</v>
      </c>
      <c r="E1094" s="1971"/>
      <c r="F1094" s="1971"/>
      <c r="G1094" s="789"/>
      <c r="I1094" s="1773" t="s">
        <v>2470</v>
      </c>
    </row>
    <row r="1095" spans="1:9">
      <c r="A1095" s="789"/>
      <c r="B1095" s="789"/>
      <c r="C1095" s="789"/>
      <c r="D1095" s="1971"/>
      <c r="E1095" s="1971"/>
      <c r="F1095" s="1971"/>
      <c r="G1095" s="789"/>
    </row>
    <row r="1096" spans="1:9">
      <c r="A1096" s="789"/>
      <c r="B1096" s="789"/>
      <c r="C1096" s="789"/>
      <c r="D1096" s="1971"/>
      <c r="E1096" s="1971"/>
      <c r="F1096" s="1971"/>
      <c r="G1096" s="789"/>
    </row>
    <row r="1097" spans="1:9" s="1771" customFormat="1">
      <c r="D1097" s="1848"/>
      <c r="E1097" s="1848"/>
      <c r="F1097" s="1848"/>
      <c r="I1097" s="1773"/>
    </row>
    <row r="1098" spans="1:9" s="1771" customFormat="1" ht="15.75" customHeight="1">
      <c r="B1098" s="1774" t="s">
        <v>2678</v>
      </c>
      <c r="D1098" s="1882" t="s">
        <v>2518</v>
      </c>
      <c r="E1098" s="1882"/>
      <c r="F1098" s="1882"/>
      <c r="I1098" s="1773" t="s">
        <v>2517</v>
      </c>
    </row>
    <row r="1099" spans="1:9" s="1771" customFormat="1">
      <c r="D1099" s="1882"/>
      <c r="E1099" s="1882"/>
      <c r="F1099" s="1882"/>
      <c r="I1099" s="1773"/>
    </row>
    <row r="1100" spans="1:9" s="1771" customFormat="1">
      <c r="D1100" s="1882"/>
      <c r="E1100" s="1882"/>
      <c r="F1100" s="1882"/>
      <c r="I1100" s="1773"/>
    </row>
    <row r="1101" spans="1:9" s="1771" customFormat="1">
      <c r="D1101" s="1882"/>
      <c r="E1101" s="1882"/>
      <c r="F1101" s="1882"/>
      <c r="I1101" s="1773"/>
    </row>
    <row r="1102" spans="1:9" s="1771" customFormat="1">
      <c r="D1102" s="1848"/>
      <c r="E1102" s="1848"/>
      <c r="F1102" s="1848"/>
      <c r="I1102" s="1773"/>
    </row>
    <row r="1103" spans="1:9" ht="38.25">
      <c r="A1103" s="789"/>
      <c r="B1103" s="789"/>
      <c r="C1103" s="789"/>
      <c r="D1103" s="789"/>
      <c r="E1103" s="789"/>
      <c r="F1103" s="789"/>
      <c r="G1103" s="789"/>
      <c r="I1103" s="1843" t="s">
        <v>2519</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918"/>
      <c r="H1516" s="1918"/>
      <c r="I1516" s="1918"/>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045" zoomScale="115" zoomScaleNormal="115" zoomScaleSheetLayoutView="80" workbookViewId="0">
      <selection activeCell="D978" sqref="D978:AE978"/>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75"/>
    <row r="8" spans="1:96" ht="18.75">
      <c r="A8" s="2276" t="s">
        <v>105</v>
      </c>
      <c r="B8" s="2276"/>
      <c r="C8" s="2276"/>
      <c r="D8" s="2276"/>
      <c r="E8" s="2276"/>
      <c r="F8" s="2276"/>
      <c r="G8" s="2276"/>
      <c r="H8" s="2276"/>
      <c r="I8" s="2276"/>
      <c r="J8" s="2276"/>
      <c r="K8" s="2276"/>
      <c r="L8" s="2276"/>
      <c r="M8" s="2276"/>
      <c r="N8" s="2276"/>
      <c r="O8" s="2276"/>
      <c r="P8" s="2276"/>
      <c r="Q8" s="2276"/>
      <c r="R8" s="2276"/>
      <c r="S8" s="2276"/>
      <c r="T8" s="2276"/>
      <c r="U8" s="2276"/>
      <c r="V8" s="2276"/>
      <c r="W8" s="2276"/>
      <c r="X8" s="2276"/>
      <c r="Y8" s="2276"/>
      <c r="Z8" s="2276"/>
      <c r="AA8" s="2276"/>
      <c r="AB8" s="2276"/>
      <c r="AC8" s="2276"/>
      <c r="AD8" s="2276"/>
      <c r="AE8" s="2276"/>
      <c r="AF8" s="2276"/>
      <c r="AG8" s="2276"/>
      <c r="AH8" s="2276"/>
      <c r="AI8" s="2276"/>
      <c r="AJ8" s="2276"/>
      <c r="AK8" s="2276"/>
      <c r="AL8" s="2276"/>
      <c r="AM8" s="1570"/>
      <c r="AN8" s="1570"/>
      <c r="AO8" s="1570"/>
      <c r="AP8" s="1570"/>
      <c r="AQ8" s="1570"/>
      <c r="AR8" s="1570"/>
      <c r="AS8" s="1570"/>
      <c r="AT8" s="1570"/>
      <c r="AU8" s="1570"/>
      <c r="AV8" s="1570"/>
      <c r="AW8" s="1570"/>
      <c r="AX8" s="1570"/>
      <c r="AY8" s="1570"/>
    </row>
    <row r="9" spans="1:96" s="718" customFormat="1" ht="12.75">
      <c r="A9" s="2468" t="s">
        <v>1991</v>
      </c>
      <c r="B9" s="2468"/>
      <c r="C9" s="2468"/>
      <c r="D9" s="2468"/>
      <c r="E9" s="2468"/>
      <c r="F9" s="2468"/>
      <c r="G9" s="2468"/>
      <c r="H9" s="2468"/>
      <c r="I9" s="2468"/>
      <c r="J9" s="2468"/>
      <c r="K9" s="2468"/>
      <c r="L9" s="2468"/>
      <c r="M9" s="2468"/>
      <c r="N9" s="2468"/>
      <c r="O9" s="2468"/>
      <c r="P9" s="2468"/>
      <c r="Q9" s="2468"/>
      <c r="R9" s="2468"/>
      <c r="S9" s="2468"/>
      <c r="T9" s="2468"/>
      <c r="U9" s="2468"/>
      <c r="V9" s="2468"/>
      <c r="W9" s="2468"/>
      <c r="X9" s="2468"/>
      <c r="Y9" s="2468"/>
      <c r="Z9" s="2468"/>
      <c r="AA9" s="2468"/>
      <c r="AB9" s="2468"/>
      <c r="AC9" s="2468"/>
      <c r="AD9" s="2468"/>
      <c r="AE9" s="2468"/>
      <c r="AF9" s="2468"/>
      <c r="AG9" s="2468"/>
      <c r="AH9" s="2468"/>
      <c r="AI9" s="2468"/>
      <c r="AJ9" s="2468"/>
      <c r="AK9" s="2468"/>
      <c r="AL9" s="2468"/>
      <c r="AM9" s="1509"/>
      <c r="AN9" s="1509"/>
      <c r="AO9" s="1509"/>
      <c r="AP9" s="1509"/>
      <c r="AQ9" s="1509"/>
      <c r="AR9" s="1509"/>
      <c r="AS9" s="1509"/>
      <c r="AT9" s="1509"/>
      <c r="AU9" s="1509"/>
      <c r="AV9" s="1509"/>
      <c r="AW9" s="1509"/>
      <c r="AX9" s="1509"/>
      <c r="AY9" s="1509"/>
      <c r="CR9" s="25"/>
    </row>
    <row r="10" spans="1:96" ht="15" customHeight="1">
      <c r="A10" s="2360" t="s">
        <v>1992</v>
      </c>
      <c r="B10" s="2360"/>
      <c r="C10" s="2360"/>
      <c r="D10" s="2360"/>
      <c r="E10" s="2360"/>
      <c r="F10" s="2360"/>
      <c r="G10" s="2360"/>
      <c r="H10" s="2360"/>
      <c r="I10" s="2360"/>
      <c r="J10" s="2360"/>
      <c r="K10" s="2360"/>
      <c r="L10" s="2360"/>
      <c r="M10" s="2360"/>
      <c r="N10" s="2360"/>
      <c r="O10" s="2360"/>
      <c r="P10" s="2360"/>
      <c r="Q10" s="2360"/>
      <c r="R10" s="2360"/>
      <c r="S10" s="2360"/>
      <c r="T10" s="2360"/>
      <c r="U10" s="2360"/>
      <c r="V10" s="2360"/>
      <c r="W10" s="2360"/>
      <c r="X10" s="2360"/>
      <c r="Y10" s="2360"/>
      <c r="Z10" s="2360"/>
      <c r="AA10" s="2360"/>
      <c r="AB10" s="2360"/>
      <c r="AC10" s="2360"/>
      <c r="AD10" s="2360"/>
      <c r="AE10" s="2360"/>
      <c r="AF10" s="2360"/>
      <c r="AG10" s="2360"/>
      <c r="AH10" s="2360"/>
      <c r="AI10" s="2360"/>
      <c r="AJ10" s="2360"/>
      <c r="AK10" s="2360"/>
      <c r="AL10" s="2360"/>
      <c r="AM10" s="20"/>
      <c r="AN10" s="20"/>
      <c r="AO10" s="20"/>
      <c r="AP10" s="20"/>
      <c r="AQ10" s="20"/>
      <c r="AR10" s="20"/>
      <c r="AS10" s="20"/>
      <c r="AT10" s="20"/>
      <c r="AU10" s="20"/>
      <c r="AV10" s="20"/>
      <c r="AW10" s="20"/>
      <c r="AX10" s="20"/>
      <c r="AY10" s="20"/>
    </row>
    <row r="11" spans="1:96" ht="15" customHeight="1">
      <c r="A11" s="2468" t="s">
        <v>2012</v>
      </c>
      <c r="B11" s="2468"/>
      <c r="C11" s="2468"/>
      <c r="D11" s="2468"/>
      <c r="E11" s="2468"/>
      <c r="F11" s="2468"/>
      <c r="G11" s="2468"/>
      <c r="H11" s="2468"/>
      <c r="I11" s="2468"/>
      <c r="J11" s="2468"/>
      <c r="K11" s="2468"/>
      <c r="L11" s="2468"/>
      <c r="M11" s="2468"/>
      <c r="N11" s="2468"/>
      <c r="O11" s="2468"/>
      <c r="P11" s="2468"/>
      <c r="Q11" s="2468"/>
      <c r="R11" s="2468"/>
      <c r="S11" s="2468"/>
      <c r="T11" s="2468"/>
      <c r="U11" s="2468"/>
      <c r="V11" s="2468"/>
      <c r="W11" s="2468"/>
      <c r="X11" s="2468"/>
      <c r="Y11" s="2468"/>
      <c r="Z11" s="2468"/>
      <c r="AA11" s="2468"/>
      <c r="AB11" s="2468"/>
      <c r="AC11" s="2468"/>
      <c r="AD11" s="2468"/>
      <c r="AE11" s="2468"/>
      <c r="AF11" s="2468"/>
      <c r="AG11" s="2468"/>
      <c r="AH11" s="2468"/>
      <c r="AI11" s="2468"/>
      <c r="AJ11" s="2468"/>
      <c r="AK11" s="2468"/>
      <c r="AL11" s="2468"/>
      <c r="AM11" s="1509"/>
      <c r="AN11" s="1509"/>
      <c r="AO11" s="1509"/>
      <c r="AP11" s="1509"/>
      <c r="AQ11" s="1509"/>
      <c r="AR11" s="1509"/>
      <c r="AS11" s="1509"/>
      <c r="AT11" s="1509"/>
      <c r="AU11" s="1509"/>
      <c r="AV11" s="1509"/>
      <c r="AW11" s="1509"/>
      <c r="AX11" s="1509"/>
      <c r="AY11" s="1509"/>
    </row>
    <row r="12" spans="1:96" ht="12.75">
      <c r="A12" s="2472" t="s">
        <v>2520</v>
      </c>
      <c r="B12" s="2473"/>
      <c r="C12" s="2473"/>
      <c r="D12" s="2473"/>
      <c r="E12" s="2473"/>
      <c r="F12" s="2473"/>
      <c r="G12" s="2473"/>
      <c r="H12" s="2473"/>
      <c r="I12" s="2473"/>
      <c r="J12" s="2473"/>
      <c r="K12" s="2473"/>
      <c r="L12" s="2473"/>
      <c r="M12" s="2473"/>
      <c r="N12" s="2473"/>
      <c r="O12" s="2473"/>
      <c r="P12" s="2473"/>
      <c r="Q12" s="2473"/>
      <c r="R12" s="2473"/>
      <c r="S12" s="2473"/>
      <c r="T12" s="2473"/>
      <c r="U12" s="2473"/>
      <c r="V12" s="2473"/>
      <c r="W12" s="2473"/>
      <c r="X12" s="2473"/>
      <c r="Y12" s="2473"/>
      <c r="Z12" s="2473"/>
      <c r="AA12" s="2473"/>
      <c r="AB12" s="2473"/>
      <c r="AC12" s="2473"/>
      <c r="AD12" s="2473"/>
      <c r="AE12" s="2473"/>
      <c r="AF12" s="2473"/>
      <c r="AG12" s="2473"/>
      <c r="AH12" s="2473"/>
      <c r="AI12" s="2473"/>
      <c r="AJ12" s="2473"/>
      <c r="AK12" s="2473"/>
      <c r="AL12" s="2473"/>
      <c r="AM12" s="1515"/>
      <c r="AN12" s="1515"/>
      <c r="AO12" s="1515"/>
      <c r="AP12" s="1515"/>
      <c r="AQ12" s="1515"/>
      <c r="AR12" s="1515"/>
      <c r="AS12" s="1515"/>
      <c r="AT12" s="1515"/>
      <c r="AU12" s="1515"/>
      <c r="AV12" s="1515"/>
      <c r="AW12" s="1515"/>
      <c r="AX12" s="1515"/>
      <c r="AY12" s="1515"/>
    </row>
    <row r="13" spans="1:96" ht="12.75">
      <c r="A13" s="1877" t="s">
        <v>1386</v>
      </c>
      <c r="B13" s="1877"/>
      <c r="C13" s="1877"/>
      <c r="D13" s="1877"/>
      <c r="E13" s="1877"/>
      <c r="F13" s="1877"/>
      <c r="G13" s="1877"/>
      <c r="H13" s="1877"/>
      <c r="I13" s="1877"/>
      <c r="J13" s="1877"/>
      <c r="K13" s="1877"/>
      <c r="L13" s="1877"/>
      <c r="M13" s="1877"/>
      <c r="N13" s="1877"/>
      <c r="O13" s="1877"/>
      <c r="P13" s="1877"/>
      <c r="Q13" s="1877"/>
      <c r="R13" s="1877"/>
      <c r="S13" s="1877"/>
      <c r="T13" s="1877"/>
      <c r="U13" s="1877"/>
      <c r="V13" s="1877"/>
      <c r="W13" s="1877"/>
      <c r="X13" s="1877"/>
      <c r="Y13" s="1877"/>
      <c r="Z13" s="1877"/>
      <c r="AA13" s="1877"/>
      <c r="AB13" s="1877"/>
      <c r="AC13" s="1877"/>
      <c r="AD13" s="1877"/>
      <c r="AE13" s="1877"/>
      <c r="AF13" s="1877"/>
      <c r="AG13" s="1877"/>
      <c r="AH13" s="1877"/>
      <c r="AI13" s="1877"/>
      <c r="AJ13" s="1877"/>
      <c r="AK13" s="1877"/>
      <c r="AL13" s="1877"/>
      <c r="AM13" s="1571"/>
      <c r="AN13" s="1571"/>
      <c r="AO13" s="1571"/>
      <c r="AP13" s="1571"/>
      <c r="AQ13" s="1571"/>
      <c r="AR13" s="1571"/>
      <c r="AS13" s="1571"/>
      <c r="AT13" s="1571"/>
      <c r="AU13" s="1571"/>
      <c r="AV13" s="1571"/>
      <c r="AW13" s="1571"/>
      <c r="AX13" s="1571"/>
      <c r="AY13" s="1571"/>
    </row>
    <row r="14" spans="1:96" ht="12.75" customHeight="1" thickBot="1">
      <c r="A14" s="1878"/>
      <c r="B14" s="1878"/>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1374</v>
      </c>
      <c r="C16" s="7"/>
      <c r="D16" s="7"/>
      <c r="E16" s="7"/>
      <c r="F16" s="7"/>
      <c r="G16" s="7"/>
      <c r="H16" s="2460" t="s">
        <v>2521</v>
      </c>
      <c r="I16" s="2460"/>
      <c r="J16" s="2460"/>
      <c r="K16" s="2460"/>
      <c r="L16" s="2460"/>
      <c r="M16" s="2460"/>
      <c r="N16" s="2460"/>
      <c r="O16" s="2460"/>
      <c r="P16" s="2460"/>
      <c r="Q16" s="2460"/>
      <c r="R16" s="2460"/>
      <c r="S16" s="2460"/>
      <c r="T16" s="2460"/>
      <c r="U16" s="2460"/>
      <c r="V16" s="2460"/>
      <c r="W16" s="2460"/>
      <c r="X16" s="2460"/>
      <c r="Y16" s="2460"/>
      <c r="Z16" s="2460"/>
      <c r="AA16" s="2460"/>
      <c r="AB16" s="2460"/>
      <c r="AC16" s="2460"/>
      <c r="AD16" s="2460"/>
      <c r="AE16" s="2460"/>
      <c r="AF16" s="2460"/>
      <c r="AG16" s="2460"/>
      <c r="AH16" s="2460"/>
      <c r="AI16" s="2460"/>
      <c r="AJ16" s="2460"/>
    </row>
    <row r="17" spans="1:96" ht="12.75" customHeight="1"/>
    <row r="18" spans="1:96" ht="12.75" customHeight="1">
      <c r="A18" s="134" t="s">
        <v>106</v>
      </c>
      <c r="C18" s="7"/>
      <c r="D18" s="7"/>
      <c r="E18" s="7"/>
      <c r="F18" s="7"/>
      <c r="G18" s="7"/>
      <c r="H18" s="2283" t="s">
        <v>2522</v>
      </c>
      <c r="I18" s="2283"/>
      <c r="J18" s="2283"/>
      <c r="K18" s="2283"/>
      <c r="L18" s="2283"/>
      <c r="M18" s="2283"/>
      <c r="N18" s="2283"/>
      <c r="O18" s="2283"/>
      <c r="P18" s="2283"/>
      <c r="Q18" s="2283"/>
      <c r="R18" s="2283"/>
      <c r="S18" s="2283"/>
      <c r="T18" s="2283"/>
      <c r="U18" s="2283"/>
      <c r="V18" s="2283"/>
      <c r="W18" s="2283"/>
      <c r="X18" s="2283"/>
      <c r="Y18" s="2283"/>
      <c r="Z18" s="2283"/>
      <c r="AA18" s="2283"/>
      <c r="AB18" s="2283"/>
      <c r="AC18" s="2283"/>
      <c r="AD18" s="2283"/>
      <c r="AE18" s="2283"/>
      <c r="AF18" s="2283"/>
      <c r="AG18" s="2283"/>
      <c r="AH18" s="2283"/>
      <c r="AI18" s="2283"/>
      <c r="AJ18" s="2283"/>
    </row>
    <row r="19" spans="1:96" ht="12.75" customHeight="1"/>
    <row r="20" spans="1:96" ht="14.25" customHeight="1">
      <c r="A20" s="2464" t="s">
        <v>936</v>
      </c>
      <c r="B20" s="2464"/>
      <c r="C20" s="2464"/>
      <c r="D20" s="2464"/>
      <c r="E20" s="2464"/>
      <c r="F20" s="2464"/>
      <c r="G20" s="2464"/>
      <c r="H20" s="2464"/>
      <c r="I20" s="2464"/>
      <c r="J20" s="2464"/>
      <c r="K20" s="2464"/>
      <c r="L20" s="2464"/>
      <c r="M20" s="2464"/>
      <c r="N20" s="2464"/>
      <c r="O20" s="2464"/>
      <c r="P20" s="2464"/>
      <c r="Q20" s="2464"/>
      <c r="R20" s="2464"/>
      <c r="S20" s="2464"/>
      <c r="T20" s="2464"/>
      <c r="U20" s="2464"/>
      <c r="V20" s="2464"/>
      <c r="W20" s="2464"/>
      <c r="X20" s="2464"/>
      <c r="Y20" s="2464"/>
      <c r="Z20" s="2464"/>
      <c r="AA20" s="2464"/>
      <c r="AB20" s="2464"/>
      <c r="AC20" s="2464"/>
      <c r="AD20" s="2464"/>
      <c r="AE20" s="2464"/>
      <c r="AF20" s="2464"/>
      <c r="AG20" s="2464"/>
      <c r="AH20" s="2464"/>
      <c r="AI20" s="2464"/>
      <c r="AJ20" s="2464"/>
      <c r="AK20" s="2464"/>
      <c r="AL20" s="2464"/>
      <c r="AM20" s="1573"/>
      <c r="AN20" s="1573"/>
      <c r="AO20" s="1573"/>
      <c r="AP20" s="1573"/>
      <c r="AQ20" s="1573"/>
      <c r="AR20" s="1573"/>
      <c r="AS20" s="1573"/>
      <c r="AT20" s="1573"/>
      <c r="AU20" s="1573"/>
      <c r="AV20" s="1573"/>
      <c r="AW20" s="1573"/>
      <c r="AX20" s="1573"/>
      <c r="AY20" s="1573"/>
    </row>
    <row r="21" spans="1:96" ht="12.75" customHeight="1">
      <c r="A21" s="2476" t="s">
        <v>1116</v>
      </c>
      <c r="B21" s="2476"/>
      <c r="C21" s="2476"/>
      <c r="D21" s="2476"/>
      <c r="E21" s="2476"/>
      <c r="F21" s="2476"/>
      <c r="G21" s="2476"/>
      <c r="H21" s="2476"/>
      <c r="I21" s="2476"/>
      <c r="J21" s="2476"/>
      <c r="K21" s="2476"/>
      <c r="L21" s="2476"/>
      <c r="M21" s="2476"/>
      <c r="N21" s="2476"/>
      <c r="O21" s="2476"/>
      <c r="P21" s="2476"/>
      <c r="Q21" s="2476"/>
      <c r="R21" s="2476"/>
      <c r="S21" s="2476"/>
      <c r="T21" s="2476"/>
      <c r="U21" s="2476"/>
      <c r="V21" s="2476"/>
      <c r="W21" s="2476"/>
      <c r="X21" s="2476"/>
      <c r="Y21" s="2476"/>
      <c r="Z21" s="2476"/>
      <c r="AA21" s="2476"/>
      <c r="AB21" s="2476"/>
      <c r="AC21" s="2476"/>
      <c r="AD21" s="2476"/>
      <c r="AE21" s="2476"/>
      <c r="AF21" s="2476"/>
      <c r="AG21" s="2476"/>
      <c r="AH21" s="2476"/>
      <c r="AI21" s="2476"/>
      <c r="AJ21" s="2476"/>
      <c r="AK21" s="2476"/>
      <c r="AL21" s="2476"/>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4">
        <f>'Basis &amp; Credits'!AB56</f>
        <v>1015691</v>
      </c>
      <c r="N26" s="2474"/>
      <c r="O26" s="2474"/>
      <c r="P26" s="2474"/>
      <c r="Q26" s="2474"/>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45">
        <f>'Basis &amp; Credits'!AB77</f>
        <v>6043069</v>
      </c>
      <c r="N27" s="2045"/>
      <c r="O27" s="2045"/>
      <c r="P27" s="2045"/>
      <c r="Q27" s="2045"/>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1514</v>
      </c>
      <c r="C33" s="897"/>
      <c r="D33" s="897"/>
      <c r="E33" s="897"/>
      <c r="F33" s="897"/>
      <c r="G33" s="897"/>
      <c r="H33" s="897"/>
      <c r="I33" s="897"/>
      <c r="J33" s="897"/>
      <c r="K33" s="897"/>
      <c r="L33" s="897"/>
      <c r="M33" s="897"/>
      <c r="N33" s="897"/>
      <c r="O33" s="2050" t="s">
        <v>706</v>
      </c>
      <c r="P33" s="2050"/>
      <c r="Q33" s="897" t="s">
        <v>1515</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1517</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1516</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1518</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7"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7"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0"/>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0"/>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0"/>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2.75">
      <c r="A100" s="879"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2.75">
      <c r="A102" s="680"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2.75">
      <c r="A103" s="880"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0"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0"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0"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0"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1"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1"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2.75">
      <c r="A112" s="450"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0"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65"/>
      <c r="H122" s="2465"/>
      <c r="I122" s="239" t="s">
        <v>187</v>
      </c>
      <c r="L122" s="2465"/>
      <c r="M122" s="2465"/>
      <c r="N122" s="2465"/>
      <c r="O122" s="910"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2.75">
      <c r="A124" s="58"/>
      <c r="B124" s="58"/>
      <c r="C124" s="2478" t="s">
        <v>2538</v>
      </c>
      <c r="D124" s="2478"/>
      <c r="E124" s="2478"/>
      <c r="F124" s="2478"/>
      <c r="G124" s="2478"/>
      <c r="H124" s="2478"/>
      <c r="I124" s="2478"/>
      <c r="J124" s="2478"/>
      <c r="K124" s="2478"/>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65"/>
      <c r="Z126" s="2465"/>
      <c r="AA126" s="2465"/>
      <c r="AB126" s="2465"/>
      <c r="AC126" s="2465"/>
      <c r="AD126" s="2465"/>
      <c r="AE126" s="2465"/>
      <c r="AF126" s="2465"/>
      <c r="AG126" s="2465"/>
      <c r="AH126" s="2465"/>
      <c r="AI126" s="2465"/>
      <c r="AJ126" s="2465"/>
      <c r="AK126" s="2465"/>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6"/>
      <c r="B128" s="25"/>
      <c r="R128" s="25"/>
      <c r="S128" s="25"/>
      <c r="T128" s="25"/>
      <c r="U128" s="25"/>
      <c r="V128" s="25"/>
      <c r="W128" s="25"/>
      <c r="X128" s="58"/>
      <c r="AL128" s="696"/>
      <c r="AM128" s="1578"/>
      <c r="AN128" s="1578"/>
      <c r="AO128" s="1578"/>
      <c r="AP128" s="1578"/>
      <c r="AQ128" s="1578"/>
      <c r="AR128" s="1578"/>
      <c r="AS128" s="1578"/>
      <c r="AT128" s="1578"/>
      <c r="AU128" s="1578"/>
      <c r="AV128" s="1578"/>
      <c r="AW128" s="1578"/>
      <c r="AX128" s="1578"/>
      <c r="AY128" s="1578"/>
    </row>
    <row r="129" spans="1:96" ht="12.75">
      <c r="A129" s="696"/>
      <c r="B129" s="150"/>
      <c r="R129" s="265"/>
      <c r="S129" s="265"/>
      <c r="T129" s="265"/>
      <c r="U129" s="265"/>
      <c r="V129" s="265"/>
      <c r="W129" s="265"/>
      <c r="X129" s="58"/>
      <c r="Y129" s="2467" t="s">
        <v>2673</v>
      </c>
      <c r="Z129" s="2467"/>
      <c r="AA129" s="2467"/>
      <c r="AB129" s="2467"/>
      <c r="AC129" s="2467"/>
      <c r="AD129" s="2467"/>
      <c r="AE129" s="2467"/>
      <c r="AF129" s="2467"/>
      <c r="AG129" s="2467"/>
      <c r="AH129" s="2467"/>
      <c r="AI129" s="2467"/>
      <c r="AJ129" s="2467"/>
      <c r="AK129" s="2467"/>
      <c r="AL129" s="696"/>
      <c r="AM129" s="1578"/>
      <c r="AN129" s="1578"/>
      <c r="AO129" s="1578"/>
      <c r="AP129" s="1578"/>
      <c r="AQ129" s="1578"/>
      <c r="AR129" s="1578"/>
      <c r="AS129" s="1578"/>
      <c r="AT129" s="1578"/>
      <c r="AU129" s="1578"/>
      <c r="AV129" s="1578"/>
      <c r="AW129" s="1578"/>
      <c r="AX129" s="1578"/>
      <c r="AY129" s="1578"/>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467" t="s">
        <v>2674</v>
      </c>
      <c r="Z132" s="2467"/>
      <c r="AA132" s="2467"/>
      <c r="AB132" s="2467"/>
      <c r="AC132" s="2467"/>
      <c r="AD132" s="2467"/>
      <c r="AE132" s="2467"/>
      <c r="AF132" s="2467"/>
      <c r="AG132" s="2467"/>
      <c r="AH132" s="2467"/>
      <c r="AI132" s="2467"/>
      <c r="AJ132" s="2467"/>
      <c r="AK132" s="246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477"/>
      <c r="G150" s="2477"/>
      <c r="H150" s="2477"/>
      <c r="I150" s="2477"/>
      <c r="J150" s="2477"/>
      <c r="K150" s="2477"/>
      <c r="L150" s="2477"/>
      <c r="M150" s="2477"/>
      <c r="N150" s="2477"/>
      <c r="O150" s="2477"/>
      <c r="P150" s="2477"/>
      <c r="Q150" s="2477"/>
      <c r="R150" s="2477"/>
      <c r="S150" s="2477"/>
      <c r="T150" s="247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283" t="s">
        <v>2523</v>
      </c>
      <c r="P153" s="2283"/>
      <c r="Q153" s="2283"/>
      <c r="R153" s="2283"/>
      <c r="S153" s="2283"/>
      <c r="T153" s="2283"/>
      <c r="U153" s="2283"/>
      <c r="V153" s="2283"/>
      <c r="W153" s="2283"/>
      <c r="X153" s="2283"/>
      <c r="Y153" s="2283"/>
      <c r="Z153" s="2283"/>
      <c r="AA153" s="2283"/>
      <c r="AB153" s="2283"/>
      <c r="AC153" s="2283"/>
      <c r="AD153" s="2283"/>
      <c r="AE153" s="2283"/>
      <c r="AF153" s="2283"/>
      <c r="AG153" s="2283"/>
      <c r="AH153" s="2283"/>
    </row>
    <row r="154" spans="1:96" ht="12.75" customHeight="1">
      <c r="D154" s="465" t="s">
        <v>462</v>
      </c>
      <c r="F154" s="32"/>
      <c r="G154" s="32"/>
      <c r="H154" s="32"/>
      <c r="I154" s="32"/>
      <c r="J154" s="32"/>
      <c r="K154" s="32"/>
      <c r="L154" s="32"/>
      <c r="M154" s="32"/>
      <c r="N154" s="32"/>
      <c r="O154" s="2079" t="s">
        <v>2524</v>
      </c>
      <c r="P154" s="2079"/>
      <c r="Q154" s="2079"/>
      <c r="R154" s="2079"/>
      <c r="S154" s="2079"/>
      <c r="T154" s="2079"/>
      <c r="U154" s="2079"/>
      <c r="V154" s="2079"/>
      <c r="W154" s="2079"/>
      <c r="X154" s="2079"/>
      <c r="Y154" s="2079"/>
      <c r="Z154" s="2079"/>
      <c r="AA154" s="2079"/>
      <c r="AB154" s="2079"/>
      <c r="AC154" s="2079"/>
      <c r="AD154" s="2079"/>
      <c r="AE154" s="2079"/>
      <c r="AF154" s="2079"/>
      <c r="AG154" s="2079"/>
      <c r="AH154" s="2079"/>
      <c r="AZ154" s="25"/>
    </row>
    <row r="155" spans="1:96" ht="12.75">
      <c r="D155" s="13" t="s">
        <v>464</v>
      </c>
      <c r="F155" s="13"/>
      <c r="G155" s="13"/>
      <c r="H155" s="13"/>
      <c r="I155" s="13"/>
      <c r="J155" s="13"/>
      <c r="K155" s="13"/>
      <c r="L155" s="13"/>
      <c r="M155" s="13"/>
      <c r="N155" s="13"/>
      <c r="O155" s="2469" t="s">
        <v>463</v>
      </c>
      <c r="P155" s="2469"/>
      <c r="Q155" s="2469"/>
      <c r="R155" s="2469"/>
      <c r="S155" s="2469"/>
      <c r="T155" s="2469"/>
      <c r="U155" s="2469"/>
      <c r="V155" s="2469"/>
      <c r="W155" s="2469"/>
      <c r="X155" s="2469"/>
      <c r="Y155" s="2469"/>
      <c r="Z155" s="2469"/>
      <c r="AA155" s="2469"/>
      <c r="AB155" s="2469"/>
      <c r="AC155" s="2469"/>
      <c r="AD155" s="2469"/>
      <c r="AE155" s="2469"/>
      <c r="AF155" s="2469"/>
      <c r="AG155" s="2469"/>
      <c r="AH155" s="2469"/>
      <c r="AZ155" s="25"/>
    </row>
    <row r="156" spans="1:96" ht="12.75">
      <c r="D156" s="32" t="s">
        <v>322</v>
      </c>
      <c r="F156" s="32"/>
      <c r="G156" s="32"/>
      <c r="H156" s="32"/>
      <c r="I156" s="32"/>
      <c r="J156" s="32"/>
      <c r="K156" s="32"/>
      <c r="L156" s="32"/>
      <c r="M156" s="32"/>
      <c r="N156" s="32"/>
      <c r="O156" s="2051" t="s">
        <v>2525</v>
      </c>
      <c r="P156" s="2051"/>
      <c r="Q156" s="2051"/>
      <c r="R156" s="2051"/>
      <c r="S156" s="2051"/>
      <c r="T156" s="2051"/>
      <c r="U156" s="2051"/>
      <c r="V156" s="2051"/>
      <c r="W156" s="2051"/>
      <c r="X156" s="2051"/>
      <c r="Y156" s="2051"/>
      <c r="Z156" s="2051"/>
      <c r="AA156" s="2051"/>
      <c r="AB156" s="2051"/>
      <c r="AC156" s="2051"/>
      <c r="AD156" s="2051"/>
      <c r="AE156" s="2051"/>
      <c r="AF156" s="2051"/>
      <c r="AG156" s="2051"/>
      <c r="AH156" s="2051"/>
      <c r="BT156" s="12" t="s">
        <v>316</v>
      </c>
    </row>
    <row r="157" spans="1:96" ht="12.75">
      <c r="D157" s="32" t="s">
        <v>323</v>
      </c>
      <c r="F157" s="32"/>
      <c r="G157" s="32"/>
      <c r="H157" s="32"/>
      <c r="I157" s="32"/>
      <c r="J157" s="32"/>
      <c r="K157" s="32"/>
      <c r="L157" s="32"/>
      <c r="M157" s="32"/>
      <c r="N157" s="32"/>
      <c r="O157" s="2283" t="s">
        <v>2526</v>
      </c>
      <c r="P157" s="2283"/>
      <c r="Q157" s="2283"/>
      <c r="R157" s="2283"/>
      <c r="S157" s="2283"/>
      <c r="T157" s="2283"/>
      <c r="U157" s="2283"/>
      <c r="V157" s="2283"/>
      <c r="W157" s="2283"/>
      <c r="X157" s="2283"/>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581">
        <v>92870</v>
      </c>
      <c r="P158" s="2581"/>
      <c r="Q158" s="2581"/>
      <c r="R158" s="2581"/>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580" t="s">
        <v>2527</v>
      </c>
      <c r="P159" s="2580"/>
      <c r="Q159" s="2580"/>
      <c r="R159" s="2580"/>
      <c r="S159" s="2580"/>
      <c r="T159" s="2580"/>
      <c r="V159" s="146" t="s">
        <v>277</v>
      </c>
      <c r="W159" s="2457"/>
      <c r="X159" s="2457"/>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580" t="s">
        <v>2528</v>
      </c>
      <c r="P160" s="2580"/>
      <c r="Q160" s="2580"/>
      <c r="R160" s="2580"/>
      <c r="S160" s="2580"/>
      <c r="T160" s="2580"/>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42"/>
      <c r="P161" s="2342"/>
      <c r="Q161" s="2342"/>
      <c r="R161" s="2342"/>
      <c r="S161" s="2342"/>
      <c r="T161" s="2342"/>
      <c r="U161" s="2342"/>
      <c r="V161" s="2342"/>
      <c r="W161" s="2342"/>
      <c r="X161" s="2342"/>
      <c r="Y161" s="2342"/>
      <c r="Z161" s="2342"/>
      <c r="AA161" s="2342"/>
      <c r="AB161" s="2342"/>
      <c r="AC161" s="2342"/>
      <c r="AD161" s="2342"/>
      <c r="AE161" s="2342"/>
      <c r="AF161" s="2342"/>
      <c r="AG161" s="2342"/>
      <c r="AH161" s="2342"/>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75" t="s">
        <v>1456</v>
      </c>
      <c r="E164" s="2475"/>
      <c r="F164" s="2475"/>
      <c r="G164" s="2475"/>
      <c r="H164" s="2475"/>
      <c r="I164" s="2475"/>
      <c r="J164" s="2475"/>
      <c r="K164" s="2475"/>
      <c r="L164" s="2475"/>
      <c r="M164" s="2475"/>
      <c r="N164" s="2475"/>
      <c r="O164" s="2475"/>
      <c r="P164" s="2475"/>
      <c r="Q164" s="2475"/>
      <c r="R164" s="2475"/>
      <c r="S164" s="2475"/>
      <c r="T164" s="2475"/>
      <c r="U164" s="2475"/>
      <c r="V164" s="2475"/>
      <c r="W164" s="2475"/>
      <c r="X164" s="2475"/>
      <c r="Y164" s="2475"/>
      <c r="Z164" s="2475"/>
      <c r="AA164" s="2475"/>
      <c r="AB164" s="2475"/>
      <c r="AC164" s="2475"/>
      <c r="AD164" s="2475"/>
      <c r="AE164" s="2475"/>
      <c r="AF164" s="2475"/>
      <c r="AG164" s="2475"/>
      <c r="AH164" s="2475"/>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392" t="s">
        <v>572</v>
      </c>
      <c r="B169" s="2392"/>
      <c r="C169" s="2392"/>
      <c r="D169" s="2392"/>
      <c r="E169" s="2392"/>
      <c r="F169" s="2392"/>
      <c r="G169" s="2392"/>
      <c r="H169" s="2392"/>
      <c r="I169" s="2392"/>
      <c r="J169" s="2392"/>
      <c r="K169" s="2392"/>
      <c r="L169" s="2392"/>
      <c r="M169" s="2392"/>
      <c r="N169" s="2392"/>
      <c r="O169" s="2392"/>
      <c r="P169" s="2392"/>
      <c r="Q169" s="2392"/>
      <c r="R169" s="2392"/>
      <c r="S169" s="2392"/>
      <c r="T169" s="2392"/>
      <c r="U169" s="2392"/>
      <c r="V169" s="2392"/>
      <c r="W169" s="2392"/>
      <c r="X169" s="2392"/>
      <c r="Y169" s="2392"/>
      <c r="Z169" s="2392"/>
      <c r="AA169" s="2392"/>
      <c r="AB169" s="2392"/>
      <c r="AC169" s="2392"/>
      <c r="AD169" s="2392"/>
      <c r="AE169" s="2392"/>
      <c r="AF169" s="2392"/>
      <c r="AG169" s="2392"/>
      <c r="AH169" s="2392"/>
      <c r="AI169" s="2392"/>
      <c r="AJ169" s="2392"/>
      <c r="AK169" s="2392"/>
      <c r="AL169" s="2392"/>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93"/>
      <c r="B170" s="2393"/>
      <c r="C170" s="2393"/>
      <c r="D170" s="2393"/>
      <c r="E170" s="2393"/>
      <c r="F170" s="2393"/>
      <c r="G170" s="2393"/>
      <c r="H170" s="2393"/>
      <c r="I170" s="2393"/>
      <c r="J170" s="2393"/>
      <c r="K170" s="2393"/>
      <c r="L170" s="2393"/>
      <c r="M170" s="2393"/>
      <c r="N170" s="2393"/>
      <c r="O170" s="2393"/>
      <c r="P170" s="2393"/>
      <c r="Q170" s="2393"/>
      <c r="R170" s="2393"/>
      <c r="S170" s="2393"/>
      <c r="T170" s="2393"/>
      <c r="U170" s="2393"/>
      <c r="V170" s="2393"/>
      <c r="W170" s="2393"/>
      <c r="X170" s="2393"/>
      <c r="Y170" s="2393"/>
      <c r="Z170" s="2393"/>
      <c r="AA170" s="2393"/>
      <c r="AB170" s="2393"/>
      <c r="AC170" s="2393"/>
      <c r="AD170" s="2393"/>
      <c r="AE170" s="2393"/>
      <c r="AF170" s="2393"/>
      <c r="AG170" s="2393"/>
      <c r="AH170" s="2393"/>
      <c r="AI170" s="2393"/>
      <c r="AJ170" s="2393"/>
      <c r="AK170" s="2393"/>
      <c r="AL170" s="2393"/>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219</v>
      </c>
      <c r="BT172" s="12" t="s">
        <v>524</v>
      </c>
    </row>
    <row r="173" spans="1:72" ht="12.75">
      <c r="A173" s="25"/>
      <c r="C173" s="38"/>
      <c r="D173" s="39" t="s">
        <v>330</v>
      </c>
      <c r="J173" s="2488" t="s">
        <v>389</v>
      </c>
      <c r="K173" s="2488"/>
      <c r="L173" s="2488"/>
      <c r="M173" s="2488"/>
      <c r="N173" s="2488"/>
      <c r="O173" s="2488"/>
      <c r="P173" s="2488"/>
      <c r="Q173" s="2488"/>
      <c r="R173" s="2488"/>
      <c r="S173" s="2488"/>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220</v>
      </c>
      <c r="BT173" s="12" t="s">
        <v>525</v>
      </c>
    </row>
    <row r="174" spans="1:72" ht="12.75">
      <c r="A174" s="25"/>
      <c r="C174" s="38"/>
      <c r="D174" s="58" t="s">
        <v>1409</v>
      </c>
      <c r="E174" s="25"/>
      <c r="F174" s="25"/>
      <c r="G174" s="25"/>
      <c r="H174" s="25"/>
      <c r="I174" s="25"/>
      <c r="J174" s="2051" t="s">
        <v>2529</v>
      </c>
      <c r="K174" s="2051"/>
      <c r="L174" s="2051"/>
      <c r="M174" s="2051"/>
      <c r="N174" s="2051"/>
      <c r="O174" s="2051"/>
      <c r="P174" s="2051"/>
      <c r="Q174" s="2051"/>
      <c r="R174" s="2051"/>
      <c r="S174" s="2051"/>
      <c r="T174" s="2051"/>
      <c r="U174" s="2051"/>
      <c r="V174" s="2051"/>
      <c r="W174" s="2051"/>
      <c r="X174" s="2051"/>
      <c r="Y174" s="2051"/>
      <c r="Z174" s="2051"/>
      <c r="AA174" s="3"/>
      <c r="AH174" s="25"/>
      <c r="AJ174" s="3"/>
      <c r="AK174" s="3"/>
      <c r="AL174" s="3"/>
      <c r="AM174" s="680"/>
      <c r="AN174" s="680"/>
      <c r="AO174" s="680"/>
      <c r="AP174" s="680"/>
      <c r="AQ174" s="680"/>
      <c r="AR174" s="680"/>
      <c r="AS174" s="680"/>
      <c r="AT174" s="680"/>
      <c r="AU174" s="680"/>
      <c r="AV174" s="680"/>
      <c r="AW174" s="680"/>
      <c r="AX174" s="680"/>
      <c r="AY174" s="680"/>
      <c r="BN174" s="36" t="s">
        <v>222</v>
      </c>
      <c r="BT174" s="12" t="s">
        <v>526</v>
      </c>
    </row>
    <row r="175" spans="1:72" ht="12.75">
      <c r="A175" s="25"/>
      <c r="C175" s="13"/>
      <c r="D175" s="58" t="s">
        <v>331</v>
      </c>
      <c r="F175" s="718"/>
      <c r="G175" s="718"/>
      <c r="H175" s="718"/>
      <c r="I175" s="718"/>
      <c r="J175" s="718"/>
      <c r="K175" s="718"/>
      <c r="L175" s="718"/>
      <c r="M175" s="718"/>
      <c r="N175" s="718"/>
      <c r="O175" s="42"/>
      <c r="Q175" s="25"/>
      <c r="R175" s="25"/>
      <c r="T175" s="718"/>
      <c r="U175" s="2050" t="s">
        <v>706</v>
      </c>
      <c r="V175" s="2050"/>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223</v>
      </c>
      <c r="BT175" s="12" t="s">
        <v>527</v>
      </c>
    </row>
    <row r="176" spans="1:72" ht="12.75">
      <c r="A176" s="25"/>
      <c r="C176" s="13"/>
      <c r="D176" s="41"/>
      <c r="E176" s="718" t="s">
        <v>312</v>
      </c>
      <c r="F176" s="718"/>
      <c r="G176" s="718"/>
      <c r="H176" s="718"/>
      <c r="I176" s="718"/>
      <c r="J176" s="718"/>
      <c r="K176" s="718"/>
      <c r="L176" s="718"/>
      <c r="M176" s="718"/>
      <c r="N176" s="718"/>
      <c r="O176" s="42"/>
      <c r="P176" s="25" t="s">
        <v>313</v>
      </c>
      <c r="Q176" s="25"/>
      <c r="R176" s="25"/>
      <c r="S176" s="25" t="s">
        <v>314</v>
      </c>
      <c r="T176" s="718"/>
      <c r="U176" s="2073"/>
      <c r="V176" s="2073"/>
      <c r="W176" s="4" t="s">
        <v>315</v>
      </c>
      <c r="X176" s="2487"/>
      <c r="Y176" s="2487"/>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225</v>
      </c>
      <c r="BT176" s="12" t="s">
        <v>528</v>
      </c>
    </row>
    <row r="177" spans="1:96" s="718" customFormat="1" ht="12.75">
      <c r="A177" s="25"/>
      <c r="B177" s="12"/>
      <c r="C177" s="43"/>
      <c r="D177" s="25" t="s">
        <v>255</v>
      </c>
      <c r="E177" s="12"/>
      <c r="F177" s="12"/>
      <c r="G177" s="12"/>
      <c r="H177" s="12"/>
      <c r="I177" s="12"/>
      <c r="J177" s="12"/>
      <c r="K177" s="12"/>
      <c r="L177" s="12"/>
      <c r="M177" s="25"/>
      <c r="N177" s="12"/>
      <c r="O177" s="12"/>
      <c r="P177" s="12"/>
      <c r="Q177" s="12"/>
      <c r="R177" s="2050" t="s">
        <v>706</v>
      </c>
      <c r="S177" s="2050"/>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226</v>
      </c>
      <c r="BT177" s="718" t="s">
        <v>529</v>
      </c>
      <c r="CR177" s="25"/>
    </row>
    <row r="178" spans="1:96" s="718"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84"/>
      <c r="AG178" s="2284"/>
      <c r="AH178" s="4" t="s">
        <v>315</v>
      </c>
      <c r="AI178" s="2459"/>
      <c r="AJ178" s="2459"/>
      <c r="AK178" s="2459"/>
      <c r="AL178" s="680"/>
      <c r="AM178" s="680"/>
      <c r="AN178" s="680"/>
      <c r="AO178" s="680"/>
      <c r="AP178" s="680"/>
      <c r="AQ178" s="680"/>
      <c r="AR178" s="680"/>
      <c r="AS178" s="680"/>
      <c r="AT178" s="680"/>
      <c r="AU178" s="680"/>
      <c r="AV178" s="680"/>
      <c r="AW178" s="680"/>
      <c r="AX178" s="680"/>
      <c r="AY178" s="680"/>
      <c r="BN178" s="36" t="s">
        <v>227</v>
      </c>
      <c r="BT178" s="718" t="s">
        <v>56</v>
      </c>
      <c r="CR178" s="25"/>
    </row>
    <row r="179" spans="1:96" s="718" customFormat="1" ht="12.75">
      <c r="A179" s="25"/>
      <c r="B179" s="12"/>
      <c r="C179" s="43"/>
      <c r="AL179" s="680"/>
      <c r="AM179" s="680"/>
      <c r="AN179" s="680"/>
      <c r="AO179" s="680"/>
      <c r="AP179" s="680"/>
      <c r="AQ179" s="680"/>
      <c r="AR179" s="680"/>
      <c r="AS179" s="680"/>
      <c r="AT179" s="680"/>
      <c r="AU179" s="680"/>
      <c r="AV179" s="680"/>
      <c r="AW179" s="680"/>
      <c r="AX179" s="680"/>
      <c r="AY179" s="680"/>
      <c r="BN179" s="36" t="s">
        <v>228</v>
      </c>
      <c r="BT179" s="718" t="s">
        <v>57</v>
      </c>
      <c r="CR179" s="25"/>
    </row>
    <row r="180" spans="1:96" s="718" customFormat="1" ht="12.75">
      <c r="A180" s="25"/>
      <c r="B180" s="12"/>
      <c r="C180" s="43"/>
      <c r="D180" s="680" t="s">
        <v>465</v>
      </c>
      <c r="E180" s="25"/>
      <c r="X180" s="2050" t="s">
        <v>706</v>
      </c>
      <c r="Y180" s="2050"/>
      <c r="Z180" s="876"/>
      <c r="AK180" s="680"/>
      <c r="AL180" s="680"/>
      <c r="AM180" s="680"/>
      <c r="AN180" s="680"/>
      <c r="AO180" s="680"/>
      <c r="AP180" s="680"/>
      <c r="AQ180" s="680"/>
      <c r="AR180" s="680"/>
      <c r="AS180" s="680"/>
      <c r="AT180" s="680"/>
      <c r="AU180" s="680"/>
      <c r="AV180" s="680"/>
      <c r="AW180" s="680"/>
      <c r="AX180" s="680"/>
      <c r="AY180" s="680"/>
      <c r="BN180" s="36" t="s">
        <v>230</v>
      </c>
      <c r="BT180" s="718" t="s">
        <v>58</v>
      </c>
      <c r="CR180" s="25"/>
    </row>
    <row r="181" spans="1:96" s="718" customFormat="1" ht="12.95" customHeight="1">
      <c r="A181" s="25"/>
      <c r="B181" s="12"/>
      <c r="C181" s="44"/>
      <c r="E181" s="7" t="s">
        <v>1055</v>
      </c>
      <c r="Z181" s="25"/>
      <c r="AA181" s="25"/>
      <c r="AJ181" s="680"/>
      <c r="AK181" s="680"/>
      <c r="AL181" s="680"/>
      <c r="AM181" s="680"/>
      <c r="AN181" s="680"/>
      <c r="AO181" s="680"/>
      <c r="AP181" s="680"/>
      <c r="AQ181" s="680"/>
      <c r="AR181" s="680"/>
      <c r="AS181" s="680"/>
      <c r="AT181" s="680"/>
      <c r="AU181" s="680"/>
      <c r="AV181" s="680"/>
      <c r="AW181" s="680"/>
      <c r="AX181" s="680"/>
      <c r="AY181" s="680"/>
      <c r="BN181" s="36" t="s">
        <v>231</v>
      </c>
      <c r="BT181" s="718" t="s">
        <v>59</v>
      </c>
      <c r="CR181" s="25"/>
    </row>
    <row r="182" spans="1:96" ht="12.75">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234</v>
      </c>
      <c r="BT183" s="12" t="s">
        <v>64</v>
      </c>
    </row>
    <row r="184" spans="1:96" ht="12.75">
      <c r="A184" s="25"/>
      <c r="C184" s="45"/>
      <c r="D184" s="25" t="s">
        <v>613</v>
      </c>
      <c r="E184" s="25"/>
      <c r="F184" s="25"/>
      <c r="G184" s="25"/>
      <c r="H184" s="25"/>
      <c r="I184" s="2040" t="str">
        <f>H18</f>
        <v>Santa Angelina Senior Community</v>
      </c>
      <c r="J184" s="2040"/>
      <c r="K184" s="2040"/>
      <c r="L184" s="2040"/>
      <c r="M184" s="2040"/>
      <c r="N184" s="2040"/>
      <c r="O184" s="2040"/>
      <c r="P184" s="2040"/>
      <c r="Q184" s="2040"/>
      <c r="R184" s="2040"/>
      <c r="S184" s="2040"/>
      <c r="T184" s="2040"/>
      <c r="U184" s="2040"/>
      <c r="V184" s="2040"/>
      <c r="W184" s="2040"/>
      <c r="X184" s="2040"/>
      <c r="Y184" s="2040"/>
      <c r="Z184" s="2040"/>
      <c r="AA184" s="2040"/>
      <c r="AB184" s="2040"/>
      <c r="AC184" s="2040"/>
      <c r="AD184" s="2040"/>
      <c r="AE184" s="2040"/>
      <c r="AF184" s="25"/>
      <c r="AH184" s="25"/>
      <c r="AJ184" s="3"/>
      <c r="AK184" s="3"/>
      <c r="AL184" s="3"/>
      <c r="AM184" s="680"/>
      <c r="AN184" s="680"/>
      <c r="AO184" s="680"/>
      <c r="AP184" s="680"/>
      <c r="AQ184" s="680"/>
      <c r="AR184" s="680"/>
      <c r="AS184" s="680"/>
      <c r="AT184" s="680"/>
      <c r="AU184" s="680"/>
      <c r="AV184" s="680"/>
      <c r="AW184" s="680"/>
      <c r="AX184" s="680"/>
      <c r="AY184" s="680"/>
      <c r="BC184" s="25" t="s">
        <v>622</v>
      </c>
      <c r="BN184" s="36" t="s">
        <v>236</v>
      </c>
      <c r="BT184" s="12" t="s">
        <v>65</v>
      </c>
    </row>
    <row r="185" spans="1:96" ht="12.75">
      <c r="A185" s="25"/>
      <c r="C185" s="45"/>
      <c r="D185" s="25" t="s">
        <v>614</v>
      </c>
      <c r="E185" s="25"/>
      <c r="F185" s="25"/>
      <c r="G185" s="25"/>
      <c r="H185" s="25"/>
      <c r="I185" s="2272" t="s">
        <v>2530</v>
      </c>
      <c r="J185" s="2272"/>
      <c r="K185" s="2272"/>
      <c r="L185" s="2272"/>
      <c r="M185" s="2272"/>
      <c r="N185" s="2272"/>
      <c r="O185" s="2272"/>
      <c r="P185" s="2272"/>
      <c r="Q185" s="2272"/>
      <c r="R185" s="2272"/>
      <c r="S185" s="2272"/>
      <c r="T185" s="2272"/>
      <c r="U185" s="2272"/>
      <c r="V185" s="2272"/>
      <c r="W185" s="2272"/>
      <c r="X185" s="2272"/>
      <c r="Y185" s="2272"/>
      <c r="Z185" s="2272"/>
      <c r="AA185" s="2272"/>
      <c r="AB185" s="2272"/>
      <c r="AC185" s="2272"/>
      <c r="AD185" s="2272"/>
      <c r="AE185" s="2272"/>
      <c r="AF185" s="25"/>
      <c r="AH185" s="25"/>
      <c r="AJ185" s="3"/>
      <c r="AK185" s="3"/>
      <c r="AL185" s="3"/>
      <c r="AM185" s="680"/>
      <c r="AN185" s="680"/>
      <c r="AO185" s="680"/>
      <c r="AP185" s="680"/>
      <c r="AQ185" s="680"/>
      <c r="AR185" s="680"/>
      <c r="AS185" s="680"/>
      <c r="AT185" s="680"/>
      <c r="AU185" s="680"/>
      <c r="AV185" s="680"/>
      <c r="AW185" s="680"/>
      <c r="AX185" s="680"/>
      <c r="AY185" s="680"/>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238</v>
      </c>
      <c r="BT186" s="12" t="s">
        <v>67</v>
      </c>
    </row>
    <row r="187" spans="1:96" ht="12.75">
      <c r="A187" s="25"/>
      <c r="C187" s="45"/>
      <c r="D187" s="25"/>
      <c r="E187" s="2483"/>
      <c r="F187" s="2483"/>
      <c r="G187" s="2483"/>
      <c r="H187" s="2483"/>
      <c r="I187" s="2483"/>
      <c r="J187" s="2483"/>
      <c r="K187" s="2483"/>
      <c r="L187" s="2483"/>
      <c r="M187" s="2483"/>
      <c r="N187" s="2483"/>
      <c r="O187" s="2483"/>
      <c r="P187" s="2483"/>
      <c r="Q187" s="2483"/>
      <c r="R187" s="2483"/>
      <c r="S187" s="2483"/>
      <c r="T187" s="2483"/>
      <c r="U187" s="2483"/>
      <c r="V187" s="2483"/>
      <c r="W187" s="2483"/>
      <c r="X187" s="2483"/>
      <c r="Y187" s="2483"/>
      <c r="Z187" s="2483"/>
      <c r="AA187" s="2483"/>
      <c r="AB187" s="2483"/>
      <c r="AC187" s="2483"/>
      <c r="AD187" s="2483"/>
      <c r="AE187" s="2483"/>
      <c r="AF187" s="25"/>
      <c r="AH187" s="25"/>
      <c r="AJ187" s="3"/>
      <c r="AK187" s="3"/>
      <c r="AL187" s="3"/>
      <c r="AM187" s="680"/>
      <c r="AN187" s="680"/>
      <c r="AO187" s="680"/>
      <c r="AP187" s="680"/>
      <c r="AQ187" s="680"/>
      <c r="AR187" s="680"/>
      <c r="AS187" s="680"/>
      <c r="AT187" s="680"/>
      <c r="AU187" s="680"/>
      <c r="AV187" s="680"/>
      <c r="AW187" s="680"/>
      <c r="AX187" s="680"/>
      <c r="AY187" s="680"/>
      <c r="BN187" s="36" t="s">
        <v>239</v>
      </c>
      <c r="BT187" s="12" t="s">
        <v>68</v>
      </c>
    </row>
    <row r="188" spans="1:96" ht="12.75">
      <c r="A188" s="25"/>
      <c r="C188" s="45"/>
      <c r="D188" s="25"/>
      <c r="E188" s="2484"/>
      <c r="F188" s="2484"/>
      <c r="G188" s="2484"/>
      <c r="H188" s="2484"/>
      <c r="I188" s="2484"/>
      <c r="J188" s="2484"/>
      <c r="K188" s="2484"/>
      <c r="L188" s="2484"/>
      <c r="M188" s="2484"/>
      <c r="N188" s="2484"/>
      <c r="O188" s="2484"/>
      <c r="P188" s="2484"/>
      <c r="Q188" s="2484"/>
      <c r="R188" s="2484"/>
      <c r="S188" s="2484"/>
      <c r="T188" s="2484"/>
      <c r="U188" s="2484"/>
      <c r="V188" s="2484"/>
      <c r="W188" s="2484"/>
      <c r="X188" s="2484"/>
      <c r="Y188" s="2484"/>
      <c r="Z188" s="2484"/>
      <c r="AA188" s="2484"/>
      <c r="AB188" s="2484"/>
      <c r="AC188" s="2484"/>
      <c r="AD188" s="2484"/>
      <c r="AE188" s="2484"/>
      <c r="AF188" s="25"/>
      <c r="AH188" s="25"/>
      <c r="AJ188" s="3"/>
      <c r="AK188" s="3"/>
      <c r="AL188" s="3"/>
      <c r="AM188" s="680"/>
      <c r="AN188" s="680"/>
      <c r="AO188" s="680"/>
      <c r="AP188" s="680"/>
      <c r="AQ188" s="680"/>
      <c r="AR188" s="680"/>
      <c r="AS188" s="680"/>
      <c r="AT188" s="680"/>
      <c r="AU188" s="680"/>
      <c r="AV188" s="680"/>
      <c r="AW188" s="680"/>
      <c r="AX188" s="680"/>
      <c r="AY188" s="680"/>
      <c r="BN188" s="36" t="s">
        <v>241</v>
      </c>
      <c r="BT188" s="12" t="s">
        <v>69</v>
      </c>
    </row>
    <row r="189" spans="1:96" ht="12.75">
      <c r="A189" s="25"/>
      <c r="C189" s="45"/>
      <c r="D189" s="25" t="s">
        <v>615</v>
      </c>
      <c r="E189" s="25"/>
      <c r="I189" s="2051" t="s">
        <v>2526</v>
      </c>
      <c r="J189" s="2051"/>
      <c r="K189" s="2051"/>
      <c r="L189" s="2051"/>
      <c r="M189" s="2051"/>
      <c r="N189" s="2051"/>
      <c r="O189" s="2051"/>
      <c r="P189" s="2051"/>
      <c r="Q189" s="25" t="s">
        <v>617</v>
      </c>
      <c r="T189" s="2051" t="s">
        <v>67</v>
      </c>
      <c r="U189" s="2051"/>
      <c r="V189" s="2051"/>
      <c r="W189" s="2051"/>
      <c r="X189" s="2051"/>
      <c r="Y189" s="2051"/>
      <c r="Z189" s="2051"/>
      <c r="AA189" s="2051"/>
      <c r="AB189" s="2051"/>
      <c r="AC189" s="2051"/>
      <c r="AD189" s="2051"/>
      <c r="AE189" s="2051"/>
      <c r="AH189" s="25"/>
      <c r="AJ189" s="3"/>
      <c r="AK189" s="3"/>
      <c r="AL189" s="3"/>
      <c r="AM189" s="680"/>
      <c r="AN189" s="680"/>
      <c r="AO189" s="680"/>
      <c r="AP189" s="680"/>
      <c r="AQ189" s="680"/>
      <c r="AR189" s="680"/>
      <c r="AS189" s="680"/>
      <c r="AT189" s="680"/>
      <c r="AU189" s="680"/>
      <c r="AV189" s="680"/>
      <c r="AW189" s="680"/>
      <c r="AX189" s="680"/>
      <c r="AY189" s="680"/>
      <c r="BC189" s="718" t="s">
        <v>316</v>
      </c>
      <c r="BH189" s="58" t="s">
        <v>626</v>
      </c>
      <c r="BN189" s="36" t="s">
        <v>242</v>
      </c>
      <c r="BT189" s="12" t="s">
        <v>70</v>
      </c>
    </row>
    <row r="190" spans="1:96" ht="12.75">
      <c r="A190" s="25"/>
      <c r="C190" s="46"/>
      <c r="D190" s="25" t="s">
        <v>618</v>
      </c>
      <c r="E190" s="25"/>
      <c r="F190" s="25"/>
      <c r="G190" s="25"/>
      <c r="I190" s="2272">
        <v>92870</v>
      </c>
      <c r="J190" s="2272"/>
      <c r="K190" s="2272"/>
      <c r="L190" s="2272"/>
      <c r="M190" s="2272"/>
      <c r="N190" s="2272"/>
      <c r="O190" s="25" t="s">
        <v>620</v>
      </c>
      <c r="P190" s="25"/>
      <c r="Q190" s="25"/>
      <c r="R190" s="25"/>
      <c r="S190" s="25"/>
      <c r="T190" s="2481" t="s">
        <v>2531</v>
      </c>
      <c r="U190" s="2481"/>
      <c r="V190" s="2481"/>
      <c r="W190" s="2481"/>
      <c r="X190" s="2481"/>
      <c r="Y190" s="2481"/>
      <c r="Z190" s="2481"/>
      <c r="AA190" s="2481"/>
      <c r="AB190" s="2481"/>
      <c r="AC190" s="2481"/>
      <c r="AD190" s="2481"/>
      <c r="AE190" s="2481"/>
      <c r="AF190" s="25"/>
      <c r="AH190" s="25"/>
      <c r="AJ190" s="3"/>
      <c r="AK190" s="3"/>
      <c r="AL190" s="3"/>
      <c r="AM190" s="680"/>
      <c r="AN190" s="680"/>
      <c r="AO190" s="680"/>
      <c r="AP190" s="680"/>
      <c r="AQ190" s="680"/>
      <c r="AR190" s="680"/>
      <c r="AS190" s="680"/>
      <c r="AT190" s="680"/>
      <c r="AU190" s="680"/>
      <c r="AV190" s="680"/>
      <c r="AW190" s="680"/>
      <c r="AX190" s="680"/>
      <c r="AY190" s="680"/>
      <c r="BC190" s="718" t="s">
        <v>1155</v>
      </c>
      <c r="BH190" s="718" t="s">
        <v>1155</v>
      </c>
      <c r="BN190" s="36" t="s">
        <v>670</v>
      </c>
      <c r="BT190" s="12" t="s">
        <v>71</v>
      </c>
    </row>
    <row r="191" spans="1:96" ht="12.75">
      <c r="A191" s="25"/>
      <c r="C191" s="46"/>
      <c r="D191" s="25" t="s">
        <v>495</v>
      </c>
      <c r="E191" s="25"/>
      <c r="F191" s="25"/>
      <c r="G191" s="25"/>
      <c r="H191" s="25"/>
      <c r="I191" s="25"/>
      <c r="J191" s="25"/>
      <c r="K191" s="25"/>
      <c r="L191" s="25"/>
      <c r="M191" s="25"/>
      <c r="N191" s="2483" t="s">
        <v>2532</v>
      </c>
      <c r="O191" s="2483"/>
      <c r="P191" s="2483"/>
      <c r="Q191" s="2483"/>
      <c r="R191" s="2483"/>
      <c r="S191" s="2483"/>
      <c r="T191" s="2483"/>
      <c r="U191" s="2483"/>
      <c r="V191" s="2483"/>
      <c r="W191" s="2483"/>
      <c r="X191" s="2483"/>
      <c r="Y191" s="2483"/>
      <c r="Z191" s="2483"/>
      <c r="AA191" s="2483"/>
      <c r="AB191" s="2483"/>
      <c r="AC191" s="2483"/>
      <c r="AD191" s="2483"/>
      <c r="AE191" s="2483"/>
      <c r="AF191" s="25"/>
      <c r="AH191" s="25"/>
      <c r="AJ191" s="3"/>
      <c r="AK191" s="3"/>
      <c r="AL191" s="3"/>
      <c r="AM191" s="680"/>
      <c r="AN191" s="680"/>
      <c r="AO191" s="680"/>
      <c r="AP191" s="680"/>
      <c r="AQ191" s="680"/>
      <c r="AR191" s="680"/>
      <c r="AS191" s="680"/>
      <c r="AT191" s="680"/>
      <c r="AU191" s="680"/>
      <c r="AV191" s="680"/>
      <c r="AW191" s="680"/>
      <c r="AX191" s="680"/>
      <c r="AY191" s="680"/>
      <c r="BC191" s="718" t="s">
        <v>1154</v>
      </c>
      <c r="BH191" s="718" t="s">
        <v>1154</v>
      </c>
      <c r="BN191" s="36" t="s">
        <v>726</v>
      </c>
      <c r="BT191" s="12" t="s">
        <v>768</v>
      </c>
    </row>
    <row r="192" spans="1:96" ht="12.75">
      <c r="A192" s="25"/>
      <c r="C192" s="46"/>
      <c r="D192" s="25"/>
      <c r="E192" s="25"/>
      <c r="F192" s="25"/>
      <c r="G192" s="25"/>
      <c r="H192" s="25"/>
      <c r="I192" s="25"/>
      <c r="J192" s="25"/>
      <c r="K192" s="25"/>
      <c r="L192" s="25"/>
      <c r="M192" s="170"/>
      <c r="N192" s="2484"/>
      <c r="O192" s="2484"/>
      <c r="P192" s="2484"/>
      <c r="Q192" s="2484"/>
      <c r="R192" s="2484"/>
      <c r="S192" s="2484"/>
      <c r="T192" s="2484"/>
      <c r="U192" s="2484"/>
      <c r="V192" s="2484"/>
      <c r="W192" s="2484"/>
      <c r="X192" s="2484"/>
      <c r="Y192" s="2484"/>
      <c r="Z192" s="2484"/>
      <c r="AA192" s="2484"/>
      <c r="AB192" s="2484"/>
      <c r="AC192" s="2484"/>
      <c r="AD192" s="2484"/>
      <c r="AE192" s="2484"/>
      <c r="AF192" s="25"/>
      <c r="AH192" s="25"/>
      <c r="AJ192" s="3"/>
      <c r="AK192" s="3"/>
      <c r="AL192" s="3"/>
      <c r="AM192" s="680"/>
      <c r="AN192" s="680"/>
      <c r="AO192" s="680"/>
      <c r="AP192" s="680"/>
      <c r="AQ192" s="680"/>
      <c r="AR192" s="680"/>
      <c r="AS192" s="680"/>
      <c r="AT192" s="680"/>
      <c r="AU192" s="680"/>
      <c r="AV192" s="680"/>
      <c r="AW192" s="680"/>
      <c r="AX192" s="680"/>
      <c r="AY192" s="680"/>
      <c r="BC192" s="718" t="s">
        <v>1157</v>
      </c>
      <c r="BH192" s="58" t="s">
        <v>1977</v>
      </c>
      <c r="BN192" s="36" t="s">
        <v>727</v>
      </c>
      <c r="BT192" s="12" t="s">
        <v>769</v>
      </c>
    </row>
    <row r="193" spans="1:96" ht="12.75">
      <c r="A193" s="25"/>
      <c r="B193" s="718"/>
      <c r="C193" s="46"/>
      <c r="D193" s="686" t="s">
        <v>2014</v>
      </c>
      <c r="E193" s="25"/>
      <c r="F193" s="25"/>
      <c r="G193" s="25"/>
      <c r="H193" s="25"/>
      <c r="I193" s="25"/>
      <c r="J193" s="25"/>
      <c r="K193" s="25"/>
      <c r="L193" s="25"/>
      <c r="M193" s="170"/>
      <c r="N193" s="1517"/>
      <c r="O193" s="1517"/>
      <c r="P193" s="1517"/>
      <c r="Q193" s="1517"/>
      <c r="R193" s="1517"/>
      <c r="S193" s="1517"/>
      <c r="T193" s="2489" t="s">
        <v>2533</v>
      </c>
      <c r="U193" s="2489"/>
      <c r="V193" s="2489"/>
      <c r="W193" s="2489"/>
      <c r="X193" s="2489"/>
      <c r="Y193" s="2489"/>
      <c r="Z193" s="2489"/>
      <c r="AA193" s="2489"/>
      <c r="AB193" s="2489"/>
      <c r="AC193" s="2489"/>
      <c r="AD193" s="2489"/>
      <c r="AE193" s="2489"/>
      <c r="AF193" s="2489"/>
      <c r="AG193" s="2489"/>
      <c r="AH193" s="2489"/>
      <c r="AI193" s="2489"/>
      <c r="AJ193" s="680"/>
      <c r="AK193" s="680"/>
      <c r="AL193" s="680"/>
      <c r="AM193" s="680"/>
      <c r="AN193" s="680"/>
      <c r="AO193" s="680"/>
      <c r="AP193" s="680"/>
      <c r="AQ193" s="680"/>
      <c r="AR193" s="680"/>
      <c r="AS193" s="680"/>
      <c r="AT193" s="680"/>
      <c r="AU193" s="680"/>
      <c r="AV193" s="680"/>
      <c r="AW193" s="680"/>
      <c r="AX193" s="680"/>
      <c r="AY193" s="680"/>
      <c r="BC193" s="718" t="s">
        <v>1156</v>
      </c>
      <c r="BH193" s="58" t="s">
        <v>1978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50" t="s">
        <v>706</v>
      </c>
      <c r="U194" s="2050"/>
      <c r="W194" s="25" t="s">
        <v>722</v>
      </c>
      <c r="X194" s="25"/>
      <c r="Y194" s="25"/>
      <c r="Z194" s="25"/>
      <c r="AA194" s="25"/>
      <c r="AB194" s="25"/>
      <c r="AC194" s="25"/>
      <c r="AD194" s="25"/>
      <c r="AE194" s="25"/>
      <c r="AF194" s="25"/>
      <c r="AG194" s="25"/>
      <c r="AH194" s="2050">
        <v>39</v>
      </c>
      <c r="AI194" s="2050"/>
      <c r="AJ194" s="3"/>
      <c r="AK194" s="3"/>
      <c r="AL194" s="3"/>
      <c r="AM194" s="680"/>
      <c r="AN194" s="680"/>
      <c r="AO194" s="680"/>
      <c r="AP194" s="680"/>
      <c r="AQ194" s="680"/>
      <c r="AR194" s="680"/>
      <c r="AS194" s="680"/>
      <c r="AT194" s="680"/>
      <c r="AU194" s="680"/>
      <c r="AV194" s="680"/>
      <c r="AW194" s="680"/>
      <c r="AX194" s="680"/>
      <c r="AY194" s="680"/>
      <c r="BC194" s="718" t="s">
        <v>1635</v>
      </c>
      <c r="BN194" s="36" t="s">
        <v>729</v>
      </c>
      <c r="BT194" s="12" t="s">
        <v>771</v>
      </c>
    </row>
    <row r="195" spans="1:96" s="718" customFormat="1" ht="12.75">
      <c r="A195" s="25"/>
      <c r="B195" s="12"/>
      <c r="C195" s="46"/>
      <c r="D195" s="25" t="s">
        <v>404</v>
      </c>
      <c r="E195" s="25"/>
      <c r="F195" s="25"/>
      <c r="G195" s="25"/>
      <c r="H195" s="25"/>
      <c r="I195" s="25"/>
      <c r="J195" s="25"/>
      <c r="K195" s="25"/>
      <c r="L195" s="25"/>
      <c r="M195" s="25"/>
      <c r="N195" s="25"/>
      <c r="O195" s="25"/>
      <c r="P195" s="25"/>
      <c r="Q195" s="25"/>
      <c r="R195" s="25"/>
      <c r="S195" s="12"/>
      <c r="T195" s="2341" t="s">
        <v>706</v>
      </c>
      <c r="U195" s="2341"/>
      <c r="V195" s="12"/>
      <c r="W195" s="25" t="s">
        <v>723</v>
      </c>
      <c r="X195" s="25"/>
      <c r="Y195" s="25"/>
      <c r="Z195" s="25"/>
      <c r="AA195" s="25"/>
      <c r="AB195" s="25"/>
      <c r="AC195" s="25"/>
      <c r="AD195" s="25"/>
      <c r="AE195" s="25"/>
      <c r="AF195" s="25"/>
      <c r="AG195" s="25"/>
      <c r="AH195" s="2050">
        <v>55</v>
      </c>
      <c r="AI195" s="2050"/>
      <c r="AJ195" s="3"/>
      <c r="AK195" s="3"/>
      <c r="AL195" s="3"/>
      <c r="AM195" s="680"/>
      <c r="AN195" s="680"/>
      <c r="AO195" s="680"/>
      <c r="AP195" s="680"/>
      <c r="AQ195" s="680"/>
      <c r="AR195" s="680"/>
      <c r="AS195" s="680"/>
      <c r="AT195" s="680"/>
      <c r="AU195" s="680"/>
      <c r="AV195" s="680"/>
      <c r="AW195" s="680"/>
      <c r="AX195" s="680"/>
      <c r="AY195" s="680"/>
      <c r="BC195" s="718" t="s">
        <v>2385</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341" t="s">
        <v>706</v>
      </c>
      <c r="U196" s="2341"/>
      <c r="W196" s="25" t="s">
        <v>724</v>
      </c>
      <c r="X196" s="25"/>
      <c r="Y196" s="25"/>
      <c r="Z196" s="25"/>
      <c r="AA196" s="25"/>
      <c r="AB196" s="25"/>
      <c r="AC196" s="25"/>
      <c r="AD196" s="25"/>
      <c r="AE196" s="25"/>
      <c r="AF196" s="25"/>
      <c r="AG196" s="25"/>
      <c r="AH196" s="2050">
        <v>29</v>
      </c>
      <c r="AI196" s="2050"/>
      <c r="AJ196" s="3"/>
      <c r="AK196" s="3"/>
      <c r="AL196" s="3"/>
      <c r="AM196" s="680"/>
      <c r="AN196" s="680"/>
      <c r="AO196" s="680"/>
      <c r="AP196" s="680"/>
      <c r="AQ196" s="680"/>
      <c r="AR196" s="680"/>
      <c r="AS196" s="680"/>
      <c r="AT196" s="680"/>
      <c r="AU196" s="680"/>
      <c r="AV196" s="680"/>
      <c r="AW196" s="680"/>
      <c r="AX196" s="680"/>
      <c r="AY196" s="680"/>
      <c r="BN196" s="36" t="s">
        <v>249</v>
      </c>
      <c r="BT196" s="12" t="s">
        <v>72</v>
      </c>
    </row>
    <row r="197" spans="1:96" ht="12.75" customHeight="1">
      <c r="A197" s="25"/>
      <c r="B197" s="718"/>
      <c r="C197" s="46"/>
      <c r="D197" s="240" t="s">
        <v>2006</v>
      </c>
      <c r="E197" s="25"/>
      <c r="F197" s="25"/>
      <c r="G197" s="25"/>
      <c r="H197" s="25"/>
      <c r="I197" s="25"/>
      <c r="J197" s="25"/>
      <c r="K197" s="25"/>
      <c r="L197" s="25"/>
      <c r="M197" s="25"/>
      <c r="N197" s="25"/>
      <c r="O197" s="25"/>
      <c r="P197" s="25"/>
      <c r="Q197" s="25"/>
      <c r="R197" s="25"/>
      <c r="S197" s="718"/>
      <c r="T197" s="2341" t="s">
        <v>626</v>
      </c>
      <c r="U197" s="2341"/>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316</v>
      </c>
      <c r="BD197" s="679"/>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50" t="s">
        <v>706</v>
      </c>
      <c r="Z198" s="2050"/>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940</v>
      </c>
      <c r="BD198" s="679"/>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3"/>
      <c r="AI199" s="1783"/>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939</v>
      </c>
      <c r="BD199" s="716"/>
      <c r="BE199" s="21"/>
      <c r="BF199" s="21"/>
      <c r="BN199" s="36" t="s">
        <v>737</v>
      </c>
      <c r="BO199" s="718"/>
      <c r="BP199" s="718"/>
      <c r="BQ199" s="718"/>
      <c r="BR199" s="718"/>
      <c r="BS199" s="718"/>
      <c r="BT199" s="54" t="s">
        <v>198</v>
      </c>
      <c r="BU199" s="718"/>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1180</v>
      </c>
      <c r="BD200" s="682"/>
      <c r="BE200" s="21"/>
      <c r="BF200" s="21"/>
      <c r="BN200" s="36" t="s">
        <v>738</v>
      </c>
      <c r="BO200" s="12"/>
      <c r="BP200" s="12"/>
      <c r="BQ200" s="12"/>
      <c r="BR200" s="12"/>
      <c r="BS200" s="12"/>
      <c r="BT200" s="54" t="s">
        <v>199</v>
      </c>
      <c r="BU200" s="12"/>
      <c r="CR200" s="112"/>
    </row>
    <row r="201" spans="1:96" s="51" customFormat="1" ht="12.75">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646</v>
      </c>
      <c r="BD201" s="682"/>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1181</v>
      </c>
      <c r="BD202" s="682"/>
      <c r="BN202" s="36" t="s">
        <v>740</v>
      </c>
      <c r="BO202" s="51"/>
      <c r="BP202" s="54"/>
      <c r="BQ202" s="54"/>
      <c r="BR202" s="54"/>
      <c r="BS202" s="54"/>
      <c r="BT202" s="55" t="s">
        <v>201</v>
      </c>
    </row>
    <row r="203" spans="1:96" ht="12.75" customHeight="1">
      <c r="A203" s="25"/>
      <c r="C203" s="25"/>
      <c r="D203" s="2040" t="s">
        <v>403</v>
      </c>
      <c r="E203" s="2040"/>
      <c r="F203" s="2040"/>
      <c r="G203" s="2040"/>
      <c r="H203" s="2040"/>
      <c r="I203" s="2040"/>
      <c r="J203" s="2040"/>
      <c r="K203" s="2040"/>
      <c r="L203" s="2040"/>
      <c r="M203" s="2040"/>
      <c r="P203" s="2462">
        <f>M26</f>
        <v>1015691</v>
      </c>
      <c r="Q203" s="2463"/>
      <c r="R203" s="2463"/>
      <c r="S203" s="2463"/>
      <c r="T203" s="2463"/>
      <c r="U203" s="2463"/>
      <c r="V203" s="25"/>
      <c r="W203" s="25"/>
      <c r="X203" s="25"/>
      <c r="Y203" s="25"/>
      <c r="Z203" s="2470" t="s">
        <v>2534</v>
      </c>
      <c r="AA203" s="2470"/>
      <c r="AB203" s="2470"/>
      <c r="AC203" s="2470"/>
      <c r="AD203" s="2470"/>
      <c r="AE203" s="2470"/>
      <c r="AF203" s="2470"/>
      <c r="AG203" s="25"/>
      <c r="AH203" s="25"/>
      <c r="AI203" s="25"/>
      <c r="AJ203" s="3"/>
      <c r="AK203" s="3"/>
      <c r="AL203" s="3"/>
      <c r="AM203" s="680"/>
      <c r="AN203" s="680"/>
      <c r="AO203" s="680"/>
      <c r="AP203" s="680"/>
      <c r="AQ203" s="680"/>
      <c r="AR203" s="680"/>
      <c r="AS203" s="680"/>
      <c r="AT203" s="680"/>
      <c r="AU203" s="680"/>
      <c r="AV203" s="680"/>
      <c r="AW203" s="680"/>
      <c r="AX203" s="680"/>
      <c r="AY203" s="680"/>
      <c r="BC203" s="680" t="s">
        <v>1182</v>
      </c>
      <c r="BD203" s="679"/>
      <c r="BN203" s="36" t="s">
        <v>741</v>
      </c>
      <c r="BO203" s="51"/>
      <c r="BP203" s="54"/>
      <c r="BQ203" s="54"/>
      <c r="BR203" s="54"/>
      <c r="BS203" s="55"/>
      <c r="BT203" s="55" t="s">
        <v>202</v>
      </c>
    </row>
    <row r="204" spans="1:96" ht="12.75" customHeight="1">
      <c r="A204" s="25"/>
      <c r="C204" s="45"/>
      <c r="D204" s="2490" t="s">
        <v>1477</v>
      </c>
      <c r="E204" s="2040"/>
      <c r="F204" s="2040"/>
      <c r="G204" s="2040"/>
      <c r="H204" s="2040"/>
      <c r="I204" s="2040"/>
      <c r="J204" s="2040"/>
      <c r="K204" s="2040"/>
      <c r="L204" s="2040"/>
      <c r="M204" s="2040"/>
      <c r="P204" s="2463">
        <f>M27</f>
        <v>6043069</v>
      </c>
      <c r="Q204" s="2463"/>
      <c r="R204" s="2463"/>
      <c r="S204" s="2463"/>
      <c r="T204" s="2463"/>
      <c r="U204" s="2463"/>
      <c r="V204" s="47"/>
      <c r="W204" s="58" t="s">
        <v>2219</v>
      </c>
      <c r="Z204" s="2470"/>
      <c r="AA204" s="2470"/>
      <c r="AB204" s="2470"/>
      <c r="AC204" s="2470"/>
      <c r="AD204" s="2470"/>
      <c r="AE204" s="2470"/>
      <c r="AF204" s="2470"/>
      <c r="AG204" s="25" t="s">
        <v>1478</v>
      </c>
      <c r="AH204" s="25"/>
      <c r="AI204" s="25"/>
      <c r="AJ204" s="25"/>
      <c r="AK204" s="25"/>
      <c r="AL204" s="25"/>
      <c r="AM204" s="25"/>
      <c r="AN204" s="25"/>
      <c r="AO204" s="25"/>
      <c r="AP204" s="2050" t="s">
        <v>706</v>
      </c>
      <c r="AQ204" s="2050"/>
      <c r="AR204" s="680"/>
      <c r="AS204" s="680"/>
      <c r="AT204" s="680"/>
      <c r="AU204" s="680"/>
      <c r="AV204" s="680"/>
      <c r="AW204" s="680"/>
      <c r="AX204" s="680"/>
      <c r="AY204" s="680"/>
      <c r="BC204" s="683" t="s">
        <v>645</v>
      </c>
      <c r="BD204" s="679"/>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1"/>
      <c r="AA205" s="2471"/>
      <c r="AB205" s="2471"/>
      <c r="AC205" s="2471"/>
      <c r="AD205" s="2471"/>
      <c r="AE205" s="2471"/>
      <c r="AF205" s="2471"/>
      <c r="AH205" s="25"/>
      <c r="AJ205" s="3"/>
      <c r="AK205" s="3"/>
      <c r="AL205" s="3"/>
      <c r="AM205" s="680"/>
      <c r="AN205" s="680"/>
      <c r="AO205" s="680"/>
      <c r="AP205" s="680"/>
      <c r="AQ205" s="680"/>
      <c r="AR205" s="680"/>
      <c r="AS205" s="680"/>
      <c r="AT205" s="680"/>
      <c r="AU205" s="680"/>
      <c r="AV205" s="680"/>
      <c r="AW205" s="680"/>
      <c r="AX205" s="680"/>
      <c r="AY205" s="680"/>
      <c r="BC205" s="683" t="s">
        <v>1139</v>
      </c>
      <c r="BD205" s="679"/>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1183</v>
      </c>
      <c r="BD206" s="679"/>
      <c r="BN206" s="36" t="s">
        <v>115</v>
      </c>
      <c r="BT206" s="55" t="s">
        <v>204</v>
      </c>
      <c r="BU206" s="56"/>
    </row>
    <row r="207" spans="1:96" ht="12.75">
      <c r="A207" s="25"/>
      <c r="C207" s="45"/>
      <c r="D207" s="2340" t="s">
        <v>2535</v>
      </c>
      <c r="E207" s="2340"/>
      <c r="F207" s="2340"/>
      <c r="G207" s="2340"/>
      <c r="H207" s="2340"/>
      <c r="I207" s="2340"/>
      <c r="J207" s="2340"/>
      <c r="K207" s="2340"/>
      <c r="L207" s="2340"/>
      <c r="M207" s="234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1427</v>
      </c>
      <c r="BD207" s="679"/>
      <c r="BN207" s="36" t="s">
        <v>48</v>
      </c>
      <c r="BT207" s="55" t="s">
        <v>205</v>
      </c>
    </row>
    <row r="208" spans="1:96" ht="12.75">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1184</v>
      </c>
      <c r="BD208" s="679"/>
      <c r="BN208" s="36" t="s">
        <v>49</v>
      </c>
      <c r="BT208" s="55" t="s">
        <v>206</v>
      </c>
    </row>
    <row r="209" spans="1:96" ht="12.75">
      <c r="A209" s="50" t="s">
        <v>625</v>
      </c>
      <c r="C209" s="50" t="s">
        <v>406</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696</v>
      </c>
      <c r="BD209" s="679"/>
      <c r="BN209" s="36" t="s">
        <v>50</v>
      </c>
      <c r="BT209" s="55" t="s">
        <v>207</v>
      </c>
    </row>
    <row r="210" spans="1:96" ht="12.75">
      <c r="C210" s="45"/>
      <c r="D210" s="2340" t="s">
        <v>1154</v>
      </c>
      <c r="E210" s="2340"/>
      <c r="F210" s="2340"/>
      <c r="G210" s="2340"/>
      <c r="H210" s="2340"/>
      <c r="I210" s="2340"/>
      <c r="J210" s="2340"/>
      <c r="K210" s="2340"/>
      <c r="L210" s="2340"/>
      <c r="M210" s="2340"/>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208</v>
      </c>
    </row>
    <row r="211" spans="1:96" ht="12.75">
      <c r="A211" s="718"/>
      <c r="B211" s="718"/>
      <c r="C211" s="45"/>
      <c r="D211" s="718" t="s">
        <v>1463</v>
      </c>
      <c r="E211" s="718"/>
      <c r="F211" s="718"/>
      <c r="G211" s="718"/>
      <c r="H211" s="718"/>
      <c r="I211" s="718"/>
      <c r="J211" s="718"/>
      <c r="K211" s="718"/>
      <c r="L211" s="718"/>
      <c r="M211" s="718"/>
      <c r="N211" s="718"/>
      <c r="O211" s="718"/>
      <c r="P211" s="718"/>
      <c r="Q211" s="718"/>
      <c r="R211" s="718"/>
      <c r="S211" s="718"/>
      <c r="T211" s="718"/>
      <c r="U211" s="718"/>
      <c r="V211" s="718"/>
      <c r="W211" s="718"/>
      <c r="X211" s="718"/>
      <c r="Y211" s="2050"/>
      <c r="Z211" s="2050"/>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2.75">
      <c r="D212" s="58" t="s">
        <v>1976</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316</v>
      </c>
      <c r="BN212" s="36" t="s">
        <v>52</v>
      </c>
      <c r="BT212" s="55" t="s">
        <v>209</v>
      </c>
    </row>
    <row r="213" spans="1:96" s="718" customFormat="1" ht="12.75">
      <c r="D213" s="2573" t="s">
        <v>626</v>
      </c>
      <c r="E213" s="2573"/>
      <c r="F213" s="2573"/>
      <c r="G213" s="2573"/>
      <c r="H213" s="2573"/>
      <c r="I213" s="2573"/>
      <c r="J213" s="2573"/>
      <c r="K213" s="2573"/>
      <c r="L213" s="2573"/>
      <c r="M213" s="2573"/>
      <c r="N213" s="2573"/>
      <c r="O213" s="2573"/>
      <c r="P213" s="2573"/>
      <c r="Q213" s="2573"/>
      <c r="R213" s="2573"/>
      <c r="S213" s="2573"/>
      <c r="T213" s="2573"/>
      <c r="U213" s="2573"/>
      <c r="V213" s="2573"/>
      <c r="W213" s="2573"/>
      <c r="X213" s="2573"/>
      <c r="Y213" s="2573"/>
      <c r="Z213" s="2573"/>
      <c r="AG213" s="680"/>
      <c r="AJ213" s="680"/>
      <c r="AK213" s="680"/>
      <c r="AL213" s="680"/>
      <c r="AM213" s="680"/>
      <c r="AN213" s="680"/>
      <c r="AO213" s="680"/>
      <c r="AP213" s="680"/>
      <c r="AQ213" s="680"/>
      <c r="AR213" s="680"/>
      <c r="AS213" s="680"/>
      <c r="AT213" s="680"/>
      <c r="AU213" s="680"/>
      <c r="AV213" s="680"/>
      <c r="AW213" s="680"/>
      <c r="AX213" s="680"/>
      <c r="AY213" s="680"/>
      <c r="BC213" s="12" t="s">
        <v>559</v>
      </c>
      <c r="BN213" s="36" t="s">
        <v>53</v>
      </c>
      <c r="BT213" s="55" t="s">
        <v>210</v>
      </c>
      <c r="CR213" s="25"/>
    </row>
    <row r="214" spans="1:96" ht="12.75">
      <c r="A214" s="718"/>
      <c r="B214" s="718"/>
      <c r="C214" s="718"/>
      <c r="D214" s="58" t="s">
        <v>2007</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516" t="s">
        <v>2536</v>
      </c>
      <c r="AC214" s="2516"/>
      <c r="AD214" s="2516"/>
      <c r="AE214" s="2516"/>
      <c r="AF214" s="2516"/>
      <c r="AG214" s="2516"/>
      <c r="AH214" s="2516"/>
      <c r="AI214" s="2516"/>
      <c r="AJ214" s="2516"/>
      <c r="AK214" s="2516"/>
      <c r="AL214" s="2516"/>
      <c r="AM214" s="46"/>
      <c r="AN214" s="46"/>
      <c r="AO214" s="46"/>
      <c r="AP214" s="46"/>
      <c r="AQ214" s="46"/>
      <c r="AR214" s="46"/>
      <c r="AS214" s="46"/>
      <c r="AT214" s="46"/>
      <c r="AU214" s="46"/>
      <c r="AV214" s="46"/>
      <c r="AW214" s="46"/>
      <c r="AX214" s="46"/>
      <c r="AY214" s="46"/>
      <c r="AZ214" s="718"/>
      <c r="BA214" s="718"/>
      <c r="BC214" s="12" t="s">
        <v>563</v>
      </c>
      <c r="BN214" s="36" t="s">
        <v>335</v>
      </c>
      <c r="BT214" s="55" t="s">
        <v>211</v>
      </c>
    </row>
    <row r="215" spans="1:96" s="718" customFormat="1" ht="12.75" customHeight="1">
      <c r="A215" s="12"/>
      <c r="B215" s="12"/>
      <c r="C215" s="12"/>
      <c r="D215" s="58" t="s">
        <v>2005</v>
      </c>
      <c r="Z215" s="69"/>
      <c r="AB215" s="2516"/>
      <c r="AC215" s="2516"/>
      <c r="AD215" s="2516"/>
      <c r="AE215" s="2516"/>
      <c r="AF215" s="2516"/>
      <c r="AG215" s="2516"/>
      <c r="AH215" s="2516"/>
      <c r="AI215" s="2516"/>
      <c r="AJ215" s="2516"/>
      <c r="AK215" s="2516"/>
      <c r="AL215" s="2516"/>
      <c r="AM215" s="46"/>
      <c r="AN215" s="46"/>
      <c r="AO215" s="46"/>
      <c r="AP215" s="46"/>
      <c r="AQ215" s="46"/>
      <c r="AR215" s="46"/>
      <c r="AS215" s="46"/>
      <c r="AT215" s="46"/>
      <c r="AU215" s="46"/>
      <c r="AV215" s="46"/>
      <c r="AW215" s="46"/>
      <c r="AX215" s="46"/>
      <c r="AY215" s="46"/>
      <c r="BC215" s="39" t="s">
        <v>560</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8" customFormat="1" ht="12.75">
      <c r="A217" s="503" t="s">
        <v>627</v>
      </c>
      <c r="B217" s="39"/>
      <c r="C217" s="503" t="s">
        <v>1436</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561</v>
      </c>
      <c r="CR217" s="25"/>
    </row>
    <row r="218" spans="1:96" ht="12.75">
      <c r="A218" s="50"/>
      <c r="C218" s="50"/>
      <c r="D218" s="7" t="s">
        <v>1087</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562</v>
      </c>
    </row>
    <row r="219" spans="1:96" s="39" customFormat="1" ht="12.75" customHeight="1">
      <c r="A219" s="50"/>
      <c r="B219" s="12"/>
      <c r="C219" s="50"/>
      <c r="D219" s="2340" t="s">
        <v>645</v>
      </c>
      <c r="E219" s="2340"/>
      <c r="F219" s="2340"/>
      <c r="G219" s="2340"/>
      <c r="H219" s="2340"/>
      <c r="I219" s="2340"/>
      <c r="J219" s="2340"/>
      <c r="K219" s="2340"/>
      <c r="L219" s="2340"/>
      <c r="M219" s="2340"/>
      <c r="N219" s="2340"/>
      <c r="O219" s="2340"/>
      <c r="P219" s="2340"/>
      <c r="Q219" s="2340"/>
      <c r="R219" s="2340"/>
      <c r="S219" s="2340"/>
      <c r="T219" s="2340"/>
      <c r="U219" s="2340"/>
      <c r="V219" s="2340"/>
      <c r="W219" s="2340"/>
      <c r="X219" s="2340"/>
      <c r="Y219" s="2340"/>
      <c r="Z219" s="2340"/>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395</v>
      </c>
      <c r="CR219" s="680"/>
    </row>
    <row r="220" spans="1:96" ht="12.75">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308</v>
      </c>
    </row>
    <row r="221" spans="1:96" ht="12.75">
      <c r="A221" s="2392" t="s">
        <v>573</v>
      </c>
      <c r="B221" s="2392"/>
      <c r="C221" s="2392"/>
      <c r="D221" s="2392"/>
      <c r="E221" s="2392"/>
      <c r="F221" s="2392"/>
      <c r="G221" s="2392"/>
      <c r="H221" s="2392"/>
      <c r="I221" s="2392"/>
      <c r="J221" s="2392"/>
      <c r="K221" s="2392"/>
      <c r="L221" s="2392"/>
      <c r="M221" s="2392"/>
      <c r="N221" s="2392"/>
      <c r="O221" s="2392"/>
      <c r="P221" s="2392"/>
      <c r="Q221" s="2392"/>
      <c r="R221" s="2392"/>
      <c r="S221" s="2392"/>
      <c r="T221" s="2392"/>
      <c r="U221" s="2392"/>
      <c r="V221" s="2392"/>
      <c r="W221" s="2392"/>
      <c r="X221" s="2392"/>
      <c r="Y221" s="2392"/>
      <c r="Z221" s="2392"/>
      <c r="AA221" s="2392"/>
      <c r="AB221" s="2392"/>
      <c r="AC221" s="2392"/>
      <c r="AD221" s="2392"/>
      <c r="AE221" s="2392"/>
      <c r="AF221" s="2392"/>
      <c r="AG221" s="2392"/>
      <c r="AH221" s="2392"/>
      <c r="AI221" s="2392"/>
      <c r="AJ221" s="2392"/>
      <c r="AK221" s="2392"/>
      <c r="AL221" s="2392"/>
      <c r="AM221" s="144"/>
      <c r="AN221" s="144"/>
      <c r="AO221" s="144"/>
      <c r="AP221" s="144"/>
      <c r="AQ221" s="144"/>
      <c r="AR221" s="144"/>
      <c r="AS221" s="144"/>
      <c r="AT221" s="144"/>
      <c r="AU221" s="144"/>
      <c r="AV221" s="144"/>
      <c r="AW221" s="144"/>
      <c r="AX221" s="144"/>
      <c r="AY221" s="144"/>
      <c r="BA221" s="58"/>
    </row>
    <row r="222" spans="1:96" ht="13.5" thickBot="1">
      <c r="A222" s="2393"/>
      <c r="B222" s="2393"/>
      <c r="C222" s="2393"/>
      <c r="D222" s="2393"/>
      <c r="E222" s="2393"/>
      <c r="F222" s="2393"/>
      <c r="G222" s="2393"/>
      <c r="H222" s="2393"/>
      <c r="I222" s="2393"/>
      <c r="J222" s="2393"/>
      <c r="K222" s="2393"/>
      <c r="L222" s="2393"/>
      <c r="M222" s="2393"/>
      <c r="N222" s="2393"/>
      <c r="O222" s="2393"/>
      <c r="P222" s="2393"/>
      <c r="Q222" s="2393"/>
      <c r="R222" s="2393"/>
      <c r="S222" s="2393"/>
      <c r="T222" s="2393"/>
      <c r="U222" s="2393"/>
      <c r="V222" s="2393"/>
      <c r="W222" s="2393"/>
      <c r="X222" s="2393"/>
      <c r="Y222" s="2393"/>
      <c r="Z222" s="2393"/>
      <c r="AA222" s="2393"/>
      <c r="AB222" s="2393"/>
      <c r="AC222" s="2393"/>
      <c r="AD222" s="2393"/>
      <c r="AE222" s="2393"/>
      <c r="AF222" s="2393"/>
      <c r="AG222" s="2393"/>
      <c r="AH222" s="2393"/>
      <c r="AI222" s="2393"/>
      <c r="AJ222" s="2393"/>
      <c r="AK222" s="2393"/>
      <c r="AL222" s="239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0" t="s">
        <v>626</v>
      </c>
      <c r="AJ225" s="2050"/>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0" t="s">
        <v>578</v>
      </c>
      <c r="AJ226" s="2050"/>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0" t="s">
        <v>578</v>
      </c>
      <c r="AJ227" s="2050"/>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0" t="s">
        <v>626</v>
      </c>
      <c r="AJ228" s="2050"/>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82" t="str">
        <f>H16</f>
        <v>National Community Renaissance of California</v>
      </c>
      <c r="N231" s="2482"/>
      <c r="O231" s="2482"/>
      <c r="P231" s="2482"/>
      <c r="Q231" s="2482"/>
      <c r="R231" s="2482"/>
      <c r="S231" s="2482"/>
      <c r="T231" s="2482"/>
      <c r="U231" s="2482"/>
      <c r="V231" s="2482"/>
      <c r="W231" s="2482"/>
      <c r="X231" s="2482"/>
      <c r="Y231" s="2482"/>
      <c r="Z231" s="2482"/>
      <c r="AA231" s="2482"/>
      <c r="AB231" s="2482"/>
      <c r="AC231" s="2482"/>
      <c r="AD231" s="2482"/>
      <c r="AE231" s="2482"/>
      <c r="AF231" s="2482"/>
      <c r="AG231" s="2482"/>
      <c r="AH231" s="2482"/>
      <c r="AI231" s="2482"/>
      <c r="AJ231" s="2482"/>
      <c r="AK231" s="2482"/>
      <c r="BA231" s="58"/>
      <c r="BB231" s="384"/>
      <c r="BG231" s="387"/>
      <c r="BQ231" s="61"/>
    </row>
    <row r="232" spans="1:69" ht="12.75">
      <c r="D232" s="57" t="s">
        <v>90</v>
      </c>
      <c r="E232" s="57"/>
      <c r="F232" s="57"/>
      <c r="G232" s="57"/>
      <c r="H232" s="57"/>
      <c r="I232" s="57"/>
      <c r="J232" s="57"/>
      <c r="K232" s="7"/>
      <c r="M232" s="1865" t="s">
        <v>2537</v>
      </c>
      <c r="N232" s="1859"/>
      <c r="O232" s="1859"/>
      <c r="P232" s="1859"/>
      <c r="Q232" s="1859"/>
      <c r="R232" s="1859"/>
      <c r="S232" s="1859"/>
      <c r="T232" s="1859"/>
      <c r="U232" s="1859"/>
      <c r="V232" s="1859"/>
      <c r="W232" s="1859"/>
      <c r="X232" s="1859"/>
      <c r="Y232" s="1859"/>
      <c r="Z232" s="1859"/>
      <c r="AA232" s="1859"/>
      <c r="AB232" s="1859"/>
      <c r="AC232" s="1859"/>
      <c r="AD232" s="1859"/>
      <c r="AE232" s="1859"/>
      <c r="AZ232" s="7"/>
      <c r="BA232" s="58"/>
      <c r="BB232" s="334" t="s">
        <v>571</v>
      </c>
      <c r="BG232" s="389">
        <f>IF(AND(AND($M$248="nonprofit",$M$256="nonprofit",$M$264="for profit")),2,0)</f>
        <v>0</v>
      </c>
      <c r="BQ232" s="61"/>
    </row>
    <row r="233" spans="1:69" ht="12.75">
      <c r="D233" s="57" t="s">
        <v>615</v>
      </c>
      <c r="E233" s="57"/>
      <c r="M233" s="2283" t="s">
        <v>2538</v>
      </c>
      <c r="N233" s="2340"/>
      <c r="O233" s="2340"/>
      <c r="P233" s="2340"/>
      <c r="Q233" s="2340"/>
      <c r="R233" s="2340"/>
      <c r="S233" s="2340"/>
      <c r="T233" s="2340"/>
      <c r="V233" s="59" t="s">
        <v>91</v>
      </c>
      <c r="W233" s="2079" t="s">
        <v>2539</v>
      </c>
      <c r="X233" s="2088"/>
      <c r="Y233" s="57" t="s">
        <v>618</v>
      </c>
      <c r="AC233" s="2340">
        <v>91730</v>
      </c>
      <c r="AD233" s="2340"/>
      <c r="AE233" s="2340"/>
      <c r="BB233" s="334" t="s">
        <v>571</v>
      </c>
      <c r="BG233" s="389">
        <f>IF(AND(AND($M$248="nonprofit",$M$256="for profit",$M$264="nonprofit")),2,0)</f>
        <v>0</v>
      </c>
    </row>
    <row r="234" spans="1:69" ht="12.75">
      <c r="D234" s="60" t="s">
        <v>92</v>
      </c>
      <c r="E234" s="7"/>
      <c r="F234" s="7"/>
      <c r="G234" s="7"/>
      <c r="H234" s="7"/>
      <c r="I234" s="7"/>
      <c r="J234" s="7"/>
      <c r="K234" s="29"/>
      <c r="M234" s="2283" t="s">
        <v>2543</v>
      </c>
      <c r="N234" s="2340"/>
      <c r="O234" s="2340"/>
      <c r="P234" s="2340"/>
      <c r="Q234" s="2340"/>
      <c r="R234" s="2340"/>
      <c r="S234" s="2340"/>
      <c r="T234" s="2340"/>
      <c r="U234" s="2340"/>
      <c r="V234" s="2340"/>
      <c r="W234" s="2340"/>
      <c r="X234" s="2340"/>
      <c r="Y234" s="2340"/>
      <c r="Z234" s="2340"/>
      <c r="AA234" s="2340"/>
      <c r="AB234" s="2340"/>
      <c r="AC234" s="2340"/>
      <c r="AD234" s="2340"/>
      <c r="AE234" s="2340"/>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271" t="s">
        <v>2549</v>
      </c>
      <c r="N235" s="2271"/>
      <c r="O235" s="2271"/>
      <c r="P235" s="2271"/>
      <c r="Q235" s="2271"/>
      <c r="R235" s="2271"/>
      <c r="S235" s="7" t="s">
        <v>212</v>
      </c>
      <c r="T235" s="7"/>
      <c r="U235" s="2088"/>
      <c r="V235" s="2088"/>
      <c r="W235" s="2088"/>
      <c r="X235" s="7" t="s">
        <v>94</v>
      </c>
      <c r="Z235" s="2271"/>
      <c r="AA235" s="2271"/>
      <c r="AB235" s="2271"/>
      <c r="AC235" s="2271"/>
      <c r="AD235" s="2271"/>
      <c r="AE235" s="2271"/>
      <c r="BB235" s="385"/>
      <c r="BG235" s="386"/>
    </row>
    <row r="236" spans="1:69" ht="12.75">
      <c r="D236" s="60" t="s">
        <v>95</v>
      </c>
      <c r="E236" s="7"/>
      <c r="F236" s="7"/>
      <c r="M236" s="2342" t="s">
        <v>2540</v>
      </c>
      <c r="N236" s="2342"/>
      <c r="O236" s="2342"/>
      <c r="P236" s="2342"/>
      <c r="Q236" s="2342"/>
      <c r="R236" s="2342"/>
      <c r="S236" s="2342"/>
      <c r="T236" s="2342"/>
      <c r="U236" s="2342"/>
      <c r="V236" s="2342"/>
      <c r="W236" s="2342"/>
      <c r="X236" s="2342"/>
      <c r="Y236" s="2342"/>
      <c r="Z236" s="2342"/>
      <c r="AA236" s="2342"/>
      <c r="AB236" s="2342"/>
      <c r="AC236" s="2342"/>
      <c r="AD236" s="2342"/>
      <c r="AE236" s="234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272" t="s">
        <v>395</v>
      </c>
      <c r="N237" s="2272"/>
      <c r="O237" s="2272"/>
      <c r="P237" s="2272"/>
      <c r="Q237" s="2272"/>
      <c r="R237" s="2272"/>
      <c r="S237" s="2272"/>
      <c r="T237" s="2272"/>
      <c r="U237" s="387" t="s">
        <v>975</v>
      </c>
      <c r="V237" s="325"/>
      <c r="W237" s="325"/>
      <c r="X237" s="325"/>
      <c r="Y237" s="325"/>
      <c r="Z237" s="325"/>
      <c r="AA237" s="2466"/>
      <c r="AB237" s="2466"/>
      <c r="AC237" s="2466"/>
      <c r="AD237" s="2466"/>
      <c r="AE237" s="2466"/>
      <c r="AF237" s="2466"/>
      <c r="AG237" s="2466"/>
      <c r="AH237" s="2466"/>
      <c r="AI237" s="2466"/>
      <c r="AJ237" s="2466"/>
      <c r="AK237" s="2466"/>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51"/>
      <c r="N238" s="2051"/>
      <c r="O238" s="2051"/>
      <c r="P238" s="2051"/>
      <c r="Q238" s="2051"/>
      <c r="R238" s="2051"/>
      <c r="S238" s="2051"/>
      <c r="T238" s="2051"/>
      <c r="U238" s="2051"/>
      <c r="V238" s="2051"/>
      <c r="W238" s="2051"/>
      <c r="X238" s="2051"/>
      <c r="Y238" s="2051"/>
      <c r="Z238" s="2051"/>
      <c r="AA238" s="2051"/>
      <c r="AB238" s="2051"/>
      <c r="AC238" s="2051"/>
      <c r="AD238" s="2051"/>
      <c r="AE238" s="205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460" t="s">
        <v>2541</v>
      </c>
      <c r="N242" s="2461"/>
      <c r="O242" s="2461"/>
      <c r="P242" s="2461"/>
      <c r="Q242" s="2461"/>
      <c r="R242" s="2461"/>
      <c r="S242" s="2461"/>
      <c r="T242" s="2461"/>
      <c r="U242" s="2461"/>
      <c r="V242" s="2461"/>
      <c r="W242" s="2461"/>
      <c r="X242" s="2461"/>
      <c r="Y242" s="2461"/>
      <c r="Z242" s="2461"/>
      <c r="AA242" s="2461"/>
      <c r="AB242" s="2461"/>
      <c r="AC242" s="2461"/>
      <c r="AD242" s="2461"/>
      <c r="AE242" s="2461"/>
      <c r="AF242" s="2461" t="s">
        <v>2542</v>
      </c>
      <c r="AG242" s="2461"/>
      <c r="AH242" s="2461"/>
      <c r="AI242" s="2461"/>
      <c r="AJ242" s="2461"/>
      <c r="AK242" s="2461"/>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83" t="s">
        <v>2537</v>
      </c>
      <c r="N243" s="2340"/>
      <c r="O243" s="2340"/>
      <c r="P243" s="2340"/>
      <c r="Q243" s="2340"/>
      <c r="R243" s="2340"/>
      <c r="S243" s="2340"/>
      <c r="T243" s="2340"/>
      <c r="U243" s="2340"/>
      <c r="V243" s="2340"/>
      <c r="W243" s="2340"/>
      <c r="X243" s="2340"/>
      <c r="Y243" s="2340"/>
      <c r="Z243" s="2340"/>
      <c r="AA243" s="2340"/>
      <c r="AB243" s="2340"/>
      <c r="AC243" s="2340"/>
      <c r="AD243" s="2340"/>
      <c r="AE243" s="2340"/>
      <c r="AF243" s="58" t="s">
        <v>1379</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283" t="s">
        <v>2538</v>
      </c>
      <c r="N244" s="2340"/>
      <c r="O244" s="2340"/>
      <c r="P244" s="2340"/>
      <c r="Q244" s="2340"/>
      <c r="R244" s="2340"/>
      <c r="S244" s="2340"/>
      <c r="T244" s="2340"/>
      <c r="V244" s="59" t="s">
        <v>91</v>
      </c>
      <c r="W244" s="2079" t="s">
        <v>2539</v>
      </c>
      <c r="X244" s="2088"/>
      <c r="Y244" s="57" t="s">
        <v>618</v>
      </c>
      <c r="AC244" s="2340">
        <v>91730</v>
      </c>
      <c r="AD244" s="2340"/>
      <c r="AE244" s="2340"/>
      <c r="AF244" s="58" t="s">
        <v>1380</v>
      </c>
      <c r="AG244" s="718"/>
      <c r="AH244" s="718"/>
      <c r="AI244" s="718"/>
      <c r="AJ244" s="718"/>
      <c r="AK244" s="718"/>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283" t="s">
        <v>2543</v>
      </c>
      <c r="N245" s="2340"/>
      <c r="O245" s="2340"/>
      <c r="P245" s="2340"/>
      <c r="Q245" s="2340"/>
      <c r="R245" s="2340"/>
      <c r="S245" s="2340"/>
      <c r="T245" s="2340"/>
      <c r="U245" s="2340"/>
      <c r="V245" s="2340"/>
      <c r="W245" s="2340"/>
      <c r="X245" s="2340"/>
      <c r="Y245" s="2340"/>
      <c r="Z245" s="2340"/>
      <c r="AA245" s="2340"/>
      <c r="AB245" s="2340"/>
      <c r="AC245" s="2340"/>
      <c r="AD245" s="2340"/>
      <c r="AE245" s="2340"/>
      <c r="AH245" s="2485">
        <v>0.01</v>
      </c>
      <c r="AI245" s="2485"/>
      <c r="AJ245" s="2485"/>
      <c r="AK245" s="2485"/>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75">
      <c r="A246" s="29"/>
      <c r="B246" s="7"/>
      <c r="C246" s="7"/>
      <c r="D246" s="60" t="s">
        <v>93</v>
      </c>
      <c r="E246" s="7"/>
      <c r="F246" s="7"/>
      <c r="M246" s="2271" t="s">
        <v>2549</v>
      </c>
      <c r="N246" s="2271"/>
      <c r="O246" s="2271"/>
      <c r="P246" s="2271"/>
      <c r="Q246" s="2271"/>
      <c r="R246" s="2271"/>
      <c r="S246" s="7" t="s">
        <v>212</v>
      </c>
      <c r="T246" s="7"/>
      <c r="U246" s="2088"/>
      <c r="V246" s="2088"/>
      <c r="W246" s="2088"/>
      <c r="X246" s="7" t="s">
        <v>94</v>
      </c>
      <c r="Z246" s="2271"/>
      <c r="AA246" s="2271"/>
      <c r="AB246" s="2271"/>
      <c r="AC246" s="2271"/>
      <c r="AD246" s="2271"/>
      <c r="AE246" s="2271"/>
      <c r="BB246" s="7" t="s">
        <v>178</v>
      </c>
      <c r="BG246" s="12">
        <v>3</v>
      </c>
      <c r="BH246" s="12" t="s">
        <v>569</v>
      </c>
      <c r="BN246" s="390"/>
      <c r="BO246" s="39"/>
    </row>
    <row r="247" spans="1:72" ht="12.75">
      <c r="A247" s="29"/>
      <c r="B247" s="7"/>
      <c r="C247" s="7"/>
      <c r="D247" s="60" t="s">
        <v>95</v>
      </c>
      <c r="E247" s="7"/>
      <c r="F247" s="7"/>
      <c r="M247" s="2342" t="s">
        <v>2540</v>
      </c>
      <c r="N247" s="2342"/>
      <c r="O247" s="2342"/>
      <c r="P247" s="2342"/>
      <c r="Q247" s="2342"/>
      <c r="R247" s="2342"/>
      <c r="S247" s="2342"/>
      <c r="T247" s="2342"/>
      <c r="U247" s="2342"/>
      <c r="V247" s="2342"/>
      <c r="W247" s="2342"/>
      <c r="X247" s="2342"/>
      <c r="Y247" s="2342"/>
      <c r="Z247" s="2342"/>
      <c r="AA247" s="2342"/>
      <c r="AB247" s="2342"/>
      <c r="AC247" s="2342"/>
      <c r="AD247" s="2342"/>
      <c r="AE247" s="234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272" t="s">
        <v>567</v>
      </c>
      <c r="N248" s="2272"/>
      <c r="O248" s="2272"/>
      <c r="P248" s="2272"/>
      <c r="Q248" s="2272"/>
      <c r="R248" s="2272"/>
      <c r="S248" s="2272"/>
      <c r="T248" s="2272"/>
      <c r="U248" s="387" t="s">
        <v>975</v>
      </c>
      <c r="V248" s="325"/>
      <c r="W248" s="325"/>
      <c r="X248" s="325"/>
      <c r="Y248" s="325"/>
      <c r="Z248" s="325"/>
      <c r="AA248" s="2466"/>
      <c r="AB248" s="2466"/>
      <c r="AC248" s="2466"/>
      <c r="AD248" s="2466"/>
      <c r="AE248" s="2466"/>
      <c r="AF248" s="2466"/>
      <c r="AG248" s="2466"/>
      <c r="AH248" s="2466"/>
      <c r="AI248" s="2466"/>
      <c r="AJ248" s="2466"/>
      <c r="AK248" s="246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461"/>
      <c r="N250" s="2461"/>
      <c r="O250" s="2461"/>
      <c r="P250" s="2461"/>
      <c r="Q250" s="2461"/>
      <c r="R250" s="2461"/>
      <c r="S250" s="2461"/>
      <c r="T250" s="2461"/>
      <c r="U250" s="2461"/>
      <c r="V250" s="2461"/>
      <c r="W250" s="2461"/>
      <c r="X250" s="2461"/>
      <c r="Y250" s="2461"/>
      <c r="Z250" s="2461"/>
      <c r="AA250" s="2461"/>
      <c r="AB250" s="2461"/>
      <c r="AC250" s="2461"/>
      <c r="AD250" s="2461"/>
      <c r="AE250" s="2461"/>
      <c r="AF250" s="2461" t="s">
        <v>316</v>
      </c>
      <c r="AG250" s="2461"/>
      <c r="AH250" s="2461"/>
      <c r="AI250" s="2461"/>
      <c r="AJ250" s="2461"/>
      <c r="AK250" s="2461"/>
      <c r="BN250" s="61"/>
    </row>
    <row r="251" spans="1:72" ht="12.75">
      <c r="A251" s="29"/>
      <c r="B251" s="7"/>
      <c r="C251" s="7"/>
      <c r="D251" s="57" t="s">
        <v>90</v>
      </c>
      <c r="E251" s="57"/>
      <c r="F251" s="57"/>
      <c r="G251" s="57"/>
      <c r="H251" s="57"/>
      <c r="I251" s="57"/>
      <c r="J251" s="57"/>
      <c r="K251" s="57"/>
      <c r="L251" s="7"/>
      <c r="M251" s="2340"/>
      <c r="N251" s="2340"/>
      <c r="O251" s="2340"/>
      <c r="P251" s="2340"/>
      <c r="Q251" s="2340"/>
      <c r="R251" s="2340"/>
      <c r="S251" s="2340"/>
      <c r="T251" s="2340"/>
      <c r="U251" s="2340"/>
      <c r="V251" s="2340"/>
      <c r="W251" s="2340"/>
      <c r="X251" s="2340"/>
      <c r="Y251" s="2340"/>
      <c r="Z251" s="2340"/>
      <c r="AA251" s="2340"/>
      <c r="AB251" s="2340"/>
      <c r="AC251" s="2340"/>
      <c r="AD251" s="2340"/>
      <c r="AE251" s="2340"/>
      <c r="AF251" s="58" t="s">
        <v>1379</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340"/>
      <c r="N252" s="2340"/>
      <c r="O252" s="2340"/>
      <c r="P252" s="2340"/>
      <c r="Q252" s="2340"/>
      <c r="R252" s="2340"/>
      <c r="S252" s="2340"/>
      <c r="T252" s="2340"/>
      <c r="V252" s="59" t="s">
        <v>91</v>
      </c>
      <c r="W252" s="2088"/>
      <c r="X252" s="2088"/>
      <c r="Y252" s="57" t="s">
        <v>618</v>
      </c>
      <c r="AC252" s="2340"/>
      <c r="AD252" s="2340"/>
      <c r="AE252" s="2340"/>
      <c r="AF252" s="58" t="s">
        <v>1380</v>
      </c>
      <c r="AG252" s="718"/>
      <c r="AH252" s="718"/>
      <c r="AI252" s="718"/>
      <c r="AJ252" s="718"/>
      <c r="AK252" s="718"/>
      <c r="BN252" s="61"/>
    </row>
    <row r="253" spans="1:72" ht="12.75">
      <c r="A253" s="29"/>
      <c r="B253" s="7"/>
      <c r="C253" s="7"/>
      <c r="D253" s="60" t="s">
        <v>92</v>
      </c>
      <c r="E253" s="7"/>
      <c r="F253" s="7"/>
      <c r="G253" s="7"/>
      <c r="H253" s="7"/>
      <c r="I253" s="7"/>
      <c r="J253" s="7"/>
      <c r="K253" s="7"/>
      <c r="L253" s="29"/>
      <c r="M253" s="2340"/>
      <c r="N253" s="2340"/>
      <c r="O253" s="2340"/>
      <c r="P253" s="2340"/>
      <c r="Q253" s="2340"/>
      <c r="R253" s="2340"/>
      <c r="S253" s="2340"/>
      <c r="T253" s="2340"/>
      <c r="U253" s="2340"/>
      <c r="V253" s="2340"/>
      <c r="W253" s="2340"/>
      <c r="X253" s="2340"/>
      <c r="Y253" s="2340"/>
      <c r="Z253" s="2340"/>
      <c r="AA253" s="2340"/>
      <c r="AB253" s="2340"/>
      <c r="AC253" s="2340"/>
      <c r="AD253" s="2340"/>
      <c r="AE253" s="2340"/>
      <c r="AF253" s="718"/>
      <c r="AG253" s="718"/>
      <c r="AH253" s="2485"/>
      <c r="AI253" s="2485"/>
      <c r="AJ253" s="2485"/>
      <c r="AK253" s="2485"/>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71"/>
      <c r="N254" s="2271"/>
      <c r="O254" s="2271"/>
      <c r="P254" s="2271"/>
      <c r="Q254" s="2271"/>
      <c r="R254" s="2271"/>
      <c r="S254" s="7" t="s">
        <v>212</v>
      </c>
      <c r="T254" s="7"/>
      <c r="U254" s="2088"/>
      <c r="V254" s="2088"/>
      <c r="W254" s="2088"/>
      <c r="X254" s="7" t="s">
        <v>94</v>
      </c>
      <c r="Z254" s="2271"/>
      <c r="AA254" s="2271"/>
      <c r="AB254" s="2271"/>
      <c r="AC254" s="2271"/>
      <c r="AD254" s="2271"/>
      <c r="AE254" s="2271"/>
    </row>
    <row r="255" spans="1:72" ht="12.75">
      <c r="A255" s="29"/>
      <c r="B255" s="7"/>
      <c r="C255" s="7"/>
      <c r="D255" s="60" t="s">
        <v>95</v>
      </c>
      <c r="E255" s="7"/>
      <c r="F255" s="7"/>
      <c r="M255" s="2342"/>
      <c r="N255" s="2342"/>
      <c r="O255" s="2342"/>
      <c r="P255" s="2342"/>
      <c r="Q255" s="2342"/>
      <c r="R255" s="2342"/>
      <c r="S255" s="2342"/>
      <c r="T255" s="2342"/>
      <c r="U255" s="2342"/>
      <c r="V255" s="2342"/>
      <c r="W255" s="2342"/>
      <c r="X255" s="2342"/>
      <c r="Y255" s="2342"/>
      <c r="Z255" s="2342"/>
      <c r="AA255" s="2342"/>
      <c r="AB255" s="2342"/>
      <c r="AC255" s="2342"/>
      <c r="AD255" s="2342"/>
      <c r="AE255" s="234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272" t="s">
        <v>316</v>
      </c>
      <c r="N256" s="2272"/>
      <c r="O256" s="2272"/>
      <c r="P256" s="2272"/>
      <c r="Q256" s="2272"/>
      <c r="R256" s="2272"/>
      <c r="S256" s="2272"/>
      <c r="T256" s="2272"/>
      <c r="U256" s="387" t="s">
        <v>975</v>
      </c>
      <c r="V256" s="325"/>
      <c r="W256" s="325"/>
      <c r="X256" s="325"/>
      <c r="Y256" s="325"/>
      <c r="Z256" s="325"/>
      <c r="AA256" s="2466"/>
      <c r="AB256" s="2466"/>
      <c r="AC256" s="2466"/>
      <c r="AD256" s="2466"/>
      <c r="AE256" s="2466"/>
      <c r="AF256" s="2466"/>
      <c r="AG256" s="2466"/>
      <c r="AH256" s="2466"/>
      <c r="AI256" s="2466"/>
      <c r="AJ256" s="2466"/>
      <c r="AK256" s="246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61"/>
      <c r="N258" s="2461"/>
      <c r="O258" s="2461"/>
      <c r="P258" s="2461"/>
      <c r="Q258" s="2461"/>
      <c r="R258" s="2461"/>
      <c r="S258" s="2461"/>
      <c r="T258" s="2461"/>
      <c r="U258" s="2461"/>
      <c r="V258" s="2461"/>
      <c r="W258" s="2461"/>
      <c r="X258" s="2461"/>
      <c r="Y258" s="2461"/>
      <c r="Z258" s="2461"/>
      <c r="AA258" s="2461"/>
      <c r="AB258" s="2461"/>
      <c r="AC258" s="2461"/>
      <c r="AD258" s="2461"/>
      <c r="AE258" s="2461"/>
      <c r="AF258" s="2461" t="s">
        <v>316</v>
      </c>
      <c r="AG258" s="2461"/>
      <c r="AH258" s="2461"/>
      <c r="AI258" s="2461"/>
      <c r="AJ258" s="2461"/>
      <c r="AK258" s="246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0"/>
      <c r="N259" s="2340"/>
      <c r="O259" s="2340"/>
      <c r="P259" s="2340"/>
      <c r="Q259" s="2340"/>
      <c r="R259" s="2340"/>
      <c r="S259" s="2340"/>
      <c r="T259" s="2340"/>
      <c r="U259" s="2340"/>
      <c r="V259" s="2340"/>
      <c r="W259" s="2340"/>
      <c r="X259" s="2340"/>
      <c r="Y259" s="2340"/>
      <c r="Z259" s="2340"/>
      <c r="AA259" s="2340"/>
      <c r="AB259" s="2340"/>
      <c r="AC259" s="2340"/>
      <c r="AD259" s="2340"/>
      <c r="AE259" s="2340"/>
      <c r="AF259" s="58" t="s">
        <v>1379</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40"/>
      <c r="N260" s="2340"/>
      <c r="O260" s="2340"/>
      <c r="P260" s="2340"/>
      <c r="Q260" s="2340"/>
      <c r="R260" s="2340"/>
      <c r="S260" s="2340"/>
      <c r="T260" s="2340"/>
      <c r="V260" s="59" t="s">
        <v>91</v>
      </c>
      <c r="W260" s="2088"/>
      <c r="X260" s="2088"/>
      <c r="Y260" s="57" t="s">
        <v>618</v>
      </c>
      <c r="AC260" s="2340"/>
      <c r="AD260" s="2340"/>
      <c r="AE260" s="2340"/>
      <c r="AF260" s="58" t="s">
        <v>1380</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40"/>
      <c r="N261" s="2340"/>
      <c r="O261" s="2340"/>
      <c r="P261" s="2340"/>
      <c r="Q261" s="2340"/>
      <c r="R261" s="2340"/>
      <c r="S261" s="2340"/>
      <c r="T261" s="2340"/>
      <c r="U261" s="2340"/>
      <c r="V261" s="2340"/>
      <c r="W261" s="2340"/>
      <c r="X261" s="2340"/>
      <c r="Y261" s="2340"/>
      <c r="Z261" s="2340"/>
      <c r="AA261" s="2340"/>
      <c r="AB261" s="2340"/>
      <c r="AC261" s="2340"/>
      <c r="AD261" s="2340"/>
      <c r="AE261" s="2340"/>
      <c r="AF261" s="718"/>
      <c r="AG261" s="718"/>
      <c r="AH261" s="2485"/>
      <c r="AI261" s="2485"/>
      <c r="AJ261" s="2485"/>
      <c r="AK261" s="2485"/>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271"/>
      <c r="N262" s="2271"/>
      <c r="O262" s="2271"/>
      <c r="P262" s="2271"/>
      <c r="Q262" s="2271"/>
      <c r="R262" s="2271"/>
      <c r="S262" s="7" t="s">
        <v>212</v>
      </c>
      <c r="T262" s="7"/>
      <c r="U262" s="2088"/>
      <c r="V262" s="2088"/>
      <c r="W262" s="2088"/>
      <c r="X262" s="7" t="s">
        <v>94</v>
      </c>
      <c r="Z262" s="2271"/>
      <c r="AA262" s="2271"/>
      <c r="AB262" s="2271"/>
      <c r="AC262" s="2271"/>
      <c r="AD262" s="2271"/>
      <c r="AE262" s="2271"/>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42"/>
      <c r="N263" s="2342"/>
      <c r="O263" s="2342"/>
      <c r="P263" s="2342"/>
      <c r="Q263" s="2342"/>
      <c r="R263" s="2342"/>
      <c r="S263" s="2342"/>
      <c r="T263" s="2342"/>
      <c r="U263" s="2342"/>
      <c r="V263" s="2342"/>
      <c r="W263" s="2342"/>
      <c r="X263" s="2342"/>
      <c r="Y263" s="2342"/>
      <c r="Z263" s="2342"/>
      <c r="AA263" s="2479"/>
      <c r="AB263" s="2479"/>
      <c r="AC263" s="2479"/>
      <c r="AD263" s="2479"/>
      <c r="AE263" s="247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272" t="s">
        <v>316</v>
      </c>
      <c r="N264" s="2272"/>
      <c r="O264" s="2272"/>
      <c r="P264" s="2272"/>
      <c r="Q264" s="2272"/>
      <c r="R264" s="2272"/>
      <c r="S264" s="2272"/>
      <c r="T264" s="2272"/>
      <c r="U264" s="387" t="s">
        <v>975</v>
      </c>
      <c r="V264" s="325"/>
      <c r="W264" s="325"/>
      <c r="X264" s="325"/>
      <c r="Y264" s="325"/>
      <c r="Z264" s="325"/>
      <c r="AA264" s="2480"/>
      <c r="AB264" s="2480"/>
      <c r="AC264" s="2480"/>
      <c r="AD264" s="2480"/>
      <c r="AE264" s="2480"/>
      <c r="AF264" s="2480"/>
      <c r="AG264" s="2480"/>
      <c r="AH264" s="2480"/>
      <c r="AI264" s="2480"/>
      <c r="AJ264" s="2480"/>
      <c r="AK264" s="248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486" t="str">
        <f>BO245</f>
        <v>Nonprofit</v>
      </c>
      <c r="U266" s="2486"/>
      <c r="V266" s="2486"/>
      <c r="W266" s="2486"/>
      <c r="X266" s="2486"/>
      <c r="Z266" s="479" t="s">
        <v>1033</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2.75">
      <c r="A267" s="50"/>
      <c r="B267" s="7"/>
      <c r="C267" s="50"/>
      <c r="I267" s="7"/>
      <c r="J267" s="7"/>
      <c r="K267" s="7"/>
      <c r="L267" s="7"/>
      <c r="M267" s="147"/>
      <c r="N267" s="147"/>
      <c r="O267" s="147"/>
      <c r="P267" s="147"/>
      <c r="Q267" s="147"/>
      <c r="T267" s="7"/>
      <c r="U267" s="7"/>
      <c r="V267" s="7"/>
      <c r="W267" s="62"/>
      <c r="Z267" s="482" t="s">
        <v>866</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3" t="s">
        <v>1032</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75">
      <c r="A269" s="57"/>
      <c r="B269" s="63">
        <v>0</v>
      </c>
      <c r="D269" s="2340" t="s">
        <v>178</v>
      </c>
      <c r="E269" s="2340"/>
      <c r="F269" s="2340"/>
      <c r="G269" s="2340"/>
      <c r="H269" s="2340"/>
      <c r="J269" s="12" t="s">
        <v>285</v>
      </c>
      <c r="X269" s="2309">
        <v>44378</v>
      </c>
      <c r="Y269" s="2309"/>
      <c r="Z269" s="2309"/>
      <c r="AA269" s="2309"/>
      <c r="AB269" s="2309"/>
      <c r="AC269" s="2309"/>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60" t="s">
        <v>2521</v>
      </c>
      <c r="M273" s="2461"/>
      <c r="N273" s="2461"/>
      <c r="O273" s="2461"/>
      <c r="P273" s="2461"/>
      <c r="Q273" s="2461"/>
      <c r="R273" s="2461"/>
      <c r="S273" s="2461"/>
      <c r="T273" s="2461"/>
      <c r="U273" s="2461"/>
      <c r="V273" s="2461"/>
      <c r="W273" s="2461"/>
      <c r="X273" s="2461"/>
      <c r="Y273" s="2461"/>
      <c r="Z273" s="2461"/>
      <c r="AA273" s="2461"/>
      <c r="AB273" s="2461"/>
      <c r="AC273" s="2461"/>
      <c r="AD273" s="2461"/>
      <c r="AE273" s="2461"/>
      <c r="AF273" s="2461"/>
      <c r="AG273" s="2461"/>
      <c r="AH273" s="2461"/>
      <c r="AI273" s="2461"/>
      <c r="AJ273" s="246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83" t="s">
        <v>2537</v>
      </c>
      <c r="M274" s="2340"/>
      <c r="N274" s="2340"/>
      <c r="O274" s="2340"/>
      <c r="P274" s="2340"/>
      <c r="Q274" s="2340"/>
      <c r="R274" s="2340"/>
      <c r="S274" s="2340"/>
      <c r="T274" s="2340"/>
      <c r="U274" s="2340"/>
      <c r="V274" s="2340"/>
      <c r="W274" s="2340"/>
      <c r="X274" s="2340"/>
      <c r="Y274" s="2340"/>
      <c r="Z274" s="2340"/>
      <c r="AA274" s="2340"/>
      <c r="AB274" s="2340"/>
      <c r="AC274" s="2340"/>
      <c r="AD274" s="2340"/>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283" t="s">
        <v>2538</v>
      </c>
      <c r="M275" s="2340"/>
      <c r="N275" s="2340"/>
      <c r="O275" s="2340"/>
      <c r="P275" s="2340"/>
      <c r="Q275" s="2340"/>
      <c r="R275" s="2340"/>
      <c r="S275" s="2340"/>
      <c r="U275" s="59" t="s">
        <v>91</v>
      </c>
      <c r="V275" s="2079" t="s">
        <v>2539</v>
      </c>
      <c r="W275" s="2088"/>
      <c r="X275" s="57" t="s">
        <v>618</v>
      </c>
      <c r="AB275" s="2340">
        <v>91730</v>
      </c>
      <c r="AC275" s="2340"/>
      <c r="AD275" s="234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83" t="s">
        <v>2543</v>
      </c>
      <c r="M276" s="2340"/>
      <c r="N276" s="2340"/>
      <c r="O276" s="2340"/>
      <c r="P276" s="2340"/>
      <c r="Q276" s="2340"/>
      <c r="R276" s="2340"/>
      <c r="S276" s="2340"/>
      <c r="T276" s="2340"/>
      <c r="U276" s="2340"/>
      <c r="V276" s="2340"/>
      <c r="W276" s="2340"/>
      <c r="X276" s="2340"/>
      <c r="Y276" s="2340"/>
      <c r="Z276" s="2340"/>
      <c r="AA276" s="2340"/>
      <c r="AB276" s="2340"/>
      <c r="AC276" s="2340"/>
      <c r="AD276" s="2340"/>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71" t="s">
        <v>2549</v>
      </c>
      <c r="M277" s="2271"/>
      <c r="N277" s="2271"/>
      <c r="O277" s="2271"/>
      <c r="P277" s="2271"/>
      <c r="Q277" s="2271"/>
      <c r="R277" s="7" t="s">
        <v>212</v>
      </c>
      <c r="S277" s="7"/>
      <c r="T277" s="2088"/>
      <c r="U277" s="2088"/>
      <c r="V277" s="2088"/>
      <c r="W277" s="7" t="s">
        <v>94</v>
      </c>
      <c r="Y277" s="2271"/>
      <c r="Z277" s="2271"/>
      <c r="AA277" s="2271"/>
      <c r="AB277" s="2271"/>
      <c r="AC277" s="2271"/>
      <c r="AD277" s="2271"/>
      <c r="BN277" s="61"/>
    </row>
    <row r="278" spans="1:66" ht="12.75">
      <c r="D278" s="60" t="s">
        <v>95</v>
      </c>
      <c r="E278" s="7"/>
      <c r="F278" s="7"/>
      <c r="L278" s="2342" t="s">
        <v>2540</v>
      </c>
      <c r="M278" s="2342"/>
      <c r="N278" s="2342"/>
      <c r="O278" s="2342"/>
      <c r="P278" s="2342"/>
      <c r="Q278" s="2342"/>
      <c r="R278" s="2342"/>
      <c r="S278" s="2342"/>
      <c r="T278" s="2342"/>
      <c r="U278" s="2342"/>
      <c r="V278" s="2342"/>
      <c r="W278" s="2342"/>
      <c r="X278" s="2342"/>
      <c r="Y278" s="2342"/>
      <c r="Z278" s="2342"/>
      <c r="AA278" s="2342"/>
      <c r="AB278" s="2342"/>
      <c r="AC278" s="2342"/>
      <c r="AD278" s="2342"/>
      <c r="AF278" s="7"/>
      <c r="AG278" s="7"/>
      <c r="AH278" s="7"/>
      <c r="AI278" s="7"/>
      <c r="AJ278" s="7"/>
      <c r="BN278" s="61"/>
    </row>
    <row r="279" spans="1:66" ht="12.75">
      <c r="D279" s="58" t="s">
        <v>658</v>
      </c>
      <c r="E279" s="58"/>
      <c r="F279" s="58"/>
      <c r="G279" s="58"/>
      <c r="H279" s="58"/>
      <c r="I279" s="58"/>
      <c r="L279" s="2079" t="s">
        <v>2544</v>
      </c>
      <c r="M279" s="2079"/>
      <c r="N279" s="2079"/>
      <c r="O279" s="2079"/>
      <c r="P279" s="2079"/>
      <c r="Q279" s="2079"/>
      <c r="R279" s="2079"/>
      <c r="S279" s="2079"/>
      <c r="T279" s="2079"/>
      <c r="U279" s="2079"/>
      <c r="V279" s="2079"/>
      <c r="W279" s="2079"/>
      <c r="X279" s="2079"/>
      <c r="Y279" s="2079"/>
      <c r="Z279" s="2079"/>
      <c r="AA279" s="2079"/>
      <c r="AB279" s="2079"/>
      <c r="AC279" s="2079"/>
      <c r="AD279" s="2079"/>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392" t="s">
        <v>574</v>
      </c>
      <c r="B281" s="2392"/>
      <c r="C281" s="2392"/>
      <c r="D281" s="2392"/>
      <c r="E281" s="2392"/>
      <c r="F281" s="2392"/>
      <c r="G281" s="2392"/>
      <c r="H281" s="2392"/>
      <c r="I281" s="2392"/>
      <c r="J281" s="2392"/>
      <c r="K281" s="2392"/>
      <c r="L281" s="2392"/>
      <c r="M281" s="2392"/>
      <c r="N281" s="2392"/>
      <c r="O281" s="2392"/>
      <c r="P281" s="2392"/>
      <c r="Q281" s="2392"/>
      <c r="R281" s="2392"/>
      <c r="S281" s="2392"/>
      <c r="T281" s="2392"/>
      <c r="U281" s="2392"/>
      <c r="V281" s="2392"/>
      <c r="W281" s="2392"/>
      <c r="X281" s="2392"/>
      <c r="Y281" s="2392"/>
      <c r="Z281" s="2392"/>
      <c r="AA281" s="2392"/>
      <c r="AB281" s="2392"/>
      <c r="AC281" s="2392"/>
      <c r="AD281" s="2392"/>
      <c r="AE281" s="2392"/>
      <c r="AF281" s="2392"/>
      <c r="AG281" s="2392"/>
      <c r="AH281" s="2392"/>
      <c r="AI281" s="2392"/>
      <c r="AJ281" s="2392"/>
      <c r="AK281" s="2392"/>
      <c r="AL281" s="2392"/>
      <c r="AM281" s="144"/>
      <c r="AN281" s="144"/>
      <c r="AO281" s="144"/>
      <c r="AP281" s="144"/>
      <c r="AQ281" s="144"/>
      <c r="AR281" s="144"/>
      <c r="AS281" s="144"/>
      <c r="AT281" s="144"/>
      <c r="AU281" s="144"/>
      <c r="AV281" s="144"/>
      <c r="AW281" s="144"/>
      <c r="AX281" s="144"/>
      <c r="AY281" s="144"/>
      <c r="BN281" s="61"/>
    </row>
    <row r="282" spans="1:66" ht="13.5" thickBot="1">
      <c r="A282" s="2393"/>
      <c r="B282" s="2393"/>
      <c r="C282" s="2393"/>
      <c r="D282" s="2393"/>
      <c r="E282" s="2393"/>
      <c r="F282" s="2393"/>
      <c r="G282" s="2393"/>
      <c r="H282" s="2393"/>
      <c r="I282" s="2393"/>
      <c r="J282" s="2393"/>
      <c r="K282" s="2393"/>
      <c r="L282" s="2393"/>
      <c r="M282" s="2393"/>
      <c r="N282" s="2393"/>
      <c r="O282" s="2393"/>
      <c r="P282" s="2393"/>
      <c r="Q282" s="2393"/>
      <c r="R282" s="2393"/>
      <c r="S282" s="2393"/>
      <c r="T282" s="2393"/>
      <c r="U282" s="2393"/>
      <c r="V282" s="2393"/>
      <c r="W282" s="2393"/>
      <c r="X282" s="2393"/>
      <c r="Y282" s="2393"/>
      <c r="Z282" s="2393"/>
      <c r="AA282" s="2393"/>
      <c r="AB282" s="2393"/>
      <c r="AC282" s="2393"/>
      <c r="AD282" s="2393"/>
      <c r="AE282" s="2393"/>
      <c r="AF282" s="2393"/>
      <c r="AG282" s="2393"/>
      <c r="AH282" s="2393"/>
      <c r="AI282" s="2393"/>
      <c r="AJ282" s="2393"/>
      <c r="AK282" s="2393"/>
      <c r="AL282" s="239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51" t="s">
        <v>2521</v>
      </c>
      <c r="I286" s="2051"/>
      <c r="J286" s="2051"/>
      <c r="K286" s="2051"/>
      <c r="L286" s="2051"/>
      <c r="M286" s="2051"/>
      <c r="N286" s="2051"/>
      <c r="O286" s="2051"/>
      <c r="P286" s="2051"/>
      <c r="Q286" s="2051"/>
      <c r="R286" s="2051"/>
      <c r="T286" s="58" t="s">
        <v>600</v>
      </c>
      <c r="V286" s="58"/>
      <c r="W286" s="58"/>
      <c r="X286" s="58"/>
      <c r="Y286" s="58"/>
      <c r="AA286" s="2051" t="s">
        <v>2550</v>
      </c>
      <c r="AB286" s="2051"/>
      <c r="AC286" s="2051"/>
      <c r="AD286" s="2051"/>
      <c r="AE286" s="2051"/>
      <c r="AF286" s="2051"/>
      <c r="AG286" s="2051"/>
      <c r="AH286" s="2051"/>
      <c r="AI286" s="2051"/>
      <c r="AJ286" s="2051"/>
      <c r="AK286" s="2051"/>
      <c r="BN286" s="61"/>
    </row>
    <row r="287" spans="1:66" ht="12.75">
      <c r="B287" s="58" t="s">
        <v>504</v>
      </c>
      <c r="C287" s="58"/>
      <c r="D287" s="58"/>
      <c r="E287" s="58"/>
      <c r="F287" s="58"/>
      <c r="H287" s="2272" t="s">
        <v>2537</v>
      </c>
      <c r="I287" s="2272"/>
      <c r="J287" s="2272"/>
      <c r="K287" s="2272"/>
      <c r="L287" s="2272"/>
      <c r="M287" s="2272"/>
      <c r="N287" s="2272"/>
      <c r="O287" s="2272"/>
      <c r="P287" s="2272"/>
      <c r="Q287" s="2272"/>
      <c r="R287" s="2272"/>
      <c r="T287" s="58" t="s">
        <v>504</v>
      </c>
      <c r="V287" s="58"/>
      <c r="W287" s="58"/>
      <c r="X287" s="58"/>
      <c r="Y287" s="58"/>
      <c r="AA287" s="2272" t="s">
        <v>2551</v>
      </c>
      <c r="AB287" s="2272"/>
      <c r="AC287" s="2272"/>
      <c r="AD287" s="2272"/>
      <c r="AE287" s="2272"/>
      <c r="AF287" s="2272"/>
      <c r="AG287" s="2272"/>
      <c r="AH287" s="2272"/>
      <c r="AI287" s="2272"/>
      <c r="AJ287" s="2272"/>
      <c r="AK287" s="2272"/>
      <c r="BN287" s="61"/>
    </row>
    <row r="288" spans="1:66" ht="12.75">
      <c r="B288" s="58" t="s">
        <v>505</v>
      </c>
      <c r="C288" s="58"/>
      <c r="D288" s="58"/>
      <c r="E288" s="58"/>
      <c r="F288" s="58"/>
      <c r="H288" s="2272" t="s">
        <v>2538</v>
      </c>
      <c r="I288" s="2272"/>
      <c r="J288" s="2272"/>
      <c r="K288" s="2272"/>
      <c r="L288" s="2272"/>
      <c r="M288" s="2272"/>
      <c r="N288" s="2272"/>
      <c r="O288" s="2272"/>
      <c r="P288" s="2272"/>
      <c r="Q288" s="2272"/>
      <c r="R288" s="2272"/>
      <c r="T288" s="58" t="s">
        <v>79</v>
      </c>
      <c r="V288" s="58"/>
      <c r="W288" s="58"/>
      <c r="X288" s="58"/>
      <c r="Y288" s="58"/>
      <c r="AA288" s="2272" t="s">
        <v>2552</v>
      </c>
      <c r="AB288" s="2272"/>
      <c r="AC288" s="2272"/>
      <c r="AD288" s="2272"/>
      <c r="AE288" s="2272"/>
      <c r="AF288" s="2272"/>
      <c r="AG288" s="2272"/>
      <c r="AH288" s="2272"/>
      <c r="AI288" s="2272"/>
      <c r="AJ288" s="2272"/>
      <c r="AK288" s="2272"/>
      <c r="BN288" s="61"/>
    </row>
    <row r="289" spans="2:66" ht="12.75" customHeight="1">
      <c r="B289" s="58" t="s">
        <v>92</v>
      </c>
      <c r="C289" s="58"/>
      <c r="D289" s="58"/>
      <c r="E289" s="58"/>
      <c r="F289" s="58"/>
      <c r="H289" s="2272" t="s">
        <v>2545</v>
      </c>
      <c r="I289" s="2272"/>
      <c r="J289" s="2272"/>
      <c r="K289" s="2272"/>
      <c r="L289" s="2272"/>
      <c r="M289" s="2272"/>
      <c r="N289" s="2272"/>
      <c r="O289" s="2272"/>
      <c r="P289" s="2272"/>
      <c r="Q289" s="2272"/>
      <c r="R289" s="2272"/>
      <c r="T289" s="58" t="s">
        <v>92</v>
      </c>
      <c r="V289" s="58"/>
      <c r="W289" s="58"/>
      <c r="X289" s="58"/>
      <c r="Y289" s="58"/>
      <c r="AA289" s="2272" t="s">
        <v>2553</v>
      </c>
      <c r="AB289" s="2272"/>
      <c r="AC289" s="2272"/>
      <c r="AD289" s="2272"/>
      <c r="AE289" s="2272"/>
      <c r="AF289" s="2272"/>
      <c r="AG289" s="2272"/>
      <c r="AH289" s="2272"/>
      <c r="AI289" s="2272"/>
      <c r="AJ289" s="2272"/>
      <c r="AK289" s="2272"/>
      <c r="BN289" s="61"/>
    </row>
    <row r="290" spans="2:66" ht="12.75" customHeight="1">
      <c r="B290" s="58" t="s">
        <v>93</v>
      </c>
      <c r="C290" s="58"/>
      <c r="D290" s="58"/>
      <c r="E290" s="58"/>
      <c r="F290" s="58"/>
      <c r="G290" s="58"/>
      <c r="H290" s="2365" t="s">
        <v>2546</v>
      </c>
      <c r="I290" s="2365"/>
      <c r="J290" s="2365"/>
      <c r="K290" s="2365"/>
      <c r="L290" s="2365"/>
      <c r="M290" s="2365"/>
      <c r="N290" s="7" t="s">
        <v>212</v>
      </c>
      <c r="O290" s="7"/>
      <c r="P290" s="2340"/>
      <c r="Q290" s="2340"/>
      <c r="R290" s="2340"/>
      <c r="S290" s="58"/>
      <c r="T290" s="58" t="s">
        <v>93</v>
      </c>
      <c r="V290" s="58"/>
      <c r="W290" s="58"/>
      <c r="X290" s="58"/>
      <c r="Y290" s="58"/>
      <c r="AA290" s="1869" t="s">
        <v>2554</v>
      </c>
      <c r="AB290" s="1858"/>
      <c r="AC290" s="1858"/>
      <c r="AD290" s="1858"/>
      <c r="AE290" s="1858"/>
      <c r="AF290" s="1858"/>
      <c r="AG290" s="7" t="s">
        <v>212</v>
      </c>
      <c r="AH290" s="7"/>
      <c r="AI290" s="2340">
        <v>514</v>
      </c>
      <c r="AJ290" s="2340"/>
      <c r="AK290" s="2340"/>
      <c r="BN290" s="61"/>
    </row>
    <row r="291" spans="2:66" ht="12.75" customHeight="1">
      <c r="B291" s="58" t="s">
        <v>94</v>
      </c>
      <c r="C291" s="58"/>
      <c r="D291" s="58"/>
      <c r="E291" s="58"/>
      <c r="F291" s="58"/>
      <c r="G291" s="58"/>
      <c r="H291" s="2365" t="s">
        <v>2547</v>
      </c>
      <c r="I291" s="2365"/>
      <c r="J291" s="2365"/>
      <c r="K291" s="2365"/>
      <c r="L291" s="2365"/>
      <c r="M291" s="2365"/>
      <c r="N291" s="60"/>
      <c r="O291" s="60"/>
      <c r="P291" s="62"/>
      <c r="Q291" s="62"/>
      <c r="R291" s="62"/>
      <c r="S291" s="58"/>
      <c r="T291" s="58" t="s">
        <v>94</v>
      </c>
      <c r="V291" s="58"/>
      <c r="W291" s="58"/>
      <c r="X291" s="58"/>
      <c r="Y291" s="58"/>
      <c r="AA291" s="2271"/>
      <c r="AB291" s="2271"/>
      <c r="AC291" s="2271"/>
      <c r="AD291" s="2271"/>
      <c r="AE291" s="2271"/>
      <c r="AF291" s="2271"/>
      <c r="AG291" s="60"/>
      <c r="AH291" s="60"/>
      <c r="AI291" s="62"/>
      <c r="AJ291" s="62"/>
      <c r="AK291" s="62"/>
      <c r="BN291" s="61"/>
    </row>
    <row r="292" spans="2:66" ht="12.75" customHeight="1">
      <c r="B292" s="58" t="s">
        <v>80</v>
      </c>
      <c r="C292" s="58"/>
      <c r="D292" s="58"/>
      <c r="E292" s="58"/>
      <c r="F292" s="58"/>
      <c r="G292" s="58"/>
      <c r="H292" s="2272" t="s">
        <v>2548</v>
      </c>
      <c r="I292" s="2272"/>
      <c r="J292" s="2272"/>
      <c r="K292" s="2272"/>
      <c r="L292" s="2272"/>
      <c r="M292" s="2272"/>
      <c r="N292" s="2051"/>
      <c r="O292" s="2051"/>
      <c r="P292" s="2051"/>
      <c r="Q292" s="2051"/>
      <c r="R292" s="2051"/>
      <c r="S292" s="58"/>
      <c r="T292" s="58" t="s">
        <v>80</v>
      </c>
      <c r="V292" s="58"/>
      <c r="W292" s="58"/>
      <c r="X292" s="58"/>
      <c r="Y292" s="58"/>
      <c r="AA292" s="2272" t="s">
        <v>2555</v>
      </c>
      <c r="AB292" s="2272"/>
      <c r="AC292" s="2272"/>
      <c r="AD292" s="2272"/>
      <c r="AE292" s="2272"/>
      <c r="AF292" s="2272"/>
      <c r="AG292" s="2051"/>
      <c r="AH292" s="2051"/>
      <c r="AI292" s="2051"/>
      <c r="AJ292" s="2051"/>
      <c r="AK292" s="205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51" t="s">
        <v>2556</v>
      </c>
      <c r="I294" s="2051"/>
      <c r="J294" s="2051"/>
      <c r="K294" s="2051"/>
      <c r="L294" s="2051"/>
      <c r="M294" s="2051"/>
      <c r="N294" s="2051"/>
      <c r="O294" s="2051"/>
      <c r="P294" s="2051"/>
      <c r="Q294" s="2051"/>
      <c r="R294" s="2051"/>
      <c r="T294" s="58" t="s">
        <v>374</v>
      </c>
      <c r="V294" s="58"/>
      <c r="W294" s="58"/>
      <c r="X294" s="58"/>
      <c r="Y294" s="58"/>
      <c r="AA294" s="2051" t="s">
        <v>2562</v>
      </c>
      <c r="AB294" s="2051"/>
      <c r="AC294" s="2051"/>
      <c r="AD294" s="2051"/>
      <c r="AE294" s="2051"/>
      <c r="AF294" s="2051"/>
      <c r="AG294" s="2051"/>
      <c r="AH294" s="2051"/>
      <c r="AI294" s="2051"/>
      <c r="AJ294" s="2051"/>
      <c r="AK294" s="2051"/>
      <c r="BN294" s="61"/>
    </row>
    <row r="295" spans="2:66" ht="12.75">
      <c r="B295" s="58" t="s">
        <v>504</v>
      </c>
      <c r="C295" s="58"/>
      <c r="D295" s="58"/>
      <c r="E295" s="58"/>
      <c r="F295" s="58"/>
      <c r="H295" s="2272" t="s">
        <v>2557</v>
      </c>
      <c r="I295" s="2272"/>
      <c r="J295" s="2272"/>
      <c r="K295" s="2272"/>
      <c r="L295" s="2272"/>
      <c r="M295" s="2272"/>
      <c r="N295" s="2272"/>
      <c r="O295" s="2272"/>
      <c r="P295" s="2272"/>
      <c r="Q295" s="2272"/>
      <c r="R295" s="2272"/>
      <c r="T295" s="58" t="s">
        <v>504</v>
      </c>
      <c r="V295" s="58"/>
      <c r="W295" s="58"/>
      <c r="X295" s="58"/>
      <c r="Y295" s="58"/>
      <c r="AA295" s="2272" t="s">
        <v>2563</v>
      </c>
      <c r="AB295" s="2272"/>
      <c r="AC295" s="2272"/>
      <c r="AD295" s="2272"/>
      <c r="AE295" s="2272"/>
      <c r="AF295" s="2272"/>
      <c r="AG295" s="2272"/>
      <c r="AH295" s="2272"/>
      <c r="AI295" s="2272"/>
      <c r="AJ295" s="2272"/>
      <c r="AK295" s="2272"/>
      <c r="BN295" s="61"/>
    </row>
    <row r="296" spans="2:66" ht="12.75">
      <c r="B296" s="58" t="s">
        <v>505</v>
      </c>
      <c r="C296" s="58"/>
      <c r="D296" s="58"/>
      <c r="E296" s="58"/>
      <c r="F296" s="58"/>
      <c r="H296" s="2272" t="s">
        <v>2558</v>
      </c>
      <c r="I296" s="2272"/>
      <c r="J296" s="2272"/>
      <c r="K296" s="2272"/>
      <c r="L296" s="2272"/>
      <c r="M296" s="2272"/>
      <c r="N296" s="2272"/>
      <c r="O296" s="2272"/>
      <c r="P296" s="2272"/>
      <c r="Q296" s="2272"/>
      <c r="R296" s="2272"/>
      <c r="T296" s="58" t="s">
        <v>79</v>
      </c>
      <c r="V296" s="58"/>
      <c r="W296" s="58"/>
      <c r="X296" s="58"/>
      <c r="Y296" s="58"/>
      <c r="AA296" s="2272" t="s">
        <v>2564</v>
      </c>
      <c r="AB296" s="2272"/>
      <c r="AC296" s="2272"/>
      <c r="AD296" s="2272"/>
      <c r="AE296" s="2272"/>
      <c r="AF296" s="2272"/>
      <c r="AG296" s="2272"/>
      <c r="AH296" s="2272"/>
      <c r="AI296" s="2272"/>
      <c r="AJ296" s="2272"/>
      <c r="AK296" s="2272"/>
      <c r="BN296" s="61"/>
    </row>
    <row r="297" spans="2:66" ht="12.75">
      <c r="B297" s="58" t="s">
        <v>92</v>
      </c>
      <c r="C297" s="58"/>
      <c r="D297" s="58"/>
      <c r="E297" s="58"/>
      <c r="F297" s="58"/>
      <c r="H297" s="2272" t="s">
        <v>2559</v>
      </c>
      <c r="I297" s="2272"/>
      <c r="J297" s="2272"/>
      <c r="K297" s="2272"/>
      <c r="L297" s="2272"/>
      <c r="M297" s="2272"/>
      <c r="N297" s="2272"/>
      <c r="O297" s="2272"/>
      <c r="P297" s="2272"/>
      <c r="Q297" s="2272"/>
      <c r="R297" s="2272"/>
      <c r="T297" s="58" t="s">
        <v>92</v>
      </c>
      <c r="V297" s="58"/>
      <c r="W297" s="58"/>
      <c r="X297" s="58"/>
      <c r="Y297" s="58"/>
      <c r="AA297" s="2272" t="s">
        <v>2565</v>
      </c>
      <c r="AB297" s="2272"/>
      <c r="AC297" s="2272"/>
      <c r="AD297" s="2272"/>
      <c r="AE297" s="2272"/>
      <c r="AF297" s="2272"/>
      <c r="AG297" s="2272"/>
      <c r="AH297" s="2272"/>
      <c r="AI297" s="2272"/>
      <c r="AJ297" s="2272"/>
      <c r="AK297" s="2272"/>
      <c r="BN297" s="61"/>
    </row>
    <row r="298" spans="2:66" ht="12.75">
      <c r="B298" s="58" t="s">
        <v>93</v>
      </c>
      <c r="C298" s="58"/>
      <c r="D298" s="58"/>
      <c r="E298" s="58"/>
      <c r="F298" s="58"/>
      <c r="G298" s="58"/>
      <c r="H298" s="2365" t="s">
        <v>2560</v>
      </c>
      <c r="I298" s="2365"/>
      <c r="J298" s="2365"/>
      <c r="K298" s="2365"/>
      <c r="L298" s="2365"/>
      <c r="M298" s="2365"/>
      <c r="N298" s="7" t="s">
        <v>212</v>
      </c>
      <c r="O298" s="7"/>
      <c r="P298" s="2340"/>
      <c r="Q298" s="2340"/>
      <c r="R298" s="2340"/>
      <c r="S298" s="58"/>
      <c r="T298" s="58" t="s">
        <v>93</v>
      </c>
      <c r="V298" s="58"/>
      <c r="W298" s="58"/>
      <c r="X298" s="58"/>
      <c r="Y298" s="58"/>
      <c r="AA298" s="2365" t="s">
        <v>2566</v>
      </c>
      <c r="AB298" s="2365"/>
      <c r="AC298" s="2365"/>
      <c r="AD298" s="2365"/>
      <c r="AE298" s="2365"/>
      <c r="AF298" s="2365"/>
      <c r="AG298" s="7" t="s">
        <v>212</v>
      </c>
      <c r="AH298" s="7"/>
      <c r="AI298" s="2340"/>
      <c r="AJ298" s="2340"/>
      <c r="AK298" s="2340"/>
      <c r="BN298" s="61"/>
    </row>
    <row r="299" spans="2:66" ht="12.75" customHeight="1">
      <c r="B299" s="58" t="s">
        <v>94</v>
      </c>
      <c r="C299" s="58"/>
      <c r="D299" s="58"/>
      <c r="E299" s="58"/>
      <c r="F299" s="58"/>
      <c r="G299" s="58"/>
      <c r="H299" s="2271"/>
      <c r="I299" s="2271"/>
      <c r="J299" s="2271"/>
      <c r="K299" s="2271"/>
      <c r="L299" s="2271"/>
      <c r="M299" s="2271"/>
      <c r="N299" s="60"/>
      <c r="O299" s="60"/>
      <c r="P299" s="62"/>
      <c r="Q299" s="62"/>
      <c r="R299" s="62"/>
      <c r="S299" s="58"/>
      <c r="T299" s="58" t="s">
        <v>94</v>
      </c>
      <c r="V299" s="58"/>
      <c r="W299" s="58"/>
      <c r="X299" s="58"/>
      <c r="Y299" s="58"/>
      <c r="AA299" s="2271"/>
      <c r="AB299" s="2271"/>
      <c r="AC299" s="2271"/>
      <c r="AD299" s="2271"/>
      <c r="AE299" s="2271"/>
      <c r="AF299" s="2271"/>
      <c r="AG299" s="60"/>
      <c r="AH299" s="60"/>
      <c r="AI299" s="62"/>
      <c r="AJ299" s="62"/>
      <c r="AK299" s="62"/>
      <c r="BN299" s="61"/>
    </row>
    <row r="300" spans="2:66" ht="12.75" customHeight="1">
      <c r="B300" s="58" t="s">
        <v>80</v>
      </c>
      <c r="C300" s="58"/>
      <c r="D300" s="58"/>
      <c r="E300" s="58"/>
      <c r="F300" s="58"/>
      <c r="G300" s="58"/>
      <c r="H300" s="2272" t="s">
        <v>2561</v>
      </c>
      <c r="I300" s="2272"/>
      <c r="J300" s="2272"/>
      <c r="K300" s="2272"/>
      <c r="L300" s="2272"/>
      <c r="M300" s="2272"/>
      <c r="N300" s="2051"/>
      <c r="O300" s="2051"/>
      <c r="P300" s="2051"/>
      <c r="Q300" s="2051"/>
      <c r="R300" s="2051"/>
      <c r="S300" s="58"/>
      <c r="T300" s="58" t="s">
        <v>80</v>
      </c>
      <c r="V300" s="58"/>
      <c r="W300" s="58"/>
      <c r="X300" s="58"/>
      <c r="Y300" s="58"/>
      <c r="AA300" s="2272" t="s">
        <v>2567</v>
      </c>
      <c r="AB300" s="2272"/>
      <c r="AC300" s="2272"/>
      <c r="AD300" s="2272"/>
      <c r="AE300" s="2272"/>
      <c r="AF300" s="2272"/>
      <c r="AG300" s="2051"/>
      <c r="AH300" s="2051"/>
      <c r="AI300" s="2051"/>
      <c r="AJ300" s="2051"/>
      <c r="AK300" s="2051"/>
      <c r="BN300" s="61"/>
    </row>
    <row r="301" spans="2:66" ht="12.75" customHeight="1">
      <c r="BN301" s="61"/>
    </row>
    <row r="302" spans="2:66" ht="12.75" customHeight="1">
      <c r="B302" s="58" t="s">
        <v>81</v>
      </c>
      <c r="C302" s="58"/>
      <c r="D302" s="58"/>
      <c r="E302" s="58"/>
      <c r="F302" s="58"/>
      <c r="H302" s="2051" t="s">
        <v>2568</v>
      </c>
      <c r="I302" s="2051"/>
      <c r="J302" s="2051"/>
      <c r="K302" s="2051"/>
      <c r="L302" s="2051"/>
      <c r="M302" s="2051"/>
      <c r="N302" s="2051"/>
      <c r="O302" s="2051"/>
      <c r="P302" s="2051"/>
      <c r="Q302" s="2051"/>
      <c r="R302" s="2051"/>
      <c r="T302" s="7" t="s">
        <v>943</v>
      </c>
      <c r="V302" s="58"/>
      <c r="W302" s="58"/>
      <c r="X302" s="58"/>
      <c r="Y302" s="58"/>
      <c r="AA302" s="2051"/>
      <c r="AB302" s="2051"/>
      <c r="AC302" s="2051"/>
      <c r="AD302" s="2051"/>
      <c r="AE302" s="2051"/>
      <c r="AF302" s="2051"/>
      <c r="AG302" s="2051"/>
      <c r="AH302" s="2051"/>
      <c r="AI302" s="2051"/>
      <c r="AJ302" s="2051"/>
      <c r="AK302" s="2051"/>
      <c r="BN302" s="61"/>
    </row>
    <row r="303" spans="2:66" ht="12.75">
      <c r="B303" s="58" t="s">
        <v>504</v>
      </c>
      <c r="C303" s="58"/>
      <c r="D303" s="58"/>
      <c r="E303" s="58"/>
      <c r="F303" s="58"/>
      <c r="H303" s="2272" t="s">
        <v>2569</v>
      </c>
      <c r="I303" s="2272"/>
      <c r="J303" s="2272"/>
      <c r="K303" s="2272"/>
      <c r="L303" s="2272"/>
      <c r="M303" s="2272"/>
      <c r="N303" s="2272"/>
      <c r="O303" s="2272"/>
      <c r="P303" s="2272"/>
      <c r="Q303" s="2272"/>
      <c r="R303" s="2272"/>
      <c r="T303" s="58" t="s">
        <v>504</v>
      </c>
      <c r="V303" s="58"/>
      <c r="W303" s="58"/>
      <c r="X303" s="58"/>
      <c r="Y303" s="58"/>
      <c r="AA303" s="2272"/>
      <c r="AB303" s="2272"/>
      <c r="AC303" s="2272"/>
      <c r="AD303" s="2272"/>
      <c r="AE303" s="2272"/>
      <c r="AF303" s="2272"/>
      <c r="AG303" s="2272"/>
      <c r="AH303" s="2272"/>
      <c r="AI303" s="2272"/>
      <c r="AJ303" s="2272"/>
      <c r="AK303" s="2272"/>
      <c r="BN303" s="61"/>
    </row>
    <row r="304" spans="2:66" ht="12.75">
      <c r="B304" s="58" t="s">
        <v>505</v>
      </c>
      <c r="C304" s="58"/>
      <c r="D304" s="58"/>
      <c r="E304" s="58"/>
      <c r="F304" s="58"/>
      <c r="H304" s="2272" t="s">
        <v>2570</v>
      </c>
      <c r="I304" s="2272"/>
      <c r="J304" s="2272"/>
      <c r="K304" s="2272"/>
      <c r="L304" s="2272"/>
      <c r="M304" s="2272"/>
      <c r="N304" s="2272"/>
      <c r="O304" s="2272"/>
      <c r="P304" s="2272"/>
      <c r="Q304" s="2272"/>
      <c r="R304" s="2272"/>
      <c r="T304" s="58" t="s">
        <v>79</v>
      </c>
      <c r="V304" s="58"/>
      <c r="W304" s="58"/>
      <c r="X304" s="58"/>
      <c r="Y304" s="58"/>
      <c r="AA304" s="2272"/>
      <c r="AB304" s="2272"/>
      <c r="AC304" s="2272"/>
      <c r="AD304" s="2272"/>
      <c r="AE304" s="2272"/>
      <c r="AF304" s="2272"/>
      <c r="AG304" s="2272"/>
      <c r="AH304" s="2272"/>
      <c r="AI304" s="2272"/>
      <c r="AJ304" s="2272"/>
      <c r="AK304" s="2272"/>
      <c r="BN304" s="61"/>
    </row>
    <row r="305" spans="2:66" ht="12.75">
      <c r="B305" s="58" t="s">
        <v>92</v>
      </c>
      <c r="C305" s="58"/>
      <c r="D305" s="58"/>
      <c r="E305" s="58"/>
      <c r="F305" s="58"/>
      <c r="H305" s="2272" t="s">
        <v>2571</v>
      </c>
      <c r="I305" s="2272"/>
      <c r="J305" s="2272"/>
      <c r="K305" s="2272"/>
      <c r="L305" s="2272"/>
      <c r="M305" s="2272"/>
      <c r="N305" s="2272"/>
      <c r="O305" s="2272"/>
      <c r="P305" s="2272"/>
      <c r="Q305" s="2272"/>
      <c r="R305" s="2272"/>
      <c r="T305" s="58" t="s">
        <v>92</v>
      </c>
      <c r="V305" s="58"/>
      <c r="W305" s="58"/>
      <c r="X305" s="58"/>
      <c r="Y305" s="58"/>
      <c r="AA305" s="2272"/>
      <c r="AB305" s="2272"/>
      <c r="AC305" s="2272"/>
      <c r="AD305" s="2272"/>
      <c r="AE305" s="2272"/>
      <c r="AF305" s="2272"/>
      <c r="AG305" s="2272"/>
      <c r="AH305" s="2272"/>
      <c r="AI305" s="2272"/>
      <c r="AJ305" s="2272"/>
      <c r="AK305" s="2272"/>
      <c r="BN305" s="61"/>
    </row>
    <row r="306" spans="2:66" ht="12.75">
      <c r="B306" s="58" t="s">
        <v>93</v>
      </c>
      <c r="C306" s="58"/>
      <c r="D306" s="58"/>
      <c r="E306" s="58"/>
      <c r="F306" s="58"/>
      <c r="G306" s="58"/>
      <c r="H306" s="2365" t="s">
        <v>2572</v>
      </c>
      <c r="I306" s="2365"/>
      <c r="J306" s="2365"/>
      <c r="K306" s="2365"/>
      <c r="L306" s="2365"/>
      <c r="M306" s="2365"/>
      <c r="N306" s="7" t="s">
        <v>212</v>
      </c>
      <c r="O306" s="7"/>
      <c r="P306" s="2340"/>
      <c r="Q306" s="2340"/>
      <c r="R306" s="2340"/>
      <c r="S306" s="58"/>
      <c r="T306" s="58" t="s">
        <v>93</v>
      </c>
      <c r="V306" s="58"/>
      <c r="W306" s="58"/>
      <c r="X306" s="58"/>
      <c r="Y306" s="58"/>
      <c r="AA306" s="2365"/>
      <c r="AB306" s="2365"/>
      <c r="AC306" s="2365"/>
      <c r="AD306" s="2365"/>
      <c r="AE306" s="2365"/>
      <c r="AF306" s="2365"/>
      <c r="AG306" s="7" t="s">
        <v>212</v>
      </c>
      <c r="AH306" s="7"/>
      <c r="AI306" s="2340"/>
      <c r="AJ306" s="2340"/>
      <c r="AK306" s="2340"/>
      <c r="BN306" s="61"/>
    </row>
    <row r="307" spans="2:66" ht="12.75">
      <c r="B307" s="58" t="s">
        <v>94</v>
      </c>
      <c r="C307" s="58"/>
      <c r="D307" s="58"/>
      <c r="E307" s="58"/>
      <c r="F307" s="58"/>
      <c r="G307" s="58"/>
      <c r="H307" s="2271"/>
      <c r="I307" s="2271"/>
      <c r="J307" s="2271"/>
      <c r="K307" s="2271"/>
      <c r="L307" s="2271"/>
      <c r="M307" s="2271"/>
      <c r="N307" s="60"/>
      <c r="O307" s="60"/>
      <c r="P307" s="62"/>
      <c r="Q307" s="62"/>
      <c r="R307" s="62"/>
      <c r="S307" s="58"/>
      <c r="T307" s="58" t="s">
        <v>94</v>
      </c>
      <c r="V307" s="58"/>
      <c r="W307" s="58"/>
      <c r="X307" s="58"/>
      <c r="Y307" s="58"/>
      <c r="AA307" s="2271"/>
      <c r="AB307" s="2271"/>
      <c r="AC307" s="2271"/>
      <c r="AD307" s="2271"/>
      <c r="AE307" s="2271"/>
      <c r="AF307" s="2271"/>
      <c r="AG307" s="60"/>
      <c r="AH307" s="60"/>
      <c r="AI307" s="62"/>
      <c r="AJ307" s="62"/>
      <c r="AK307" s="62"/>
      <c r="BN307" s="61"/>
    </row>
    <row r="308" spans="2:66" ht="12.75">
      <c r="B308" s="58" t="s">
        <v>80</v>
      </c>
      <c r="C308" s="58"/>
      <c r="D308" s="58"/>
      <c r="E308" s="58"/>
      <c r="F308" s="58"/>
      <c r="G308" s="58"/>
      <c r="H308" s="2272" t="s">
        <v>2573</v>
      </c>
      <c r="I308" s="2272"/>
      <c r="J308" s="2272"/>
      <c r="K308" s="2272"/>
      <c r="L308" s="2272"/>
      <c r="M308" s="2272"/>
      <c r="N308" s="2051"/>
      <c r="O308" s="2051"/>
      <c r="P308" s="2051"/>
      <c r="Q308" s="2051"/>
      <c r="R308" s="2051"/>
      <c r="S308" s="58"/>
      <c r="T308" s="58" t="s">
        <v>80</v>
      </c>
      <c r="V308" s="58"/>
      <c r="W308" s="58"/>
      <c r="X308" s="58"/>
      <c r="Y308" s="58"/>
      <c r="AA308" s="2272"/>
      <c r="AB308" s="2272"/>
      <c r="AC308" s="2272"/>
      <c r="AD308" s="2272"/>
      <c r="AE308" s="2272"/>
      <c r="AF308" s="2272"/>
      <c r="AG308" s="2051"/>
      <c r="AH308" s="2051"/>
      <c r="AI308" s="2051"/>
      <c r="AJ308" s="2051"/>
      <c r="AK308" s="205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51" t="s">
        <v>2568</v>
      </c>
      <c r="I310" s="2051"/>
      <c r="J310" s="2051"/>
      <c r="K310" s="2051"/>
      <c r="L310" s="2051"/>
      <c r="M310" s="2051"/>
      <c r="N310" s="2051"/>
      <c r="O310" s="2051"/>
      <c r="P310" s="2051"/>
      <c r="Q310" s="2051"/>
      <c r="R310" s="2051"/>
      <c r="S310" s="58"/>
      <c r="T310" s="58" t="s">
        <v>375</v>
      </c>
      <c r="V310" s="58"/>
      <c r="W310" s="58"/>
      <c r="X310" s="58"/>
      <c r="Y310" s="58"/>
      <c r="AA310" s="2051"/>
      <c r="AB310" s="2051"/>
      <c r="AC310" s="2051"/>
      <c r="AD310" s="2051"/>
      <c r="AE310" s="2051"/>
      <c r="AF310" s="2051"/>
      <c r="AG310" s="2051"/>
      <c r="AH310" s="2051"/>
      <c r="AI310" s="2051"/>
      <c r="AJ310" s="2051"/>
      <c r="AK310" s="2051"/>
      <c r="BN310" s="61"/>
    </row>
    <row r="311" spans="2:66" ht="12.75">
      <c r="B311" s="58" t="s">
        <v>504</v>
      </c>
      <c r="C311" s="58"/>
      <c r="D311" s="58"/>
      <c r="E311" s="58"/>
      <c r="F311" s="58"/>
      <c r="H311" s="2272" t="s">
        <v>2574</v>
      </c>
      <c r="I311" s="2272"/>
      <c r="J311" s="2272"/>
      <c r="K311" s="2272"/>
      <c r="L311" s="2272"/>
      <c r="M311" s="2272"/>
      <c r="N311" s="2272"/>
      <c r="O311" s="2272"/>
      <c r="P311" s="2272"/>
      <c r="Q311" s="2272"/>
      <c r="R311" s="2272"/>
      <c r="S311" s="58"/>
      <c r="T311" s="58" t="s">
        <v>504</v>
      </c>
      <c r="V311" s="58"/>
      <c r="W311" s="58"/>
      <c r="X311" s="58"/>
      <c r="Y311" s="58"/>
      <c r="AA311" s="2272"/>
      <c r="AB311" s="2272"/>
      <c r="AC311" s="2272"/>
      <c r="AD311" s="2272"/>
      <c r="AE311" s="2272"/>
      <c r="AF311" s="2272"/>
      <c r="AG311" s="2272"/>
      <c r="AH311" s="2272"/>
      <c r="AI311" s="2272"/>
      <c r="AJ311" s="2272"/>
      <c r="AK311" s="2272"/>
      <c r="BN311" s="61"/>
    </row>
    <row r="312" spans="2:66" ht="12.75" customHeight="1">
      <c r="B312" s="58" t="s">
        <v>505</v>
      </c>
      <c r="C312" s="58"/>
      <c r="D312" s="58"/>
      <c r="E312" s="58"/>
      <c r="F312" s="58"/>
      <c r="H312" s="2272" t="s">
        <v>2575</v>
      </c>
      <c r="I312" s="2272"/>
      <c r="J312" s="2272"/>
      <c r="K312" s="2272"/>
      <c r="L312" s="2272"/>
      <c r="M312" s="2272"/>
      <c r="N312" s="2272"/>
      <c r="O312" s="2272"/>
      <c r="P312" s="2272"/>
      <c r="Q312" s="2272"/>
      <c r="R312" s="2272"/>
      <c r="S312" s="58"/>
      <c r="T312" s="58" t="s">
        <v>79</v>
      </c>
      <c r="V312" s="58"/>
      <c r="W312" s="58"/>
      <c r="X312" s="58"/>
      <c r="Y312" s="58"/>
      <c r="AA312" s="2272"/>
      <c r="AB312" s="2272"/>
      <c r="AC312" s="2272"/>
      <c r="AD312" s="2272"/>
      <c r="AE312" s="2272"/>
      <c r="AF312" s="2272"/>
      <c r="AG312" s="2272"/>
      <c r="AH312" s="2272"/>
      <c r="AI312" s="2272"/>
      <c r="AJ312" s="2272"/>
      <c r="AK312" s="2272"/>
      <c r="BN312" s="61"/>
    </row>
    <row r="313" spans="2:66" ht="12.75">
      <c r="B313" s="58" t="s">
        <v>92</v>
      </c>
      <c r="C313" s="58"/>
      <c r="D313" s="58"/>
      <c r="E313" s="58"/>
      <c r="F313" s="58"/>
      <c r="H313" s="2272" t="s">
        <v>2576</v>
      </c>
      <c r="I313" s="2272"/>
      <c r="J313" s="2272"/>
      <c r="K313" s="2272"/>
      <c r="L313" s="2272"/>
      <c r="M313" s="2272"/>
      <c r="N313" s="2272"/>
      <c r="O313" s="2272"/>
      <c r="P313" s="2272"/>
      <c r="Q313" s="2272"/>
      <c r="R313" s="2272"/>
      <c r="S313" s="58"/>
      <c r="T313" s="58" t="s">
        <v>92</v>
      </c>
      <c r="V313" s="58"/>
      <c r="W313" s="58"/>
      <c r="X313" s="58"/>
      <c r="Y313" s="58"/>
      <c r="AA313" s="2272"/>
      <c r="AB313" s="2272"/>
      <c r="AC313" s="2272"/>
      <c r="AD313" s="2272"/>
      <c r="AE313" s="2272"/>
      <c r="AF313" s="2272"/>
      <c r="AG313" s="2272"/>
      <c r="AH313" s="2272"/>
      <c r="AI313" s="2272"/>
      <c r="AJ313" s="2272"/>
      <c r="AK313" s="2272"/>
      <c r="BN313" s="61"/>
    </row>
    <row r="314" spans="2:66" ht="12.75">
      <c r="B314" s="58" t="s">
        <v>93</v>
      </c>
      <c r="C314" s="58"/>
      <c r="D314" s="58"/>
      <c r="E314" s="58"/>
      <c r="F314" s="58"/>
      <c r="G314" s="58"/>
      <c r="H314" s="2365" t="s">
        <v>2577</v>
      </c>
      <c r="I314" s="2365"/>
      <c r="J314" s="2365"/>
      <c r="K314" s="2365"/>
      <c r="L314" s="2365"/>
      <c r="M314" s="2365"/>
      <c r="N314" s="7" t="s">
        <v>212</v>
      </c>
      <c r="O314" s="7"/>
      <c r="P314" s="2340"/>
      <c r="Q314" s="2340"/>
      <c r="R314" s="2340"/>
      <c r="S314" s="58"/>
      <c r="T314" s="58" t="s">
        <v>93</v>
      </c>
      <c r="V314" s="58"/>
      <c r="W314" s="58"/>
      <c r="X314" s="58"/>
      <c r="Y314" s="58"/>
      <c r="AA314" s="2365"/>
      <c r="AB314" s="2365"/>
      <c r="AC314" s="2365"/>
      <c r="AD314" s="2365"/>
      <c r="AE314" s="2365"/>
      <c r="AF314" s="2365"/>
      <c r="AG314" s="7" t="s">
        <v>212</v>
      </c>
      <c r="AH314" s="7"/>
      <c r="AI314" s="2340"/>
      <c r="AJ314" s="2340"/>
      <c r="AK314" s="2340"/>
      <c r="BN314" s="61"/>
    </row>
    <row r="315" spans="2:66" ht="12.75">
      <c r="B315" s="58" t="s">
        <v>94</v>
      </c>
      <c r="C315" s="58"/>
      <c r="D315" s="58"/>
      <c r="E315" s="58"/>
      <c r="F315" s="58"/>
      <c r="G315" s="58"/>
      <c r="H315" s="2271"/>
      <c r="I315" s="2271"/>
      <c r="J315" s="2271"/>
      <c r="K315" s="2271"/>
      <c r="L315" s="2271"/>
      <c r="M315" s="2271"/>
      <c r="N315" s="60"/>
      <c r="O315" s="60"/>
      <c r="P315" s="62"/>
      <c r="Q315" s="62"/>
      <c r="R315" s="62"/>
      <c r="S315" s="58"/>
      <c r="T315" s="58" t="s">
        <v>94</v>
      </c>
      <c r="V315" s="58"/>
      <c r="W315" s="58"/>
      <c r="X315" s="58"/>
      <c r="Y315" s="58"/>
      <c r="AA315" s="2271"/>
      <c r="AB315" s="2271"/>
      <c r="AC315" s="2271"/>
      <c r="AD315" s="2271"/>
      <c r="AE315" s="2271"/>
      <c r="AF315" s="2271"/>
      <c r="AG315" s="60"/>
      <c r="AH315" s="60"/>
      <c r="AI315" s="62"/>
      <c r="AJ315" s="62"/>
      <c r="AK315" s="62"/>
      <c r="BN315" s="61"/>
    </row>
    <row r="316" spans="2:66" ht="12.75">
      <c r="B316" s="58" t="s">
        <v>80</v>
      </c>
      <c r="C316" s="58"/>
      <c r="D316" s="58"/>
      <c r="E316" s="58"/>
      <c r="F316" s="58"/>
      <c r="G316" s="58"/>
      <c r="H316" s="2272" t="s">
        <v>2578</v>
      </c>
      <c r="I316" s="2272"/>
      <c r="J316" s="2272"/>
      <c r="K316" s="2272"/>
      <c r="L316" s="2272"/>
      <c r="M316" s="2272"/>
      <c r="N316" s="2051"/>
      <c r="O316" s="2051"/>
      <c r="P316" s="2051"/>
      <c r="Q316" s="2051"/>
      <c r="R316" s="2051"/>
      <c r="S316" s="58"/>
      <c r="T316" s="58" t="s">
        <v>80</v>
      </c>
      <c r="V316" s="58"/>
      <c r="W316" s="58"/>
      <c r="X316" s="58"/>
      <c r="Y316" s="58"/>
      <c r="AA316" s="2272"/>
      <c r="AB316" s="2272"/>
      <c r="AC316" s="2272"/>
      <c r="AD316" s="2272"/>
      <c r="AE316" s="2272"/>
      <c r="AF316" s="2272"/>
      <c r="AG316" s="2051"/>
      <c r="AH316" s="2051"/>
      <c r="AI316" s="2051"/>
      <c r="AJ316" s="2051"/>
      <c r="AK316" s="2051"/>
      <c r="BN316" s="61"/>
    </row>
    <row r="317" spans="2:66" ht="12.75">
      <c r="BN317" s="61"/>
    </row>
    <row r="318" spans="2:66" ht="12.75">
      <c r="B318" s="7" t="s">
        <v>977</v>
      </c>
      <c r="C318" s="58"/>
      <c r="D318" s="58"/>
      <c r="E318" s="58"/>
      <c r="F318" s="58"/>
      <c r="H318" s="2051"/>
      <c r="I318" s="2051"/>
      <c r="J318" s="2051"/>
      <c r="K318" s="2051"/>
      <c r="L318" s="2051"/>
      <c r="M318" s="2051"/>
      <c r="N318" s="2051"/>
      <c r="O318" s="2051"/>
      <c r="P318" s="2051"/>
      <c r="Q318" s="2051"/>
      <c r="R318" s="2051"/>
      <c r="T318" s="58" t="s">
        <v>376</v>
      </c>
      <c r="V318" s="58"/>
      <c r="W318" s="58"/>
      <c r="X318" s="58"/>
      <c r="Y318" s="58"/>
      <c r="AA318" s="2051" t="s">
        <v>2579</v>
      </c>
      <c r="AB318" s="2051"/>
      <c r="AC318" s="2051"/>
      <c r="AD318" s="2051"/>
      <c r="AE318" s="2051"/>
      <c r="AF318" s="2051"/>
      <c r="AG318" s="2051"/>
      <c r="AH318" s="2051"/>
      <c r="AI318" s="2051"/>
      <c r="AJ318" s="2051"/>
      <c r="AK318" s="2051"/>
      <c r="BN318" s="61"/>
    </row>
    <row r="319" spans="2:66" ht="12.75">
      <c r="B319" s="58" t="s">
        <v>504</v>
      </c>
      <c r="C319" s="58"/>
      <c r="D319" s="58"/>
      <c r="E319" s="58"/>
      <c r="F319" s="58"/>
      <c r="H319" s="2272"/>
      <c r="I319" s="2272"/>
      <c r="J319" s="2272"/>
      <c r="K319" s="2272"/>
      <c r="L319" s="2272"/>
      <c r="M319" s="2272"/>
      <c r="N319" s="2272"/>
      <c r="O319" s="2272"/>
      <c r="P319" s="2272"/>
      <c r="Q319" s="2272"/>
      <c r="R319" s="2272"/>
      <c r="T319" s="58" t="s">
        <v>504</v>
      </c>
      <c r="V319" s="58"/>
      <c r="W319" s="58"/>
      <c r="X319" s="58"/>
      <c r="Y319" s="58"/>
      <c r="AA319" s="2272" t="s">
        <v>2580</v>
      </c>
      <c r="AB319" s="2272"/>
      <c r="AC319" s="2272"/>
      <c r="AD319" s="2272"/>
      <c r="AE319" s="2272"/>
      <c r="AF319" s="2272"/>
      <c r="AG319" s="2272"/>
      <c r="AH319" s="2272"/>
      <c r="AI319" s="2272"/>
      <c r="AJ319" s="2272"/>
      <c r="AK319" s="2272"/>
      <c r="BN319" s="61"/>
    </row>
    <row r="320" spans="2:66" ht="12.75">
      <c r="B320" s="58" t="s">
        <v>505</v>
      </c>
      <c r="C320" s="58"/>
      <c r="D320" s="58"/>
      <c r="E320" s="58"/>
      <c r="F320" s="58"/>
      <c r="H320" s="2272"/>
      <c r="I320" s="2272"/>
      <c r="J320" s="2272"/>
      <c r="K320" s="2272"/>
      <c r="L320" s="2272"/>
      <c r="M320" s="2272"/>
      <c r="N320" s="2272"/>
      <c r="O320" s="2272"/>
      <c r="P320" s="2272"/>
      <c r="Q320" s="2272"/>
      <c r="R320" s="2272"/>
      <c r="T320" s="58" t="s">
        <v>79</v>
      </c>
      <c r="V320" s="58"/>
      <c r="W320" s="58"/>
      <c r="X320" s="58"/>
      <c r="Y320" s="58"/>
      <c r="AA320" s="2272" t="s">
        <v>2581</v>
      </c>
      <c r="AB320" s="2272"/>
      <c r="AC320" s="2272"/>
      <c r="AD320" s="2272"/>
      <c r="AE320" s="2272"/>
      <c r="AF320" s="2272"/>
      <c r="AG320" s="2272"/>
      <c r="AH320" s="2272"/>
      <c r="AI320" s="2272"/>
      <c r="AJ320" s="2272"/>
      <c r="AK320" s="2272"/>
      <c r="BN320" s="61"/>
    </row>
    <row r="321" spans="1:66" ht="12.75" customHeight="1">
      <c r="A321" s="39"/>
      <c r="B321" s="58" t="s">
        <v>92</v>
      </c>
      <c r="C321" s="58"/>
      <c r="D321" s="58"/>
      <c r="E321" s="58"/>
      <c r="F321" s="58"/>
      <c r="H321" s="2272"/>
      <c r="I321" s="2272"/>
      <c r="J321" s="2272"/>
      <c r="K321" s="2272"/>
      <c r="L321" s="2272"/>
      <c r="M321" s="2272"/>
      <c r="N321" s="2272"/>
      <c r="O321" s="2272"/>
      <c r="P321" s="2272"/>
      <c r="Q321" s="2272"/>
      <c r="R321" s="2272"/>
      <c r="T321" s="58" t="s">
        <v>92</v>
      </c>
      <c r="V321" s="58"/>
      <c r="W321" s="58"/>
      <c r="X321" s="58"/>
      <c r="Y321" s="58"/>
      <c r="AA321" s="2272" t="s">
        <v>2582</v>
      </c>
      <c r="AB321" s="2272"/>
      <c r="AC321" s="2272"/>
      <c r="AD321" s="2272"/>
      <c r="AE321" s="2272"/>
      <c r="AF321" s="2272"/>
      <c r="AG321" s="2272"/>
      <c r="AH321" s="2272"/>
      <c r="AI321" s="2272"/>
      <c r="AJ321" s="2272"/>
      <c r="AK321" s="2272"/>
      <c r="AL321" s="39"/>
      <c r="BN321" s="61"/>
    </row>
    <row r="322" spans="1:66" ht="12.75">
      <c r="A322" s="39"/>
      <c r="B322" s="58" t="s">
        <v>93</v>
      </c>
      <c r="C322" s="58"/>
      <c r="D322" s="58"/>
      <c r="E322" s="58"/>
      <c r="F322" s="58"/>
      <c r="G322" s="58"/>
      <c r="H322" s="2365"/>
      <c r="I322" s="2365"/>
      <c r="J322" s="2365"/>
      <c r="K322" s="2365"/>
      <c r="L322" s="2365"/>
      <c r="M322" s="2365"/>
      <c r="N322" s="7" t="s">
        <v>212</v>
      </c>
      <c r="O322" s="7"/>
      <c r="P322" s="2340"/>
      <c r="Q322" s="2340"/>
      <c r="R322" s="2340"/>
      <c r="S322" s="58"/>
      <c r="T322" s="58" t="s">
        <v>93</v>
      </c>
      <c r="V322" s="58"/>
      <c r="W322" s="58"/>
      <c r="X322" s="58"/>
      <c r="Y322" s="58"/>
      <c r="AA322" s="2365" t="s">
        <v>2583</v>
      </c>
      <c r="AB322" s="2365"/>
      <c r="AC322" s="2365"/>
      <c r="AD322" s="2365"/>
      <c r="AE322" s="2365"/>
      <c r="AF322" s="2365"/>
      <c r="AG322" s="7" t="s">
        <v>212</v>
      </c>
      <c r="AH322" s="7"/>
      <c r="AI322" s="2340"/>
      <c r="AJ322" s="2340"/>
      <c r="AK322" s="2340"/>
      <c r="AL322" s="39"/>
      <c r="BN322" s="61"/>
    </row>
    <row r="323" spans="1:66" ht="12.75" customHeight="1">
      <c r="A323" s="39"/>
      <c r="B323" s="58" t="s">
        <v>94</v>
      </c>
      <c r="C323" s="58"/>
      <c r="D323" s="58"/>
      <c r="E323" s="58"/>
      <c r="F323" s="58"/>
      <c r="G323" s="58"/>
      <c r="H323" s="2271"/>
      <c r="I323" s="2271"/>
      <c r="J323" s="2271"/>
      <c r="K323" s="2271"/>
      <c r="L323" s="2271"/>
      <c r="M323" s="2271"/>
      <c r="N323" s="60"/>
      <c r="O323" s="60"/>
      <c r="P323" s="62"/>
      <c r="Q323" s="62"/>
      <c r="R323" s="62"/>
      <c r="S323" s="58"/>
      <c r="T323" s="58" t="s">
        <v>94</v>
      </c>
      <c r="V323" s="58"/>
      <c r="W323" s="58"/>
      <c r="X323" s="58"/>
      <c r="Y323" s="58"/>
      <c r="AA323" s="2271"/>
      <c r="AB323" s="2271"/>
      <c r="AC323" s="2271"/>
      <c r="AD323" s="2271"/>
      <c r="AE323" s="2271"/>
      <c r="AF323" s="2271"/>
      <c r="AG323" s="60"/>
      <c r="AH323" s="60"/>
      <c r="AI323" s="62"/>
      <c r="AJ323" s="62"/>
      <c r="AK323" s="62"/>
      <c r="AL323" s="39"/>
    </row>
    <row r="324" spans="1:66" ht="12.75">
      <c r="A324" s="39"/>
      <c r="B324" s="58" t="s">
        <v>80</v>
      </c>
      <c r="C324" s="58"/>
      <c r="D324" s="58"/>
      <c r="E324" s="58"/>
      <c r="F324" s="58"/>
      <c r="G324" s="58"/>
      <c r="H324" s="2272"/>
      <c r="I324" s="2272"/>
      <c r="J324" s="2272"/>
      <c r="K324" s="2272"/>
      <c r="L324" s="2272"/>
      <c r="M324" s="2272"/>
      <c r="N324" s="2051"/>
      <c r="O324" s="2051"/>
      <c r="P324" s="2051"/>
      <c r="Q324" s="2051"/>
      <c r="R324" s="2051"/>
      <c r="S324" s="58"/>
      <c r="T324" s="58" t="s">
        <v>80</v>
      </c>
      <c r="V324" s="58"/>
      <c r="W324" s="58"/>
      <c r="X324" s="58"/>
      <c r="Y324" s="58"/>
      <c r="AA324" s="2272" t="s">
        <v>2584</v>
      </c>
      <c r="AB324" s="2272"/>
      <c r="AC324" s="2272"/>
      <c r="AD324" s="2272"/>
      <c r="AE324" s="2272"/>
      <c r="AF324" s="2272"/>
      <c r="AG324" s="2051"/>
      <c r="AH324" s="2051"/>
      <c r="AI324" s="2051"/>
      <c r="AJ324" s="2051"/>
      <c r="AK324" s="205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51" t="s">
        <v>2585</v>
      </c>
      <c r="I326" s="2051"/>
      <c r="J326" s="2051"/>
      <c r="K326" s="2051"/>
      <c r="L326" s="2051"/>
      <c r="M326" s="2051"/>
      <c r="N326" s="2051"/>
      <c r="O326" s="2051"/>
      <c r="P326" s="2051"/>
      <c r="Q326" s="2051"/>
      <c r="R326" s="2051"/>
      <c r="T326" s="58" t="s">
        <v>378</v>
      </c>
      <c r="V326" s="58"/>
      <c r="W326" s="58"/>
      <c r="X326" s="58"/>
      <c r="Y326" s="58"/>
      <c r="AA326" s="2051"/>
      <c r="AB326" s="2051"/>
      <c r="AC326" s="2051"/>
      <c r="AD326" s="2051"/>
      <c r="AE326" s="2051"/>
      <c r="AF326" s="2051"/>
      <c r="AG326" s="2051"/>
      <c r="AH326" s="2051"/>
      <c r="AI326" s="2051"/>
      <c r="AJ326" s="2051"/>
      <c r="AK326" s="2051"/>
      <c r="AL326" s="39"/>
    </row>
    <row r="327" spans="1:66" ht="12.75">
      <c r="A327" s="39"/>
      <c r="B327" s="58" t="s">
        <v>504</v>
      </c>
      <c r="C327" s="58"/>
      <c r="D327" s="58"/>
      <c r="E327" s="58"/>
      <c r="F327" s="58"/>
      <c r="H327" s="2272" t="s">
        <v>2586</v>
      </c>
      <c r="I327" s="2272"/>
      <c r="J327" s="2272"/>
      <c r="K327" s="2272"/>
      <c r="L327" s="2272"/>
      <c r="M327" s="2272"/>
      <c r="N327" s="2272"/>
      <c r="O327" s="2272"/>
      <c r="P327" s="2272"/>
      <c r="Q327" s="2272"/>
      <c r="R327" s="2272"/>
      <c r="T327" s="58" t="s">
        <v>504</v>
      </c>
      <c r="V327" s="58"/>
      <c r="W327" s="58"/>
      <c r="X327" s="58"/>
      <c r="Y327" s="58"/>
      <c r="AA327" s="2272"/>
      <c r="AB327" s="2272"/>
      <c r="AC327" s="2272"/>
      <c r="AD327" s="2272"/>
      <c r="AE327" s="2272"/>
      <c r="AF327" s="2272"/>
      <c r="AG327" s="2272"/>
      <c r="AH327" s="2272"/>
      <c r="AI327" s="2272"/>
      <c r="AJ327" s="2272"/>
      <c r="AK327" s="2272"/>
      <c r="AL327" s="39"/>
    </row>
    <row r="328" spans="1:66" ht="12.75">
      <c r="A328" s="39"/>
      <c r="B328" s="58" t="s">
        <v>505</v>
      </c>
      <c r="C328" s="58"/>
      <c r="D328" s="58"/>
      <c r="E328" s="58"/>
      <c r="F328" s="58"/>
      <c r="H328" s="2272" t="s">
        <v>2587</v>
      </c>
      <c r="I328" s="2272"/>
      <c r="J328" s="2272"/>
      <c r="K328" s="2272"/>
      <c r="L328" s="2272"/>
      <c r="M328" s="2272"/>
      <c r="N328" s="2272"/>
      <c r="O328" s="2272"/>
      <c r="P328" s="2272"/>
      <c r="Q328" s="2272"/>
      <c r="R328" s="2272"/>
      <c r="T328" s="58" t="s">
        <v>79</v>
      </c>
      <c r="V328" s="58"/>
      <c r="W328" s="58"/>
      <c r="X328" s="58"/>
      <c r="Y328" s="58"/>
      <c r="AA328" s="2272"/>
      <c r="AB328" s="2272"/>
      <c r="AC328" s="2272"/>
      <c r="AD328" s="2272"/>
      <c r="AE328" s="2272"/>
      <c r="AF328" s="2272"/>
      <c r="AG328" s="2272"/>
      <c r="AH328" s="2272"/>
      <c r="AI328" s="2272"/>
      <c r="AJ328" s="2272"/>
      <c r="AK328" s="2272"/>
      <c r="AL328" s="39"/>
    </row>
    <row r="329" spans="1:66" ht="12.75">
      <c r="A329" s="39"/>
      <c r="B329" s="58" t="s">
        <v>92</v>
      </c>
      <c r="C329" s="58"/>
      <c r="D329" s="58"/>
      <c r="E329" s="58"/>
      <c r="F329" s="58"/>
      <c r="H329" s="2272" t="s">
        <v>2588</v>
      </c>
      <c r="I329" s="2272"/>
      <c r="J329" s="2272"/>
      <c r="K329" s="2272"/>
      <c r="L329" s="2272"/>
      <c r="M329" s="2272"/>
      <c r="N329" s="2272"/>
      <c r="O329" s="2272"/>
      <c r="P329" s="2272"/>
      <c r="Q329" s="2272"/>
      <c r="R329" s="2272"/>
      <c r="T329" s="58" t="s">
        <v>92</v>
      </c>
      <c r="V329" s="58"/>
      <c r="W329" s="58"/>
      <c r="X329" s="58"/>
      <c r="Y329" s="58"/>
      <c r="AA329" s="2272"/>
      <c r="AB329" s="2272"/>
      <c r="AC329" s="2272"/>
      <c r="AD329" s="2272"/>
      <c r="AE329" s="2272"/>
      <c r="AF329" s="2272"/>
      <c r="AG329" s="2272"/>
      <c r="AH329" s="2272"/>
      <c r="AI329" s="2272"/>
      <c r="AJ329" s="2272"/>
      <c r="AK329" s="2272"/>
      <c r="AL329" s="39"/>
    </row>
    <row r="330" spans="1:66" ht="12.75" customHeight="1">
      <c r="A330" s="39"/>
      <c r="B330" s="58" t="s">
        <v>93</v>
      </c>
      <c r="C330" s="58"/>
      <c r="D330" s="58"/>
      <c r="E330" s="58"/>
      <c r="F330" s="58"/>
      <c r="G330" s="58"/>
      <c r="H330" s="2365" t="s">
        <v>2589</v>
      </c>
      <c r="I330" s="2365"/>
      <c r="J330" s="2365"/>
      <c r="K330" s="2365"/>
      <c r="L330" s="2365"/>
      <c r="M330" s="2365"/>
      <c r="N330" s="7" t="s">
        <v>212</v>
      </c>
      <c r="O330" s="7"/>
      <c r="P330" s="2340"/>
      <c r="Q330" s="2340"/>
      <c r="R330" s="2340"/>
      <c r="S330" s="58"/>
      <c r="T330" s="58" t="s">
        <v>93</v>
      </c>
      <c r="V330" s="58"/>
      <c r="W330" s="58"/>
      <c r="X330" s="58"/>
      <c r="Y330" s="58"/>
      <c r="AA330" s="2365"/>
      <c r="AB330" s="2365"/>
      <c r="AC330" s="2365"/>
      <c r="AD330" s="2365"/>
      <c r="AE330" s="2365"/>
      <c r="AF330" s="2365"/>
      <c r="AG330" s="7" t="s">
        <v>212</v>
      </c>
      <c r="AH330" s="7"/>
      <c r="AI330" s="2340"/>
      <c r="AJ330" s="2340"/>
      <c r="AK330" s="2340"/>
      <c r="AL330" s="39"/>
    </row>
    <row r="331" spans="1:66" ht="12.75">
      <c r="A331" s="39"/>
      <c r="B331" s="58" t="s">
        <v>94</v>
      </c>
      <c r="C331" s="58"/>
      <c r="D331" s="58"/>
      <c r="E331" s="58"/>
      <c r="F331" s="58"/>
      <c r="G331" s="58"/>
      <c r="H331" s="2271"/>
      <c r="I331" s="2271"/>
      <c r="J331" s="2271"/>
      <c r="K331" s="2271"/>
      <c r="L331" s="2271"/>
      <c r="M331" s="2271"/>
      <c r="N331" s="60"/>
      <c r="O331" s="60"/>
      <c r="P331" s="62"/>
      <c r="Q331" s="62"/>
      <c r="R331" s="62"/>
      <c r="S331" s="58"/>
      <c r="T331" s="58" t="s">
        <v>94</v>
      </c>
      <c r="V331" s="58"/>
      <c r="W331" s="58"/>
      <c r="X331" s="58"/>
      <c r="Y331" s="58"/>
      <c r="AA331" s="2271"/>
      <c r="AB331" s="2271"/>
      <c r="AC331" s="2271"/>
      <c r="AD331" s="2271"/>
      <c r="AE331" s="2271"/>
      <c r="AF331" s="2271"/>
      <c r="AG331" s="60"/>
      <c r="AH331" s="60"/>
      <c r="AI331" s="62"/>
      <c r="AJ331" s="62"/>
      <c r="AK331" s="62"/>
      <c r="AL331" s="39"/>
    </row>
    <row r="332" spans="1:66" ht="12.75">
      <c r="A332" s="39"/>
      <c r="B332" s="58" t="s">
        <v>80</v>
      </c>
      <c r="C332" s="58"/>
      <c r="D332" s="58"/>
      <c r="E332" s="58"/>
      <c r="F332" s="58"/>
      <c r="G332" s="58"/>
      <c r="H332" s="2272" t="s">
        <v>2590</v>
      </c>
      <c r="I332" s="2272"/>
      <c r="J332" s="2272"/>
      <c r="K332" s="2272"/>
      <c r="L332" s="2272"/>
      <c r="M332" s="2272"/>
      <c r="N332" s="2051"/>
      <c r="O332" s="2051"/>
      <c r="P332" s="2051"/>
      <c r="Q332" s="2051"/>
      <c r="R332" s="2051"/>
      <c r="S332" s="58"/>
      <c r="T332" s="58" t="s">
        <v>80</v>
      </c>
      <c r="V332" s="58"/>
      <c r="W332" s="58"/>
      <c r="X332" s="58"/>
      <c r="Y332" s="58"/>
      <c r="AA332" s="2272"/>
      <c r="AB332" s="2272"/>
      <c r="AC332" s="2272"/>
      <c r="AD332" s="2272"/>
      <c r="AE332" s="2272"/>
      <c r="AF332" s="2272"/>
      <c r="AG332" s="2051"/>
      <c r="AH332" s="2051"/>
      <c r="AI332" s="2051"/>
      <c r="AJ332" s="2051"/>
      <c r="AK332" s="205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363" t="s">
        <v>2683</v>
      </c>
      <c r="I334" s="2363"/>
      <c r="J334" s="2363"/>
      <c r="K334" s="2363"/>
      <c r="L334" s="2363"/>
      <c r="M334" s="2363"/>
      <c r="N334" s="2363"/>
      <c r="O334" s="2363"/>
      <c r="P334" s="2363"/>
      <c r="Q334" s="2363"/>
      <c r="R334" s="2363"/>
      <c r="T334" s="404" t="s">
        <v>952</v>
      </c>
      <c r="V334" s="58"/>
      <c r="W334" s="58"/>
      <c r="X334" s="58"/>
      <c r="Y334" s="58"/>
      <c r="AA334" s="2051" t="s">
        <v>2591</v>
      </c>
      <c r="AB334" s="2051"/>
      <c r="AC334" s="2051"/>
      <c r="AD334" s="2051"/>
      <c r="AE334" s="2051"/>
      <c r="AF334" s="2051"/>
      <c r="AG334" s="2051"/>
      <c r="AH334" s="2051"/>
      <c r="AI334" s="2051"/>
      <c r="AJ334" s="2051"/>
      <c r="AK334" s="2051"/>
      <c r="AL334" s="39"/>
    </row>
    <row r="335" spans="1:66" ht="12.75" customHeight="1">
      <c r="B335" s="58" t="s">
        <v>504</v>
      </c>
      <c r="C335" s="240"/>
      <c r="D335" s="240"/>
      <c r="E335" s="240"/>
      <c r="F335" s="240"/>
      <c r="G335" s="3"/>
      <c r="H335" s="2344" t="s">
        <v>2684</v>
      </c>
      <c r="I335" s="2344"/>
      <c r="J335" s="2344"/>
      <c r="K335" s="2344"/>
      <c r="L335" s="2344"/>
      <c r="M335" s="2344"/>
      <c r="N335" s="2344"/>
      <c r="O335" s="2344"/>
      <c r="P335" s="2344"/>
      <c r="Q335" s="2344"/>
      <c r="R335" s="2344"/>
      <c r="T335" s="58" t="s">
        <v>504</v>
      </c>
      <c r="V335" s="58"/>
      <c r="W335" s="58"/>
      <c r="X335" s="58"/>
      <c r="Y335" s="58"/>
      <c r="AA335" s="2272" t="s">
        <v>2563</v>
      </c>
      <c r="AB335" s="2272"/>
      <c r="AC335" s="2272"/>
      <c r="AD335" s="2272"/>
      <c r="AE335" s="2272"/>
      <c r="AF335" s="2272"/>
      <c r="AG335" s="2272"/>
      <c r="AH335" s="2272"/>
      <c r="AI335" s="2272"/>
      <c r="AJ335" s="2272"/>
      <c r="AK335" s="2272"/>
      <c r="AL335" s="39"/>
    </row>
    <row r="336" spans="1:66" ht="12.75" customHeight="1">
      <c r="B336" s="58" t="s">
        <v>79</v>
      </c>
      <c r="C336" s="240"/>
      <c r="D336" s="240"/>
      <c r="E336" s="240"/>
      <c r="F336" s="240"/>
      <c r="G336" s="3"/>
      <c r="H336" s="2344" t="s">
        <v>2685</v>
      </c>
      <c r="I336" s="2344"/>
      <c r="J336" s="2344"/>
      <c r="K336" s="2344"/>
      <c r="L336" s="2344"/>
      <c r="M336" s="2344"/>
      <c r="N336" s="2344"/>
      <c r="O336" s="2344"/>
      <c r="P336" s="2344"/>
      <c r="Q336" s="2344"/>
      <c r="R336" s="2344"/>
      <c r="T336" s="58" t="s">
        <v>79</v>
      </c>
      <c r="V336" s="58"/>
      <c r="W336" s="58"/>
      <c r="X336" s="58"/>
      <c r="Y336" s="58"/>
      <c r="AA336" s="2272" t="s">
        <v>2564</v>
      </c>
      <c r="AB336" s="2272"/>
      <c r="AC336" s="2272"/>
      <c r="AD336" s="2272"/>
      <c r="AE336" s="2272"/>
      <c r="AF336" s="2272"/>
      <c r="AG336" s="2272"/>
      <c r="AH336" s="2272"/>
      <c r="AI336" s="2272"/>
      <c r="AJ336" s="2272"/>
      <c r="AK336" s="2272"/>
      <c r="AL336" s="39"/>
    </row>
    <row r="337" spans="1:66" ht="12.75" customHeight="1">
      <c r="A337" s="39"/>
      <c r="B337" s="58" t="s">
        <v>92</v>
      </c>
      <c r="C337" s="240"/>
      <c r="D337" s="240"/>
      <c r="E337" s="240"/>
      <c r="F337" s="240"/>
      <c r="G337" s="240"/>
      <c r="H337" s="2344" t="s">
        <v>2686</v>
      </c>
      <c r="I337" s="2344"/>
      <c r="J337" s="2344"/>
      <c r="K337" s="2344"/>
      <c r="L337" s="2344"/>
      <c r="M337" s="2344"/>
      <c r="N337" s="2344"/>
      <c r="O337" s="2344"/>
      <c r="P337" s="2344"/>
      <c r="Q337" s="2344"/>
      <c r="R337" s="2344"/>
      <c r="T337" s="58" t="s">
        <v>92</v>
      </c>
      <c r="V337" s="58"/>
      <c r="W337" s="58"/>
      <c r="X337" s="58"/>
      <c r="Y337" s="58"/>
      <c r="AA337" s="2272" t="s">
        <v>2592</v>
      </c>
      <c r="AB337" s="2272"/>
      <c r="AC337" s="2272"/>
      <c r="AD337" s="2272"/>
      <c r="AE337" s="2272"/>
      <c r="AF337" s="2272"/>
      <c r="AG337" s="2272"/>
      <c r="AH337" s="2272"/>
      <c r="AI337" s="2272"/>
      <c r="AJ337" s="2272"/>
      <c r="AK337" s="2272"/>
      <c r="AL337" s="39"/>
    </row>
    <row r="338" spans="1:66" ht="12.75" customHeight="1">
      <c r="A338" s="39"/>
      <c r="B338" s="58" t="s">
        <v>93</v>
      </c>
      <c r="C338" s="240"/>
      <c r="D338" s="240"/>
      <c r="E338" s="240"/>
      <c r="F338" s="240"/>
      <c r="G338" s="240"/>
      <c r="H338" s="2344" t="s">
        <v>2687</v>
      </c>
      <c r="I338" s="2344"/>
      <c r="J338" s="2344"/>
      <c r="K338" s="2344"/>
      <c r="L338" s="2344"/>
      <c r="M338" s="2344"/>
      <c r="N338" s="7" t="s">
        <v>212</v>
      </c>
      <c r="O338" s="7"/>
      <c r="P338" s="2340"/>
      <c r="Q338" s="2340"/>
      <c r="R338" s="2340"/>
      <c r="S338" s="58"/>
      <c r="T338" s="58" t="s">
        <v>93</v>
      </c>
      <c r="V338" s="58"/>
      <c r="W338" s="58"/>
      <c r="X338" s="58"/>
      <c r="Y338" s="58"/>
      <c r="AA338" s="1869" t="s">
        <v>2566</v>
      </c>
      <c r="AB338" s="1858"/>
      <c r="AC338" s="1858"/>
      <c r="AD338" s="1858"/>
      <c r="AE338" s="1858"/>
      <c r="AF338" s="1858"/>
      <c r="AG338" s="7" t="s">
        <v>212</v>
      </c>
      <c r="AH338" s="7"/>
      <c r="AI338" s="2340"/>
      <c r="AJ338" s="2340"/>
      <c r="AK338" s="2340"/>
      <c r="AL338" s="39"/>
    </row>
    <row r="339" spans="1:66" ht="12.75">
      <c r="A339" s="39"/>
      <c r="B339" s="58" t="s">
        <v>94</v>
      </c>
      <c r="C339" s="240"/>
      <c r="D339" s="240"/>
      <c r="E339" s="240"/>
      <c r="F339" s="240"/>
      <c r="G339" s="240"/>
      <c r="H339" s="2271"/>
      <c r="I339" s="2271"/>
      <c r="J339" s="2271"/>
      <c r="K339" s="2271"/>
      <c r="L339" s="2271"/>
      <c r="M339" s="2271"/>
      <c r="N339" s="60"/>
      <c r="O339" s="60"/>
      <c r="P339" s="62"/>
      <c r="Q339" s="62"/>
      <c r="R339" s="62"/>
      <c r="S339" s="58"/>
      <c r="T339" s="58" t="s">
        <v>94</v>
      </c>
      <c r="V339" s="58"/>
      <c r="W339" s="58"/>
      <c r="X339" s="58"/>
      <c r="Y339" s="58"/>
      <c r="AA339" s="1864" t="s">
        <v>2593</v>
      </c>
      <c r="AB339" s="1857"/>
      <c r="AC339" s="1857"/>
      <c r="AD339" s="1857"/>
      <c r="AE339" s="1857"/>
      <c r="AF339" s="1857"/>
      <c r="AG339" s="60"/>
      <c r="AH339" s="60"/>
      <c r="AI339" s="62"/>
      <c r="AJ339" s="62"/>
      <c r="AK339" s="62"/>
      <c r="AL339" s="39"/>
    </row>
    <row r="340" spans="1:66" ht="12.75">
      <c r="A340" s="39"/>
      <c r="B340" s="58" t="s">
        <v>80</v>
      </c>
      <c r="C340" s="237"/>
      <c r="D340" s="237"/>
      <c r="E340" s="237"/>
      <c r="F340" s="237"/>
      <c r="G340" s="237"/>
      <c r="H340" s="2344" t="s">
        <v>2688</v>
      </c>
      <c r="I340" s="2344"/>
      <c r="J340" s="2344"/>
      <c r="K340" s="2344"/>
      <c r="L340" s="2344"/>
      <c r="M340" s="2344"/>
      <c r="N340" s="2344"/>
      <c r="O340" s="2344"/>
      <c r="P340" s="2344"/>
      <c r="Q340" s="2344"/>
      <c r="R340" s="2344"/>
      <c r="S340" s="58"/>
      <c r="T340" s="58" t="s">
        <v>80</v>
      </c>
      <c r="V340" s="58"/>
      <c r="W340" s="58"/>
      <c r="X340" s="58"/>
      <c r="Y340" s="58"/>
      <c r="AA340" s="2272" t="s">
        <v>2594</v>
      </c>
      <c r="AB340" s="2272"/>
      <c r="AC340" s="2272"/>
      <c r="AD340" s="2272"/>
      <c r="AE340" s="2272"/>
      <c r="AF340" s="2272"/>
      <c r="AG340" s="2051"/>
      <c r="AH340" s="2051"/>
      <c r="AI340" s="2051"/>
      <c r="AJ340" s="2051"/>
      <c r="AK340" s="205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5"/>
      <c r="D342" s="405"/>
      <c r="E342" s="405"/>
      <c r="F342" s="405"/>
      <c r="G342" s="88"/>
      <c r="H342" s="88"/>
      <c r="I342" s="404" t="s">
        <v>953</v>
      </c>
      <c r="P342" s="2051"/>
      <c r="Q342" s="2051"/>
      <c r="R342" s="2051"/>
      <c r="S342" s="2051"/>
      <c r="T342" s="2051"/>
      <c r="U342" s="2051"/>
      <c r="V342" s="2051"/>
      <c r="W342" s="2051"/>
      <c r="X342" s="2051"/>
      <c r="Y342" s="2051"/>
      <c r="Z342" s="2051"/>
      <c r="AA342" s="2051"/>
      <c r="AB342" s="2051"/>
      <c r="AC342" s="2051"/>
      <c r="AD342" s="2051"/>
      <c r="AE342" s="2051"/>
      <c r="AF342" s="88"/>
      <c r="AG342" s="88"/>
      <c r="AH342" s="88"/>
      <c r="AI342" s="88"/>
      <c r="AJ342" s="88"/>
      <c r="AK342" s="88"/>
      <c r="AL342" s="39"/>
      <c r="BN342" s="12" t="s">
        <v>626</v>
      </c>
    </row>
    <row r="343" spans="1:66" ht="12.75">
      <c r="A343" s="3"/>
      <c r="B343" s="60"/>
      <c r="C343" s="60"/>
      <c r="D343" s="60"/>
      <c r="E343" s="60"/>
      <c r="F343" s="60"/>
      <c r="G343" s="3"/>
      <c r="H343" s="88"/>
      <c r="I343" s="7" t="s">
        <v>504</v>
      </c>
      <c r="P343" s="2272"/>
      <c r="Q343" s="2272"/>
      <c r="R343" s="2272"/>
      <c r="S343" s="2272"/>
      <c r="T343" s="2272"/>
      <c r="U343" s="2272"/>
      <c r="V343" s="2272"/>
      <c r="W343" s="2272"/>
      <c r="X343" s="2272"/>
      <c r="Y343" s="2272"/>
      <c r="Z343" s="2272"/>
      <c r="AA343" s="2272"/>
      <c r="AB343" s="2272"/>
      <c r="AC343" s="2272"/>
      <c r="AD343" s="2272"/>
      <c r="AE343" s="2272"/>
      <c r="AF343" s="88"/>
      <c r="AG343" s="88"/>
      <c r="AH343" s="88"/>
      <c r="AI343" s="88"/>
      <c r="AJ343" s="88"/>
      <c r="AK343" s="88"/>
      <c r="AL343" s="39"/>
      <c r="BN343" s="12" t="s">
        <v>706</v>
      </c>
    </row>
    <row r="344" spans="1:66" ht="12.75">
      <c r="A344" s="3"/>
      <c r="B344" s="60"/>
      <c r="C344" s="60"/>
      <c r="D344" s="60"/>
      <c r="E344" s="60"/>
      <c r="F344" s="60"/>
      <c r="G344" s="3"/>
      <c r="H344" s="88"/>
      <c r="I344" s="7" t="s">
        <v>79</v>
      </c>
      <c r="P344" s="2272"/>
      <c r="Q344" s="2272"/>
      <c r="R344" s="2272"/>
      <c r="S344" s="2272"/>
      <c r="T344" s="2272"/>
      <c r="U344" s="2272"/>
      <c r="V344" s="2272"/>
      <c r="W344" s="2272"/>
      <c r="X344" s="2272"/>
      <c r="Y344" s="2272"/>
      <c r="Z344" s="2272"/>
      <c r="AA344" s="2272"/>
      <c r="AB344" s="2272"/>
      <c r="AC344" s="2272"/>
      <c r="AD344" s="2272"/>
      <c r="AE344" s="2272"/>
      <c r="AF344" s="88"/>
      <c r="AG344" s="88"/>
      <c r="AH344" s="88"/>
      <c r="AI344" s="88"/>
      <c r="AJ344" s="88"/>
      <c r="AK344" s="88"/>
      <c r="AL344" s="39"/>
      <c r="BN344" s="12" t="s">
        <v>578</v>
      </c>
    </row>
    <row r="345" spans="1:66" ht="12.75">
      <c r="A345" s="3"/>
      <c r="B345" s="60"/>
      <c r="C345" s="60"/>
      <c r="D345" s="60"/>
      <c r="E345" s="60"/>
      <c r="F345" s="60"/>
      <c r="G345" s="60"/>
      <c r="H345" s="88"/>
      <c r="I345" s="7" t="s">
        <v>92</v>
      </c>
      <c r="P345" s="2272"/>
      <c r="Q345" s="2272"/>
      <c r="R345" s="2272"/>
      <c r="S345" s="2272"/>
      <c r="T345" s="2272"/>
      <c r="U345" s="2272"/>
      <c r="V345" s="2272"/>
      <c r="W345" s="2272"/>
      <c r="X345" s="2272"/>
      <c r="Y345" s="2272"/>
      <c r="Z345" s="2272"/>
      <c r="AA345" s="2272"/>
      <c r="AB345" s="2272"/>
      <c r="AC345" s="2272"/>
      <c r="AD345" s="2272"/>
      <c r="AE345" s="2272"/>
      <c r="AF345" s="88"/>
      <c r="AG345" s="88"/>
      <c r="AH345" s="88"/>
      <c r="AI345" s="88"/>
      <c r="AJ345" s="88"/>
      <c r="AK345" s="88"/>
      <c r="AL345" s="39"/>
    </row>
    <row r="346" spans="1:66" ht="12.75">
      <c r="A346" s="3"/>
      <c r="B346" s="60"/>
      <c r="C346" s="60"/>
      <c r="D346" s="60"/>
      <c r="E346" s="60"/>
      <c r="F346" s="60"/>
      <c r="G346" s="60"/>
      <c r="H346" s="464"/>
      <c r="I346" s="7" t="s">
        <v>93</v>
      </c>
      <c r="P346" s="2271"/>
      <c r="Q346" s="2271"/>
      <c r="R346" s="2271"/>
      <c r="S346" s="2271"/>
      <c r="T346" s="2271"/>
      <c r="U346" s="2271"/>
      <c r="V346" s="2271"/>
      <c r="W346" s="2271"/>
      <c r="X346" s="2271"/>
      <c r="Y346" s="2271"/>
      <c r="Z346" s="2271"/>
      <c r="AA346" s="7" t="s">
        <v>212</v>
      </c>
      <c r="AB346" s="7"/>
      <c r="AC346" s="2088"/>
      <c r="AD346" s="2088"/>
      <c r="AE346" s="2088"/>
      <c r="AF346" s="464"/>
      <c r="AG346" s="60"/>
      <c r="AH346" s="60"/>
      <c r="AI346" s="405"/>
      <c r="AJ346" s="405"/>
      <c r="AK346" s="405"/>
      <c r="AL346" s="39"/>
    </row>
    <row r="347" spans="1:66" ht="12.75" customHeight="1">
      <c r="A347" s="3"/>
      <c r="B347" s="60"/>
      <c r="C347" s="60"/>
      <c r="D347" s="60"/>
      <c r="E347" s="60"/>
      <c r="F347" s="60"/>
      <c r="G347" s="60"/>
      <c r="H347" s="464"/>
      <c r="I347" s="7" t="s">
        <v>94</v>
      </c>
      <c r="P347" s="2271"/>
      <c r="Q347" s="2271"/>
      <c r="R347" s="2271"/>
      <c r="S347" s="2271"/>
      <c r="T347" s="2271"/>
      <c r="U347" s="2271"/>
      <c r="V347" s="2271"/>
      <c r="W347" s="2271"/>
      <c r="X347" s="2271"/>
      <c r="Y347" s="2271"/>
      <c r="Z347" s="2271"/>
      <c r="AF347" s="464"/>
      <c r="AG347" s="60"/>
      <c r="AH347" s="60"/>
      <c r="AI347" s="62"/>
      <c r="AJ347" s="62"/>
      <c r="AK347" s="62"/>
      <c r="AL347" s="39"/>
    </row>
    <row r="348" spans="1:66" ht="12.75">
      <c r="A348" s="3"/>
      <c r="B348" s="60"/>
      <c r="C348" s="405"/>
      <c r="D348" s="405"/>
      <c r="E348" s="405"/>
      <c r="F348" s="405"/>
      <c r="G348" s="405"/>
      <c r="H348" s="88"/>
      <c r="I348" s="7" t="s">
        <v>80</v>
      </c>
      <c r="P348" s="2051"/>
      <c r="Q348" s="2051"/>
      <c r="R348" s="2051"/>
      <c r="S348" s="2051"/>
      <c r="T348" s="2051"/>
      <c r="U348" s="2051"/>
      <c r="V348" s="2051"/>
      <c r="W348" s="2051"/>
      <c r="X348" s="2051"/>
      <c r="Y348" s="2051"/>
      <c r="Z348" s="2051"/>
      <c r="AA348" s="2051"/>
      <c r="AB348" s="2051"/>
      <c r="AC348" s="2051"/>
      <c r="AD348" s="2051"/>
      <c r="AE348" s="205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92" t="s">
        <v>575</v>
      </c>
      <c r="B350" s="2392"/>
      <c r="C350" s="2392"/>
      <c r="D350" s="2392"/>
      <c r="E350" s="2392"/>
      <c r="F350" s="2392"/>
      <c r="G350" s="2392"/>
      <c r="H350" s="2392"/>
      <c r="I350" s="2392"/>
      <c r="J350" s="2392"/>
      <c r="K350" s="2392"/>
      <c r="L350" s="2392"/>
      <c r="M350" s="2392"/>
      <c r="N350" s="2392"/>
      <c r="O350" s="2392"/>
      <c r="P350" s="2392"/>
      <c r="Q350" s="2392"/>
      <c r="R350" s="2392"/>
      <c r="S350" s="2392"/>
      <c r="T350" s="2392"/>
      <c r="U350" s="2392"/>
      <c r="V350" s="2392"/>
      <c r="W350" s="2392"/>
      <c r="X350" s="2392"/>
      <c r="Y350" s="2392"/>
      <c r="Z350" s="2392"/>
      <c r="AA350" s="2392"/>
      <c r="AB350" s="2392"/>
      <c r="AC350" s="2392"/>
      <c r="AD350" s="2392"/>
      <c r="AE350" s="2392"/>
      <c r="AF350" s="2392"/>
      <c r="AG350" s="2392"/>
      <c r="AH350" s="2392"/>
      <c r="AI350" s="2392"/>
      <c r="AJ350" s="2392"/>
      <c r="AK350" s="2392"/>
      <c r="AL350" s="2392"/>
      <c r="AM350" s="144"/>
      <c r="AN350" s="144"/>
      <c r="AO350" s="144"/>
      <c r="AP350" s="144"/>
      <c r="AQ350" s="144"/>
      <c r="AR350" s="144"/>
      <c r="AS350" s="144"/>
      <c r="AT350" s="144"/>
      <c r="AU350" s="144"/>
      <c r="AV350" s="144"/>
      <c r="AW350" s="144"/>
      <c r="AX350" s="144"/>
      <c r="AY350" s="144"/>
    </row>
    <row r="351" spans="1:66" ht="13.5" thickBot="1">
      <c r="A351" s="2393"/>
      <c r="B351" s="2393"/>
      <c r="C351" s="2393"/>
      <c r="D351" s="2393"/>
      <c r="E351" s="2393"/>
      <c r="F351" s="2393"/>
      <c r="G351" s="2393"/>
      <c r="H351" s="2393"/>
      <c r="I351" s="2393"/>
      <c r="J351" s="2393"/>
      <c r="K351" s="2393"/>
      <c r="L351" s="2393"/>
      <c r="M351" s="2393"/>
      <c r="N351" s="2393"/>
      <c r="O351" s="2393"/>
      <c r="P351" s="2393"/>
      <c r="Q351" s="2393"/>
      <c r="R351" s="2393"/>
      <c r="S351" s="2393"/>
      <c r="T351" s="2393"/>
      <c r="U351" s="2393"/>
      <c r="V351" s="2393"/>
      <c r="W351" s="2393"/>
      <c r="X351" s="2393"/>
      <c r="Y351" s="2393"/>
      <c r="Z351" s="2393"/>
      <c r="AA351" s="2393"/>
      <c r="AB351" s="2393"/>
      <c r="AC351" s="2393"/>
      <c r="AD351" s="2393"/>
      <c r="AE351" s="2393"/>
      <c r="AF351" s="2393"/>
      <c r="AG351" s="2393"/>
      <c r="AH351" s="2393"/>
      <c r="AI351" s="2393"/>
      <c r="AJ351" s="2393"/>
      <c r="AK351" s="2393"/>
      <c r="AL351" s="239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50" t="s">
        <v>578</v>
      </c>
      <c r="N354" s="2050"/>
      <c r="P354" s="12" t="s">
        <v>2004</v>
      </c>
      <c r="AJ354" s="2050" t="s">
        <v>578</v>
      </c>
      <c r="AK354" s="2050"/>
    </row>
    <row r="355" spans="1:37" ht="12.75" customHeight="1">
      <c r="D355" s="58" t="s">
        <v>1993</v>
      </c>
      <c r="M355" s="2050" t="s">
        <v>626</v>
      </c>
      <c r="N355" s="2050"/>
      <c r="P355" s="58" t="s">
        <v>2218</v>
      </c>
      <c r="AJ355" s="2064" t="s">
        <v>626</v>
      </c>
      <c r="AK355" s="2064"/>
    </row>
    <row r="356" spans="1:37" ht="12.75" customHeight="1">
      <c r="D356" s="12" t="s">
        <v>745</v>
      </c>
      <c r="M356" s="2050" t="s">
        <v>626</v>
      </c>
      <c r="N356" s="2050"/>
      <c r="P356" s="718" t="s">
        <v>2003</v>
      </c>
      <c r="AJ356" s="2050" t="s">
        <v>626</v>
      </c>
      <c r="AK356" s="2050"/>
    </row>
    <row r="357" spans="1:37" ht="12.75" customHeight="1">
      <c r="D357" s="12" t="s">
        <v>746</v>
      </c>
      <c r="M357" s="2050" t="s">
        <v>626</v>
      </c>
      <c r="N357" s="2050"/>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0" t="s">
        <v>626</v>
      </c>
      <c r="O362" s="2050"/>
      <c r="P362" s="69"/>
      <c r="Q362" s="69"/>
      <c r="R362" s="69"/>
      <c r="S362" s="69"/>
      <c r="T362" s="69"/>
      <c r="U362" s="69"/>
      <c r="V362" s="69"/>
      <c r="W362" s="69"/>
      <c r="X362" s="69"/>
      <c r="Y362" s="70"/>
      <c r="Z362" s="70"/>
      <c r="AC362" s="69"/>
      <c r="AD362" s="69"/>
      <c r="AE362" s="69"/>
    </row>
    <row r="363" spans="1:37" ht="12.75" customHeight="1">
      <c r="E363" s="12" t="s">
        <v>381</v>
      </c>
      <c r="Y363" s="2050" t="s">
        <v>626</v>
      </c>
      <c r="Z363" s="2050"/>
    </row>
    <row r="364" spans="1:37" ht="12.75" customHeight="1">
      <c r="D364" s="7" t="s">
        <v>1059</v>
      </c>
      <c r="Q364" s="2051" t="s">
        <v>626</v>
      </c>
      <c r="R364" s="2051"/>
      <c r="S364" s="2051"/>
      <c r="T364" s="2051"/>
      <c r="U364" s="2051"/>
      <c r="V364" s="2051"/>
      <c r="W364" s="2051"/>
      <c r="X364" s="2051"/>
      <c r="Y364" s="2051"/>
      <c r="Z364" s="2051"/>
      <c r="AA364" s="2051"/>
      <c r="AB364" s="2051"/>
      <c r="AC364" s="2051"/>
      <c r="AD364" s="2051"/>
      <c r="AE364" s="2051"/>
      <c r="AF364" s="2051"/>
      <c r="AG364" s="205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0" t="s">
        <v>626</v>
      </c>
      <c r="K366" s="2050"/>
      <c r="L366" s="69"/>
      <c r="M366" s="69"/>
      <c r="N366" s="69"/>
      <c r="O366" s="69"/>
      <c r="P366" s="69"/>
      <c r="Q366" s="69"/>
      <c r="R366" s="69"/>
      <c r="S366" s="69"/>
      <c r="T366" s="69"/>
      <c r="U366" s="69"/>
      <c r="V366" s="69"/>
      <c r="W366" s="69"/>
      <c r="X366" s="69"/>
      <c r="Y366" s="69"/>
      <c r="Z366" s="69"/>
      <c r="AC366" s="69"/>
      <c r="AD366" s="69"/>
      <c r="AE366" s="69"/>
    </row>
    <row r="367" spans="1:37" ht="12.75" customHeight="1">
      <c r="E367" s="2339" t="s">
        <v>747</v>
      </c>
      <c r="F367" s="2339"/>
      <c r="G367" s="2339"/>
      <c r="H367" s="2339"/>
      <c r="I367" s="2339"/>
      <c r="J367" s="2339"/>
      <c r="K367" s="2339"/>
      <c r="L367" s="2339"/>
      <c r="M367" s="2339"/>
      <c r="N367" s="2339"/>
      <c r="O367" s="2339"/>
      <c r="P367" s="2339"/>
      <c r="Q367" s="2339"/>
      <c r="R367" s="2339"/>
      <c r="S367" s="2339"/>
      <c r="T367" s="2339"/>
      <c r="U367" s="2339"/>
      <c r="V367" s="2339"/>
      <c r="W367" s="2339"/>
      <c r="X367" s="2339"/>
      <c r="Y367" s="2339"/>
      <c r="Z367" s="2339"/>
      <c r="AA367" s="2339"/>
      <c r="AB367" s="2339"/>
      <c r="AC367" s="2339"/>
      <c r="AD367" s="2339"/>
      <c r="AE367" s="2339"/>
      <c r="AF367" s="2339"/>
      <c r="AG367" s="2339"/>
      <c r="AH367" s="2339"/>
    </row>
    <row r="368" spans="1:37" ht="12.75" customHeight="1">
      <c r="E368" s="2339"/>
      <c r="F368" s="2339"/>
      <c r="G368" s="2339"/>
      <c r="H368" s="2339"/>
      <c r="I368" s="2339"/>
      <c r="J368" s="2339"/>
      <c r="K368" s="2339"/>
      <c r="L368" s="2339"/>
      <c r="M368" s="2339"/>
      <c r="N368" s="2339"/>
      <c r="O368" s="2339"/>
      <c r="P368" s="2339"/>
      <c r="Q368" s="2339"/>
      <c r="R368" s="2339"/>
      <c r="S368" s="2339"/>
      <c r="T368" s="2339"/>
      <c r="U368" s="2339"/>
      <c r="V368" s="2339"/>
      <c r="W368" s="2339"/>
      <c r="X368" s="2339"/>
      <c r="Y368" s="2339"/>
      <c r="Z368" s="2339"/>
      <c r="AA368" s="2339"/>
      <c r="AB368" s="2339"/>
      <c r="AC368" s="2339"/>
      <c r="AD368" s="2339"/>
      <c r="AE368" s="2339"/>
      <c r="AF368" s="2339"/>
      <c r="AG368" s="2339"/>
      <c r="AH368" s="2339"/>
    </row>
    <row r="369" spans="1:36" ht="12.75" customHeight="1">
      <c r="E369" s="7" t="s">
        <v>479</v>
      </c>
      <c r="F369" s="7"/>
      <c r="G369" s="7"/>
      <c r="H369" s="7"/>
      <c r="I369" s="7"/>
      <c r="J369" s="7"/>
      <c r="K369" s="7"/>
      <c r="L369" s="7"/>
      <c r="N369" s="2343"/>
      <c r="O369" s="2343"/>
      <c r="P369" s="2343"/>
      <c r="Q369" s="2343"/>
      <c r="R369" s="7"/>
      <c r="U369" s="7" t="s">
        <v>480</v>
      </c>
      <c r="V369" s="7"/>
      <c r="W369" s="7"/>
      <c r="X369" s="7"/>
      <c r="Y369" s="7"/>
      <c r="Z369" s="7"/>
      <c r="AA369" s="7"/>
      <c r="AB369" s="7"/>
      <c r="AC369" s="2343"/>
      <c r="AD369" s="2343"/>
      <c r="AE369" s="2343"/>
      <c r="AF369" s="2343"/>
    </row>
    <row r="370" spans="1:36" ht="12.75" customHeight="1">
      <c r="E370" s="7" t="s">
        <v>481</v>
      </c>
      <c r="F370" s="7"/>
      <c r="G370" s="7"/>
      <c r="H370" s="7"/>
      <c r="I370" s="7"/>
      <c r="J370" s="7"/>
      <c r="K370" s="7"/>
      <c r="L370" s="7"/>
      <c r="N370" s="2343"/>
      <c r="O370" s="2343"/>
      <c r="P370" s="2343"/>
      <c r="Q370" s="2343"/>
      <c r="R370" s="7"/>
      <c r="U370" s="7" t="s">
        <v>0</v>
      </c>
      <c r="V370" s="7"/>
      <c r="W370" s="7"/>
      <c r="X370" s="7"/>
      <c r="Y370" s="7"/>
      <c r="Z370" s="7"/>
      <c r="AA370" s="7"/>
      <c r="AB370" s="7"/>
      <c r="AC370" s="2343"/>
      <c r="AD370" s="2343"/>
      <c r="AE370" s="2343"/>
      <c r="AF370" s="2343"/>
    </row>
    <row r="371" spans="1:36" ht="12.75" customHeight="1">
      <c r="E371" s="7" t="s">
        <v>1</v>
      </c>
      <c r="F371" s="7"/>
      <c r="G371" s="7"/>
      <c r="H371" s="7"/>
      <c r="I371" s="7"/>
      <c r="J371" s="7"/>
      <c r="K371" s="7"/>
      <c r="L371" s="7"/>
      <c r="N371" s="2343"/>
      <c r="O371" s="2343"/>
      <c r="P371" s="2343"/>
      <c r="Q371" s="2343"/>
      <c r="R371" s="7"/>
      <c r="V371" s="7"/>
      <c r="W371" s="7"/>
      <c r="X371" s="7"/>
      <c r="Y371" s="7"/>
      <c r="Z371" s="7"/>
      <c r="AA371" s="7"/>
      <c r="AB371" s="7"/>
    </row>
    <row r="372" spans="1:36" ht="12.75" customHeight="1">
      <c r="E372" s="7" t="s">
        <v>2</v>
      </c>
      <c r="F372" s="7"/>
      <c r="G372" s="7"/>
      <c r="H372" s="7"/>
      <c r="I372" s="7"/>
      <c r="J372" s="7"/>
      <c r="K372" s="7"/>
      <c r="L372" s="7"/>
      <c r="N372" s="2508"/>
      <c r="O372" s="2508"/>
      <c r="P372" s="2508"/>
      <c r="Q372" s="2508"/>
      <c r="R372" s="2508"/>
      <c r="S372" s="2508"/>
      <c r="T372" s="2508"/>
      <c r="U372" s="2508"/>
      <c r="V372" s="2508"/>
      <c r="W372" s="2508"/>
      <c r="X372" s="2508"/>
      <c r="Y372" s="2508"/>
      <c r="Z372" s="2508"/>
      <c r="AA372" s="2508"/>
      <c r="AB372" s="2508"/>
      <c r="AC372" s="2508"/>
      <c r="AD372" s="2508"/>
      <c r="AE372" s="2508"/>
      <c r="AF372" s="2508"/>
    </row>
    <row r="373" spans="1:36" ht="12.75" customHeight="1">
      <c r="E373" s="7"/>
      <c r="F373" s="7"/>
      <c r="G373" s="7"/>
      <c r="H373" s="7"/>
      <c r="I373" s="7"/>
      <c r="J373" s="7"/>
      <c r="K373" s="7"/>
      <c r="L373" s="7"/>
      <c r="N373" s="2509"/>
      <c r="O373" s="2509"/>
      <c r="P373" s="2509"/>
      <c r="Q373" s="2509"/>
      <c r="R373" s="2509"/>
      <c r="S373" s="2509"/>
      <c r="T373" s="2509"/>
      <c r="U373" s="2509"/>
      <c r="V373" s="2509"/>
      <c r="W373" s="2509"/>
      <c r="X373" s="2509"/>
      <c r="Y373" s="2509"/>
      <c r="Z373" s="2509"/>
      <c r="AA373" s="2509"/>
      <c r="AB373" s="2509"/>
      <c r="AC373" s="2509"/>
      <c r="AD373" s="2509"/>
      <c r="AE373" s="2509"/>
      <c r="AF373" s="2509"/>
    </row>
    <row r="374" spans="1:36" ht="12.75" customHeight="1">
      <c r="C374" s="913"/>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367"/>
      <c r="T376" s="2367"/>
      <c r="U376" s="4" t="s">
        <v>315</v>
      </c>
      <c r="V376" s="2367"/>
      <c r="W376" s="2367"/>
      <c r="Y376" s="25" t="s">
        <v>313</v>
      </c>
      <c r="AA376" s="25"/>
      <c r="AB376" s="25" t="s">
        <v>314</v>
      </c>
      <c r="AD376" s="2367"/>
      <c r="AE376" s="2367"/>
      <c r="AF376" s="4" t="s">
        <v>315</v>
      </c>
      <c r="AG376" s="2367"/>
      <c r="AH376" s="2367"/>
    </row>
    <row r="377" spans="1:36" ht="12.75" customHeight="1">
      <c r="E377" s="7" t="s">
        <v>1090</v>
      </c>
      <c r="F377" s="7"/>
      <c r="G377" s="7"/>
      <c r="H377" s="7"/>
      <c r="I377" s="7"/>
      <c r="J377" s="7"/>
      <c r="K377" s="7"/>
      <c r="L377" s="7"/>
      <c r="N377" s="2367"/>
      <c r="O377" s="2367"/>
      <c r="P377" s="2367"/>
    </row>
    <row r="378" spans="1:36" ht="12.75" customHeight="1">
      <c r="E378" s="382" t="s">
        <v>1091</v>
      </c>
      <c r="F378" s="7"/>
      <c r="G378" s="7"/>
      <c r="H378" s="7"/>
      <c r="I378" s="7"/>
      <c r="J378" s="7"/>
      <c r="K378" s="7"/>
      <c r="L378" s="7"/>
      <c r="AG378" s="2459" t="s">
        <v>626</v>
      </c>
      <c r="AH378" s="2459"/>
    </row>
    <row r="379" spans="1:36" ht="12.75" customHeight="1">
      <c r="E379" s="7"/>
      <c r="F379" s="7"/>
      <c r="G379" s="7" t="s">
        <v>1112</v>
      </c>
      <c r="H379" s="7"/>
      <c r="I379" s="7"/>
      <c r="J379" s="7"/>
      <c r="K379" s="7"/>
      <c r="L379" s="7"/>
      <c r="AG379" s="2459" t="s">
        <v>626</v>
      </c>
      <c r="AH379" s="2459"/>
    </row>
    <row r="380" spans="1:36" ht="12.75" customHeight="1">
      <c r="E380" s="7"/>
      <c r="F380" s="7"/>
      <c r="G380" s="508" t="s">
        <v>1092</v>
      </c>
      <c r="H380" s="7"/>
      <c r="I380" s="7"/>
      <c r="J380" s="7"/>
      <c r="K380" s="7"/>
      <c r="L380" s="7"/>
      <c r="V380" s="2050" t="s">
        <v>626</v>
      </c>
      <c r="W380" s="2050"/>
      <c r="Y380" s="35" t="s">
        <v>1061</v>
      </c>
    </row>
    <row r="381" spans="1:36" ht="12.75" customHeight="1">
      <c r="E381" s="7" t="s">
        <v>1062</v>
      </c>
      <c r="F381" s="7"/>
      <c r="G381" s="7"/>
      <c r="H381" s="7"/>
      <c r="I381" s="7"/>
      <c r="J381" s="7"/>
      <c r="K381" s="7"/>
      <c r="L381" s="7"/>
      <c r="V381" s="2050" t="s">
        <v>626</v>
      </c>
      <c r="W381" s="2050"/>
      <c r="Y381" s="7" t="s">
        <v>1063</v>
      </c>
    </row>
    <row r="382" spans="1:36" ht="12.75" customHeight="1"/>
    <row r="383" spans="1:36" ht="12.75" customHeight="1">
      <c r="A383" s="50" t="s">
        <v>82</v>
      </c>
      <c r="B383" s="50"/>
    </row>
    <row r="384" spans="1:36" ht="12.75" customHeight="1">
      <c r="D384" s="12" t="s">
        <v>449</v>
      </c>
      <c r="J384" s="2051" t="s">
        <v>2595</v>
      </c>
      <c r="K384" s="2051"/>
      <c r="L384" s="2051"/>
      <c r="M384" s="2051"/>
      <c r="N384" s="2051"/>
      <c r="O384" s="2051"/>
      <c r="P384" s="2051"/>
      <c r="Q384" s="2051"/>
      <c r="R384" s="2051"/>
      <c r="S384" s="2051"/>
      <c r="T384" s="2051"/>
      <c r="U384" s="2051"/>
      <c r="V384" s="14" t="s">
        <v>88</v>
      </c>
      <c r="W384" s="14"/>
      <c r="X384" s="14"/>
      <c r="Y384" s="14"/>
      <c r="Z384" s="14"/>
      <c r="AA384" s="14"/>
      <c r="AB384" s="14"/>
      <c r="AC384" s="2051" t="s">
        <v>2596</v>
      </c>
      <c r="AD384" s="2051"/>
      <c r="AE384" s="2051"/>
      <c r="AF384" s="2051"/>
      <c r="AG384" s="2051"/>
      <c r="AH384" s="2051"/>
      <c r="AI384" s="2051"/>
      <c r="AJ384" s="2051"/>
    </row>
    <row r="385" spans="1:96" ht="12.75" customHeight="1">
      <c r="A385" s="718"/>
      <c r="B385" s="718"/>
      <c r="C385" s="718"/>
      <c r="D385" s="58" t="s">
        <v>1382</v>
      </c>
      <c r="E385" s="718"/>
      <c r="F385" s="718"/>
      <c r="G385" s="718"/>
      <c r="H385" s="718"/>
      <c r="I385" s="718"/>
      <c r="J385" s="2272" t="s">
        <v>2597</v>
      </c>
      <c r="K385" s="2272"/>
      <c r="L385" s="2272"/>
      <c r="M385" s="2272"/>
      <c r="N385" s="2272"/>
      <c r="O385" s="2272"/>
      <c r="P385" s="2272"/>
      <c r="Q385" s="2272"/>
      <c r="R385" s="2272"/>
      <c r="S385" s="2272"/>
      <c r="T385" s="2272"/>
      <c r="U385" s="2272"/>
      <c r="V385" s="58" t="s">
        <v>1382</v>
      </c>
      <c r="W385" s="14"/>
      <c r="X385" s="14"/>
      <c r="Y385" s="14"/>
      <c r="Z385" s="14"/>
      <c r="AA385" s="14"/>
      <c r="AB385" s="14"/>
      <c r="AC385" s="2051"/>
      <c r="AD385" s="2051"/>
      <c r="AE385" s="2051"/>
      <c r="AF385" s="2051"/>
      <c r="AG385" s="2051"/>
      <c r="AH385" s="2051"/>
      <c r="AI385" s="2051"/>
      <c r="AJ385" s="2051"/>
      <c r="AK385" s="718"/>
      <c r="AL385" s="718"/>
    </row>
    <row r="386" spans="1:96" ht="12.75" customHeight="1">
      <c r="A386" s="718"/>
      <c r="B386" s="718"/>
      <c r="C386" s="718"/>
      <c r="D386" s="58" t="s">
        <v>464</v>
      </c>
      <c r="E386" s="718"/>
      <c r="F386" s="718"/>
      <c r="G386" s="718"/>
      <c r="H386" s="718"/>
      <c r="I386" s="718"/>
      <c r="J386" s="2272" t="s">
        <v>2598</v>
      </c>
      <c r="K386" s="2272"/>
      <c r="L386" s="2272"/>
      <c r="M386" s="2272"/>
      <c r="N386" s="2272"/>
      <c r="O386" s="2272"/>
      <c r="P386" s="2272"/>
      <c r="Q386" s="2272"/>
      <c r="R386" s="2272"/>
      <c r="S386" s="2272"/>
      <c r="T386" s="2272"/>
      <c r="U386" s="2272"/>
      <c r="V386" s="58" t="s">
        <v>464</v>
      </c>
      <c r="W386" s="14"/>
      <c r="X386" s="14"/>
      <c r="Y386" s="14"/>
      <c r="Z386" s="14"/>
      <c r="AA386" s="14"/>
      <c r="AB386" s="14"/>
      <c r="AC386" s="2051"/>
      <c r="AD386" s="2051"/>
      <c r="AE386" s="2051"/>
      <c r="AF386" s="2051"/>
      <c r="AG386" s="2051"/>
      <c r="AH386" s="2051"/>
      <c r="AI386" s="2051"/>
      <c r="AJ386" s="2051"/>
      <c r="AK386" s="718"/>
      <c r="AL386" s="718"/>
    </row>
    <row r="387" spans="1:96" ht="12.75" customHeight="1">
      <c r="A387" s="718"/>
      <c r="B387" s="718"/>
      <c r="C387" s="718"/>
      <c r="D387" s="478" t="s">
        <v>1378</v>
      </c>
      <c r="E387" s="718"/>
      <c r="F387" s="718"/>
      <c r="G387" s="718"/>
      <c r="H387" s="718"/>
      <c r="I387" s="88"/>
      <c r="J387" s="2341" t="s">
        <v>2599</v>
      </c>
      <c r="K387" s="2341"/>
      <c r="L387" s="2341"/>
      <c r="M387" s="2341"/>
      <c r="N387" s="2341"/>
      <c r="O387" s="2341"/>
      <c r="P387" s="2341"/>
      <c r="Q387" s="2341"/>
      <c r="R387" s="2341"/>
      <c r="S387" s="2341"/>
      <c r="T387" s="2341"/>
      <c r="U387" s="2341"/>
      <c r="V387" s="2051" t="s">
        <v>2600</v>
      </c>
      <c r="W387" s="2051"/>
      <c r="X387" s="2051"/>
      <c r="Y387" s="2051"/>
      <c r="Z387" s="2051"/>
      <c r="AA387" s="2051"/>
      <c r="AB387" s="2051"/>
      <c r="AC387" s="2051"/>
      <c r="AD387" s="2051"/>
      <c r="AE387" s="2051"/>
      <c r="AF387" s="2051"/>
      <c r="AG387" s="2051"/>
      <c r="AH387" s="2051"/>
      <c r="AI387" s="2051"/>
      <c r="AJ387" s="2051"/>
      <c r="AK387" s="718"/>
      <c r="AL387" s="718"/>
    </row>
    <row r="388" spans="1:96" ht="12.75" customHeight="1">
      <c r="D388" s="12" t="s">
        <v>4</v>
      </c>
      <c r="Q388" s="2346">
        <v>44197</v>
      </c>
      <c r="R388" s="2346"/>
      <c r="S388" s="2346"/>
      <c r="T388" s="2346"/>
      <c r="U388" s="2346"/>
      <c r="V388" s="12" t="s">
        <v>318</v>
      </c>
      <c r="AI388" s="2050" t="s">
        <v>706</v>
      </c>
      <c r="AJ388" s="2050"/>
    </row>
    <row r="389" spans="1:96" ht="12.75" customHeight="1">
      <c r="D389" s="12" t="s">
        <v>5</v>
      </c>
      <c r="Q389" s="2337">
        <v>67937</v>
      </c>
      <c r="R389" s="2338"/>
      <c r="S389" s="2338"/>
      <c r="T389" s="2338"/>
      <c r="U389" s="2338"/>
      <c r="W389" s="33" t="s">
        <v>78</v>
      </c>
      <c r="AG389" s="2458"/>
      <c r="AH389" s="2458"/>
      <c r="AI389" s="2458"/>
      <c r="AJ389" s="2458"/>
    </row>
    <row r="390" spans="1:96" ht="12.75" customHeight="1">
      <c r="D390" s="12" t="s">
        <v>448</v>
      </c>
      <c r="Q390" s="2366"/>
      <c r="R390" s="2366"/>
      <c r="S390" s="2366"/>
      <c r="T390" s="2366"/>
      <c r="U390" s="2366"/>
      <c r="V390" s="58" t="s">
        <v>1381</v>
      </c>
      <c r="AG390" s="2507"/>
      <c r="AH390" s="2507"/>
      <c r="AI390" s="2507"/>
      <c r="AJ390" s="2507"/>
    </row>
    <row r="391" spans="1:96" ht="12.75" customHeight="1">
      <c r="D391" s="12" t="s">
        <v>93</v>
      </c>
      <c r="I391" s="2365"/>
      <c r="J391" s="2365"/>
      <c r="K391" s="2365"/>
      <c r="L391" s="2365"/>
      <c r="M391" s="2365"/>
      <c r="N391" s="2365"/>
      <c r="Q391" s="57" t="s">
        <v>212</v>
      </c>
      <c r="S391" s="2345"/>
      <c r="T391" s="2345"/>
      <c r="U391" s="2345"/>
      <c r="V391" s="12" t="s">
        <v>77</v>
      </c>
      <c r="AI391" s="2050" t="s">
        <v>706</v>
      </c>
      <c r="AJ391" s="2050"/>
    </row>
    <row r="392" spans="1:96" ht="12.75" customHeight="1">
      <c r="D392" s="12" t="s">
        <v>319</v>
      </c>
      <c r="Q392" s="2228"/>
      <c r="R392" s="2228"/>
      <c r="S392" s="2228"/>
      <c r="T392" s="2228"/>
      <c r="U392" s="2228"/>
      <c r="V392" s="12" t="s">
        <v>320</v>
      </c>
      <c r="AG392" s="2458"/>
      <c r="AH392" s="2458"/>
      <c r="AI392" s="2458"/>
      <c r="AJ392" s="2458"/>
    </row>
    <row r="393" spans="1:96" ht="12.75" customHeight="1">
      <c r="D393" s="12" t="s">
        <v>321</v>
      </c>
      <c r="Q393" s="2519"/>
      <c r="R393" s="2519"/>
      <c r="S393" s="2519"/>
      <c r="T393" s="2519"/>
      <c r="U393" s="2519"/>
      <c r="V393" s="718" t="s">
        <v>1358</v>
      </c>
      <c r="AG393" s="2458"/>
      <c r="AH393" s="2458"/>
      <c r="AI393" s="2458"/>
      <c r="AJ393" s="2458"/>
    </row>
    <row r="394" spans="1:96" ht="12.75">
      <c r="D394" s="718" t="s">
        <v>1357</v>
      </c>
      <c r="V394" s="718"/>
      <c r="AG394" s="2458"/>
      <c r="AH394" s="2458"/>
      <c r="AI394" s="2458"/>
      <c r="AJ394" s="2458"/>
    </row>
    <row r="395" spans="1:96" s="718" customFormat="1" ht="12.7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75">
      <c r="D396" s="58" t="s">
        <v>2022</v>
      </c>
      <c r="AG396" s="747"/>
      <c r="AH396" s="747"/>
      <c r="AI396" s="2050" t="s">
        <v>706</v>
      </c>
      <c r="AJ396" s="2050"/>
      <c r="AM396" s="39"/>
      <c r="AN396" s="39"/>
      <c r="AO396" s="39"/>
      <c r="AP396" s="39"/>
      <c r="AQ396" s="39"/>
      <c r="AR396" s="39"/>
      <c r="AS396" s="39"/>
      <c r="AT396" s="39"/>
      <c r="AU396" s="39"/>
      <c r="AV396" s="39"/>
      <c r="AW396" s="39"/>
      <c r="AX396" s="39"/>
      <c r="AY396" s="39"/>
      <c r="CR396" s="25"/>
    </row>
    <row r="397" spans="1:96" s="718" customFormat="1" ht="12.75">
      <c r="D397" s="58" t="s">
        <v>2024</v>
      </c>
      <c r="T397" s="2453"/>
      <c r="U397" s="2453"/>
      <c r="V397" s="2453"/>
      <c r="W397" s="2453"/>
      <c r="X397" s="2453"/>
      <c r="Y397" s="2453"/>
      <c r="Z397" s="2453"/>
      <c r="AA397" s="2453"/>
      <c r="AB397" s="2453"/>
      <c r="AC397" s="2453"/>
      <c r="AD397" s="2453"/>
      <c r="AE397" s="2453"/>
      <c r="AF397" s="2453"/>
      <c r="AG397" s="2453"/>
      <c r="AH397" s="2453"/>
      <c r="AI397" s="2453"/>
      <c r="AJ397" s="2453"/>
      <c r="AM397" s="39"/>
      <c r="AN397" s="39"/>
      <c r="AO397" s="39"/>
      <c r="AP397" s="39"/>
      <c r="AQ397" s="39"/>
      <c r="AR397" s="39"/>
      <c r="AS397" s="39"/>
      <c r="AT397" s="39"/>
      <c r="AU397" s="39"/>
      <c r="AV397" s="39"/>
      <c r="AW397" s="39"/>
      <c r="AX397" s="39"/>
      <c r="AY397" s="39"/>
      <c r="CR397" s="25"/>
    </row>
    <row r="398" spans="1:96" s="718" customFormat="1" ht="12.75">
      <c r="D398" s="58" t="s">
        <v>2023</v>
      </c>
      <c r="T398" s="2453"/>
      <c r="U398" s="2453"/>
      <c r="V398" s="2453"/>
      <c r="W398" s="2453"/>
      <c r="X398" s="2453"/>
      <c r="Y398" s="2453"/>
      <c r="Z398" s="2453"/>
      <c r="AA398" s="2453"/>
      <c r="AB398" s="2453"/>
      <c r="AC398" s="2453"/>
      <c r="AD398" s="2453"/>
      <c r="AE398" s="2453"/>
      <c r="AF398" s="2453"/>
      <c r="AG398" s="2453"/>
      <c r="AH398" s="2453"/>
      <c r="AI398" s="2453"/>
      <c r="AJ398" s="2453"/>
      <c r="AM398" s="39"/>
      <c r="AN398" s="39"/>
      <c r="AO398" s="39"/>
      <c r="AP398" s="39"/>
      <c r="AQ398" s="39"/>
      <c r="AR398" s="39"/>
      <c r="AS398" s="39"/>
      <c r="AT398" s="39"/>
      <c r="AU398" s="39"/>
      <c r="AV398" s="39"/>
      <c r="AW398" s="39"/>
      <c r="AX398" s="39"/>
      <c r="AY398" s="39"/>
      <c r="CR398" s="25"/>
    </row>
    <row r="399" spans="1:96" ht="12.7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75">
      <c r="A400" s="718"/>
      <c r="B400" s="718"/>
      <c r="C400" s="718"/>
      <c r="D400" s="58" t="s">
        <v>2016</v>
      </c>
      <c r="E400" s="718"/>
      <c r="F400" s="718"/>
      <c r="G400" s="718"/>
      <c r="H400" s="718"/>
      <c r="I400" s="718"/>
      <c r="J400" s="718"/>
      <c r="K400" s="718"/>
      <c r="L400" s="718"/>
      <c r="M400" s="718"/>
      <c r="N400" s="718"/>
      <c r="O400" s="718"/>
      <c r="P400" s="718"/>
      <c r="Q400" s="718"/>
      <c r="R400" s="718"/>
      <c r="S400" s="2453" t="s">
        <v>578</v>
      </c>
      <c r="T400" s="2453"/>
      <c r="U400" s="2453"/>
      <c r="V400" s="478" t="s">
        <v>2017</v>
      </c>
      <c r="W400" s="718"/>
      <c r="X400" s="718"/>
      <c r="Y400" s="718"/>
      <c r="Z400" s="718"/>
      <c r="AA400" s="718"/>
      <c r="AB400" s="39"/>
      <c r="AC400" s="39"/>
      <c r="AD400" s="39"/>
      <c r="AE400" s="39"/>
      <c r="AF400" s="39"/>
      <c r="AG400" s="2533">
        <v>90</v>
      </c>
      <c r="AH400" s="2533"/>
      <c r="AI400" s="2533"/>
      <c r="AJ400" s="2533"/>
      <c r="AK400" s="39"/>
      <c r="AL400" s="718"/>
    </row>
    <row r="401" spans="1:96" s="718" customFormat="1" ht="12.75">
      <c r="D401" s="58" t="s">
        <v>2013</v>
      </c>
      <c r="S401" s="2453" t="s">
        <v>578</v>
      </c>
      <c r="T401" s="2453"/>
      <c r="U401" s="2453"/>
      <c r="V401" s="478" t="s">
        <v>2019</v>
      </c>
      <c r="AB401" s="39"/>
      <c r="AC401" s="39"/>
      <c r="AD401" s="39"/>
      <c r="AE401" s="2515">
        <v>70000</v>
      </c>
      <c r="AF401" s="2515"/>
      <c r="AG401" s="2515"/>
      <c r="AH401" s="2515"/>
      <c r="AI401" s="2515"/>
      <c r="AJ401" s="2515"/>
      <c r="AK401" s="39"/>
      <c r="AM401" s="39"/>
      <c r="AN401" s="39"/>
      <c r="AO401" s="39"/>
      <c r="AP401" s="39"/>
      <c r="AQ401" s="39"/>
      <c r="AR401" s="39"/>
      <c r="AS401" s="39"/>
      <c r="AT401" s="39"/>
      <c r="AU401" s="39"/>
      <c r="AV401" s="39"/>
      <c r="AW401" s="39"/>
      <c r="AX401" s="39"/>
      <c r="AY401" s="39"/>
      <c r="CR401" s="25"/>
    </row>
    <row r="402" spans="1:96" s="718" customFormat="1" ht="12.75">
      <c r="D402" s="58" t="s">
        <v>2015</v>
      </c>
      <c r="K402" s="2516"/>
      <c r="L402" s="2516"/>
      <c r="M402" s="2516"/>
      <c r="N402" s="2516"/>
      <c r="O402" s="2516"/>
      <c r="P402" s="2516"/>
      <c r="Q402" s="2516"/>
      <c r="R402" s="2516"/>
      <c r="S402" s="2516"/>
      <c r="T402" s="2516"/>
      <c r="U402" s="2516"/>
      <c r="V402" s="2516"/>
      <c r="W402" s="2516"/>
      <c r="X402" s="2516"/>
      <c r="Y402" s="2516"/>
      <c r="Z402" s="2516"/>
      <c r="AA402" s="2516"/>
      <c r="AB402" s="2516"/>
      <c r="AC402" s="2516"/>
      <c r="AD402" s="2516"/>
      <c r="AE402" s="2516"/>
      <c r="AF402" s="2516"/>
      <c r="AG402" s="2516"/>
      <c r="AH402" s="2516"/>
      <c r="AI402" s="2516"/>
      <c r="AJ402" s="2516"/>
      <c r="AK402" s="39"/>
      <c r="AM402" s="39"/>
      <c r="AN402" s="39"/>
      <c r="AO402" s="39"/>
      <c r="AP402" s="39"/>
      <c r="AQ402" s="39"/>
      <c r="AR402" s="39"/>
      <c r="AS402" s="39"/>
      <c r="AT402" s="39"/>
      <c r="AU402" s="39"/>
      <c r="AV402" s="39"/>
      <c r="AW402" s="39"/>
      <c r="AX402" s="39"/>
      <c r="AY402" s="39"/>
      <c r="CR402" s="25"/>
    </row>
    <row r="403" spans="1:96" s="718" customFormat="1" ht="12.75">
      <c r="D403" s="58" t="s">
        <v>2018</v>
      </c>
      <c r="K403" s="2516" t="s">
        <v>2601</v>
      </c>
      <c r="L403" s="2516"/>
      <c r="M403" s="2516"/>
      <c r="N403" s="2516"/>
      <c r="O403" s="2516"/>
      <c r="P403" s="2516"/>
      <c r="Q403" s="2516"/>
      <c r="R403" s="2516"/>
      <c r="S403" s="2516"/>
      <c r="T403" s="2516"/>
      <c r="U403" s="2516"/>
      <c r="V403" s="2516"/>
      <c r="W403" s="2516"/>
      <c r="X403" s="2516"/>
      <c r="Y403" s="2516"/>
      <c r="Z403" s="2516"/>
      <c r="AA403" s="2516"/>
      <c r="AB403" s="2516"/>
      <c r="AC403" s="2516"/>
      <c r="AD403" s="2516"/>
      <c r="AE403" s="2516"/>
      <c r="AF403" s="2516"/>
      <c r="AG403" s="2516"/>
      <c r="AH403" s="2516"/>
      <c r="AI403" s="2516"/>
      <c r="AJ403" s="2516"/>
      <c r="AK403" s="39"/>
      <c r="AM403" s="39"/>
      <c r="AN403" s="39"/>
      <c r="AO403" s="39"/>
      <c r="AP403" s="39"/>
      <c r="AQ403" s="39"/>
      <c r="AR403" s="39"/>
      <c r="AS403" s="39"/>
      <c r="AT403" s="39"/>
      <c r="AU403" s="39"/>
      <c r="AV403" s="39"/>
      <c r="AW403" s="39"/>
      <c r="AX403" s="39"/>
      <c r="AY403" s="39"/>
      <c r="CR403" s="25"/>
    </row>
    <row r="404" spans="1:96" s="718" customFormat="1" ht="12.75" customHeight="1">
      <c r="D404" s="181" t="s">
        <v>2021</v>
      </c>
      <c r="E404" s="1518"/>
      <c r="F404" s="1518"/>
      <c r="G404" s="1518"/>
      <c r="H404" s="1518"/>
      <c r="I404" s="1518"/>
      <c r="J404" s="1518"/>
      <c r="K404" s="1518"/>
      <c r="L404" s="1518"/>
      <c r="M404" s="1518"/>
      <c r="N404" s="1518"/>
      <c r="O404" s="1518"/>
      <c r="P404" s="1518"/>
      <c r="Q404" s="1518"/>
      <c r="R404" s="1518"/>
      <c r="S404" s="2512" t="s">
        <v>1384</v>
      </c>
      <c r="T404" s="2512"/>
      <c r="U404" s="2512"/>
      <c r="V404" s="2512"/>
      <c r="W404" s="2512"/>
      <c r="X404" s="2512"/>
      <c r="Y404" s="2512"/>
      <c r="Z404" s="2512"/>
      <c r="AA404" s="2512"/>
      <c r="AB404" s="2512"/>
      <c r="AC404" s="2512"/>
      <c r="AD404" s="2512"/>
      <c r="AE404" s="2512"/>
      <c r="AF404" s="2512"/>
      <c r="AG404" s="2512"/>
      <c r="AH404" s="2512"/>
      <c r="AI404" s="2512"/>
      <c r="AJ404" s="2512"/>
      <c r="AK404" s="39"/>
      <c r="AL404" s="39"/>
      <c r="AM404" s="39"/>
      <c r="AN404" s="39"/>
      <c r="AO404" s="39"/>
      <c r="AP404" s="39"/>
      <c r="AQ404" s="39"/>
      <c r="AR404" s="39"/>
      <c r="AS404" s="39"/>
      <c r="AT404" s="39"/>
      <c r="AU404" s="39"/>
      <c r="AV404" s="39"/>
      <c r="AW404" s="39"/>
      <c r="AX404" s="39"/>
      <c r="AY404" s="39"/>
      <c r="CR404" s="25"/>
    </row>
    <row r="405" spans="1:96" s="718" customFormat="1" ht="12.75">
      <c r="D405" s="2511" t="s">
        <v>2020</v>
      </c>
      <c r="E405" s="2511"/>
      <c r="F405" s="2511"/>
      <c r="G405" s="2511"/>
      <c r="H405" s="2511"/>
      <c r="I405" s="2511"/>
      <c r="J405" s="2511"/>
      <c r="K405" s="2511"/>
      <c r="L405" s="2511"/>
      <c r="M405" s="2511"/>
      <c r="N405" s="2511"/>
      <c r="O405" s="2511"/>
      <c r="P405" s="2511"/>
      <c r="Q405" s="2511"/>
      <c r="R405" s="2511"/>
      <c r="S405" s="2511"/>
      <c r="T405" s="2511"/>
      <c r="U405" s="2511"/>
      <c r="V405" s="2511"/>
      <c r="W405" s="2511"/>
      <c r="X405" s="2511"/>
      <c r="Y405" s="2511"/>
      <c r="Z405" s="2511"/>
      <c r="AA405" s="2511"/>
      <c r="AB405" s="2511"/>
      <c r="AC405" s="2511"/>
      <c r="AD405" s="2511"/>
      <c r="AE405" s="2511"/>
      <c r="AF405" s="2511"/>
      <c r="AG405" s="2511"/>
      <c r="AH405" s="2511"/>
      <c r="AI405" s="2511"/>
      <c r="AJ405" s="2511"/>
      <c r="AK405" s="39"/>
      <c r="AL405" s="39"/>
      <c r="AM405" s="39"/>
      <c r="AN405" s="39"/>
      <c r="AO405" s="39"/>
      <c r="AP405" s="39"/>
      <c r="AQ405" s="39"/>
      <c r="AR405" s="39"/>
      <c r="AS405" s="39"/>
      <c r="AT405" s="39"/>
      <c r="AU405" s="39"/>
      <c r="AV405" s="39"/>
      <c r="AW405" s="39"/>
      <c r="AX405" s="39"/>
      <c r="AY405" s="39"/>
      <c r="CR405" s="25"/>
    </row>
    <row r="406" spans="1:96" s="718" customFormat="1" ht="12.75">
      <c r="D406" s="2511"/>
      <c r="E406" s="2511"/>
      <c r="F406" s="2511"/>
      <c r="G406" s="2511"/>
      <c r="H406" s="2511"/>
      <c r="I406" s="2511"/>
      <c r="J406" s="2511"/>
      <c r="K406" s="2511"/>
      <c r="L406" s="2511"/>
      <c r="M406" s="2511"/>
      <c r="N406" s="2511"/>
      <c r="O406" s="2511"/>
      <c r="P406" s="2511"/>
      <c r="Q406" s="2511"/>
      <c r="R406" s="2511"/>
      <c r="S406" s="2511"/>
      <c r="T406" s="2511"/>
      <c r="U406" s="2511"/>
      <c r="V406" s="2511"/>
      <c r="W406" s="2511"/>
      <c r="X406" s="2511"/>
      <c r="Y406" s="2511"/>
      <c r="Z406" s="2511"/>
      <c r="AA406" s="2511"/>
      <c r="AB406" s="2511"/>
      <c r="AC406" s="2511"/>
      <c r="AD406" s="2511"/>
      <c r="AE406" s="2511"/>
      <c r="AF406" s="2511"/>
      <c r="AG406" s="2511"/>
      <c r="AH406" s="2511"/>
      <c r="AI406" s="2511"/>
      <c r="AJ406" s="2511"/>
      <c r="AK406" s="39"/>
      <c r="AL406" s="39"/>
      <c r="AM406" s="39"/>
      <c r="AN406" s="39"/>
      <c r="AO406" s="39"/>
      <c r="AP406" s="39"/>
      <c r="AQ406" s="39"/>
      <c r="AR406" s="39"/>
      <c r="AS406" s="39"/>
      <c r="AT406" s="39"/>
      <c r="AU406" s="39"/>
      <c r="AV406" s="39"/>
      <c r="AW406" s="39"/>
      <c r="AX406" s="39"/>
      <c r="AY406" s="39"/>
      <c r="CR406" s="25"/>
    </row>
    <row r="407" spans="1:96" s="718"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283" t="s">
        <v>2602</v>
      </c>
      <c r="J409" s="2283"/>
      <c r="K409" s="2283"/>
      <c r="L409" s="2283"/>
      <c r="M409" s="2283"/>
      <c r="N409" s="2283"/>
      <c r="O409" s="2283"/>
      <c r="P409" s="2283"/>
      <c r="Q409" s="2283"/>
      <c r="R409" s="2283"/>
      <c r="S409" s="2283"/>
      <c r="T409" s="2283"/>
      <c r="U409" s="2283"/>
      <c r="V409" s="2283"/>
      <c r="W409" s="2283"/>
      <c r="X409" s="2283"/>
      <c r="Y409" s="2283"/>
      <c r="Z409" s="2283"/>
      <c r="AA409" s="2283"/>
      <c r="AB409" s="2283"/>
      <c r="AC409" s="2283"/>
      <c r="AD409" s="2283"/>
      <c r="AE409" s="2283"/>
    </row>
    <row r="410" spans="1:96" ht="12.75" customHeight="1">
      <c r="C410" s="25"/>
      <c r="D410" s="25"/>
      <c r="E410" s="12" t="s">
        <v>111</v>
      </c>
      <c r="F410" s="25"/>
      <c r="G410" s="25"/>
      <c r="H410" s="25"/>
      <c r="I410" s="25"/>
      <c r="J410" s="25"/>
      <c r="K410" s="25"/>
      <c r="L410" s="25"/>
      <c r="M410" s="25"/>
      <c r="N410" s="25"/>
      <c r="O410" s="25"/>
      <c r="P410" s="718"/>
      <c r="Q410" s="718"/>
      <c r="R410" s="2050" t="s">
        <v>578</v>
      </c>
      <c r="S410" s="2050"/>
      <c r="T410" s="12" t="s">
        <v>604</v>
      </c>
      <c r="U410" s="718"/>
      <c r="V410" s="718"/>
      <c r="W410" s="718"/>
      <c r="X410" s="718"/>
      <c r="Y410" s="718"/>
      <c r="Z410" s="718"/>
      <c r="AA410" s="718"/>
      <c r="AB410" s="718"/>
      <c r="AC410" s="718"/>
      <c r="AD410" s="2343">
        <v>3</v>
      </c>
      <c r="AE410" s="2343"/>
      <c r="AF410" s="718"/>
    </row>
    <row r="411" spans="1:96" ht="12.75">
      <c r="C411" s="25"/>
      <c r="E411" s="12" t="s">
        <v>112</v>
      </c>
      <c r="F411" s="718"/>
      <c r="G411" s="718"/>
      <c r="H411" s="718"/>
      <c r="I411" s="718"/>
      <c r="J411" s="718"/>
      <c r="K411" s="718"/>
      <c r="L411" s="718"/>
      <c r="M411" s="718"/>
      <c r="N411" s="25"/>
      <c r="O411" s="25"/>
      <c r="P411" s="718"/>
      <c r="Q411" s="718"/>
      <c r="R411" s="2050" t="s">
        <v>626</v>
      </c>
      <c r="S411" s="2050"/>
      <c r="T411" s="12" t="s">
        <v>604</v>
      </c>
      <c r="U411" s="718"/>
      <c r="V411" s="718"/>
      <c r="W411" s="718"/>
      <c r="X411" s="718"/>
      <c r="Y411" s="718"/>
      <c r="Z411" s="718"/>
      <c r="AA411" s="718"/>
      <c r="AB411" s="718"/>
      <c r="AC411" s="718"/>
      <c r="AD411" s="2343">
        <v>0</v>
      </c>
      <c r="AE411" s="2343"/>
      <c r="AF411" s="718"/>
    </row>
    <row r="412" spans="1:96" ht="12.75" customHeight="1">
      <c r="C412" s="25"/>
      <c r="E412" s="12" t="s">
        <v>113</v>
      </c>
      <c r="F412" s="718"/>
      <c r="G412" s="718"/>
      <c r="H412" s="718"/>
      <c r="I412" s="718"/>
      <c r="J412" s="718"/>
      <c r="K412" s="718"/>
      <c r="L412" s="718"/>
      <c r="M412" s="718"/>
      <c r="N412" s="25"/>
      <c r="O412" s="25"/>
      <c r="P412" s="718"/>
      <c r="Q412" s="718"/>
      <c r="R412" s="718"/>
      <c r="S412" s="2050" t="s">
        <v>626</v>
      </c>
      <c r="T412" s="2050"/>
      <c r="U412" s="718"/>
      <c r="V412" s="718"/>
      <c r="W412" s="718"/>
      <c r="X412" s="718"/>
      <c r="Y412" s="718"/>
      <c r="Z412" s="718"/>
      <c r="AA412" s="718"/>
      <c r="AB412" s="718"/>
      <c r="AC412" s="718"/>
      <c r="AD412" s="718"/>
      <c r="AE412" s="718"/>
      <c r="AF412" s="718"/>
    </row>
    <row r="413" spans="1:96" ht="12.75" customHeight="1">
      <c r="E413" s="12" t="s">
        <v>175</v>
      </c>
      <c r="F413" s="718"/>
      <c r="G413" s="718"/>
      <c r="H413" s="2517" t="s">
        <v>343</v>
      </c>
      <c r="I413" s="2517"/>
      <c r="J413" s="2517"/>
      <c r="K413" s="2517"/>
      <c r="L413" s="2517"/>
      <c r="M413" s="2517"/>
      <c r="N413" s="2517"/>
      <c r="O413" s="2517"/>
      <c r="P413" s="2517"/>
      <c r="Q413" s="2517"/>
      <c r="R413" s="2517"/>
      <c r="S413" s="2517"/>
      <c r="T413" s="2517"/>
      <c r="U413" s="2517"/>
      <c r="V413" s="2517"/>
      <c r="W413" s="2517"/>
      <c r="X413" s="2517"/>
      <c r="Y413" s="2517"/>
      <c r="Z413" s="2517"/>
      <c r="AA413" s="2517"/>
      <c r="AB413" s="2517"/>
      <c r="AC413" s="2517"/>
      <c r="AD413" s="2517"/>
      <c r="AE413" s="2517"/>
      <c r="AF413" s="718"/>
    </row>
    <row r="414" spans="1:96" ht="12.75" customHeight="1">
      <c r="E414" s="25"/>
      <c r="F414" s="718"/>
      <c r="G414" s="718"/>
      <c r="H414" s="2518"/>
      <c r="I414" s="2518"/>
      <c r="J414" s="2518"/>
      <c r="K414" s="2518"/>
      <c r="L414" s="2518"/>
      <c r="M414" s="2518"/>
      <c r="N414" s="2518"/>
      <c r="O414" s="2518"/>
      <c r="P414" s="2518"/>
      <c r="Q414" s="2518"/>
      <c r="R414" s="2518"/>
      <c r="S414" s="2518"/>
      <c r="T414" s="2518"/>
      <c r="U414" s="2518"/>
      <c r="V414" s="2518"/>
      <c r="W414" s="2518"/>
      <c r="X414" s="2518"/>
      <c r="Y414" s="2518"/>
      <c r="Z414" s="2518"/>
      <c r="AA414" s="2518"/>
      <c r="AB414" s="2518"/>
      <c r="AC414" s="2518"/>
      <c r="AD414" s="2518"/>
      <c r="AE414" s="2518"/>
      <c r="AF414" s="718"/>
    </row>
    <row r="415" spans="1:96" ht="12.75" customHeight="1"/>
    <row r="416" spans="1:96" ht="12.75" customHeight="1">
      <c r="A416" s="50" t="s">
        <v>625</v>
      </c>
      <c r="B416" s="50"/>
      <c r="C416" s="50"/>
      <c r="D416" s="50" t="s">
        <v>119</v>
      </c>
      <c r="AF416" s="50" t="s">
        <v>1036</v>
      </c>
    </row>
    <row r="417" spans="1:96" ht="12.75" customHeight="1">
      <c r="E417" s="2367"/>
      <c r="F417" s="2367"/>
      <c r="G417" s="2367"/>
      <c r="H417" s="23" t="s">
        <v>120</v>
      </c>
      <c r="I417" s="2367"/>
      <c r="J417" s="2367"/>
      <c r="K417" s="2367"/>
      <c r="L417" s="12" t="s">
        <v>121</v>
      </c>
      <c r="N417" s="141" t="s">
        <v>610</v>
      </c>
      <c r="P417" s="2364">
        <v>3.9</v>
      </c>
      <c r="Q417" s="2364"/>
      <c r="R417" s="2364"/>
      <c r="S417" s="12" t="s">
        <v>122</v>
      </c>
      <c r="W417" s="2523">
        <f>IF(E417&gt;0,(E417*I417),(P417*43560))</f>
        <v>169884</v>
      </c>
      <c r="X417" s="2523"/>
      <c r="Y417" s="2523"/>
      <c r="Z417" s="12" t="s">
        <v>123</v>
      </c>
      <c r="AF417" s="2493">
        <f>IF(P417&gt;0,(AG436/P417),(AG436/(W417/43560)))</f>
        <v>16.666666666666668</v>
      </c>
      <c r="AG417" s="2493"/>
      <c r="AH417" s="2493"/>
      <c r="AM417" s="239"/>
    </row>
    <row r="418" spans="1:96" ht="12.75">
      <c r="E418" s="12" t="s">
        <v>54</v>
      </c>
    </row>
    <row r="419" spans="1:96" ht="12.75" customHeight="1">
      <c r="E419" s="2572"/>
      <c r="F419" s="2572"/>
      <c r="G419" s="2572"/>
      <c r="H419" s="2572"/>
      <c r="I419" s="2572"/>
      <c r="J419" s="2572"/>
      <c r="K419" s="2572"/>
      <c r="L419" s="2572"/>
      <c r="M419" s="2572"/>
      <c r="N419" s="2572"/>
      <c r="O419" s="2572"/>
      <c r="P419" s="2572"/>
      <c r="Q419" s="2572"/>
      <c r="R419" s="2572"/>
      <c r="S419" s="2572"/>
      <c r="T419" s="2572"/>
      <c r="U419" s="2572"/>
      <c r="V419" s="2572"/>
      <c r="W419" s="2572"/>
      <c r="X419" s="2572"/>
      <c r="Y419" s="2572"/>
      <c r="Z419" s="2572"/>
      <c r="AA419" s="2572"/>
      <c r="AB419" s="2572"/>
      <c r="AC419" s="2572"/>
      <c r="AD419" s="2572"/>
      <c r="AE419" s="2572"/>
      <c r="AF419" s="2572"/>
      <c r="AG419" s="2572"/>
      <c r="AH419" s="2572"/>
      <c r="AI419" s="2572"/>
      <c r="AJ419" s="2572"/>
    </row>
    <row r="420" spans="1:96" s="39" customFormat="1" ht="12.75" customHeight="1">
      <c r="E420" s="254" t="s">
        <v>2235</v>
      </c>
      <c r="F420" s="1806"/>
      <c r="G420" s="1806"/>
      <c r="H420" s="1806"/>
      <c r="I420" s="2525">
        <v>3.9</v>
      </c>
      <c r="J420" s="2525"/>
      <c r="K420" s="2525"/>
      <c r="L420" s="1806"/>
      <c r="M420" s="254"/>
      <c r="N420" s="1806"/>
      <c r="O420" s="1806"/>
      <c r="P420" s="2294">
        <f>(CS637+CS645+CS661)/I420</f>
        <v>18.205128205128204</v>
      </c>
      <c r="Q420" s="2294"/>
      <c r="R420" s="2294"/>
      <c r="S420" s="254" t="s">
        <v>2236</v>
      </c>
      <c r="T420" s="1806"/>
      <c r="U420" s="1806"/>
      <c r="V420" s="1806"/>
      <c r="W420" s="1806"/>
      <c r="X420" s="1806"/>
      <c r="Y420" s="1806"/>
      <c r="Z420" s="1806"/>
      <c r="AA420" s="1806"/>
      <c r="AB420" s="1806"/>
      <c r="AC420" s="1806"/>
      <c r="AD420" s="1806"/>
      <c r="AE420" s="1806"/>
      <c r="AF420" s="1806"/>
      <c r="AG420" s="1806"/>
      <c r="AH420" s="1806"/>
      <c r="AI420" s="1806"/>
      <c r="AJ420" s="1806"/>
      <c r="CR420" s="680"/>
    </row>
    <row r="421" spans="1:96" ht="12.7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2.75">
      <c r="A422" s="50" t="s">
        <v>627</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75">
      <c r="E423" s="12" t="s">
        <v>126</v>
      </c>
      <c r="P423" s="2050">
        <v>2</v>
      </c>
      <c r="Q423" s="2050"/>
      <c r="S423" s="12" t="s">
        <v>195</v>
      </c>
      <c r="AE423" s="2050">
        <v>2</v>
      </c>
      <c r="AF423" s="2050"/>
    </row>
    <row r="424" spans="1:96" ht="12.75">
      <c r="E424" s="12" t="s">
        <v>196</v>
      </c>
      <c r="P424" s="2050">
        <v>0</v>
      </c>
      <c r="Q424" s="2050"/>
      <c r="S424" s="12" t="s">
        <v>136</v>
      </c>
      <c r="AE424" s="2050" t="s">
        <v>626</v>
      </c>
      <c r="AF424" s="2050"/>
    </row>
    <row r="425" spans="1:96" ht="12.75">
      <c r="F425" s="67" t="s">
        <v>137</v>
      </c>
    </row>
    <row r="426" spans="1:96" ht="12.75">
      <c r="F426" s="2483"/>
      <c r="G426" s="2483"/>
      <c r="H426" s="2483"/>
      <c r="I426" s="2483"/>
      <c r="J426" s="2483"/>
      <c r="K426" s="2483"/>
      <c r="L426" s="2483"/>
      <c r="M426" s="2483"/>
      <c r="N426" s="2483"/>
      <c r="O426" s="2483"/>
      <c r="P426" s="2483"/>
      <c r="Q426" s="2483"/>
      <c r="R426" s="2483"/>
      <c r="S426" s="2483"/>
      <c r="T426" s="2483"/>
      <c r="U426" s="2483"/>
      <c r="V426" s="2483"/>
      <c r="W426" s="2483"/>
      <c r="X426" s="2483"/>
      <c r="Y426" s="2483"/>
      <c r="Z426" s="2483"/>
      <c r="AA426" s="2483"/>
      <c r="AB426" s="2483"/>
      <c r="AC426" s="2483"/>
      <c r="AD426" s="2483"/>
      <c r="AE426" s="2483"/>
      <c r="AF426" s="2483"/>
      <c r="AG426" s="2483"/>
      <c r="AH426" s="2483"/>
    </row>
    <row r="427" spans="1:96" ht="12.75" customHeight="1">
      <c r="F427" s="2484"/>
      <c r="G427" s="2484"/>
      <c r="H427" s="2484"/>
      <c r="I427" s="2484"/>
      <c r="J427" s="2484"/>
      <c r="K427" s="2484"/>
      <c r="L427" s="2484"/>
      <c r="M427" s="2484"/>
      <c r="N427" s="2484"/>
      <c r="O427" s="2484"/>
      <c r="P427" s="2484"/>
      <c r="Q427" s="2484"/>
      <c r="R427" s="2484"/>
      <c r="S427" s="2484"/>
      <c r="T427" s="2484"/>
      <c r="U427" s="2484"/>
      <c r="V427" s="2484"/>
      <c r="W427" s="2484"/>
      <c r="X427" s="2484"/>
      <c r="Y427" s="2484"/>
      <c r="Z427" s="2484"/>
      <c r="AA427" s="2484"/>
      <c r="AB427" s="2484"/>
      <c r="AC427" s="2484"/>
      <c r="AD427" s="2484"/>
      <c r="AE427" s="2484"/>
      <c r="AF427" s="2484"/>
      <c r="AG427" s="2484"/>
      <c r="AH427" s="2484"/>
    </row>
    <row r="428" spans="1:96" ht="12.75" customHeight="1">
      <c r="E428" s="12" t="s">
        <v>643</v>
      </c>
      <c r="N428" s="39"/>
      <c r="O428" s="39"/>
      <c r="P428" s="235"/>
      <c r="Q428" s="2050" t="s">
        <v>578</v>
      </c>
      <c r="R428" s="2050"/>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50" t="s">
        <v>626</v>
      </c>
      <c r="AG429" s="2579"/>
    </row>
    <row r="430" spans="1:96" ht="12.75" customHeight="1">
      <c r="S430" s="25"/>
      <c r="T430" s="25"/>
    </row>
    <row r="431" spans="1:96" ht="12.75" customHeight="1">
      <c r="A431" s="50"/>
      <c r="B431" s="50"/>
      <c r="C431" s="50"/>
      <c r="E431" s="7" t="s">
        <v>317</v>
      </c>
      <c r="Z431" s="2050" t="s">
        <v>706</v>
      </c>
      <c r="AA431" s="205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50" t="s">
        <v>626</v>
      </c>
      <c r="AA433" s="2050"/>
    </row>
    <row r="434" spans="1:110" ht="12.75" customHeight="1"/>
    <row r="435" spans="1:110" ht="12.75" customHeight="1">
      <c r="A435" s="50" t="s">
        <v>500</v>
      </c>
      <c r="B435" s="50"/>
      <c r="C435" s="50"/>
      <c r="D435" s="50" t="s">
        <v>822</v>
      </c>
      <c r="AF435" s="80"/>
    </row>
    <row r="436" spans="1:110" ht="12.75" customHeight="1">
      <c r="D436" s="2248" t="s">
        <v>46</v>
      </c>
      <c r="E436" s="2249"/>
      <c r="F436" s="2249"/>
      <c r="G436" s="2249"/>
      <c r="H436" s="2249"/>
      <c r="I436" s="2249"/>
      <c r="J436" s="2249"/>
      <c r="K436" s="2249"/>
      <c r="L436" s="2249"/>
      <c r="M436" s="2249"/>
      <c r="N436" s="2249"/>
      <c r="O436" s="2249"/>
      <c r="P436" s="2249"/>
      <c r="Q436" s="2249"/>
      <c r="R436" s="2249"/>
      <c r="S436" s="2249"/>
      <c r="T436" s="2249"/>
      <c r="U436" s="2249"/>
      <c r="V436" s="2249"/>
      <c r="W436" s="2249"/>
      <c r="X436" s="2249"/>
      <c r="Y436" s="2249"/>
      <c r="Z436" s="2249"/>
      <c r="AA436" s="2249"/>
      <c r="AB436" s="2249"/>
      <c r="AC436" s="2249"/>
      <c r="AD436" s="2249"/>
      <c r="AE436" s="2249"/>
      <c r="AF436" s="2491"/>
      <c r="AG436" s="2534">
        <v>65</v>
      </c>
      <c r="AH436" s="2534"/>
      <c r="AI436" s="2534"/>
      <c r="AJ436" s="2534"/>
    </row>
    <row r="437" spans="1:110" ht="12.75" customHeight="1">
      <c r="D437" s="2492" t="s">
        <v>1437</v>
      </c>
      <c r="E437" s="2520"/>
      <c r="F437" s="2520"/>
      <c r="G437" s="2520"/>
      <c r="H437" s="2520"/>
      <c r="I437" s="2520"/>
      <c r="J437" s="2520"/>
      <c r="K437" s="2520"/>
      <c r="L437" s="2520"/>
      <c r="M437" s="2520"/>
      <c r="N437" s="2520"/>
      <c r="O437" s="2520"/>
      <c r="P437" s="2520"/>
      <c r="Q437" s="2520"/>
      <c r="R437" s="2520"/>
      <c r="S437" s="2520"/>
      <c r="T437" s="2520"/>
      <c r="U437" s="2520"/>
      <c r="V437" s="2520"/>
      <c r="W437" s="2520"/>
      <c r="X437" s="2520"/>
      <c r="Y437" s="2520"/>
      <c r="Z437" s="2520"/>
      <c r="AA437" s="2520"/>
      <c r="AB437" s="2520"/>
      <c r="AC437" s="2520"/>
      <c r="AD437" s="2520"/>
      <c r="AE437" s="2520"/>
      <c r="AF437" s="2521"/>
      <c r="AG437" s="2524"/>
      <c r="AH437" s="2233"/>
      <c r="AI437" s="2233"/>
      <c r="AJ437" s="2233"/>
    </row>
    <row r="438" spans="1:110" ht="12.75" customHeight="1">
      <c r="D438" s="2492" t="s">
        <v>1145</v>
      </c>
      <c r="E438" s="2520"/>
      <c r="F438" s="2520"/>
      <c r="G438" s="2520"/>
      <c r="H438" s="2520"/>
      <c r="I438" s="2520"/>
      <c r="J438" s="2520"/>
      <c r="K438" s="2520"/>
      <c r="L438" s="2520"/>
      <c r="M438" s="2520"/>
      <c r="N438" s="2520"/>
      <c r="O438" s="2520"/>
      <c r="P438" s="2520"/>
      <c r="Q438" s="2520"/>
      <c r="R438" s="2520"/>
      <c r="S438" s="2520"/>
      <c r="T438" s="2520"/>
      <c r="U438" s="2520"/>
      <c r="V438" s="2520"/>
      <c r="W438" s="2520"/>
      <c r="X438" s="2520"/>
      <c r="Y438" s="2520"/>
      <c r="Z438" s="2520"/>
      <c r="AA438" s="2520"/>
      <c r="AB438" s="2520"/>
      <c r="AC438" s="2520"/>
      <c r="AD438" s="2520"/>
      <c r="AE438" s="2520"/>
      <c r="AF438" s="2521"/>
      <c r="AG438" s="2534">
        <v>64</v>
      </c>
      <c r="AH438" s="2534"/>
      <c r="AI438" s="2534"/>
      <c r="AJ438" s="2534"/>
    </row>
    <row r="439" spans="1:110" ht="12.75" customHeight="1">
      <c r="D439" s="2492" t="s">
        <v>1146</v>
      </c>
      <c r="E439" s="2520"/>
      <c r="F439" s="2520"/>
      <c r="G439" s="2520"/>
      <c r="H439" s="2520"/>
      <c r="I439" s="2520"/>
      <c r="J439" s="2520"/>
      <c r="K439" s="2520"/>
      <c r="L439" s="2520"/>
      <c r="M439" s="2520"/>
      <c r="N439" s="2520"/>
      <c r="O439" s="2520"/>
      <c r="P439" s="2520"/>
      <c r="Q439" s="2520"/>
      <c r="R439" s="2520"/>
      <c r="S439" s="2520"/>
      <c r="T439" s="2520"/>
      <c r="U439" s="2520"/>
      <c r="V439" s="2520"/>
      <c r="W439" s="2520"/>
      <c r="X439" s="2520"/>
      <c r="Y439" s="2520"/>
      <c r="Z439" s="2520"/>
      <c r="AA439" s="2520"/>
      <c r="AB439" s="2520"/>
      <c r="AC439" s="2520"/>
      <c r="AD439" s="2520"/>
      <c r="AE439" s="2520"/>
      <c r="AF439" s="2521"/>
      <c r="AG439" s="2534">
        <v>64</v>
      </c>
      <c r="AH439" s="2534"/>
      <c r="AI439" s="2534"/>
      <c r="AJ439" s="2534"/>
    </row>
    <row r="440" spans="1:110" ht="12.75" customHeight="1">
      <c r="D440" s="2492" t="s">
        <v>1148</v>
      </c>
      <c r="E440" s="2520"/>
      <c r="F440" s="2520"/>
      <c r="G440" s="2520"/>
      <c r="H440" s="2520"/>
      <c r="I440" s="2520"/>
      <c r="J440" s="2520"/>
      <c r="K440" s="2520"/>
      <c r="L440" s="2520"/>
      <c r="M440" s="2520"/>
      <c r="N440" s="2520"/>
      <c r="O440" s="2520"/>
      <c r="P440" s="2520"/>
      <c r="Q440" s="2520"/>
      <c r="R440" s="2520"/>
      <c r="S440" s="2520"/>
      <c r="T440" s="2520"/>
      <c r="U440" s="2520"/>
      <c r="V440" s="2520"/>
      <c r="W440" s="2520"/>
      <c r="X440" s="2520"/>
      <c r="Y440" s="2520"/>
      <c r="Z440" s="2520"/>
      <c r="AA440" s="2520"/>
      <c r="AB440" s="2520"/>
      <c r="AC440" s="2520"/>
      <c r="AD440" s="2520"/>
      <c r="AE440" s="2520"/>
      <c r="AF440" s="2521"/>
      <c r="AG440" s="2513">
        <f>IF(ISERROR(AG439/AG438),"",AG439/AG438)</f>
        <v>1</v>
      </c>
      <c r="AH440" s="2513"/>
      <c r="AI440" s="2513"/>
      <c r="AJ440" s="2513"/>
    </row>
    <row r="441" spans="1:110" ht="12.75" customHeight="1">
      <c r="D441" s="2492" t="s">
        <v>1147</v>
      </c>
      <c r="E441" s="2520"/>
      <c r="F441" s="2520"/>
      <c r="G441" s="2520"/>
      <c r="H441" s="2520"/>
      <c r="I441" s="2520"/>
      <c r="J441" s="2520"/>
      <c r="K441" s="2520"/>
      <c r="L441" s="2520"/>
      <c r="M441" s="2520"/>
      <c r="N441" s="2520"/>
      <c r="O441" s="2520"/>
      <c r="P441" s="2520"/>
      <c r="Q441" s="2520"/>
      <c r="R441" s="2520"/>
      <c r="S441" s="2520"/>
      <c r="T441" s="2520"/>
      <c r="U441" s="2520"/>
      <c r="V441" s="2520"/>
      <c r="W441" s="2520"/>
      <c r="X441" s="2520"/>
      <c r="Y441" s="2520"/>
      <c r="Z441" s="2520"/>
      <c r="AA441" s="2520"/>
      <c r="AB441" s="2520"/>
      <c r="AC441" s="2520"/>
      <c r="AD441" s="2520"/>
      <c r="AE441" s="2520"/>
      <c r="AF441" s="2521"/>
      <c r="AG441" s="2510">
        <f>(58*569)+(5*810)+(1*467)</f>
        <v>37519</v>
      </c>
      <c r="AH441" s="2510"/>
      <c r="AI441" s="2510"/>
      <c r="AJ441" s="2510"/>
    </row>
    <row r="442" spans="1:110" ht="12.75" customHeight="1">
      <c r="D442" s="2492" t="s">
        <v>1149</v>
      </c>
      <c r="E442" s="2520"/>
      <c r="F442" s="2520"/>
      <c r="G442" s="2520"/>
      <c r="H442" s="2520"/>
      <c r="I442" s="2520"/>
      <c r="J442" s="2520"/>
      <c r="K442" s="2520"/>
      <c r="L442" s="2520"/>
      <c r="M442" s="2520"/>
      <c r="N442" s="2520"/>
      <c r="O442" s="2520"/>
      <c r="P442" s="2520"/>
      <c r="Q442" s="2520"/>
      <c r="R442" s="2520"/>
      <c r="S442" s="2520"/>
      <c r="T442" s="2520"/>
      <c r="U442" s="2520"/>
      <c r="V442" s="2520"/>
      <c r="W442" s="2520"/>
      <c r="X442" s="2520"/>
      <c r="Y442" s="2520"/>
      <c r="Z442" s="2520"/>
      <c r="AA442" s="2520"/>
      <c r="AB442" s="2520"/>
      <c r="AC442" s="2520"/>
      <c r="AD442" s="2520"/>
      <c r="AE442" s="2520"/>
      <c r="AF442" s="2521"/>
      <c r="AG442" s="2510">
        <f>AG441</f>
        <v>37519</v>
      </c>
      <c r="AH442" s="2510"/>
      <c r="AI442" s="2510"/>
      <c r="AJ442" s="2510"/>
    </row>
    <row r="443" spans="1:110" ht="12.75" customHeight="1">
      <c r="D443" s="2492" t="s">
        <v>1150</v>
      </c>
      <c r="E443" s="2520"/>
      <c r="F443" s="2520"/>
      <c r="G443" s="2520"/>
      <c r="H443" s="2520"/>
      <c r="I443" s="2520"/>
      <c r="J443" s="2520"/>
      <c r="K443" s="2520"/>
      <c r="L443" s="2520"/>
      <c r="M443" s="2520"/>
      <c r="N443" s="2520"/>
      <c r="O443" s="2520"/>
      <c r="P443" s="2520"/>
      <c r="Q443" s="2520"/>
      <c r="R443" s="2520"/>
      <c r="S443" s="2520"/>
      <c r="T443" s="2520"/>
      <c r="U443" s="2520"/>
      <c r="V443" s="2520"/>
      <c r="W443" s="2520"/>
      <c r="X443" s="2520"/>
      <c r="Y443" s="2520"/>
      <c r="Z443" s="2520"/>
      <c r="AA443" s="2520"/>
      <c r="AB443" s="2520"/>
      <c r="AC443" s="2520"/>
      <c r="AD443" s="2520"/>
      <c r="AE443" s="2520"/>
      <c r="AF443" s="2521"/>
      <c r="AG443" s="2513">
        <f>IF(ISERROR(AG442/AG441),"",AG442/AG441)</f>
        <v>1</v>
      </c>
      <c r="AH443" s="2513"/>
      <c r="AI443" s="2513"/>
      <c r="AJ443" s="2513"/>
    </row>
    <row r="444" spans="1:110" ht="12.75" customHeight="1">
      <c r="D444" s="2492" t="s">
        <v>1151</v>
      </c>
      <c r="E444" s="2520"/>
      <c r="F444" s="2520"/>
      <c r="G444" s="2520"/>
      <c r="H444" s="2520"/>
      <c r="I444" s="2520"/>
      <c r="J444" s="2520"/>
      <c r="K444" s="2520"/>
      <c r="L444" s="2520"/>
      <c r="M444" s="2520"/>
      <c r="N444" s="2520"/>
      <c r="O444" s="2520"/>
      <c r="P444" s="2520"/>
      <c r="Q444" s="2520"/>
      <c r="R444" s="2520"/>
      <c r="S444" s="2520"/>
      <c r="T444" s="2520"/>
      <c r="U444" s="2520"/>
      <c r="V444" s="2520"/>
      <c r="W444" s="2520"/>
      <c r="X444" s="2520"/>
      <c r="Y444" s="2520"/>
      <c r="Z444" s="2520"/>
      <c r="AA444" s="2520"/>
      <c r="AB444" s="2520"/>
      <c r="AC444" s="2520"/>
      <c r="AD444" s="2520"/>
      <c r="AE444" s="2520"/>
      <c r="AF444" s="2521"/>
      <c r="AG444" s="2513">
        <f>MIN(IF(AG440&gt;AG443,AG443,AG440),1)</f>
        <v>1</v>
      </c>
      <c r="AH444" s="2513"/>
      <c r="AI444" s="2513"/>
      <c r="AJ444" s="2513"/>
    </row>
    <row r="445" spans="1:110" ht="12.75" customHeight="1">
      <c r="D445" s="2492" t="s">
        <v>1412</v>
      </c>
      <c r="E445" s="2249"/>
      <c r="F445" s="2249"/>
      <c r="G445" s="2249"/>
      <c r="H445" s="2249"/>
      <c r="I445" s="2249"/>
      <c r="J445" s="2249"/>
      <c r="K445" s="2249"/>
      <c r="L445" s="2249"/>
      <c r="M445" s="2249"/>
      <c r="N445" s="2249"/>
      <c r="O445" s="2249"/>
      <c r="P445" s="2249"/>
      <c r="Q445" s="2249"/>
      <c r="R445" s="2249"/>
      <c r="S445" s="2249"/>
      <c r="T445" s="2249"/>
      <c r="U445" s="2249"/>
      <c r="V445" s="2249"/>
      <c r="W445" s="2249"/>
      <c r="X445" s="2249"/>
      <c r="Y445" s="2249"/>
      <c r="Z445" s="2249"/>
      <c r="AA445" s="2249"/>
      <c r="AB445" s="2249"/>
      <c r="AC445" s="2249"/>
      <c r="AD445" s="2249"/>
      <c r="AE445" s="2249"/>
      <c r="AF445" s="2491"/>
      <c r="AG445" s="2510">
        <v>3960</v>
      </c>
      <c r="AH445" s="2510"/>
      <c r="AI445" s="2510"/>
      <c r="AJ445" s="2510"/>
    </row>
    <row r="446" spans="1:110" ht="12.75" customHeight="1">
      <c r="D446" s="2248" t="s">
        <v>602</v>
      </c>
      <c r="E446" s="2249"/>
      <c r="F446" s="2249"/>
      <c r="G446" s="2249"/>
      <c r="H446" s="2249"/>
      <c r="I446" s="2249"/>
      <c r="J446" s="2249"/>
      <c r="K446" s="2249"/>
      <c r="L446" s="2249"/>
      <c r="M446" s="2249"/>
      <c r="N446" s="2249"/>
      <c r="O446" s="2249"/>
      <c r="P446" s="2249"/>
      <c r="Q446" s="2249"/>
      <c r="R446" s="2249"/>
      <c r="S446" s="2249"/>
      <c r="T446" s="2249"/>
      <c r="U446" s="2249"/>
      <c r="V446" s="2249"/>
      <c r="W446" s="2249"/>
      <c r="X446" s="2249"/>
      <c r="Y446" s="2249"/>
      <c r="Z446" s="2249"/>
      <c r="AA446" s="2249"/>
      <c r="AB446" s="2249"/>
      <c r="AC446" s="2249"/>
      <c r="AD446" s="2249"/>
      <c r="AE446" s="2249"/>
      <c r="AF446" s="2491"/>
      <c r="AG446" s="2510">
        <v>0</v>
      </c>
      <c r="AH446" s="2510"/>
      <c r="AI446" s="2510"/>
      <c r="AJ446" s="251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4" customHeight="1">
      <c r="D447" s="2492" t="s">
        <v>1413</v>
      </c>
      <c r="E447" s="2249"/>
      <c r="F447" s="2249"/>
      <c r="G447" s="2249"/>
      <c r="H447" s="2249"/>
      <c r="I447" s="2249"/>
      <c r="J447" s="2249"/>
      <c r="K447" s="2249"/>
      <c r="L447" s="2249"/>
      <c r="M447" s="2249"/>
      <c r="N447" s="2249"/>
      <c r="O447" s="2249"/>
      <c r="P447" s="2249"/>
      <c r="Q447" s="2249"/>
      <c r="R447" s="2249"/>
      <c r="S447" s="2249"/>
      <c r="T447" s="2249"/>
      <c r="U447" s="2249"/>
      <c r="V447" s="2249"/>
      <c r="W447" s="2249"/>
      <c r="X447" s="2249"/>
      <c r="Y447" s="2249"/>
      <c r="Z447" s="2249"/>
      <c r="AA447" s="2249"/>
      <c r="AB447" s="2249"/>
      <c r="AC447" s="2249"/>
      <c r="AD447" s="2249"/>
      <c r="AE447" s="2249"/>
      <c r="AF447" s="2491"/>
      <c r="AG447" s="2510">
        <f>24631+30316-37519-3960</f>
        <v>13468</v>
      </c>
      <c r="AH447" s="2510"/>
      <c r="AI447" s="2510"/>
      <c r="AJ447" s="251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92" t="s">
        <v>1152</v>
      </c>
      <c r="E448" s="2249"/>
      <c r="F448" s="2249"/>
      <c r="G448" s="2249"/>
      <c r="H448" s="2249"/>
      <c r="I448" s="2249"/>
      <c r="J448" s="2249"/>
      <c r="K448" s="2249"/>
      <c r="L448" s="2249"/>
      <c r="M448" s="2249"/>
      <c r="N448" s="2249"/>
      <c r="O448" s="2249"/>
      <c r="P448" s="2249"/>
      <c r="Q448" s="2249"/>
      <c r="R448" s="2249"/>
      <c r="S448" s="2249"/>
      <c r="T448" s="2249"/>
      <c r="U448" s="2249"/>
      <c r="V448" s="2249"/>
      <c r="W448" s="2249"/>
      <c r="X448" s="2249"/>
      <c r="Y448" s="2249"/>
      <c r="Z448" s="2249"/>
      <c r="AA448" s="2249"/>
      <c r="AB448" s="2249"/>
      <c r="AC448" s="2249"/>
      <c r="AD448" s="2249"/>
      <c r="AE448" s="2249"/>
      <c r="AF448" s="2491"/>
      <c r="AG448" s="2510"/>
      <c r="AH448" s="2510"/>
      <c r="AI448" s="2510"/>
      <c r="AJ448" s="251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94" t="s">
        <v>1153</v>
      </c>
      <c r="E449" s="2495"/>
      <c r="F449" s="2495"/>
      <c r="G449" s="2495"/>
      <c r="H449" s="2495"/>
      <c r="I449" s="2495"/>
      <c r="J449" s="2495"/>
      <c r="K449" s="2495"/>
      <c r="L449" s="2495"/>
      <c r="M449" s="2495"/>
      <c r="N449" s="2495"/>
      <c r="O449" s="2495"/>
      <c r="P449" s="2495"/>
      <c r="Q449" s="2495"/>
      <c r="R449" s="2495"/>
      <c r="S449" s="2495"/>
      <c r="T449" s="2495"/>
      <c r="U449" s="2495"/>
      <c r="V449" s="2495"/>
      <c r="W449" s="2495"/>
      <c r="X449" s="2495"/>
      <c r="Y449" s="2495"/>
      <c r="Z449" s="2495"/>
      <c r="AA449" s="2495"/>
      <c r="AB449" s="2495"/>
      <c r="AC449" s="2495"/>
      <c r="AD449" s="2495"/>
      <c r="AE449" s="2495"/>
      <c r="AF449" s="2496"/>
      <c r="AG449" s="2578">
        <f>AG441+AG445+AG447+AG448</f>
        <v>54947</v>
      </c>
      <c r="AH449" s="2578"/>
      <c r="AI449" s="2578"/>
      <c r="AJ449" s="257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97" t="s">
        <v>1414</v>
      </c>
      <c r="E450" s="2497"/>
      <c r="F450" s="2497"/>
      <c r="G450" s="2497"/>
      <c r="H450" s="2497"/>
      <c r="I450" s="2497"/>
      <c r="J450" s="2497"/>
      <c r="K450" s="2497"/>
      <c r="L450" s="2497"/>
      <c r="M450" s="2497"/>
      <c r="N450" s="2497"/>
      <c r="O450" s="2497"/>
      <c r="P450" s="2497"/>
      <c r="Q450" s="2497"/>
      <c r="R450" s="2497"/>
      <c r="S450" s="2497"/>
      <c r="T450" s="2497"/>
      <c r="U450" s="2497"/>
      <c r="V450" s="2497"/>
      <c r="W450" s="2497"/>
      <c r="X450" s="2497"/>
      <c r="Y450" s="2497"/>
      <c r="Z450" s="2497"/>
      <c r="AA450" s="2497"/>
      <c r="AB450" s="2497"/>
      <c r="AC450" s="2497"/>
      <c r="AD450" s="2497"/>
      <c r="AE450" s="2497"/>
      <c r="AF450" s="2497"/>
      <c r="AG450" s="2497"/>
      <c r="AH450" s="2497"/>
      <c r="AI450" s="2497"/>
      <c r="AJ450" s="249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98"/>
      <c r="E451" s="2498"/>
      <c r="F451" s="2498"/>
      <c r="G451" s="2498"/>
      <c r="H451" s="2498"/>
      <c r="I451" s="2498"/>
      <c r="J451" s="2498"/>
      <c r="K451" s="2498"/>
      <c r="L451" s="2498"/>
      <c r="M451" s="2498"/>
      <c r="N451" s="2498"/>
      <c r="O451" s="2498"/>
      <c r="P451" s="2498"/>
      <c r="Q451" s="2498"/>
      <c r="R451" s="2498"/>
      <c r="S451" s="2498"/>
      <c r="T451" s="2498"/>
      <c r="U451" s="2498"/>
      <c r="V451" s="2498"/>
      <c r="W451" s="2498"/>
      <c r="X451" s="2498"/>
      <c r="Y451" s="2498"/>
      <c r="Z451" s="2498"/>
      <c r="AA451" s="2498"/>
      <c r="AB451" s="2498"/>
      <c r="AC451" s="2498"/>
      <c r="AD451" s="2498"/>
      <c r="AE451" s="2498"/>
      <c r="AF451" s="2498"/>
      <c r="AG451" s="2498"/>
      <c r="AH451" s="2498"/>
      <c r="AI451" s="2498"/>
      <c r="AJ451" s="249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4">
        <f>'Sources and Uses Budget'!B105/Application!AG436</f>
        <v>465816.58461538464</v>
      </c>
      <c r="AD453" s="2514"/>
      <c r="AE453" s="2514"/>
      <c r="AF453" s="251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4">
        <f>'Sources and Uses Budget'!C105/Application!AG436</f>
        <v>465816.58461538464</v>
      </c>
      <c r="AD454" s="2514"/>
      <c r="AE454" s="2514"/>
      <c r="AF454" s="251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4">
        <f>('Sources and Uses Budget'!$S$107+'Sources and Uses Budget'!$T$107)/Application!AG436</f>
        <v>390650.56923076924</v>
      </c>
      <c r="AD455" s="2514"/>
      <c r="AE455" s="2514"/>
      <c r="AF455" s="251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8"/>
      <c r="C458" s="718"/>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504" t="s">
        <v>731</v>
      </c>
      <c r="E464" s="2505"/>
      <c r="F464" s="2505"/>
      <c r="G464" s="2505"/>
      <c r="H464" s="2505"/>
      <c r="I464" s="2505"/>
      <c r="J464" s="2505"/>
      <c r="K464" s="2505"/>
      <c r="L464" s="2505"/>
      <c r="M464" s="2505"/>
      <c r="N464" s="2505"/>
      <c r="O464" s="2505"/>
      <c r="P464" s="2505"/>
      <c r="Q464" s="2505"/>
      <c r="R464" s="2505"/>
      <c r="S464" s="2505"/>
      <c r="T464" s="2505"/>
      <c r="U464" s="2505"/>
      <c r="V464" s="2506"/>
      <c r="W464" s="2499">
        <v>21</v>
      </c>
      <c r="X464" s="2500"/>
      <c r="Y464" s="250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504" t="s">
        <v>732</v>
      </c>
      <c r="E465" s="2505"/>
      <c r="F465" s="2505"/>
      <c r="G465" s="2505"/>
      <c r="H465" s="2505"/>
      <c r="I465" s="2505"/>
      <c r="J465" s="2505"/>
      <c r="K465" s="2505"/>
      <c r="L465" s="2505"/>
      <c r="M465" s="2505"/>
      <c r="N465" s="2505"/>
      <c r="O465" s="2505"/>
      <c r="P465" s="2505"/>
      <c r="Q465" s="2505"/>
      <c r="R465" s="2505"/>
      <c r="S465" s="2505"/>
      <c r="T465" s="2505"/>
      <c r="U465" s="2505"/>
      <c r="V465" s="2506"/>
      <c r="W465" s="2499">
        <v>0</v>
      </c>
      <c r="X465" s="2500"/>
      <c r="Y465" s="250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504" t="s">
        <v>733</v>
      </c>
      <c r="E466" s="2505"/>
      <c r="F466" s="2505"/>
      <c r="G466" s="2505"/>
      <c r="H466" s="2505"/>
      <c r="I466" s="2505"/>
      <c r="J466" s="2505"/>
      <c r="K466" s="2505"/>
      <c r="L466" s="2505"/>
      <c r="M466" s="2505"/>
      <c r="N466" s="2505"/>
      <c r="O466" s="2505"/>
      <c r="P466" s="2505"/>
      <c r="Q466" s="2505"/>
      <c r="R466" s="2505"/>
      <c r="S466" s="2505"/>
      <c r="T466" s="2505"/>
      <c r="U466" s="2505"/>
      <c r="V466" s="2506"/>
      <c r="W466" s="2499">
        <v>21</v>
      </c>
      <c r="X466" s="2500"/>
      <c r="Y466" s="250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04" t="s">
        <v>734</v>
      </c>
      <c r="E467" s="2505"/>
      <c r="F467" s="2505"/>
      <c r="G467" s="2505"/>
      <c r="H467" s="2505"/>
      <c r="I467" s="2505"/>
      <c r="J467" s="2505"/>
      <c r="K467" s="2505"/>
      <c r="L467" s="2505"/>
      <c r="M467" s="2505"/>
      <c r="N467" s="2505"/>
      <c r="O467" s="2505"/>
      <c r="P467" s="2505"/>
      <c r="Q467" s="2505"/>
      <c r="R467" s="2505"/>
      <c r="S467" s="2505"/>
      <c r="T467" s="2505"/>
      <c r="U467" s="2505"/>
      <c r="V467" s="2506"/>
      <c r="W467" s="2499">
        <v>0</v>
      </c>
      <c r="X467" s="2500"/>
      <c r="Y467" s="250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04" t="s">
        <v>946</v>
      </c>
      <c r="E468" s="2505"/>
      <c r="F468" s="2505"/>
      <c r="G468" s="2505"/>
      <c r="H468" s="2505"/>
      <c r="I468" s="2505"/>
      <c r="J468" s="2505"/>
      <c r="K468" s="2505"/>
      <c r="L468" s="2505"/>
      <c r="M468" s="2505"/>
      <c r="N468" s="2505"/>
      <c r="O468" s="2505"/>
      <c r="P468" s="2505"/>
      <c r="Q468" s="2505"/>
      <c r="R468" s="2505"/>
      <c r="S468" s="2505"/>
      <c r="T468" s="2505"/>
      <c r="U468" s="2505"/>
      <c r="V468" s="2506"/>
      <c r="W468" s="2499">
        <v>0</v>
      </c>
      <c r="X468" s="2500"/>
      <c r="Y468" s="250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504" t="s">
        <v>735</v>
      </c>
      <c r="E469" s="2505"/>
      <c r="F469" s="2505"/>
      <c r="G469" s="2505"/>
      <c r="H469" s="2505"/>
      <c r="I469" s="2505"/>
      <c r="J469" s="2505"/>
      <c r="K469" s="2505"/>
      <c r="L469" s="2505"/>
      <c r="M469" s="2505"/>
      <c r="N469" s="2505"/>
      <c r="O469" s="2505"/>
      <c r="P469" s="2505"/>
      <c r="Q469" s="2505"/>
      <c r="R469" s="2505"/>
      <c r="S469" s="2505"/>
      <c r="T469" s="2505"/>
      <c r="U469" s="2505"/>
      <c r="V469" s="2506"/>
      <c r="W469" s="2499">
        <v>0</v>
      </c>
      <c r="X469" s="2500"/>
      <c r="Y469" s="250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504" t="s">
        <v>1119</v>
      </c>
      <c r="E470" s="2505"/>
      <c r="F470" s="2505"/>
      <c r="G470" s="2505"/>
      <c r="H470" s="2505"/>
      <c r="I470" s="2505"/>
      <c r="J470" s="2505"/>
      <c r="K470" s="2505"/>
      <c r="L470" s="2505"/>
      <c r="M470" s="2505"/>
      <c r="N470" s="2505"/>
      <c r="O470" s="2505"/>
      <c r="P470" s="2505"/>
      <c r="Q470" s="2505"/>
      <c r="R470" s="2505"/>
      <c r="S470" s="2505"/>
      <c r="T470" s="2505"/>
      <c r="U470" s="2505"/>
      <c r="V470" s="2506"/>
      <c r="W470" s="2499">
        <v>0</v>
      </c>
      <c r="X470" s="2500"/>
      <c r="Y470" s="250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77" t="s">
        <v>2008</v>
      </c>
      <c r="E471" s="2505"/>
      <c r="F471" s="2505"/>
      <c r="G471" s="2505"/>
      <c r="H471" s="2505"/>
      <c r="I471" s="2505"/>
      <c r="J471" s="2505"/>
      <c r="K471" s="2505"/>
      <c r="L471" s="2505"/>
      <c r="M471" s="2505"/>
      <c r="N471" s="2505"/>
      <c r="O471" s="2505"/>
      <c r="P471" s="2505"/>
      <c r="Q471" s="2505"/>
      <c r="R471" s="2505"/>
      <c r="S471" s="2505"/>
      <c r="T471" s="2505"/>
      <c r="U471" s="2505"/>
      <c r="V471" s="2506"/>
      <c r="W471" s="2499">
        <v>0</v>
      </c>
      <c r="X471" s="2500"/>
      <c r="Y471" s="250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74"/>
      <c r="H472" s="2575"/>
      <c r="I472" s="2575"/>
      <c r="J472" s="2575"/>
      <c r="K472" s="2575"/>
      <c r="L472" s="2575"/>
      <c r="M472" s="2575"/>
      <c r="N472" s="2575"/>
      <c r="O472" s="2575"/>
      <c r="P472" s="2575"/>
      <c r="Q472" s="2575"/>
      <c r="R472" s="2575"/>
      <c r="S472" s="2575"/>
      <c r="T472" s="2575"/>
      <c r="U472" s="2575"/>
      <c r="V472" s="2576"/>
      <c r="W472" s="2499">
        <v>0</v>
      </c>
      <c r="X472" s="2500"/>
      <c r="Y472" s="250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1862" t="s">
        <v>2603</v>
      </c>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4" t="s">
        <v>2604</v>
      </c>
      <c r="E475" s="1483"/>
      <c r="F475" s="1483"/>
      <c r="G475" s="1483"/>
      <c r="H475" s="1483"/>
      <c r="I475" s="1483"/>
      <c r="J475" s="1483"/>
      <c r="K475" s="1483"/>
      <c r="L475" s="1483"/>
      <c r="M475" s="1483"/>
      <c r="N475" s="1483"/>
      <c r="O475" s="1483"/>
      <c r="P475" s="1483"/>
      <c r="Q475" s="1483"/>
      <c r="R475" s="1483"/>
      <c r="S475" s="1483"/>
      <c r="T475" s="1483"/>
      <c r="U475" s="1483"/>
      <c r="V475" s="1483"/>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92" t="s">
        <v>869</v>
      </c>
      <c r="B478" s="2392"/>
      <c r="C478" s="2392"/>
      <c r="D478" s="2392"/>
      <c r="E478" s="2392"/>
      <c r="F478" s="2392"/>
      <c r="G478" s="2392"/>
      <c r="H478" s="2392"/>
      <c r="I478" s="2392"/>
      <c r="J478" s="2392"/>
      <c r="K478" s="2392"/>
      <c r="L478" s="2392"/>
      <c r="M478" s="2392"/>
      <c r="N478" s="2392"/>
      <c r="O478" s="2392"/>
      <c r="P478" s="2392"/>
      <c r="Q478" s="2392"/>
      <c r="R478" s="2392"/>
      <c r="S478" s="2392"/>
      <c r="T478" s="2392"/>
      <c r="U478" s="2392"/>
      <c r="V478" s="2392"/>
      <c r="W478" s="2392"/>
      <c r="X478" s="2392"/>
      <c r="Y478" s="2392"/>
      <c r="Z478" s="2392"/>
      <c r="AA478" s="2392"/>
      <c r="AB478" s="2392"/>
      <c r="AC478" s="2392"/>
      <c r="AD478" s="2392"/>
      <c r="AE478" s="2392"/>
      <c r="AF478" s="2392"/>
      <c r="AG478" s="2392"/>
      <c r="AH478" s="2392"/>
      <c r="AI478" s="2392"/>
      <c r="AJ478" s="2392"/>
      <c r="AK478" s="2392"/>
      <c r="AL478" s="239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93"/>
      <c r="B479" s="2393"/>
      <c r="C479" s="2393"/>
      <c r="D479" s="2393"/>
      <c r="E479" s="2393"/>
      <c r="F479" s="2393"/>
      <c r="G479" s="2393"/>
      <c r="H479" s="2393"/>
      <c r="I479" s="2393"/>
      <c r="J479" s="2393"/>
      <c r="K479" s="2393"/>
      <c r="L479" s="2393"/>
      <c r="M479" s="2393"/>
      <c r="N479" s="2393"/>
      <c r="O479" s="2393"/>
      <c r="P479" s="2393"/>
      <c r="Q479" s="2393"/>
      <c r="R479" s="2393"/>
      <c r="S479" s="2393"/>
      <c r="T479" s="2393"/>
      <c r="U479" s="2393"/>
      <c r="V479" s="2393"/>
      <c r="W479" s="2393"/>
      <c r="X479" s="2393"/>
      <c r="Y479" s="2393"/>
      <c r="Z479" s="2393"/>
      <c r="AA479" s="2393"/>
      <c r="AB479" s="2393"/>
      <c r="AC479" s="2393"/>
      <c r="AD479" s="2393"/>
      <c r="AE479" s="2393"/>
      <c r="AF479" s="2393"/>
      <c r="AG479" s="2393"/>
      <c r="AH479" s="2393"/>
      <c r="AI479" s="2393"/>
      <c r="AJ479" s="2393"/>
      <c r="AK479" s="2393"/>
      <c r="AL479" s="239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3"/>
      <c r="C483" s="503"/>
      <c r="D483" s="503"/>
      <c r="E483" s="868"/>
      <c r="F483" s="869"/>
      <c r="G483" s="869"/>
      <c r="H483" s="869"/>
      <c r="I483" s="869"/>
      <c r="J483" s="869"/>
      <c r="K483" s="869"/>
      <c r="L483" s="869"/>
      <c r="M483" s="869"/>
      <c r="N483" s="869"/>
      <c r="O483" s="869"/>
      <c r="P483" s="869"/>
      <c r="Q483" s="869"/>
      <c r="R483" s="869"/>
      <c r="S483" s="870"/>
      <c r="T483" s="2502" t="s">
        <v>870</v>
      </c>
      <c r="U483" s="2503"/>
      <c r="V483" s="2503"/>
      <c r="W483" s="2503"/>
      <c r="X483" s="2503"/>
      <c r="Y483" s="2503"/>
      <c r="Z483" s="2503"/>
      <c r="AA483" s="2503"/>
      <c r="AB483" s="2503"/>
      <c r="AC483" s="2503"/>
      <c r="AD483" s="2503"/>
      <c r="AE483" s="2503"/>
      <c r="AF483" s="2503"/>
      <c r="AG483" s="2503"/>
      <c r="AH483" s="255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1"/>
      <c r="F484" s="680"/>
      <c r="G484" s="680"/>
      <c r="H484" s="680"/>
      <c r="I484" s="680"/>
      <c r="J484" s="680"/>
      <c r="K484" s="680"/>
      <c r="L484" s="680"/>
      <c r="M484" s="680"/>
      <c r="N484" s="680"/>
      <c r="O484" s="680"/>
      <c r="P484" s="680"/>
      <c r="Q484" s="680"/>
      <c r="R484" s="680"/>
      <c r="S484" s="872"/>
      <c r="T484" s="2526" t="s">
        <v>36</v>
      </c>
      <c r="U484" s="2526"/>
      <c r="V484" s="2526"/>
      <c r="W484" s="2526"/>
      <c r="X484" s="2526"/>
      <c r="Y484" s="2526" t="s">
        <v>37</v>
      </c>
      <c r="Z484" s="2526"/>
      <c r="AA484" s="2526"/>
      <c r="AB484" s="2526"/>
      <c r="AC484" s="2526"/>
      <c r="AD484" s="2526" t="s">
        <v>348</v>
      </c>
      <c r="AE484" s="2526"/>
      <c r="AF484" s="2526"/>
      <c r="AG484" s="2526"/>
      <c r="AH484" s="252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3"/>
      <c r="F485" s="874"/>
      <c r="G485" s="874"/>
      <c r="H485" s="874"/>
      <c r="I485" s="874"/>
      <c r="J485" s="874"/>
      <c r="K485" s="874"/>
      <c r="L485" s="874"/>
      <c r="M485" s="874"/>
      <c r="N485" s="874"/>
      <c r="O485" s="874"/>
      <c r="P485" s="874"/>
      <c r="Q485" s="874"/>
      <c r="R485" s="874"/>
      <c r="S485" s="875"/>
      <c r="T485" s="2526"/>
      <c r="U485" s="2526"/>
      <c r="V485" s="2526"/>
      <c r="W485" s="2526"/>
      <c r="X485" s="2526"/>
      <c r="Y485" s="2526"/>
      <c r="Z485" s="2526"/>
      <c r="AA485" s="2526"/>
      <c r="AB485" s="2526"/>
      <c r="AC485" s="2526"/>
      <c r="AD485" s="2526"/>
      <c r="AE485" s="2526"/>
      <c r="AF485" s="2526"/>
      <c r="AG485" s="2526"/>
      <c r="AH485" s="252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55">
        <v>0</v>
      </c>
      <c r="U486" s="2455"/>
      <c r="V486" s="2455"/>
      <c r="W486" s="2455"/>
      <c r="X486" s="2455"/>
      <c r="Y486" s="2455">
        <v>0</v>
      </c>
      <c r="Z486" s="2455"/>
      <c r="AA486" s="2455"/>
      <c r="AB486" s="2455"/>
      <c r="AC486" s="2455"/>
      <c r="AD486" s="2455">
        <v>44166</v>
      </c>
      <c r="AE486" s="2455"/>
      <c r="AF486" s="2455"/>
      <c r="AG486" s="2455"/>
      <c r="AH486" s="245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55">
        <v>0</v>
      </c>
      <c r="U487" s="2455"/>
      <c r="V487" s="2455"/>
      <c r="W487" s="2455"/>
      <c r="X487" s="2455"/>
      <c r="Y487" s="2455">
        <v>0</v>
      </c>
      <c r="Z487" s="2455"/>
      <c r="AA487" s="2455"/>
      <c r="AB487" s="2455"/>
      <c r="AC487" s="2455"/>
      <c r="AD487" s="2455">
        <v>44208</v>
      </c>
      <c r="AE487" s="2455"/>
      <c r="AF487" s="2455"/>
      <c r="AG487" s="2455"/>
      <c r="AH487" s="245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55">
        <v>0</v>
      </c>
      <c r="U488" s="2455"/>
      <c r="V488" s="2455"/>
      <c r="W488" s="2455"/>
      <c r="X488" s="2455"/>
      <c r="Y488" s="2455">
        <v>0</v>
      </c>
      <c r="Z488" s="2455"/>
      <c r="AA488" s="2455"/>
      <c r="AB488" s="2455"/>
      <c r="AC488" s="2455"/>
      <c r="AD488" s="2455">
        <v>0</v>
      </c>
      <c r="AE488" s="2455"/>
      <c r="AF488" s="2455"/>
      <c r="AG488" s="2455"/>
      <c r="AH488" s="245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55">
        <v>0</v>
      </c>
      <c r="U489" s="2455"/>
      <c r="V489" s="2455"/>
      <c r="W489" s="2455"/>
      <c r="X489" s="2455"/>
      <c r="Y489" s="2455">
        <v>0</v>
      </c>
      <c r="Z489" s="2455"/>
      <c r="AA489" s="2455"/>
      <c r="AB489" s="2455"/>
      <c r="AC489" s="2455"/>
      <c r="AD489" s="2455">
        <v>0</v>
      </c>
      <c r="AE489" s="2455"/>
      <c r="AF489" s="2455"/>
      <c r="AG489" s="2455"/>
      <c r="AH489" s="245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55">
        <v>0</v>
      </c>
      <c r="U490" s="2455"/>
      <c r="V490" s="2455"/>
      <c r="W490" s="2455"/>
      <c r="X490" s="2455"/>
      <c r="Y490" s="2455">
        <v>0</v>
      </c>
      <c r="Z490" s="2455"/>
      <c r="AA490" s="2455"/>
      <c r="AB490" s="2455"/>
      <c r="AC490" s="2455"/>
      <c r="AD490" s="2455">
        <v>0</v>
      </c>
      <c r="AE490" s="2455"/>
      <c r="AF490" s="2455"/>
      <c r="AG490" s="2455"/>
      <c r="AH490" s="245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55">
        <v>0</v>
      </c>
      <c r="U491" s="2455"/>
      <c r="V491" s="2455"/>
      <c r="W491" s="2455"/>
      <c r="X491" s="2455"/>
      <c r="Y491" s="2455">
        <v>0</v>
      </c>
      <c r="Z491" s="2455"/>
      <c r="AA491" s="2455"/>
      <c r="AB491" s="2455"/>
      <c r="AC491" s="2455"/>
      <c r="AD491" s="2455">
        <v>0</v>
      </c>
      <c r="AE491" s="2455"/>
      <c r="AF491" s="2455"/>
      <c r="AG491" s="2455"/>
      <c r="AH491" s="2455"/>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55">
        <v>0</v>
      </c>
      <c r="U492" s="2455"/>
      <c r="V492" s="2455"/>
      <c r="W492" s="2455"/>
      <c r="X492" s="2455"/>
      <c r="Y492" s="2455">
        <v>0</v>
      </c>
      <c r="Z492" s="2455"/>
      <c r="AA492" s="2455"/>
      <c r="AB492" s="2455"/>
      <c r="AC492" s="2455"/>
      <c r="AD492" s="2455">
        <v>44166</v>
      </c>
      <c r="AE492" s="2455"/>
      <c r="AF492" s="2455"/>
      <c r="AG492" s="2455"/>
      <c r="AH492" s="2455"/>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55">
        <v>0</v>
      </c>
      <c r="U493" s="2455"/>
      <c r="V493" s="2455"/>
      <c r="W493" s="2455"/>
      <c r="X493" s="2455"/>
      <c r="Y493" s="2455">
        <v>0</v>
      </c>
      <c r="Z493" s="2455"/>
      <c r="AA493" s="2455"/>
      <c r="AB493" s="2455"/>
      <c r="AC493" s="2455"/>
      <c r="AD493" s="2455">
        <v>0</v>
      </c>
      <c r="AE493" s="2455"/>
      <c r="AF493" s="2455"/>
      <c r="AG493" s="2455"/>
      <c r="AH493" s="245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55">
        <v>0</v>
      </c>
      <c r="U494" s="2455"/>
      <c r="V494" s="2455"/>
      <c r="W494" s="2455"/>
      <c r="X494" s="2455"/>
      <c r="Y494" s="2455">
        <v>0</v>
      </c>
      <c r="Z494" s="2455"/>
      <c r="AA494" s="2455"/>
      <c r="AB494" s="2455"/>
      <c r="AC494" s="2455"/>
      <c r="AD494" s="2455">
        <v>0</v>
      </c>
      <c r="AE494" s="2455"/>
      <c r="AF494" s="2455"/>
      <c r="AG494" s="2455"/>
      <c r="AH494" s="245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455">
        <v>0</v>
      </c>
      <c r="U495" s="2455"/>
      <c r="V495" s="2455"/>
      <c r="W495" s="2455"/>
      <c r="X495" s="2455"/>
      <c r="Y495" s="2455">
        <v>0</v>
      </c>
      <c r="Z495" s="2455"/>
      <c r="AA495" s="2455"/>
      <c r="AB495" s="2455"/>
      <c r="AC495" s="2455"/>
      <c r="AD495" s="2455">
        <v>44166</v>
      </c>
      <c r="AE495" s="2455"/>
      <c r="AF495" s="2455"/>
      <c r="AG495" s="2455"/>
      <c r="AH495" s="245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35" t="s">
        <v>414</v>
      </c>
      <c r="R497" s="2536"/>
      <c r="S497" s="2536"/>
      <c r="T497" s="2536"/>
      <c r="U497" s="2536"/>
      <c r="V497" s="2536"/>
      <c r="W497" s="2536"/>
      <c r="X497" s="2536"/>
      <c r="Y497" s="2536"/>
      <c r="Z497" s="2536"/>
      <c r="AA497" s="2536"/>
      <c r="AB497" s="2536"/>
      <c r="AC497" s="2536"/>
      <c r="AD497" s="2536"/>
      <c r="AE497" s="2536"/>
      <c r="AF497" s="2536"/>
      <c r="AG497" s="2536"/>
      <c r="AH497" s="2536"/>
      <c r="AI497" s="2536"/>
      <c r="AJ497" s="2536"/>
      <c r="AK497" s="253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401" t="s">
        <v>2689</v>
      </c>
      <c r="R498" s="2272"/>
      <c r="S498" s="2272"/>
      <c r="T498" s="2272"/>
      <c r="U498" s="2272"/>
      <c r="V498" s="2272"/>
      <c r="W498" s="2272"/>
      <c r="X498" s="2272"/>
      <c r="Y498" s="2272"/>
      <c r="Z498" s="2272"/>
      <c r="AA498" s="2272"/>
      <c r="AB498" s="2272"/>
      <c r="AC498" s="2272"/>
      <c r="AD498" s="2272"/>
      <c r="AE498" s="2272"/>
      <c r="AF498" s="2272"/>
      <c r="AG498" s="2272"/>
      <c r="AH498" s="2272"/>
      <c r="AI498" s="2272"/>
      <c r="AJ498" s="2272"/>
      <c r="AK498" s="240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401" t="s">
        <v>2605</v>
      </c>
      <c r="R499" s="2272"/>
      <c r="S499" s="2272"/>
      <c r="T499" s="2272"/>
      <c r="U499" s="2272"/>
      <c r="V499" s="2272"/>
      <c r="W499" s="2272"/>
      <c r="X499" s="2272"/>
      <c r="Y499" s="2272"/>
      <c r="Z499" s="2272"/>
      <c r="AA499" s="2272"/>
      <c r="AB499" s="2272"/>
      <c r="AC499" s="2272"/>
      <c r="AD499" s="2272"/>
      <c r="AE499" s="2272"/>
      <c r="AF499" s="2272"/>
      <c r="AG499" s="2272"/>
      <c r="AH499" s="2272"/>
      <c r="AI499" s="2272"/>
      <c r="AJ499" s="2272"/>
      <c r="AK499" s="2402"/>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1862" t="s">
        <v>2605</v>
      </c>
      <c r="R500" s="1861"/>
      <c r="S500" s="1861"/>
      <c r="T500" s="1861"/>
      <c r="U500" s="1861"/>
      <c r="V500" s="1861"/>
      <c r="W500" s="1861"/>
      <c r="X500" s="1861"/>
      <c r="Y500" s="1861"/>
      <c r="Z500" s="1861"/>
      <c r="AA500" s="1861"/>
      <c r="AB500" s="1861"/>
      <c r="AC500" s="1861"/>
      <c r="AD500" s="1861"/>
      <c r="AE500" s="1861"/>
      <c r="AF500" s="1861"/>
      <c r="AG500" s="1861"/>
      <c r="AH500" s="1861"/>
      <c r="AI500" s="1861"/>
      <c r="AJ500" s="1861"/>
      <c r="AK500" s="186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27" t="s">
        <v>418</v>
      </c>
      <c r="C501" s="2528"/>
      <c r="D501" s="2528"/>
      <c r="E501" s="2528"/>
      <c r="F501" s="2528"/>
      <c r="G501" s="2528"/>
      <c r="H501" s="2528"/>
      <c r="I501" s="2528"/>
      <c r="J501" s="2528"/>
      <c r="K501" s="2528"/>
      <c r="L501" s="2528"/>
      <c r="M501" s="2528"/>
      <c r="N501" s="2528"/>
      <c r="O501" s="2528"/>
      <c r="P501" s="2529"/>
      <c r="Q501" s="2552" t="s">
        <v>706</v>
      </c>
      <c r="R501" s="2553"/>
      <c r="S501" s="2277" t="s">
        <v>171</v>
      </c>
      <c r="T501" s="2278"/>
      <c r="U501" s="2278"/>
      <c r="V501" s="2278"/>
      <c r="W501" s="2278"/>
      <c r="X501" s="2278"/>
      <c r="Y501" s="2278"/>
      <c r="Z501" s="2278"/>
      <c r="AA501" s="2278"/>
      <c r="AB501" s="2278"/>
      <c r="AC501" s="2278"/>
      <c r="AD501" s="2278"/>
      <c r="AE501" s="2278"/>
      <c r="AF501" s="2278"/>
      <c r="AG501" s="2278"/>
      <c r="AH501" s="2278"/>
      <c r="AI501" s="2278"/>
      <c r="AJ501" s="2278"/>
      <c r="AK501" s="227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30"/>
      <c r="C502" s="2531"/>
      <c r="D502" s="2531"/>
      <c r="E502" s="2531"/>
      <c r="F502" s="2531"/>
      <c r="G502" s="2531"/>
      <c r="H502" s="2531"/>
      <c r="I502" s="2531"/>
      <c r="J502" s="2531"/>
      <c r="K502" s="2531"/>
      <c r="L502" s="2531"/>
      <c r="M502" s="2531"/>
      <c r="N502" s="2531"/>
      <c r="O502" s="2531"/>
      <c r="P502" s="2532"/>
      <c r="Q502" s="2554"/>
      <c r="R502" s="2555"/>
      <c r="S502" s="2280"/>
      <c r="T502" s="2281"/>
      <c r="U502" s="2281"/>
      <c r="V502" s="2281"/>
      <c r="W502" s="2281"/>
      <c r="X502" s="2281"/>
      <c r="Y502" s="2281"/>
      <c r="Z502" s="2281"/>
      <c r="AA502" s="2281"/>
      <c r="AB502" s="2281"/>
      <c r="AC502" s="2281"/>
      <c r="AD502" s="2281"/>
      <c r="AE502" s="2281"/>
      <c r="AF502" s="2281"/>
      <c r="AG502" s="2281"/>
      <c r="AH502" s="2281"/>
      <c r="AI502" s="2281"/>
      <c r="AJ502" s="2281"/>
      <c r="AK502" s="228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4" customHeight="1">
      <c r="B503" s="1522" t="s">
        <v>2028</v>
      </c>
      <c r="C503" s="1490"/>
      <c r="D503" s="1490"/>
      <c r="E503" s="1490"/>
      <c r="F503" s="1490"/>
      <c r="G503" s="1490"/>
      <c r="H503" s="1490"/>
      <c r="I503" s="1490"/>
      <c r="J503" s="1490"/>
      <c r="K503" s="1490"/>
      <c r="L503" s="1490"/>
      <c r="M503" s="1490"/>
      <c r="N503" s="1490"/>
      <c r="O503" s="1490"/>
      <c r="P503" s="1490"/>
      <c r="Q503" s="2558"/>
      <c r="R503" s="2559"/>
      <c r="S503" s="2559"/>
      <c r="T503" s="2559"/>
      <c r="U503" s="2559"/>
      <c r="V503" s="2559"/>
      <c r="W503" s="2559"/>
      <c r="X503" s="2559"/>
      <c r="Y503" s="2559"/>
      <c r="Z503" s="2559"/>
      <c r="AA503" s="2559"/>
      <c r="AB503" s="2559"/>
      <c r="AC503" s="2559"/>
      <c r="AD503" s="2559"/>
      <c r="AE503" s="2559"/>
      <c r="AF503" s="2559"/>
      <c r="AG503" s="2559"/>
      <c r="AH503" s="2559"/>
      <c r="AI503" s="2559"/>
      <c r="AJ503" s="2559"/>
      <c r="AK503" s="256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456" t="s">
        <v>2690</v>
      </c>
      <c r="R504" s="2344"/>
      <c r="S504" s="2344"/>
      <c r="T504" s="2344"/>
      <c r="U504" s="2344"/>
      <c r="V504" s="2344"/>
      <c r="W504" s="2344"/>
      <c r="X504" s="2344"/>
      <c r="Y504" s="2344"/>
      <c r="Z504" s="2344"/>
      <c r="AA504" s="2344"/>
      <c r="AB504" s="2344"/>
      <c r="AC504" s="2344"/>
      <c r="AD504" s="2344"/>
      <c r="AE504" s="2344"/>
      <c r="AF504" s="2344"/>
      <c r="AG504" s="2344"/>
      <c r="AH504" s="2344"/>
      <c r="AI504" s="2344"/>
      <c r="AJ504" s="2344"/>
      <c r="AK504" s="234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401" t="s">
        <v>2691</v>
      </c>
      <c r="R505" s="2272"/>
      <c r="S505" s="2272"/>
      <c r="T505" s="2272"/>
      <c r="U505" s="2272"/>
      <c r="V505" s="2272"/>
      <c r="W505" s="2272"/>
      <c r="X505" s="2272"/>
      <c r="Y505" s="2272"/>
      <c r="Z505" s="2272"/>
      <c r="AA505" s="2272"/>
      <c r="AB505" s="2272"/>
      <c r="AC505" s="2272"/>
      <c r="AD505" s="2272"/>
      <c r="AE505" s="2272"/>
      <c r="AF505" s="2272"/>
      <c r="AG505" s="2272"/>
      <c r="AH505" s="2272"/>
      <c r="AI505" s="2272"/>
      <c r="AJ505" s="2272"/>
      <c r="AK505" s="240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401">
        <v>45</v>
      </c>
      <c r="R506" s="2272"/>
      <c r="S506" s="2272"/>
      <c r="T506" s="2272"/>
      <c r="U506" s="2272"/>
      <c r="V506" s="2272"/>
      <c r="W506" s="2272"/>
      <c r="X506" s="2272"/>
      <c r="Y506" s="2272"/>
      <c r="Z506" s="2272"/>
      <c r="AA506" s="2272"/>
      <c r="AB506" s="2272"/>
      <c r="AC506" s="2272"/>
      <c r="AD506" s="2272"/>
      <c r="AE506" s="2272"/>
      <c r="AF506" s="2272"/>
      <c r="AG506" s="2272"/>
      <c r="AH506" s="2272"/>
      <c r="AI506" s="2272"/>
      <c r="AJ506" s="2272"/>
      <c r="AK506" s="240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75">
      <c r="B507" s="185" t="s">
        <v>2026</v>
      </c>
      <c r="C507" s="77"/>
      <c r="D507" s="77"/>
      <c r="E507" s="77"/>
      <c r="F507" s="77"/>
      <c r="G507" s="77"/>
      <c r="H507" s="77"/>
      <c r="I507" s="77"/>
      <c r="J507" s="77"/>
      <c r="K507" s="77"/>
      <c r="L507" s="77"/>
      <c r="M507" s="2063"/>
      <c r="N507" s="2064"/>
      <c r="O507" s="2064"/>
      <c r="P507" s="2065"/>
      <c r="Q507" s="1520" t="s">
        <v>2027</v>
      </c>
      <c r="R507" s="1521"/>
      <c r="S507" s="1521"/>
      <c r="T507" s="1521"/>
      <c r="U507" s="1521"/>
      <c r="V507" s="1521"/>
      <c r="W507" s="1521"/>
      <c r="X507" s="1521"/>
      <c r="Y507" s="1521"/>
      <c r="Z507" s="1521"/>
      <c r="AA507" s="1521"/>
      <c r="AB507" s="1521"/>
      <c r="AC507" s="1521"/>
      <c r="AD507" s="1521"/>
      <c r="AE507" s="1521"/>
      <c r="AF507" s="1521"/>
      <c r="AG507" s="1521"/>
      <c r="AH507" s="2063">
        <v>45</v>
      </c>
      <c r="AI507" s="2064"/>
      <c r="AJ507" s="2064"/>
      <c r="AK507" s="206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35" t="s">
        <v>422</v>
      </c>
      <c r="AD511" s="2536"/>
      <c r="AE511" s="2536"/>
      <c r="AF511" s="2536"/>
      <c r="AG511" s="2536"/>
      <c r="AH511" s="2536"/>
      <c r="AI511" s="2536"/>
      <c r="AJ511" s="2536"/>
      <c r="AK511" s="253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502" t="s">
        <v>423</v>
      </c>
      <c r="AD512" s="2503"/>
      <c r="AE512" s="2503"/>
      <c r="AF512" s="2503"/>
      <c r="AG512" s="82" t="s">
        <v>424</v>
      </c>
      <c r="AH512" s="2503" t="s">
        <v>425</v>
      </c>
      <c r="AI512" s="2503"/>
      <c r="AJ512" s="2503"/>
      <c r="AK512" s="255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43" t="s">
        <v>426</v>
      </c>
      <c r="C513" s="2444"/>
      <c r="D513" s="2444"/>
      <c r="E513" s="2444"/>
      <c r="F513" s="2444"/>
      <c r="G513" s="2444"/>
      <c r="H513" s="2445"/>
      <c r="I513" s="72" t="s">
        <v>427</v>
      </c>
      <c r="J513" s="72"/>
      <c r="K513" s="72"/>
      <c r="L513" s="72"/>
      <c r="M513" s="72"/>
      <c r="N513" s="72"/>
      <c r="O513" s="72"/>
      <c r="P513" s="72"/>
      <c r="Q513" s="72"/>
      <c r="R513" s="72"/>
      <c r="S513" s="72"/>
      <c r="T513" s="72"/>
      <c r="U513" s="72"/>
      <c r="V513" s="72"/>
      <c r="W513" s="72"/>
      <c r="X513" s="25"/>
      <c r="Y513" s="25"/>
      <c r="AC513" s="2522">
        <v>1</v>
      </c>
      <c r="AD513" s="2343"/>
      <c r="AE513" s="2343"/>
      <c r="AF513" s="2343"/>
      <c r="AG513" s="75" t="s">
        <v>424</v>
      </c>
      <c r="AH513" s="2341">
        <v>2020</v>
      </c>
      <c r="AI513" s="2341"/>
      <c r="AJ513" s="2341"/>
      <c r="AK513" s="237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46"/>
      <c r="C514" s="2447"/>
      <c r="D514" s="2447"/>
      <c r="E514" s="2447"/>
      <c r="F514" s="2447"/>
      <c r="G514" s="2447"/>
      <c r="H514" s="2448"/>
      <c r="I514" s="80" t="s">
        <v>428</v>
      </c>
      <c r="J514" s="80"/>
      <c r="K514" s="80"/>
      <c r="L514" s="80"/>
      <c r="M514" s="80"/>
      <c r="N514" s="80"/>
      <c r="O514" s="80"/>
      <c r="P514" s="80"/>
      <c r="Q514" s="80"/>
      <c r="R514" s="80"/>
      <c r="S514" s="80"/>
      <c r="T514" s="80"/>
      <c r="U514" s="80"/>
      <c r="V514" s="80"/>
      <c r="W514" s="80"/>
      <c r="X514" s="80"/>
      <c r="Y514" s="80"/>
      <c r="Z514" s="80"/>
      <c r="AA514" s="80"/>
      <c r="AB514" s="80"/>
      <c r="AC514" s="2522">
        <v>2</v>
      </c>
      <c r="AD514" s="2343"/>
      <c r="AE514" s="2343"/>
      <c r="AF514" s="2343"/>
      <c r="AG514" s="65" t="s">
        <v>424</v>
      </c>
      <c r="AH514" s="2341">
        <v>2022</v>
      </c>
      <c r="AI514" s="2341"/>
      <c r="AJ514" s="2341"/>
      <c r="AK514" s="237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43" t="s">
        <v>429</v>
      </c>
      <c r="C515" s="2444"/>
      <c r="D515" s="2444"/>
      <c r="E515" s="2444"/>
      <c r="F515" s="2444"/>
      <c r="G515" s="2444"/>
      <c r="H515" s="2445"/>
      <c r="I515" s="72" t="s">
        <v>430</v>
      </c>
      <c r="J515" s="72"/>
      <c r="K515" s="72"/>
      <c r="L515" s="72"/>
      <c r="M515" s="72"/>
      <c r="N515" s="72"/>
      <c r="O515" s="72"/>
      <c r="P515" s="72"/>
      <c r="Q515" s="72"/>
      <c r="R515" s="72"/>
      <c r="S515" s="72"/>
      <c r="T515" s="72"/>
      <c r="U515" s="72"/>
      <c r="V515" s="72"/>
      <c r="W515" s="72"/>
      <c r="X515" s="25"/>
      <c r="Y515" s="25"/>
      <c r="AC515" s="2522" t="s">
        <v>626</v>
      </c>
      <c r="AD515" s="2343"/>
      <c r="AE515" s="2343"/>
      <c r="AF515" s="2343"/>
      <c r="AG515" s="75" t="s">
        <v>424</v>
      </c>
      <c r="AH515" s="2341"/>
      <c r="AI515" s="2341"/>
      <c r="AJ515" s="2341"/>
      <c r="AK515" s="237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46"/>
      <c r="C516" s="2447"/>
      <c r="D516" s="2447"/>
      <c r="E516" s="2447"/>
      <c r="F516" s="2447"/>
      <c r="G516" s="2447"/>
      <c r="H516" s="2448"/>
      <c r="I516" s="25" t="s">
        <v>431</v>
      </c>
      <c r="J516" s="25"/>
      <c r="K516" s="25"/>
      <c r="L516" s="25"/>
      <c r="M516" s="25"/>
      <c r="N516" s="25"/>
      <c r="O516" s="25"/>
      <c r="P516" s="25"/>
      <c r="Q516" s="25"/>
      <c r="R516" s="25"/>
      <c r="S516" s="25"/>
      <c r="T516" s="25"/>
      <c r="U516" s="25"/>
      <c r="V516" s="25"/>
      <c r="W516" s="25"/>
      <c r="X516" s="25"/>
      <c r="Y516" s="25"/>
      <c r="AC516" s="2522" t="s">
        <v>626</v>
      </c>
      <c r="AD516" s="2343"/>
      <c r="AE516" s="2343"/>
      <c r="AF516" s="2343"/>
      <c r="AG516" s="75" t="s">
        <v>424</v>
      </c>
      <c r="AH516" s="2341"/>
      <c r="AI516" s="2341"/>
      <c r="AJ516" s="2341"/>
      <c r="AK516" s="237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46"/>
      <c r="C517" s="2447"/>
      <c r="D517" s="2447"/>
      <c r="E517" s="2447"/>
      <c r="F517" s="2447"/>
      <c r="G517" s="2447"/>
      <c r="H517" s="2448"/>
      <c r="I517" s="25" t="s">
        <v>432</v>
      </c>
      <c r="J517" s="25"/>
      <c r="K517" s="25"/>
      <c r="L517" s="25"/>
      <c r="M517" s="25"/>
      <c r="N517" s="25"/>
      <c r="O517" s="25"/>
      <c r="P517" s="25"/>
      <c r="Q517" s="25"/>
      <c r="R517" s="25"/>
      <c r="S517" s="25"/>
      <c r="T517" s="25"/>
      <c r="U517" s="25"/>
      <c r="V517" s="25"/>
      <c r="W517" s="25"/>
      <c r="X517" s="25"/>
      <c r="Y517" s="25"/>
      <c r="AC517" s="2522">
        <v>12</v>
      </c>
      <c r="AD517" s="2343"/>
      <c r="AE517" s="2343"/>
      <c r="AF517" s="2343"/>
      <c r="AG517" s="75" t="s">
        <v>424</v>
      </c>
      <c r="AH517" s="2341">
        <v>2020</v>
      </c>
      <c r="AI517" s="2341"/>
      <c r="AJ517" s="2341"/>
      <c r="AK517" s="237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446"/>
      <c r="C518" s="2447"/>
      <c r="D518" s="2447"/>
      <c r="E518" s="2447"/>
      <c r="F518" s="2447"/>
      <c r="G518" s="2447"/>
      <c r="H518" s="2448"/>
      <c r="I518" s="25" t="s">
        <v>433</v>
      </c>
      <c r="J518" s="25"/>
      <c r="K518" s="25"/>
      <c r="L518" s="25"/>
      <c r="M518" s="25"/>
      <c r="N518" s="25"/>
      <c r="O518" s="25"/>
      <c r="P518" s="25"/>
      <c r="Q518" s="25"/>
      <c r="R518" s="25"/>
      <c r="S518" s="25"/>
      <c r="T518" s="25"/>
      <c r="U518" s="25"/>
      <c r="V518" s="25"/>
      <c r="W518" s="25"/>
      <c r="X518" s="25"/>
      <c r="Y518" s="25"/>
      <c r="AC518" s="2522">
        <v>2</v>
      </c>
      <c r="AD518" s="2343"/>
      <c r="AE518" s="2343"/>
      <c r="AF518" s="2343"/>
      <c r="AG518" s="75" t="s">
        <v>424</v>
      </c>
      <c r="AH518" s="2341">
        <v>2022</v>
      </c>
      <c r="AI518" s="2341"/>
      <c r="AJ518" s="2341"/>
      <c r="AK518" s="237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46"/>
      <c r="C519" s="2447"/>
      <c r="D519" s="2447"/>
      <c r="E519" s="2447"/>
      <c r="F519" s="2447"/>
      <c r="G519" s="2447"/>
      <c r="H519" s="2448"/>
      <c r="I519" s="177" t="s">
        <v>434</v>
      </c>
      <c r="J519" s="25"/>
      <c r="K519" s="25"/>
      <c r="L519" s="25"/>
      <c r="M519" s="25"/>
      <c r="N519" s="25"/>
      <c r="O519" s="25"/>
      <c r="P519" s="25"/>
      <c r="Q519" s="25"/>
      <c r="R519" s="25"/>
      <c r="S519" s="25"/>
      <c r="T519" s="25"/>
      <c r="U519" s="25"/>
      <c r="V519" s="25"/>
      <c r="W519" s="25"/>
      <c r="X519" s="25"/>
      <c r="Y519" s="25"/>
      <c r="AC519" s="2230">
        <v>2</v>
      </c>
      <c r="AD519" s="2231"/>
      <c r="AE519" s="2231"/>
      <c r="AF519" s="2231"/>
      <c r="AG519" s="75" t="s">
        <v>424</v>
      </c>
      <c r="AH519" s="2341">
        <v>2022</v>
      </c>
      <c r="AI519" s="2341"/>
      <c r="AJ519" s="2341"/>
      <c r="AK519" s="237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46"/>
      <c r="C520" s="2447"/>
      <c r="D520" s="2447"/>
      <c r="E520" s="2447"/>
      <c r="F520" s="2447"/>
      <c r="G520" s="2447"/>
      <c r="H520" s="2448"/>
      <c r="I520" s="1523" t="s">
        <v>175</v>
      </c>
      <c r="J520" s="80"/>
      <c r="K520" s="80"/>
      <c r="L520" s="2452" t="s">
        <v>343</v>
      </c>
      <c r="M520" s="2453"/>
      <c r="N520" s="2453"/>
      <c r="O520" s="2453"/>
      <c r="P520" s="2453"/>
      <c r="Q520" s="2453"/>
      <c r="R520" s="2453"/>
      <c r="S520" s="2453"/>
      <c r="T520" s="2453"/>
      <c r="U520" s="2453"/>
      <c r="V520" s="2453"/>
      <c r="W520" s="2453"/>
      <c r="X520" s="2453"/>
      <c r="Y520" s="2453"/>
      <c r="Z520" s="2453"/>
      <c r="AA520" s="2453"/>
      <c r="AB520" s="2454"/>
      <c r="AC520" s="2522" t="s">
        <v>626</v>
      </c>
      <c r="AD520" s="2343"/>
      <c r="AE520" s="2343"/>
      <c r="AF520" s="2343"/>
      <c r="AG520" s="1494" t="s">
        <v>424</v>
      </c>
      <c r="AH520" s="2341"/>
      <c r="AI520" s="2341"/>
      <c r="AJ520" s="2341"/>
      <c r="AK520" s="237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5"/>
      <c r="C521" s="1486"/>
      <c r="D521" s="1486"/>
      <c r="E521" s="1486"/>
      <c r="F521" s="1486"/>
      <c r="G521" s="1486"/>
      <c r="H521" s="1487"/>
      <c r="I521" s="240" t="s">
        <v>2032</v>
      </c>
      <c r="J521" s="25"/>
      <c r="K521" s="25"/>
      <c r="L521" s="25"/>
      <c r="M521" s="25"/>
      <c r="N521" s="25"/>
      <c r="O521" s="25"/>
      <c r="P521" s="25"/>
      <c r="Q521" s="25"/>
      <c r="R521" s="25"/>
      <c r="S521" s="25"/>
      <c r="T521" s="25"/>
      <c r="U521" s="25"/>
      <c r="V521" s="25"/>
      <c r="W521" s="25"/>
      <c r="X521" s="25"/>
      <c r="Y521" s="25"/>
      <c r="AC521" s="2534" t="s">
        <v>1384</v>
      </c>
      <c r="AD521" s="2534"/>
      <c r="AE521" s="2534"/>
      <c r="AF521" s="2534"/>
      <c r="AG521" s="1786"/>
      <c r="AH521" s="2561"/>
      <c r="AI521" s="2561"/>
      <c r="AJ521" s="2561"/>
      <c r="AK521" s="256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2.75">
      <c r="B522" s="1485"/>
      <c r="C522" s="1486"/>
      <c r="D522" s="1486"/>
      <c r="E522" s="1486"/>
      <c r="F522" s="1486"/>
      <c r="G522" s="1486"/>
      <c r="H522" s="1487"/>
      <c r="I522" s="686" t="s">
        <v>2029</v>
      </c>
      <c r="J522" s="25"/>
      <c r="K522" s="25"/>
      <c r="L522" s="25"/>
      <c r="M522" s="25"/>
      <c r="N522" s="25"/>
      <c r="O522" s="25"/>
      <c r="P522" s="25"/>
      <c r="Q522" s="25"/>
      <c r="R522" s="25"/>
      <c r="S522" s="25"/>
      <c r="T522" s="25"/>
      <c r="U522" s="25"/>
      <c r="V522" s="25"/>
      <c r="W522" s="25"/>
      <c r="X522" s="25"/>
      <c r="Y522" s="25"/>
      <c r="AC522" s="2230"/>
      <c r="AD522" s="2231"/>
      <c r="AE522" s="2231"/>
      <c r="AF522" s="2232"/>
      <c r="AG522" s="1786"/>
      <c r="AH522" s="2561"/>
      <c r="AI522" s="2561"/>
      <c r="AJ522" s="2561"/>
      <c r="AK522" s="256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2.75">
      <c r="B523" s="1485"/>
      <c r="C523" s="1486"/>
      <c r="D523" s="1486"/>
      <c r="E523" s="1486"/>
      <c r="F523" s="1486"/>
      <c r="G523" s="1486"/>
      <c r="H523" s="1487"/>
      <c r="I523" s="686" t="s">
        <v>2030</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2.75">
      <c r="B524" s="1485"/>
      <c r="C524" s="1486"/>
      <c r="D524" s="1486"/>
      <c r="E524" s="1486"/>
      <c r="F524" s="1486"/>
      <c r="G524" s="1486"/>
      <c r="H524" s="1487"/>
      <c r="I524" s="1524" t="s">
        <v>2031</v>
      </c>
      <c r="J524" s="80"/>
      <c r="K524" s="80"/>
      <c r="L524" s="80"/>
      <c r="M524" s="80"/>
      <c r="N524" s="80"/>
      <c r="O524" s="80"/>
      <c r="P524" s="80"/>
      <c r="Q524" s="80"/>
      <c r="R524" s="80"/>
      <c r="S524" s="80"/>
      <c r="T524" s="80"/>
      <c r="U524" s="80"/>
      <c r="V524" s="80"/>
      <c r="W524" s="80"/>
      <c r="X524" s="80"/>
      <c r="Y524" s="80"/>
      <c r="Z524" s="80"/>
      <c r="AA524" s="80"/>
      <c r="AB524" s="80"/>
      <c r="AC524" s="2538"/>
      <c r="AD524" s="2539"/>
      <c r="AE524" s="2539"/>
      <c r="AF524" s="2540"/>
      <c r="AG524" s="1787"/>
      <c r="AH524" s="2541"/>
      <c r="AI524" s="2541"/>
      <c r="AJ524" s="2541"/>
      <c r="AK524" s="254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2.75">
      <c r="B525" s="1485"/>
      <c r="C525" s="1486"/>
      <c r="D525" s="1486"/>
      <c r="E525" s="1486"/>
      <c r="F525" s="1486"/>
      <c r="G525" s="1486"/>
      <c r="H525" s="1487"/>
      <c r="I525" s="177"/>
      <c r="J525" s="680"/>
      <c r="K525" s="680"/>
      <c r="L525" s="14"/>
      <c r="M525" s="14"/>
      <c r="N525" s="14"/>
      <c r="O525" s="14"/>
      <c r="P525" s="14"/>
      <c r="Q525" s="14"/>
      <c r="R525" s="14"/>
      <c r="S525" s="14"/>
      <c r="T525" s="14"/>
      <c r="U525" s="14"/>
      <c r="V525" s="14"/>
      <c r="W525" s="14"/>
      <c r="X525" s="1785"/>
      <c r="Y525" s="1785"/>
      <c r="Z525" s="1785"/>
      <c r="AA525" s="1785"/>
      <c r="AB525" s="1807"/>
      <c r="AC525" s="2543" t="s">
        <v>423</v>
      </c>
      <c r="AD525" s="2544"/>
      <c r="AE525" s="2544"/>
      <c r="AF525" s="2544"/>
      <c r="AG525" s="1787" t="s">
        <v>424</v>
      </c>
      <c r="AH525" s="2544" t="s">
        <v>425</v>
      </c>
      <c r="AI525" s="2544"/>
      <c r="AJ525" s="2544"/>
      <c r="AK525" s="254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43" t="s">
        <v>435</v>
      </c>
      <c r="C526" s="2444"/>
      <c r="D526" s="2444"/>
      <c r="E526" s="2444"/>
      <c r="F526" s="2444"/>
      <c r="G526" s="2444"/>
      <c r="H526" s="2445"/>
      <c r="I526" s="72" t="s">
        <v>436</v>
      </c>
      <c r="J526" s="72"/>
      <c r="K526" s="72"/>
      <c r="L526" s="72"/>
      <c r="M526" s="72"/>
      <c r="N526" s="72"/>
      <c r="O526" s="72"/>
      <c r="P526" s="72"/>
      <c r="Q526" s="72"/>
      <c r="R526" s="72"/>
      <c r="S526" s="72"/>
      <c r="T526" s="72"/>
      <c r="U526" s="72"/>
      <c r="V526" s="72"/>
      <c r="W526" s="72"/>
      <c r="X526" s="25"/>
      <c r="Y526" s="25"/>
      <c r="AC526" s="2522">
        <v>5</v>
      </c>
      <c r="AD526" s="2343"/>
      <c r="AE526" s="2343"/>
      <c r="AF526" s="2343"/>
      <c r="AG526" s="75" t="s">
        <v>424</v>
      </c>
      <c r="AH526" s="2341">
        <v>2021</v>
      </c>
      <c r="AI526" s="2341"/>
      <c r="AJ526" s="2341"/>
      <c r="AK526" s="237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46"/>
      <c r="C527" s="2447"/>
      <c r="D527" s="2447"/>
      <c r="E527" s="2447"/>
      <c r="F527" s="2447"/>
      <c r="G527" s="2447"/>
      <c r="H527" s="2448"/>
      <c r="I527" s="25" t="s">
        <v>437</v>
      </c>
      <c r="J527" s="25"/>
      <c r="K527" s="25"/>
      <c r="L527" s="25"/>
      <c r="M527" s="25"/>
      <c r="N527" s="25"/>
      <c r="O527" s="25"/>
      <c r="P527" s="25"/>
      <c r="Q527" s="25"/>
      <c r="R527" s="25"/>
      <c r="S527" s="25"/>
      <c r="T527" s="25"/>
      <c r="U527" s="25"/>
      <c r="V527" s="25"/>
      <c r="W527" s="25"/>
      <c r="X527" s="25"/>
      <c r="Y527" s="25"/>
      <c r="AC527" s="2522">
        <v>5</v>
      </c>
      <c r="AD527" s="2343"/>
      <c r="AE527" s="2343"/>
      <c r="AF527" s="2343"/>
      <c r="AG527" s="75" t="s">
        <v>424</v>
      </c>
      <c r="AH527" s="2341">
        <v>2021</v>
      </c>
      <c r="AI527" s="2341"/>
      <c r="AJ527" s="2341"/>
      <c r="AK527" s="237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46"/>
      <c r="C528" s="2447"/>
      <c r="D528" s="2447"/>
      <c r="E528" s="2447"/>
      <c r="F528" s="2447"/>
      <c r="G528" s="2447"/>
      <c r="H528" s="2448"/>
      <c r="I528" s="80" t="s">
        <v>438</v>
      </c>
      <c r="J528" s="80"/>
      <c r="K528" s="80"/>
      <c r="L528" s="80"/>
      <c r="M528" s="80"/>
      <c r="N528" s="80"/>
      <c r="O528" s="80"/>
      <c r="P528" s="80"/>
      <c r="Q528" s="80"/>
      <c r="R528" s="80"/>
      <c r="S528" s="80"/>
      <c r="T528" s="80"/>
      <c r="U528" s="80"/>
      <c r="V528" s="80"/>
      <c r="W528" s="80"/>
      <c r="X528" s="80"/>
      <c r="Y528" s="80"/>
      <c r="Z528" s="80"/>
      <c r="AA528" s="80"/>
      <c r="AB528" s="80"/>
      <c r="AC528" s="2522">
        <v>2</v>
      </c>
      <c r="AD528" s="2343"/>
      <c r="AE528" s="2343"/>
      <c r="AF528" s="2343"/>
      <c r="AG528" s="65" t="s">
        <v>424</v>
      </c>
      <c r="AH528" s="2341">
        <v>2022</v>
      </c>
      <c r="AI528" s="2341"/>
      <c r="AJ528" s="2341"/>
      <c r="AK528" s="237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43" t="s">
        <v>439</v>
      </c>
      <c r="C529" s="2444"/>
      <c r="D529" s="2444"/>
      <c r="E529" s="2444"/>
      <c r="F529" s="2444"/>
      <c r="G529" s="2444"/>
      <c r="H529" s="2445"/>
      <c r="I529" s="72" t="s">
        <v>436</v>
      </c>
      <c r="J529" s="72"/>
      <c r="K529" s="72"/>
      <c r="L529" s="72"/>
      <c r="M529" s="72"/>
      <c r="N529" s="72"/>
      <c r="O529" s="72"/>
      <c r="P529" s="72"/>
      <c r="Q529" s="72"/>
      <c r="R529" s="72"/>
      <c r="S529" s="72"/>
      <c r="T529" s="72"/>
      <c r="U529" s="72"/>
      <c r="V529" s="72"/>
      <c r="W529" s="72"/>
      <c r="X529" s="72"/>
      <c r="Y529" s="72"/>
      <c r="Z529" s="72"/>
      <c r="AA529" s="72"/>
      <c r="AB529" s="72"/>
      <c r="AC529" s="2230">
        <v>5</v>
      </c>
      <c r="AD529" s="2231"/>
      <c r="AE529" s="2231"/>
      <c r="AF529" s="2231"/>
      <c r="AG529" s="196" t="s">
        <v>424</v>
      </c>
      <c r="AH529" s="2341">
        <v>2021</v>
      </c>
      <c r="AI529" s="2341"/>
      <c r="AJ529" s="2341"/>
      <c r="AK529" s="237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46"/>
      <c r="C530" s="2447"/>
      <c r="D530" s="2447"/>
      <c r="E530" s="2447"/>
      <c r="F530" s="2447"/>
      <c r="G530" s="2447"/>
      <c r="H530" s="2448"/>
      <c r="I530" s="25" t="s">
        <v>437</v>
      </c>
      <c r="J530" s="25"/>
      <c r="K530" s="25"/>
      <c r="L530" s="25"/>
      <c r="M530" s="25"/>
      <c r="N530" s="25"/>
      <c r="O530" s="25"/>
      <c r="P530" s="25"/>
      <c r="Q530" s="25"/>
      <c r="R530" s="25"/>
      <c r="S530" s="25"/>
      <c r="T530" s="25"/>
      <c r="U530" s="25"/>
      <c r="V530" s="25"/>
      <c r="W530" s="25"/>
      <c r="X530" s="25"/>
      <c r="Y530" s="25"/>
      <c r="Z530" s="25"/>
      <c r="AA530" s="25"/>
      <c r="AB530" s="25"/>
      <c r="AC530" s="2522">
        <v>5</v>
      </c>
      <c r="AD530" s="2343"/>
      <c r="AE530" s="2343"/>
      <c r="AF530" s="2343"/>
      <c r="AG530" s="75" t="s">
        <v>424</v>
      </c>
      <c r="AH530" s="2341">
        <v>2021</v>
      </c>
      <c r="AI530" s="2341"/>
      <c r="AJ530" s="2341"/>
      <c r="AK530" s="237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49"/>
      <c r="C531" s="2450"/>
      <c r="D531" s="2450"/>
      <c r="E531" s="2450"/>
      <c r="F531" s="2450"/>
      <c r="G531" s="2450"/>
      <c r="H531" s="2451"/>
      <c r="I531" s="80" t="s">
        <v>438</v>
      </c>
      <c r="J531" s="80"/>
      <c r="K531" s="80"/>
      <c r="L531" s="80"/>
      <c r="M531" s="80"/>
      <c r="N531" s="80"/>
      <c r="O531" s="80"/>
      <c r="P531" s="80"/>
      <c r="Q531" s="80"/>
      <c r="R531" s="80"/>
      <c r="S531" s="80"/>
      <c r="T531" s="80"/>
      <c r="U531" s="80"/>
      <c r="V531" s="80"/>
      <c r="W531" s="80"/>
      <c r="X531" s="80"/>
      <c r="Y531" s="80"/>
      <c r="Z531" s="80"/>
      <c r="AA531" s="80"/>
      <c r="AB531" s="80"/>
      <c r="AC531" s="2522">
        <v>2</v>
      </c>
      <c r="AD531" s="2343"/>
      <c r="AE531" s="2343"/>
      <c r="AF531" s="2343"/>
      <c r="AG531" s="65" t="s">
        <v>424</v>
      </c>
      <c r="AH531" s="2341">
        <v>2024</v>
      </c>
      <c r="AI531" s="2341"/>
      <c r="AJ531" s="2341"/>
      <c r="AK531" s="237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43" t="s">
        <v>440</v>
      </c>
      <c r="C532" s="2444"/>
      <c r="D532" s="2444"/>
      <c r="E532" s="2444"/>
      <c r="F532" s="2444"/>
      <c r="G532" s="2444"/>
      <c r="H532" s="2445"/>
      <c r="I532" s="71" t="s">
        <v>441</v>
      </c>
      <c r="J532" s="72"/>
      <c r="K532" s="72"/>
      <c r="L532" s="72"/>
      <c r="M532" s="72"/>
      <c r="N532" s="72"/>
      <c r="O532" s="2272" t="str">
        <f>C638</f>
        <v xml:space="preserve">State of CA HCD NPLH											</v>
      </c>
      <c r="P532" s="2272"/>
      <c r="Q532" s="2272"/>
      <c r="R532" s="2272"/>
      <c r="S532" s="2272"/>
      <c r="T532" s="2272"/>
      <c r="U532" s="2272"/>
      <c r="V532" s="2272"/>
      <c r="W532" s="2272"/>
      <c r="X532" s="2272"/>
      <c r="Y532" s="2272"/>
      <c r="Z532" s="2272"/>
      <c r="AA532" s="2272"/>
      <c r="AB532" s="94"/>
      <c r="AC532" s="2230" t="s">
        <v>626</v>
      </c>
      <c r="AD532" s="2231"/>
      <c r="AE532" s="2231"/>
      <c r="AF532" s="2231"/>
      <c r="AG532" s="196" t="s">
        <v>424</v>
      </c>
      <c r="AH532" s="2341" t="s">
        <v>626</v>
      </c>
      <c r="AI532" s="2341"/>
      <c r="AJ532" s="2341"/>
      <c r="AK532" s="237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46"/>
      <c r="C533" s="2447"/>
      <c r="D533" s="2447"/>
      <c r="E533" s="2447"/>
      <c r="F533" s="2447"/>
      <c r="G533" s="2447"/>
      <c r="H533" s="2448"/>
      <c r="I533" s="171" t="s">
        <v>442</v>
      </c>
      <c r="J533" s="25"/>
      <c r="K533" s="25"/>
      <c r="L533" s="25"/>
      <c r="M533" s="25"/>
      <c r="N533" s="25"/>
      <c r="O533" s="25"/>
      <c r="P533" s="25"/>
      <c r="Q533" s="25"/>
      <c r="R533" s="25"/>
      <c r="S533" s="25"/>
      <c r="T533" s="25"/>
      <c r="U533" s="25"/>
      <c r="V533" s="25"/>
      <c r="W533" s="25"/>
      <c r="X533" s="25"/>
      <c r="Y533" s="25"/>
      <c r="Z533" s="25"/>
      <c r="AA533" s="25"/>
      <c r="AB533" s="101"/>
      <c r="AC533" s="2522">
        <v>1</v>
      </c>
      <c r="AD533" s="2343"/>
      <c r="AE533" s="2343"/>
      <c r="AF533" s="2343"/>
      <c r="AG533" s="75" t="s">
        <v>424</v>
      </c>
      <c r="AH533" s="2341">
        <v>2021</v>
      </c>
      <c r="AI533" s="2341"/>
      <c r="AJ533" s="2341"/>
      <c r="AK533" s="237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46"/>
      <c r="C534" s="2447"/>
      <c r="D534" s="2447"/>
      <c r="E534" s="2447"/>
      <c r="F534" s="2447"/>
      <c r="G534" s="2447"/>
      <c r="H534" s="2448"/>
      <c r="I534" s="79" t="s">
        <v>443</v>
      </c>
      <c r="J534" s="80"/>
      <c r="K534" s="80"/>
      <c r="L534" s="80"/>
      <c r="M534" s="80"/>
      <c r="N534" s="80"/>
      <c r="O534" s="80"/>
      <c r="P534" s="80"/>
      <c r="Q534" s="80"/>
      <c r="R534" s="80"/>
      <c r="S534" s="80"/>
      <c r="T534" s="80"/>
      <c r="U534" s="80"/>
      <c r="V534" s="80"/>
      <c r="W534" s="80"/>
      <c r="X534" s="80"/>
      <c r="Y534" s="80"/>
      <c r="Z534" s="80"/>
      <c r="AA534" s="80"/>
      <c r="AB534" s="81"/>
      <c r="AC534" s="2522">
        <v>6</v>
      </c>
      <c r="AD534" s="2343"/>
      <c r="AE534" s="2343"/>
      <c r="AF534" s="2343"/>
      <c r="AG534" s="65" t="s">
        <v>424</v>
      </c>
      <c r="AH534" s="2341">
        <v>2021</v>
      </c>
      <c r="AI534" s="2341"/>
      <c r="AJ534" s="2341"/>
      <c r="AK534" s="237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46"/>
      <c r="C535" s="2447"/>
      <c r="D535" s="2447"/>
      <c r="E535" s="2447"/>
      <c r="F535" s="2447"/>
      <c r="G535" s="2447"/>
      <c r="H535" s="2448"/>
      <c r="I535" s="72" t="s">
        <v>444</v>
      </c>
      <c r="J535" s="72"/>
      <c r="K535" s="72"/>
      <c r="L535" s="72"/>
      <c r="M535" s="72"/>
      <c r="N535" s="72"/>
      <c r="O535" s="2051" t="str">
        <f>C639</f>
        <v>Orange County</v>
      </c>
      <c r="P535" s="2051"/>
      <c r="Q535" s="2051"/>
      <c r="R535" s="2051"/>
      <c r="S535" s="2051"/>
      <c r="T535" s="2051"/>
      <c r="U535" s="2051"/>
      <c r="V535" s="2051"/>
      <c r="W535" s="2051"/>
      <c r="X535" s="2051"/>
      <c r="Y535" s="2051"/>
      <c r="Z535" s="2051"/>
      <c r="AA535" s="2051"/>
      <c r="AC535" s="2522" t="s">
        <v>626</v>
      </c>
      <c r="AD535" s="2343"/>
      <c r="AE535" s="2343"/>
      <c r="AF535" s="2343"/>
      <c r="AG535" s="75" t="s">
        <v>424</v>
      </c>
      <c r="AH535" s="2341" t="s">
        <v>626</v>
      </c>
      <c r="AI535" s="2341"/>
      <c r="AJ535" s="2341"/>
      <c r="AK535" s="237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46"/>
      <c r="C536" s="2447"/>
      <c r="D536" s="2447"/>
      <c r="E536" s="2447"/>
      <c r="F536" s="2447"/>
      <c r="G536" s="2447"/>
      <c r="H536" s="2448"/>
      <c r="I536" s="25" t="s">
        <v>442</v>
      </c>
      <c r="J536" s="25"/>
      <c r="K536" s="25"/>
      <c r="L536" s="25"/>
      <c r="M536" s="25"/>
      <c r="N536" s="25"/>
      <c r="O536" s="25"/>
      <c r="P536" s="25"/>
      <c r="Q536" s="25"/>
      <c r="R536" s="25"/>
      <c r="S536" s="25"/>
      <c r="T536" s="25"/>
      <c r="U536" s="25"/>
      <c r="V536" s="25"/>
      <c r="W536" s="25"/>
      <c r="X536" s="25"/>
      <c r="Y536" s="25"/>
      <c r="AC536" s="2522">
        <v>1</v>
      </c>
      <c r="AD536" s="2343"/>
      <c r="AE536" s="2343"/>
      <c r="AF536" s="2343"/>
      <c r="AG536" s="75" t="s">
        <v>424</v>
      </c>
      <c r="AH536" s="2341">
        <v>2020</v>
      </c>
      <c r="AI536" s="2341"/>
      <c r="AJ536" s="2341"/>
      <c r="AK536" s="237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46"/>
      <c r="C537" s="2447"/>
      <c r="D537" s="2447"/>
      <c r="E537" s="2447"/>
      <c r="F537" s="2447"/>
      <c r="G537" s="2447"/>
      <c r="H537" s="2448"/>
      <c r="I537" s="80" t="s">
        <v>443</v>
      </c>
      <c r="J537" s="80"/>
      <c r="K537" s="80"/>
      <c r="L537" s="80"/>
      <c r="M537" s="80"/>
      <c r="N537" s="80"/>
      <c r="O537" s="80"/>
      <c r="P537" s="80"/>
      <c r="Q537" s="80"/>
      <c r="R537" s="80"/>
      <c r="S537" s="80"/>
      <c r="T537" s="80"/>
      <c r="U537" s="80"/>
      <c r="V537" s="80"/>
      <c r="W537" s="80"/>
      <c r="X537" s="80"/>
      <c r="Y537" s="80"/>
      <c r="Z537" s="80"/>
      <c r="AA537" s="80"/>
      <c r="AB537" s="80"/>
      <c r="AC537" s="2522">
        <v>1</v>
      </c>
      <c r="AD537" s="2343"/>
      <c r="AE537" s="2343"/>
      <c r="AF537" s="2343"/>
      <c r="AG537" s="65" t="s">
        <v>424</v>
      </c>
      <c r="AH537" s="2341">
        <v>2021</v>
      </c>
      <c r="AI537" s="2341"/>
      <c r="AJ537" s="2341"/>
      <c r="AK537" s="237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46"/>
      <c r="C538" s="2447"/>
      <c r="D538" s="2447"/>
      <c r="E538" s="2447"/>
      <c r="F538" s="2447"/>
      <c r="G538" s="2447"/>
      <c r="H538" s="2448"/>
      <c r="I538" s="72" t="s">
        <v>444</v>
      </c>
      <c r="J538" s="72"/>
      <c r="K538" s="72"/>
      <c r="L538" s="72"/>
      <c r="M538" s="72"/>
      <c r="N538" s="72"/>
      <c r="O538" s="2051" t="str">
        <f>C640</f>
        <v>CalHFA SNHP</v>
      </c>
      <c r="P538" s="2051"/>
      <c r="Q538" s="2051"/>
      <c r="R538" s="2051"/>
      <c r="S538" s="2051"/>
      <c r="T538" s="2051"/>
      <c r="U538" s="2051"/>
      <c r="V538" s="2051"/>
      <c r="W538" s="2051"/>
      <c r="X538" s="2051"/>
      <c r="Y538" s="2051"/>
      <c r="Z538" s="2051"/>
      <c r="AA538" s="2051"/>
      <c r="AC538" s="2522" t="s">
        <v>626</v>
      </c>
      <c r="AD538" s="2343"/>
      <c r="AE538" s="2343"/>
      <c r="AF538" s="2343"/>
      <c r="AG538" s="75" t="s">
        <v>424</v>
      </c>
      <c r="AH538" s="2341" t="s">
        <v>626</v>
      </c>
      <c r="AI538" s="2341"/>
      <c r="AJ538" s="2341"/>
      <c r="AK538" s="237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46"/>
      <c r="C539" s="2447"/>
      <c r="D539" s="2447"/>
      <c r="E539" s="2447"/>
      <c r="F539" s="2447"/>
      <c r="G539" s="2447"/>
      <c r="H539" s="2448"/>
      <c r="I539" s="25" t="s">
        <v>442</v>
      </c>
      <c r="J539" s="25"/>
      <c r="K539" s="25"/>
      <c r="L539" s="25"/>
      <c r="M539" s="25"/>
      <c r="N539" s="25"/>
      <c r="O539" s="25"/>
      <c r="P539" s="25"/>
      <c r="Q539" s="25"/>
      <c r="R539" s="25"/>
      <c r="S539" s="25"/>
      <c r="T539" s="25"/>
      <c r="U539" s="25"/>
      <c r="V539" s="25"/>
      <c r="W539" s="25"/>
      <c r="X539" s="25"/>
      <c r="Y539" s="25"/>
      <c r="AC539" s="2522">
        <v>9</v>
      </c>
      <c r="AD539" s="2343"/>
      <c r="AE539" s="2343"/>
      <c r="AF539" s="2343"/>
      <c r="AG539" s="75" t="s">
        <v>424</v>
      </c>
      <c r="AH539" s="2341">
        <v>2019</v>
      </c>
      <c r="AI539" s="2341"/>
      <c r="AJ539" s="2341"/>
      <c r="AK539" s="237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46"/>
      <c r="C540" s="2447"/>
      <c r="D540" s="2447"/>
      <c r="E540" s="2447"/>
      <c r="F540" s="2447"/>
      <c r="G540" s="2447"/>
      <c r="H540" s="2448"/>
      <c r="I540" s="80" t="s">
        <v>443</v>
      </c>
      <c r="J540" s="80"/>
      <c r="K540" s="80"/>
      <c r="L540" s="80"/>
      <c r="M540" s="80"/>
      <c r="N540" s="80"/>
      <c r="O540" s="80"/>
      <c r="P540" s="80"/>
      <c r="Q540" s="80"/>
      <c r="R540" s="80"/>
      <c r="S540" s="80"/>
      <c r="T540" s="80"/>
      <c r="U540" s="80"/>
      <c r="V540" s="80"/>
      <c r="W540" s="80"/>
      <c r="X540" s="80"/>
      <c r="Y540" s="80"/>
      <c r="Z540" s="80"/>
      <c r="AA540" s="80"/>
      <c r="AB540" s="80"/>
      <c r="AC540" s="2522">
        <v>3</v>
      </c>
      <c r="AD540" s="2343"/>
      <c r="AE540" s="2343"/>
      <c r="AF540" s="2343"/>
      <c r="AG540" s="65" t="s">
        <v>424</v>
      </c>
      <c r="AH540" s="2341">
        <v>2020</v>
      </c>
      <c r="AI540" s="2341"/>
      <c r="AJ540" s="2341"/>
      <c r="AK540" s="237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46"/>
      <c r="C541" s="2447"/>
      <c r="D541" s="2447"/>
      <c r="E541" s="2447"/>
      <c r="F541" s="2447"/>
      <c r="G541" s="2447"/>
      <c r="H541" s="2448"/>
      <c r="I541" s="72" t="s">
        <v>444</v>
      </c>
      <c r="J541" s="72"/>
      <c r="K541" s="72"/>
      <c r="L541" s="72"/>
      <c r="M541" s="72"/>
      <c r="N541" s="72"/>
      <c r="O541" s="2051" t="str">
        <f>C641</f>
        <v>OCHFT</v>
      </c>
      <c r="P541" s="2051"/>
      <c r="Q541" s="2051"/>
      <c r="R541" s="2051"/>
      <c r="S541" s="2051"/>
      <c r="T541" s="2051"/>
      <c r="U541" s="2051"/>
      <c r="V541" s="2051"/>
      <c r="W541" s="2051"/>
      <c r="X541" s="2051"/>
      <c r="Y541" s="2051"/>
      <c r="Z541" s="2051"/>
      <c r="AA541" s="2051"/>
      <c r="AC541" s="2522" t="s">
        <v>626</v>
      </c>
      <c r="AD541" s="2343"/>
      <c r="AE541" s="2343"/>
      <c r="AF541" s="2343"/>
      <c r="AG541" s="75" t="s">
        <v>424</v>
      </c>
      <c r="AH541" s="2341" t="s">
        <v>626</v>
      </c>
      <c r="AI541" s="2341"/>
      <c r="AJ541" s="2341"/>
      <c r="AK541" s="237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46"/>
      <c r="C542" s="2447"/>
      <c r="D542" s="2447"/>
      <c r="E542" s="2447"/>
      <c r="F542" s="2447"/>
      <c r="G542" s="2447"/>
      <c r="H542" s="2448"/>
      <c r="I542" s="25" t="s">
        <v>442</v>
      </c>
      <c r="J542" s="25"/>
      <c r="K542" s="25"/>
      <c r="L542" s="25"/>
      <c r="M542" s="25"/>
      <c r="N542" s="25"/>
      <c r="O542" s="25"/>
      <c r="P542" s="25"/>
      <c r="Q542" s="25"/>
      <c r="R542" s="25"/>
      <c r="S542" s="25"/>
      <c r="T542" s="25"/>
      <c r="U542" s="25"/>
      <c r="V542" s="25"/>
      <c r="W542" s="25"/>
      <c r="X542" s="25"/>
      <c r="Y542" s="25"/>
      <c r="AC542" s="2522">
        <v>3</v>
      </c>
      <c r="AD542" s="2343"/>
      <c r="AE542" s="2343"/>
      <c r="AF542" s="2343"/>
      <c r="AG542" s="75" t="s">
        <v>424</v>
      </c>
      <c r="AH542" s="2341">
        <v>2020</v>
      </c>
      <c r="AI542" s="2341"/>
      <c r="AJ542" s="2341"/>
      <c r="AK542" s="237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46"/>
      <c r="C543" s="2447"/>
      <c r="D543" s="2447"/>
      <c r="E543" s="2447"/>
      <c r="F543" s="2447"/>
      <c r="G543" s="2447"/>
      <c r="H543" s="2448"/>
      <c r="I543" s="80" t="s">
        <v>443</v>
      </c>
      <c r="J543" s="80"/>
      <c r="K543" s="80"/>
      <c r="L543" s="80"/>
      <c r="M543" s="80"/>
      <c r="N543" s="80"/>
      <c r="O543" s="80"/>
      <c r="P543" s="80"/>
      <c r="Q543" s="80"/>
      <c r="R543" s="80"/>
      <c r="S543" s="80"/>
      <c r="T543" s="80"/>
      <c r="U543" s="80"/>
      <c r="V543" s="80"/>
      <c r="W543" s="80"/>
      <c r="X543" s="80"/>
      <c r="Y543" s="80"/>
      <c r="Z543" s="80"/>
      <c r="AA543" s="80"/>
      <c r="AB543" s="80"/>
      <c r="AC543" s="2522">
        <v>5</v>
      </c>
      <c r="AD543" s="2343"/>
      <c r="AE543" s="2343"/>
      <c r="AF543" s="2343"/>
      <c r="AG543" s="65" t="s">
        <v>424</v>
      </c>
      <c r="AH543" s="2341">
        <v>2020</v>
      </c>
      <c r="AI543" s="2341"/>
      <c r="AJ543" s="2341"/>
      <c r="AK543" s="237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46"/>
      <c r="C544" s="2447"/>
      <c r="D544" s="2447"/>
      <c r="E544" s="2447"/>
      <c r="F544" s="2447"/>
      <c r="G544" s="2447"/>
      <c r="H544" s="2448"/>
      <c r="I544" s="72" t="s">
        <v>444</v>
      </c>
      <c r="J544" s="72"/>
      <c r="K544" s="72"/>
      <c r="L544" s="72"/>
      <c r="M544" s="72"/>
      <c r="N544" s="72"/>
      <c r="O544" s="2051" t="s">
        <v>2692</v>
      </c>
      <c r="P544" s="2051"/>
      <c r="Q544" s="2051"/>
      <c r="R544" s="2051"/>
      <c r="S544" s="2051"/>
      <c r="T544" s="2051"/>
      <c r="U544" s="2051"/>
      <c r="V544" s="2051"/>
      <c r="W544" s="2051"/>
      <c r="X544" s="2051"/>
      <c r="Y544" s="2051"/>
      <c r="Z544" s="2051"/>
      <c r="AA544" s="2051"/>
      <c r="AC544" s="2522" t="s">
        <v>626</v>
      </c>
      <c r="AD544" s="2343"/>
      <c r="AE544" s="2343"/>
      <c r="AF544" s="2343"/>
      <c r="AG544" s="75" t="s">
        <v>424</v>
      </c>
      <c r="AH544" s="2341"/>
      <c r="AI544" s="2341"/>
      <c r="AJ544" s="2341"/>
      <c r="AK544" s="237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46"/>
      <c r="C545" s="2447"/>
      <c r="D545" s="2447"/>
      <c r="E545" s="2447"/>
      <c r="F545" s="2447"/>
      <c r="G545" s="2447"/>
      <c r="H545" s="2448"/>
      <c r="I545" s="25" t="s">
        <v>442</v>
      </c>
      <c r="J545" s="25"/>
      <c r="K545" s="25"/>
      <c r="L545" s="25"/>
      <c r="M545" s="25"/>
      <c r="N545" s="25"/>
      <c r="O545" s="25"/>
      <c r="P545" s="25"/>
      <c r="Q545" s="25"/>
      <c r="R545" s="25"/>
      <c r="S545" s="25"/>
      <c r="T545" s="25"/>
      <c r="U545" s="25"/>
      <c r="V545" s="25"/>
      <c r="W545" s="25"/>
      <c r="X545" s="25"/>
      <c r="Y545" s="25"/>
      <c r="AC545" s="2522">
        <v>3</v>
      </c>
      <c r="AD545" s="2343"/>
      <c r="AE545" s="2343"/>
      <c r="AF545" s="2343"/>
      <c r="AG545" s="65" t="s">
        <v>424</v>
      </c>
      <c r="AH545" s="2341">
        <v>2022</v>
      </c>
      <c r="AI545" s="2341"/>
      <c r="AJ545" s="2341"/>
      <c r="AK545" s="237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46"/>
      <c r="C546" s="2447"/>
      <c r="D546" s="2447"/>
      <c r="E546" s="2447"/>
      <c r="F546" s="2447"/>
      <c r="G546" s="2447"/>
      <c r="H546" s="2448"/>
      <c r="I546" s="80" t="s">
        <v>443</v>
      </c>
      <c r="J546" s="80"/>
      <c r="K546" s="80"/>
      <c r="L546" s="80"/>
      <c r="M546" s="80"/>
      <c r="N546" s="80"/>
      <c r="O546" s="80"/>
      <c r="P546" s="80"/>
      <c r="Q546" s="80"/>
      <c r="R546" s="80"/>
      <c r="S546" s="80"/>
      <c r="T546" s="80"/>
      <c r="U546" s="80"/>
      <c r="V546" s="80"/>
      <c r="W546" s="80"/>
      <c r="X546" s="80"/>
      <c r="Y546" s="80"/>
      <c r="Z546" s="80"/>
      <c r="AA546" s="80"/>
      <c r="AB546" s="80"/>
      <c r="AC546" s="2522">
        <v>6</v>
      </c>
      <c r="AD546" s="2343"/>
      <c r="AE546" s="2343"/>
      <c r="AF546" s="2343"/>
      <c r="AG546" s="75" t="s">
        <v>424</v>
      </c>
      <c r="AH546" s="2341">
        <v>2022</v>
      </c>
      <c r="AI546" s="2341"/>
      <c r="AJ546" s="2341"/>
      <c r="AK546" s="237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46"/>
      <c r="C547" s="2447"/>
      <c r="D547" s="2447"/>
      <c r="E547" s="2447"/>
      <c r="F547" s="2447"/>
      <c r="G547" s="2447"/>
      <c r="H547" s="2448"/>
      <c r="I547" s="72" t="s">
        <v>444</v>
      </c>
      <c r="J547" s="72"/>
      <c r="K547" s="72"/>
      <c r="L547" s="72"/>
      <c r="M547" s="72"/>
      <c r="N547" s="72"/>
      <c r="O547" s="2051" t="s">
        <v>343</v>
      </c>
      <c r="P547" s="2051"/>
      <c r="Q547" s="2051"/>
      <c r="R547" s="2051"/>
      <c r="S547" s="2051"/>
      <c r="T547" s="2051"/>
      <c r="U547" s="2051"/>
      <c r="V547" s="2051"/>
      <c r="W547" s="2051"/>
      <c r="X547" s="2051"/>
      <c r="Y547" s="2051"/>
      <c r="Z547" s="2051"/>
      <c r="AA547" s="2051"/>
      <c r="AC547" s="2522" t="s">
        <v>626</v>
      </c>
      <c r="AD547" s="2343"/>
      <c r="AE547" s="2343"/>
      <c r="AF547" s="2343"/>
      <c r="AG547" s="65" t="s">
        <v>424</v>
      </c>
      <c r="AH547" s="2341"/>
      <c r="AI547" s="2341"/>
      <c r="AJ547" s="2341"/>
      <c r="AK547" s="237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46"/>
      <c r="C548" s="2447"/>
      <c r="D548" s="2447"/>
      <c r="E548" s="2447"/>
      <c r="F548" s="2447"/>
      <c r="G548" s="2447"/>
      <c r="H548" s="2448"/>
      <c r="I548" s="25" t="s">
        <v>442</v>
      </c>
      <c r="J548" s="25"/>
      <c r="K548" s="25"/>
      <c r="L548" s="25"/>
      <c r="M548" s="25"/>
      <c r="N548" s="25"/>
      <c r="O548" s="25"/>
      <c r="P548" s="25"/>
      <c r="Q548" s="25"/>
      <c r="R548" s="25"/>
      <c r="S548" s="25"/>
      <c r="T548" s="25"/>
      <c r="U548" s="25"/>
      <c r="V548" s="25"/>
      <c r="W548" s="25"/>
      <c r="X548" s="25"/>
      <c r="Y548" s="25"/>
      <c r="AC548" s="2522" t="s">
        <v>626</v>
      </c>
      <c r="AD548" s="2343"/>
      <c r="AE548" s="2343"/>
      <c r="AF548" s="2343"/>
      <c r="AG548" s="75" t="s">
        <v>424</v>
      </c>
      <c r="AH548" s="2341"/>
      <c r="AI548" s="2341"/>
      <c r="AJ548" s="2341"/>
      <c r="AK548" s="237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46"/>
      <c r="C549" s="2447"/>
      <c r="D549" s="2447"/>
      <c r="E549" s="2447"/>
      <c r="F549" s="2447"/>
      <c r="G549" s="2447"/>
      <c r="H549" s="2448"/>
      <c r="I549" s="80" t="s">
        <v>443</v>
      </c>
      <c r="J549" s="80"/>
      <c r="K549" s="80"/>
      <c r="L549" s="80"/>
      <c r="M549" s="80"/>
      <c r="N549" s="80"/>
      <c r="O549" s="80"/>
      <c r="P549" s="80"/>
      <c r="Q549" s="80"/>
      <c r="R549" s="80"/>
      <c r="S549" s="80"/>
      <c r="T549" s="80"/>
      <c r="U549" s="80"/>
      <c r="V549" s="80"/>
      <c r="W549" s="80"/>
      <c r="X549" s="80"/>
      <c r="Y549" s="80"/>
      <c r="Z549" s="80"/>
      <c r="AA549" s="80"/>
      <c r="AB549" s="80"/>
      <c r="AC549" s="2522" t="s">
        <v>626</v>
      </c>
      <c r="AD549" s="2343"/>
      <c r="AE549" s="2343"/>
      <c r="AF549" s="2343"/>
      <c r="AG549" s="65" t="s">
        <v>424</v>
      </c>
      <c r="AH549" s="2341"/>
      <c r="AI549" s="2341"/>
      <c r="AJ549" s="2341"/>
      <c r="AK549" s="237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46"/>
      <c r="C550" s="2447"/>
      <c r="D550" s="2447"/>
      <c r="E550" s="2447"/>
      <c r="F550" s="2447"/>
      <c r="G550" s="2447"/>
      <c r="H550" s="2448"/>
      <c r="I550" s="72" t="s">
        <v>595</v>
      </c>
      <c r="J550" s="72"/>
      <c r="K550" s="72"/>
      <c r="L550" s="72"/>
      <c r="M550" s="72"/>
      <c r="N550" s="72"/>
      <c r="O550" s="72"/>
      <c r="P550" s="72"/>
      <c r="Q550" s="72"/>
      <c r="R550" s="72"/>
      <c r="S550" s="72"/>
      <c r="T550" s="72"/>
      <c r="U550" s="72"/>
      <c r="V550" s="72"/>
      <c r="W550" s="72"/>
      <c r="X550" s="25"/>
      <c r="Y550" s="25"/>
      <c r="AC550" s="2522">
        <v>2</v>
      </c>
      <c r="AD550" s="2343"/>
      <c r="AE550" s="2343"/>
      <c r="AF550" s="2343"/>
      <c r="AG550" s="65" t="s">
        <v>424</v>
      </c>
      <c r="AH550" s="2341">
        <v>2022</v>
      </c>
      <c r="AI550" s="2341"/>
      <c r="AJ550" s="2341"/>
      <c r="AK550" s="237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46"/>
      <c r="C551" s="2447"/>
      <c r="D551" s="2447"/>
      <c r="E551" s="2447"/>
      <c r="F551" s="2447"/>
      <c r="G551" s="2447"/>
      <c r="H551" s="2448"/>
      <c r="I551" s="25" t="s">
        <v>596</v>
      </c>
      <c r="J551" s="25"/>
      <c r="K551" s="25"/>
      <c r="L551" s="25"/>
      <c r="M551" s="25"/>
      <c r="N551" s="25"/>
      <c r="O551" s="25"/>
      <c r="P551" s="25"/>
      <c r="Q551" s="25"/>
      <c r="R551" s="25"/>
      <c r="S551" s="25"/>
      <c r="T551" s="25"/>
      <c r="U551" s="25"/>
      <c r="V551" s="25"/>
      <c r="W551" s="25"/>
      <c r="X551" s="25"/>
      <c r="Y551" s="25"/>
      <c r="AC551" s="2522">
        <v>2</v>
      </c>
      <c r="AD551" s="2343"/>
      <c r="AE551" s="2343"/>
      <c r="AF551" s="2343"/>
      <c r="AG551" s="75" t="s">
        <v>424</v>
      </c>
      <c r="AH551" s="2341">
        <v>2022</v>
      </c>
      <c r="AI551" s="2341"/>
      <c r="AJ551" s="2341"/>
      <c r="AK551" s="237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46"/>
      <c r="C552" s="2447"/>
      <c r="D552" s="2447"/>
      <c r="E552" s="2447"/>
      <c r="F552" s="2447"/>
      <c r="G552" s="2447"/>
      <c r="H552" s="2448"/>
      <c r="I552" s="25" t="s">
        <v>597</v>
      </c>
      <c r="J552" s="25"/>
      <c r="K552" s="25"/>
      <c r="L552" s="25"/>
      <c r="M552" s="25"/>
      <c r="N552" s="25"/>
      <c r="O552" s="25"/>
      <c r="P552" s="25"/>
      <c r="Q552" s="25"/>
      <c r="R552" s="25"/>
      <c r="S552" s="25"/>
      <c r="T552" s="25"/>
      <c r="U552" s="25"/>
      <c r="V552" s="25"/>
      <c r="W552" s="25"/>
      <c r="X552" s="25"/>
      <c r="Y552" s="25"/>
      <c r="AC552" s="2522">
        <v>8</v>
      </c>
      <c r="AD552" s="2343"/>
      <c r="AE552" s="2343"/>
      <c r="AF552" s="2343"/>
      <c r="AG552" s="65" t="s">
        <v>424</v>
      </c>
      <c r="AH552" s="2341">
        <v>2023</v>
      </c>
      <c r="AI552" s="2341"/>
      <c r="AJ552" s="2341"/>
      <c r="AK552" s="237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46"/>
      <c r="C553" s="2447"/>
      <c r="D553" s="2447"/>
      <c r="E553" s="2447"/>
      <c r="F553" s="2447"/>
      <c r="G553" s="2447"/>
      <c r="H553" s="2448"/>
      <c r="I553" s="25" t="s">
        <v>598</v>
      </c>
      <c r="J553" s="25"/>
      <c r="K553" s="25"/>
      <c r="L553" s="25"/>
      <c r="M553" s="25"/>
      <c r="N553" s="25"/>
      <c r="O553" s="25"/>
      <c r="P553" s="25"/>
      <c r="Q553" s="25"/>
      <c r="R553" s="25"/>
      <c r="S553" s="25"/>
      <c r="T553" s="25"/>
      <c r="U553" s="25"/>
      <c r="V553" s="25"/>
      <c r="W553" s="25"/>
      <c r="X553" s="25"/>
      <c r="Y553" s="25"/>
      <c r="AC553" s="2522">
        <v>8</v>
      </c>
      <c r="AD553" s="2343"/>
      <c r="AE553" s="2343"/>
      <c r="AF553" s="2343"/>
      <c r="AG553" s="65" t="s">
        <v>424</v>
      </c>
      <c r="AH553" s="2341">
        <v>2023</v>
      </c>
      <c r="AI553" s="2341"/>
      <c r="AJ553" s="2341"/>
      <c r="AK553" s="237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49"/>
      <c r="C554" s="2450"/>
      <c r="D554" s="2450"/>
      <c r="E554" s="2450"/>
      <c r="F554" s="2450"/>
      <c r="G554" s="2450"/>
      <c r="H554" s="2451"/>
      <c r="I554" s="80" t="s">
        <v>482</v>
      </c>
      <c r="J554" s="80"/>
      <c r="K554" s="80"/>
      <c r="L554" s="80"/>
      <c r="M554" s="80"/>
      <c r="N554" s="80"/>
      <c r="O554" s="80"/>
      <c r="P554" s="80"/>
      <c r="Q554" s="80"/>
      <c r="R554" s="80"/>
      <c r="S554" s="80"/>
      <c r="T554" s="80"/>
      <c r="U554" s="80"/>
      <c r="V554" s="80"/>
      <c r="W554" s="80"/>
      <c r="X554" s="80"/>
      <c r="Y554" s="80"/>
      <c r="Z554" s="80"/>
      <c r="AA554" s="80"/>
      <c r="AB554" s="80"/>
      <c r="AC554" s="2522">
        <v>11</v>
      </c>
      <c r="AD554" s="2343"/>
      <c r="AE554" s="2343"/>
      <c r="AF554" s="2343"/>
      <c r="AG554" s="65" t="s">
        <v>424</v>
      </c>
      <c r="AH554" s="2341">
        <v>2023</v>
      </c>
      <c r="AI554" s="2341"/>
      <c r="AJ554" s="2341"/>
      <c r="AK554" s="237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7" t="s">
        <v>576</v>
      </c>
      <c r="B556" s="1877"/>
      <c r="C556" s="1877"/>
      <c r="D556" s="1877"/>
      <c r="E556" s="1877"/>
      <c r="F556" s="1877"/>
      <c r="G556" s="1877"/>
      <c r="H556" s="1877"/>
      <c r="I556" s="1877"/>
      <c r="J556" s="1877"/>
      <c r="K556" s="1877"/>
      <c r="L556" s="1877"/>
      <c r="M556" s="1877"/>
      <c r="N556" s="1877"/>
      <c r="O556" s="1877"/>
      <c r="P556" s="1877"/>
      <c r="Q556" s="1877"/>
      <c r="R556" s="1877"/>
      <c r="S556" s="1877"/>
      <c r="T556" s="1877"/>
      <c r="U556" s="1877"/>
      <c r="V556" s="1877"/>
      <c r="W556" s="1877"/>
      <c r="X556" s="1877"/>
      <c r="Y556" s="1877"/>
      <c r="Z556" s="1877"/>
      <c r="AA556" s="1877"/>
      <c r="AB556" s="1877"/>
      <c r="AC556" s="1877"/>
      <c r="AD556" s="1877"/>
      <c r="AE556" s="1877"/>
      <c r="AF556" s="1877"/>
      <c r="AG556" s="1877"/>
      <c r="AH556" s="1877"/>
      <c r="AI556" s="1877"/>
      <c r="AJ556" s="1877"/>
      <c r="AK556" s="1877"/>
      <c r="AL556" s="1877"/>
      <c r="AM556" s="1877"/>
      <c r="AN556" s="1877"/>
      <c r="AO556" s="1877"/>
      <c r="AP556" s="1877"/>
      <c r="AQ556" s="1877"/>
      <c r="AR556" s="1877"/>
      <c r="AS556" s="1877"/>
      <c r="AT556" s="1571"/>
      <c r="AU556" s="1571"/>
      <c r="AV556" s="1571"/>
      <c r="AW556" s="1571"/>
      <c r="AX556" s="1571"/>
      <c r="AY556" s="1571"/>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7"/>
      <c r="B557" s="1877"/>
      <c r="C557" s="1877"/>
      <c r="D557" s="1877"/>
      <c r="E557" s="1877"/>
      <c r="F557" s="1877"/>
      <c r="G557" s="1877"/>
      <c r="H557" s="1877"/>
      <c r="I557" s="1877"/>
      <c r="J557" s="1877"/>
      <c r="K557" s="1877"/>
      <c r="L557" s="1877"/>
      <c r="M557" s="1877"/>
      <c r="N557" s="1877"/>
      <c r="O557" s="1877"/>
      <c r="P557" s="1877"/>
      <c r="Q557" s="1877"/>
      <c r="R557" s="1877"/>
      <c r="S557" s="1877"/>
      <c r="T557" s="1877"/>
      <c r="U557" s="1877"/>
      <c r="V557" s="1877"/>
      <c r="W557" s="1877"/>
      <c r="X557" s="1877"/>
      <c r="Y557" s="1877"/>
      <c r="Z557" s="1877"/>
      <c r="AA557" s="1877"/>
      <c r="AB557" s="1877"/>
      <c r="AC557" s="1877"/>
      <c r="AD557" s="1877"/>
      <c r="AE557" s="1877"/>
      <c r="AF557" s="1877"/>
      <c r="AG557" s="1877"/>
      <c r="AH557" s="1877"/>
      <c r="AI557" s="1877"/>
      <c r="AJ557" s="1877"/>
      <c r="AK557" s="1877"/>
      <c r="AL557" s="1877"/>
      <c r="AM557" s="1877"/>
      <c r="AN557" s="1877"/>
      <c r="AO557" s="1877"/>
      <c r="AP557" s="1877"/>
      <c r="AQ557" s="1877"/>
      <c r="AR557" s="1877"/>
      <c r="AS557" s="1877"/>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49" t="s">
        <v>484</v>
      </c>
      <c r="C563" s="2348"/>
      <c r="D563" s="2348"/>
      <c r="E563" s="2348"/>
      <c r="F563" s="2348"/>
      <c r="G563" s="2348"/>
      <c r="H563" s="2348"/>
      <c r="I563" s="2348"/>
      <c r="J563" s="2348"/>
      <c r="K563" s="2348"/>
      <c r="L563" s="2348"/>
      <c r="M563" s="2348"/>
      <c r="N563" s="2348"/>
      <c r="O563" s="2348"/>
      <c r="P563" s="2349"/>
      <c r="Q563" s="2549" t="s">
        <v>2379</v>
      </c>
      <c r="R563" s="2550"/>
      <c r="S563" s="2557"/>
      <c r="T563" s="2549" t="s">
        <v>2377</v>
      </c>
      <c r="U563" s="2550"/>
      <c r="V563" s="2557"/>
      <c r="W563" s="2549" t="s">
        <v>485</v>
      </c>
      <c r="X563" s="2550"/>
      <c r="Y563" s="2557"/>
      <c r="Z563" s="2549" t="s">
        <v>2378</v>
      </c>
      <c r="AA563" s="2550"/>
      <c r="AB563" s="2550"/>
      <c r="AC563" s="2550"/>
      <c r="AD563" s="2550"/>
      <c r="AE563" s="2549" t="s">
        <v>2151</v>
      </c>
      <c r="AF563" s="2550"/>
      <c r="AG563" s="2550"/>
      <c r="AH563" s="2557"/>
      <c r="AI563" s="2549" t="s">
        <v>2152</v>
      </c>
      <c r="AJ563" s="2550"/>
      <c r="AK563" s="2550"/>
      <c r="AL563" s="2557"/>
      <c r="AM563" s="2549" t="s">
        <v>486</v>
      </c>
      <c r="AN563" s="2550"/>
      <c r="AO563" s="2550"/>
      <c r="AP563" s="2550"/>
      <c r="AQ563" s="2550"/>
      <c r="AR563" s="2550"/>
      <c r="AS563" s="255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1866" t="s">
        <v>2676</v>
      </c>
      <c r="D564" s="1866"/>
      <c r="E564" s="1866"/>
      <c r="F564" s="1866"/>
      <c r="G564" s="1866"/>
      <c r="H564" s="1866"/>
      <c r="I564" s="1866"/>
      <c r="J564" s="1866"/>
      <c r="K564" s="1866"/>
      <c r="L564" s="1866"/>
      <c r="M564" s="1866"/>
      <c r="N564" s="1866"/>
      <c r="O564" s="1866"/>
      <c r="P564" s="1868"/>
      <c r="Q564" s="2073">
        <v>24</v>
      </c>
      <c r="R564" s="2073"/>
      <c r="S564" s="2074"/>
      <c r="T564" s="2072"/>
      <c r="U564" s="2073"/>
      <c r="V564" s="2074"/>
      <c r="W564" s="2057">
        <v>0.04</v>
      </c>
      <c r="X564" s="2058"/>
      <c r="Y564" s="2059"/>
      <c r="Z564" s="2556" t="s">
        <v>2610</v>
      </c>
      <c r="AA564" s="2556"/>
      <c r="AB564" s="2556"/>
      <c r="AC564" s="2556"/>
      <c r="AD564" s="2556"/>
      <c r="AE564" s="2089">
        <v>1</v>
      </c>
      <c r="AF564" s="2090"/>
      <c r="AG564" s="2090"/>
      <c r="AH564" s="2091"/>
      <c r="AI564" s="2546" t="s">
        <v>2612</v>
      </c>
      <c r="AJ564" s="2547"/>
      <c r="AK564" s="2547"/>
      <c r="AL564" s="2548"/>
      <c r="AM564" s="2041">
        <v>13466181</v>
      </c>
      <c r="AN564" s="2042"/>
      <c r="AO564" s="2042"/>
      <c r="AP564" s="2042"/>
      <c r="AQ564" s="2042"/>
      <c r="AR564" s="2042"/>
      <c r="AS564" s="2043"/>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866"/>
      <c r="D565" s="1866"/>
      <c r="E565" s="1866"/>
      <c r="F565" s="1866"/>
      <c r="G565" s="1866"/>
      <c r="H565" s="1866"/>
      <c r="I565" s="1866"/>
      <c r="J565" s="1866"/>
      <c r="K565" s="1866"/>
      <c r="L565" s="1866"/>
      <c r="M565" s="1866"/>
      <c r="N565" s="1866"/>
      <c r="O565" s="1866"/>
      <c r="P565" s="1868"/>
      <c r="Q565" s="2072"/>
      <c r="R565" s="2073"/>
      <c r="S565" s="2074"/>
      <c r="T565" s="2072"/>
      <c r="U565" s="2073"/>
      <c r="V565" s="2074"/>
      <c r="W565" s="2057"/>
      <c r="X565" s="2058"/>
      <c r="Y565" s="2059"/>
      <c r="Z565" s="2556"/>
      <c r="AA565" s="2556"/>
      <c r="AB565" s="2556"/>
      <c r="AC565" s="2556"/>
      <c r="AD565" s="2556"/>
      <c r="AE565" s="2089"/>
      <c r="AF565" s="2090"/>
      <c r="AG565" s="2090"/>
      <c r="AH565" s="2091"/>
      <c r="AI565" s="2546"/>
      <c r="AJ565" s="2547"/>
      <c r="AK565" s="2547"/>
      <c r="AL565" s="2548"/>
      <c r="AM565" s="2041"/>
      <c r="AN565" s="2042"/>
      <c r="AO565" s="2042"/>
      <c r="AP565" s="2042"/>
      <c r="AQ565" s="2042"/>
      <c r="AR565" s="2042"/>
      <c r="AS565" s="204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1866" t="s">
        <v>2675</v>
      </c>
      <c r="D566" s="1866"/>
      <c r="E566" s="1866"/>
      <c r="F566" s="1866"/>
      <c r="G566" s="1866"/>
      <c r="H566" s="1866"/>
      <c r="I566" s="1866"/>
      <c r="J566" s="1866"/>
      <c r="K566" s="1866"/>
      <c r="L566" s="1866"/>
      <c r="M566" s="1866"/>
      <c r="N566" s="1866"/>
      <c r="O566" s="1866"/>
      <c r="P566" s="1868"/>
      <c r="Q566" s="2072">
        <v>24</v>
      </c>
      <c r="R566" s="2073"/>
      <c r="S566" s="2074"/>
      <c r="T566" s="2072"/>
      <c r="U566" s="2073"/>
      <c r="V566" s="2074"/>
      <c r="W566" s="2057">
        <v>4.4999999999999998E-2</v>
      </c>
      <c r="X566" s="2058"/>
      <c r="Y566" s="2059"/>
      <c r="Z566" s="2556" t="s">
        <v>2610</v>
      </c>
      <c r="AA566" s="2556"/>
      <c r="AB566" s="2556"/>
      <c r="AC566" s="2556"/>
      <c r="AD566" s="2556"/>
      <c r="AE566" s="2089">
        <v>1</v>
      </c>
      <c r="AF566" s="2090"/>
      <c r="AG566" s="2090"/>
      <c r="AH566" s="2091"/>
      <c r="AI566" s="2546" t="s">
        <v>2612</v>
      </c>
      <c r="AJ566" s="2547"/>
      <c r="AK566" s="2547"/>
      <c r="AL566" s="2548"/>
      <c r="AM566" s="2041">
        <v>8933819</v>
      </c>
      <c r="AN566" s="2042"/>
      <c r="AO566" s="2042"/>
      <c r="AP566" s="2042"/>
      <c r="AQ566" s="2042"/>
      <c r="AR566" s="2042"/>
      <c r="AS566" s="204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1876" t="s">
        <v>2606</v>
      </c>
      <c r="D567" s="1866"/>
      <c r="E567" s="1866"/>
      <c r="F567" s="1866"/>
      <c r="G567" s="1866"/>
      <c r="H567" s="1866"/>
      <c r="I567" s="1866"/>
      <c r="J567" s="1866"/>
      <c r="K567" s="1866"/>
      <c r="L567" s="1866"/>
      <c r="M567" s="1866"/>
      <c r="N567" s="1866"/>
      <c r="O567" s="1866"/>
      <c r="P567" s="1868"/>
      <c r="Q567" s="2072">
        <v>660</v>
      </c>
      <c r="R567" s="2073"/>
      <c r="S567" s="2074"/>
      <c r="T567" s="2072"/>
      <c r="U567" s="2073"/>
      <c r="V567" s="2074"/>
      <c r="W567" s="2057">
        <v>0.03</v>
      </c>
      <c r="X567" s="2058"/>
      <c r="Y567" s="2059"/>
      <c r="Z567" s="2556" t="s">
        <v>2611</v>
      </c>
      <c r="AA567" s="2556"/>
      <c r="AB567" s="2556"/>
      <c r="AC567" s="2556"/>
      <c r="AD567" s="2556"/>
      <c r="AE567" s="2089">
        <v>2</v>
      </c>
      <c r="AF567" s="2090"/>
      <c r="AG567" s="2090"/>
      <c r="AH567" s="2091"/>
      <c r="AI567" s="2546" t="s">
        <v>491</v>
      </c>
      <c r="AJ567" s="2547"/>
      <c r="AK567" s="2547"/>
      <c r="AL567" s="2548"/>
      <c r="AM567" s="2041">
        <v>2519696</v>
      </c>
      <c r="AN567" s="2042"/>
      <c r="AO567" s="2042"/>
      <c r="AP567" s="2042"/>
      <c r="AQ567" s="2042"/>
      <c r="AR567" s="2042"/>
      <c r="AS567" s="204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1876" t="s">
        <v>2607</v>
      </c>
      <c r="D568" s="1866"/>
      <c r="E568" s="1866"/>
      <c r="F568" s="1866"/>
      <c r="G568" s="1866"/>
      <c r="H568" s="1866"/>
      <c r="I568" s="1866"/>
      <c r="J568" s="1866"/>
      <c r="K568" s="1866"/>
      <c r="L568" s="1866"/>
      <c r="M568" s="1866"/>
      <c r="N568" s="1866"/>
      <c r="O568" s="1866"/>
      <c r="P568" s="1868"/>
      <c r="Q568" s="2072">
        <v>660</v>
      </c>
      <c r="R568" s="2073"/>
      <c r="S568" s="2074"/>
      <c r="T568" s="2072"/>
      <c r="U568" s="2073"/>
      <c r="V568" s="2074"/>
      <c r="W568" s="2057">
        <v>0.03</v>
      </c>
      <c r="X568" s="2058"/>
      <c r="Y568" s="2059"/>
      <c r="Z568" s="2556" t="s">
        <v>2611</v>
      </c>
      <c r="AA568" s="2556"/>
      <c r="AB568" s="2556"/>
      <c r="AC568" s="2556"/>
      <c r="AD568" s="2556"/>
      <c r="AE568" s="2089">
        <v>3</v>
      </c>
      <c r="AF568" s="2090"/>
      <c r="AG568" s="2090"/>
      <c r="AH568" s="2091"/>
      <c r="AI568" s="2546" t="s">
        <v>491</v>
      </c>
      <c r="AJ568" s="2547"/>
      <c r="AK568" s="2547"/>
      <c r="AL568" s="2548"/>
      <c r="AM568" s="2041">
        <v>792060</v>
      </c>
      <c r="AN568" s="2042"/>
      <c r="AO568" s="2042"/>
      <c r="AP568" s="2042"/>
      <c r="AQ568" s="2042"/>
      <c r="AR568" s="2042"/>
      <c r="AS568" s="204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1876" t="s">
        <v>2608</v>
      </c>
      <c r="D569" s="1866"/>
      <c r="E569" s="1866"/>
      <c r="F569" s="1866"/>
      <c r="G569" s="1866"/>
      <c r="H569" s="1866"/>
      <c r="I569" s="1866"/>
      <c r="J569" s="1866"/>
      <c r="K569" s="1866"/>
      <c r="L569" s="1866"/>
      <c r="M569" s="1866"/>
      <c r="N569" s="1866"/>
      <c r="O569" s="1866"/>
      <c r="P569" s="1868"/>
      <c r="Q569" s="2072"/>
      <c r="R569" s="2073"/>
      <c r="S569" s="2074"/>
      <c r="T569" s="2072"/>
      <c r="U569" s="2073"/>
      <c r="V569" s="2074"/>
      <c r="W569" s="2057"/>
      <c r="X569" s="2058"/>
      <c r="Y569" s="2059"/>
      <c r="Z569" s="2556" t="s">
        <v>626</v>
      </c>
      <c r="AA569" s="2556"/>
      <c r="AB569" s="2556"/>
      <c r="AC569" s="2556"/>
      <c r="AD569" s="2556"/>
      <c r="AE569" s="2089"/>
      <c r="AF569" s="2090"/>
      <c r="AG569" s="2090"/>
      <c r="AH569" s="2091"/>
      <c r="AI569" s="2546"/>
      <c r="AJ569" s="2547"/>
      <c r="AK569" s="2547"/>
      <c r="AL569" s="2548"/>
      <c r="AM569" s="2041">
        <v>1526442</v>
      </c>
      <c r="AN569" s="2042"/>
      <c r="AO569" s="2042"/>
      <c r="AP569" s="2042"/>
      <c r="AQ569" s="2042"/>
      <c r="AR569" s="2042"/>
      <c r="AS569" s="204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79" t="s">
        <v>2609</v>
      </c>
      <c r="D570" s="2079"/>
      <c r="E570" s="2079"/>
      <c r="F570" s="2079"/>
      <c r="G570" s="2079"/>
      <c r="H570" s="2079"/>
      <c r="I570" s="2079"/>
      <c r="J570" s="2079"/>
      <c r="K570" s="2079"/>
      <c r="L570" s="2079"/>
      <c r="M570" s="2079"/>
      <c r="N570" s="2079"/>
      <c r="O570" s="2079"/>
      <c r="P570" s="2080"/>
      <c r="Q570" s="2072"/>
      <c r="R570" s="2073"/>
      <c r="S570" s="2074"/>
      <c r="T570" s="2072"/>
      <c r="U570" s="2073"/>
      <c r="V570" s="2074"/>
      <c r="W570" s="2057"/>
      <c r="X570" s="2058"/>
      <c r="Y570" s="2059"/>
      <c r="Z570" s="2556" t="s">
        <v>626</v>
      </c>
      <c r="AA570" s="2556"/>
      <c r="AB570" s="2556"/>
      <c r="AC570" s="2556"/>
      <c r="AD570" s="2556"/>
      <c r="AE570" s="2089"/>
      <c r="AF570" s="2090"/>
      <c r="AG570" s="2090"/>
      <c r="AH570" s="2091"/>
      <c r="AI570" s="2546"/>
      <c r="AJ570" s="2547"/>
      <c r="AK570" s="2547"/>
      <c r="AL570" s="2548"/>
      <c r="AM570" s="2041">
        <f>3055480-15600</f>
        <v>3039880</v>
      </c>
      <c r="AN570" s="2042"/>
      <c r="AO570" s="2042"/>
      <c r="AP570" s="2042"/>
      <c r="AQ570" s="2042"/>
      <c r="AR570" s="2042"/>
      <c r="AS570" s="204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79"/>
      <c r="D571" s="2079"/>
      <c r="E571" s="2079"/>
      <c r="F571" s="2079"/>
      <c r="G571" s="2079"/>
      <c r="H571" s="2079"/>
      <c r="I571" s="2079"/>
      <c r="J571" s="2079"/>
      <c r="K571" s="2079"/>
      <c r="L571" s="2079"/>
      <c r="M571" s="2079"/>
      <c r="N571" s="2079"/>
      <c r="O571" s="2079"/>
      <c r="P571" s="2080"/>
      <c r="Q571" s="2072"/>
      <c r="R571" s="2073"/>
      <c r="S571" s="2074"/>
      <c r="T571" s="2072"/>
      <c r="U571" s="2073"/>
      <c r="V571" s="2074"/>
      <c r="W571" s="2057"/>
      <c r="X571" s="2058"/>
      <c r="Y571" s="2059"/>
      <c r="Z571" s="2556" t="s">
        <v>1384</v>
      </c>
      <c r="AA571" s="2556"/>
      <c r="AB571" s="2556"/>
      <c r="AC571" s="2556"/>
      <c r="AD571" s="2556"/>
      <c r="AE571" s="2089"/>
      <c r="AF571" s="2090"/>
      <c r="AG571" s="2090"/>
      <c r="AH571" s="2091"/>
      <c r="AI571" s="2546"/>
      <c r="AJ571" s="2547"/>
      <c r="AK571" s="2547"/>
      <c r="AL571" s="2548"/>
      <c r="AM571" s="2041"/>
      <c r="AN571" s="2042"/>
      <c r="AO571" s="2042"/>
      <c r="AP571" s="2042"/>
      <c r="AQ571" s="2042"/>
      <c r="AR571" s="2042"/>
      <c r="AS571" s="2043"/>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79"/>
      <c r="D572" s="2079"/>
      <c r="E572" s="2079"/>
      <c r="F572" s="2079"/>
      <c r="G572" s="2079"/>
      <c r="H572" s="2079"/>
      <c r="I572" s="2079"/>
      <c r="J572" s="2079"/>
      <c r="K572" s="2079"/>
      <c r="L572" s="2079"/>
      <c r="M572" s="2079"/>
      <c r="N572" s="2079"/>
      <c r="O572" s="2079"/>
      <c r="P572" s="2080"/>
      <c r="Q572" s="2072"/>
      <c r="R572" s="2073"/>
      <c r="S572" s="2074"/>
      <c r="T572" s="2072"/>
      <c r="U572" s="2073"/>
      <c r="V572" s="2074"/>
      <c r="W572" s="2057"/>
      <c r="X572" s="2058"/>
      <c r="Y572" s="2059"/>
      <c r="Z572" s="2556" t="s">
        <v>1384</v>
      </c>
      <c r="AA572" s="2556"/>
      <c r="AB572" s="2556"/>
      <c r="AC572" s="2556"/>
      <c r="AD572" s="2556"/>
      <c r="AE572" s="2089"/>
      <c r="AF572" s="2090"/>
      <c r="AG572" s="2090"/>
      <c r="AH572" s="2091"/>
      <c r="AI572" s="2546"/>
      <c r="AJ572" s="2547"/>
      <c r="AK572" s="2547"/>
      <c r="AL572" s="2548"/>
      <c r="AM572" s="2041"/>
      <c r="AN572" s="2042"/>
      <c r="AO572" s="2042"/>
      <c r="AP572" s="2042"/>
      <c r="AQ572" s="2042"/>
      <c r="AR572" s="2042"/>
      <c r="AS572" s="2043"/>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79"/>
      <c r="D573" s="2079"/>
      <c r="E573" s="2079"/>
      <c r="F573" s="2079"/>
      <c r="G573" s="2079"/>
      <c r="H573" s="2079"/>
      <c r="I573" s="2079"/>
      <c r="J573" s="2079"/>
      <c r="K573" s="2079"/>
      <c r="L573" s="2079"/>
      <c r="M573" s="2079"/>
      <c r="N573" s="2079"/>
      <c r="O573" s="2079"/>
      <c r="P573" s="2080"/>
      <c r="Q573" s="2072"/>
      <c r="R573" s="2073"/>
      <c r="S573" s="2074"/>
      <c r="T573" s="2072"/>
      <c r="U573" s="2073"/>
      <c r="V573" s="2074"/>
      <c r="W573" s="2057"/>
      <c r="X573" s="2058"/>
      <c r="Y573" s="2059"/>
      <c r="Z573" s="2556" t="s">
        <v>1384</v>
      </c>
      <c r="AA573" s="2556"/>
      <c r="AB573" s="2556"/>
      <c r="AC573" s="2556"/>
      <c r="AD573" s="2556"/>
      <c r="AE573" s="2089"/>
      <c r="AF573" s="2090"/>
      <c r="AG573" s="2090"/>
      <c r="AH573" s="2091"/>
      <c r="AI573" s="2546"/>
      <c r="AJ573" s="2547"/>
      <c r="AK573" s="2547"/>
      <c r="AL573" s="2548"/>
      <c r="AM573" s="2041"/>
      <c r="AN573" s="2042"/>
      <c r="AO573" s="2042"/>
      <c r="AP573" s="2042"/>
      <c r="AQ573" s="2042"/>
      <c r="AR573" s="2042"/>
      <c r="AS573" s="204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79"/>
      <c r="D574" s="2079"/>
      <c r="E574" s="2079"/>
      <c r="F574" s="2079"/>
      <c r="G574" s="2079"/>
      <c r="H574" s="2079"/>
      <c r="I574" s="2079"/>
      <c r="J574" s="2079"/>
      <c r="K574" s="2079"/>
      <c r="L574" s="2079"/>
      <c r="M574" s="2079"/>
      <c r="N574" s="2079"/>
      <c r="O574" s="2079"/>
      <c r="P574" s="2080"/>
      <c r="Q574" s="2072"/>
      <c r="R574" s="2073"/>
      <c r="S574" s="2074"/>
      <c r="T574" s="2072"/>
      <c r="U574" s="2073"/>
      <c r="V574" s="2074"/>
      <c r="W574" s="2057"/>
      <c r="X574" s="2058"/>
      <c r="Y574" s="2059"/>
      <c r="Z574" s="2556" t="s">
        <v>1384</v>
      </c>
      <c r="AA574" s="2556"/>
      <c r="AB574" s="2556"/>
      <c r="AC574" s="2556"/>
      <c r="AD574" s="2556"/>
      <c r="AE574" s="2089"/>
      <c r="AF574" s="2090"/>
      <c r="AG574" s="2090"/>
      <c r="AH574" s="2091"/>
      <c r="AI574" s="2546"/>
      <c r="AJ574" s="2547"/>
      <c r="AK574" s="2547"/>
      <c r="AL574" s="2548"/>
      <c r="AM574" s="2041"/>
      <c r="AN574" s="2042"/>
      <c r="AO574" s="2042"/>
      <c r="AP574" s="2042"/>
      <c r="AQ574" s="2042"/>
      <c r="AR574" s="2042"/>
      <c r="AS574" s="204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79"/>
      <c r="D575" s="2079"/>
      <c r="E575" s="2079"/>
      <c r="F575" s="2079"/>
      <c r="G575" s="2079"/>
      <c r="H575" s="2079"/>
      <c r="I575" s="2079"/>
      <c r="J575" s="2079"/>
      <c r="K575" s="2079"/>
      <c r="L575" s="2079"/>
      <c r="M575" s="2079"/>
      <c r="N575" s="2079"/>
      <c r="O575" s="2079"/>
      <c r="P575" s="2080"/>
      <c r="Q575" s="2072"/>
      <c r="R575" s="2073"/>
      <c r="S575" s="2074"/>
      <c r="T575" s="2072"/>
      <c r="U575" s="2073"/>
      <c r="V575" s="2074"/>
      <c r="W575" s="2057"/>
      <c r="X575" s="2058"/>
      <c r="Y575" s="2059"/>
      <c r="Z575" s="2556" t="s">
        <v>1384</v>
      </c>
      <c r="AA575" s="2556"/>
      <c r="AB575" s="2556"/>
      <c r="AC575" s="2556"/>
      <c r="AD575" s="2556"/>
      <c r="AE575" s="2089"/>
      <c r="AF575" s="2090"/>
      <c r="AG575" s="2090"/>
      <c r="AH575" s="2091"/>
      <c r="AI575" s="2546"/>
      <c r="AJ575" s="2547"/>
      <c r="AK575" s="2547"/>
      <c r="AL575" s="2548"/>
      <c r="AM575" s="2041"/>
      <c r="AN575" s="2042"/>
      <c r="AO575" s="2042"/>
      <c r="AP575" s="2042"/>
      <c r="AQ575" s="2042"/>
      <c r="AR575" s="2042"/>
      <c r="AS575" s="204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28" t="s">
        <v>132</v>
      </c>
      <c r="C576" s="2329"/>
      <c r="D576" s="2329"/>
      <c r="E576" s="2329"/>
      <c r="F576" s="2329"/>
      <c r="G576" s="2329"/>
      <c r="H576" s="2329"/>
      <c r="I576" s="2329"/>
      <c r="J576" s="2329"/>
      <c r="K576" s="2329"/>
      <c r="L576" s="2329"/>
      <c r="M576" s="2329"/>
      <c r="N576" s="2329"/>
      <c r="O576" s="2329"/>
      <c r="P576" s="2329"/>
      <c r="Q576" s="2329"/>
      <c r="R576" s="2329"/>
      <c r="S576" s="2329"/>
      <c r="T576" s="2329"/>
      <c r="U576" s="2441"/>
      <c r="V576" s="2329"/>
      <c r="W576" s="2329"/>
      <c r="X576" s="2329"/>
      <c r="Y576" s="2329"/>
      <c r="Z576" s="2329"/>
      <c r="AA576" s="2329"/>
      <c r="AB576" s="2329"/>
      <c r="AC576" s="2329"/>
      <c r="AD576" s="2329"/>
      <c r="AE576" s="2329"/>
      <c r="AF576" s="2329"/>
      <c r="AG576" s="2329"/>
      <c r="AH576" s="2329"/>
      <c r="AI576" s="2329"/>
      <c r="AJ576" s="2329"/>
      <c r="AK576" s="2329"/>
      <c r="AL576" s="2330"/>
      <c r="AM576" s="2036">
        <f>SUM(AM564:AS575)</f>
        <v>30278078</v>
      </c>
      <c r="AN576" s="2037"/>
      <c r="AO576" s="2037"/>
      <c r="AP576" s="2037"/>
      <c r="AQ576" s="2037"/>
      <c r="AR576" s="2037"/>
      <c r="AS576" s="203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40" t="str">
        <f>C564</f>
        <v>Wells Fargo - Tax Exempt</v>
      </c>
      <c r="H578" s="2040"/>
      <c r="I578" s="2040"/>
      <c r="J578" s="2040"/>
      <c r="K578" s="2040"/>
      <c r="L578" s="2040"/>
      <c r="M578" s="2040"/>
      <c r="N578" s="2040"/>
      <c r="O578" s="2040"/>
      <c r="P578" s="2040"/>
      <c r="Q578" s="2040"/>
      <c r="R578" s="2040"/>
      <c r="S578" s="14"/>
      <c r="T578" s="87" t="s">
        <v>118</v>
      </c>
      <c r="U578" s="12" t="s">
        <v>496</v>
      </c>
      <c r="Z578" s="2040">
        <f>C565</f>
        <v>0</v>
      </c>
      <c r="AA578" s="2040"/>
      <c r="AB578" s="2040"/>
      <c r="AC578" s="2040"/>
      <c r="AD578" s="2040"/>
      <c r="AE578" s="2040"/>
      <c r="AF578" s="2040"/>
      <c r="AG578" s="2040"/>
      <c r="AH578" s="2040"/>
      <c r="AI578" s="2040"/>
      <c r="AJ578" s="2040"/>
      <c r="AK578" s="204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1" t="s">
        <v>2613</v>
      </c>
      <c r="H579" s="2051"/>
      <c r="I579" s="2051"/>
      <c r="J579" s="2051"/>
      <c r="K579" s="2051"/>
      <c r="L579" s="2051"/>
      <c r="M579" s="2051"/>
      <c r="N579" s="2051"/>
      <c r="O579" s="2051"/>
      <c r="P579" s="2051"/>
      <c r="Q579" s="2051"/>
      <c r="R579" s="2051"/>
      <c r="S579" s="14"/>
      <c r="T579" s="35"/>
      <c r="U579" s="12" t="s">
        <v>90</v>
      </c>
      <c r="Z579" s="2051" t="str">
        <f>G579</f>
        <v xml:space="preserve">401 B Street, Suite 1100											</v>
      </c>
      <c r="AA579" s="2051"/>
      <c r="AB579" s="2051"/>
      <c r="AC579" s="2051"/>
      <c r="AD579" s="2051"/>
      <c r="AE579" s="2051"/>
      <c r="AF579" s="2051"/>
      <c r="AG579" s="2051"/>
      <c r="AH579" s="2051"/>
      <c r="AI579" s="2051"/>
      <c r="AJ579" s="2051"/>
      <c r="AK579" s="2051"/>
      <c r="BB579" s="58"/>
      <c r="BC579" s="58"/>
      <c r="BD579" s="58"/>
      <c r="BE579" s="58"/>
      <c r="BF579" s="58"/>
      <c r="BG579" s="58"/>
      <c r="BH579" s="58" t="s">
        <v>487</v>
      </c>
      <c r="BI579" s="58">
        <f>N683</f>
        <v>0</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51" t="s">
        <v>2614</v>
      </c>
      <c r="H580" s="2051"/>
      <c r="I580" s="2051"/>
      <c r="J580" s="2051"/>
      <c r="K580" s="2051"/>
      <c r="L580" s="2051"/>
      <c r="M580" s="2051"/>
      <c r="N580" s="2051"/>
      <c r="O580" s="2051"/>
      <c r="P580" s="2051"/>
      <c r="Q580" s="2051"/>
      <c r="R580" s="2051"/>
      <c r="S580" s="88"/>
      <c r="T580" s="35"/>
      <c r="U580" s="12" t="s">
        <v>615</v>
      </c>
      <c r="Z580" s="2272" t="str">
        <f>G580</f>
        <v xml:space="preserve">San Diego, CA 92101											</v>
      </c>
      <c r="AA580" s="2272"/>
      <c r="AB580" s="2272"/>
      <c r="AC580" s="2272"/>
      <c r="AD580" s="2272"/>
      <c r="AE580" s="2272"/>
      <c r="AF580" s="2272"/>
      <c r="AG580" s="2272"/>
      <c r="AH580" s="2272"/>
      <c r="AI580" s="2272"/>
      <c r="AJ580" s="2272"/>
      <c r="AK580" s="2272"/>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1" t="s">
        <v>2615</v>
      </c>
      <c r="H581" s="2051"/>
      <c r="I581" s="2051"/>
      <c r="J581" s="2051"/>
      <c r="K581" s="2051"/>
      <c r="L581" s="2051"/>
      <c r="M581" s="2051"/>
      <c r="N581" s="2051"/>
      <c r="O581" s="2051"/>
      <c r="P581" s="2051"/>
      <c r="Q581" s="2051"/>
      <c r="R581" s="2051"/>
      <c r="S581" s="14"/>
      <c r="T581" s="35"/>
      <c r="U581" s="12" t="s">
        <v>17</v>
      </c>
      <c r="Z581" s="2272" t="str">
        <f>G581</f>
        <v xml:space="preserve">Paul Shipstead											</v>
      </c>
      <c r="AA581" s="2272"/>
      <c r="AB581" s="2272"/>
      <c r="AC581" s="2272"/>
      <c r="AD581" s="2272"/>
      <c r="AE581" s="2272"/>
      <c r="AF581" s="2272"/>
      <c r="AG581" s="2272"/>
      <c r="AH581" s="2272"/>
      <c r="AI581" s="2272"/>
      <c r="AJ581" s="2272"/>
      <c r="AK581" s="227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71" t="s">
        <v>2616</v>
      </c>
      <c r="H582" s="2271"/>
      <c r="I582" s="2271"/>
      <c r="J582" s="2271"/>
      <c r="K582" s="2271"/>
      <c r="L582" s="2271"/>
      <c r="O582" s="137" t="s">
        <v>212</v>
      </c>
      <c r="P582" s="2088"/>
      <c r="Q582" s="2088"/>
      <c r="R582" s="2088"/>
      <c r="S582" s="16"/>
      <c r="T582" s="35"/>
      <c r="U582" s="12" t="s">
        <v>325</v>
      </c>
      <c r="Z582" s="2271" t="str">
        <f>G582</f>
        <v xml:space="preserve">(619) 699-3135			</v>
      </c>
      <c r="AA582" s="2271"/>
      <c r="AB582" s="2271"/>
      <c r="AC582" s="2271"/>
      <c r="AD582" s="2271"/>
      <c r="AE582" s="2271"/>
      <c r="AH582" s="137" t="s">
        <v>212</v>
      </c>
      <c r="AI582" s="2088"/>
      <c r="AJ582" s="2088"/>
      <c r="AK582" s="208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1" t="s">
        <v>2617</v>
      </c>
      <c r="I583" s="2051"/>
      <c r="J583" s="2051"/>
      <c r="K583" s="2051"/>
      <c r="L583" s="2051"/>
      <c r="M583" s="2051"/>
      <c r="N583" s="2051"/>
      <c r="O583" s="2051"/>
      <c r="P583" s="2051"/>
      <c r="Q583" s="2051"/>
      <c r="R583" s="2051"/>
      <c r="S583" s="14"/>
      <c r="T583" s="35"/>
      <c r="U583" s="12" t="s">
        <v>18</v>
      </c>
      <c r="AA583" s="2051" t="s">
        <v>2619</v>
      </c>
      <c r="AB583" s="2051"/>
      <c r="AC583" s="2051"/>
      <c r="AD583" s="2051"/>
      <c r="AE583" s="2051"/>
      <c r="AF583" s="2051"/>
      <c r="AG583" s="2051"/>
      <c r="AH583" s="2051"/>
      <c r="AI583" s="2051"/>
      <c r="AJ583" s="2051"/>
      <c r="AK583" s="205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1385</v>
      </c>
      <c r="C584" s="718"/>
      <c r="D584" s="718"/>
      <c r="E584" s="718"/>
      <c r="F584" s="718"/>
      <c r="G584" s="718"/>
      <c r="H584" s="14"/>
      <c r="I584" s="14"/>
      <c r="J584" s="14"/>
      <c r="K584" s="14"/>
      <c r="L584" s="14"/>
      <c r="M584" s="2421" t="s">
        <v>2618</v>
      </c>
      <c r="N584" s="2421"/>
      <c r="O584" s="2421"/>
      <c r="P584" s="2421"/>
      <c r="Q584" s="2421"/>
      <c r="R584" s="2421"/>
      <c r="S584" s="14"/>
      <c r="T584" s="35"/>
      <c r="U584" s="508" t="s">
        <v>1385</v>
      </c>
      <c r="V584" s="718"/>
      <c r="W584" s="718"/>
      <c r="X584" s="718"/>
      <c r="Y584" s="718"/>
      <c r="Z584" s="718"/>
      <c r="AA584" s="14"/>
      <c r="AB584" s="14"/>
      <c r="AC584" s="14"/>
      <c r="AD584" s="14"/>
      <c r="AE584" s="14"/>
      <c r="AF584" s="2421" t="str">
        <f>M584</f>
        <v>LIBOR</v>
      </c>
      <c r="AG584" s="2421"/>
      <c r="AH584" s="2421"/>
      <c r="AI584" s="2421"/>
      <c r="AJ584" s="2421"/>
      <c r="AK584" s="2421"/>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0" t="s">
        <v>578</v>
      </c>
      <c r="O585" s="2050"/>
      <c r="T585" s="35"/>
      <c r="U585" s="12" t="s">
        <v>20</v>
      </c>
      <c r="AG585" s="2050" t="str">
        <f>N585</f>
        <v>Yes</v>
      </c>
      <c r="AH585" s="205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40" t="str">
        <f>C566</f>
        <v>Wells Fargo - Taxable</v>
      </c>
      <c r="H587" s="2040"/>
      <c r="I587" s="2040"/>
      <c r="J587" s="2040"/>
      <c r="K587" s="2040"/>
      <c r="L587" s="2040"/>
      <c r="M587" s="2040"/>
      <c r="N587" s="2040"/>
      <c r="O587" s="2040"/>
      <c r="P587" s="2040"/>
      <c r="Q587" s="2040"/>
      <c r="R587" s="2040"/>
      <c r="T587" s="87" t="s">
        <v>616</v>
      </c>
      <c r="U587" s="12" t="s">
        <v>496</v>
      </c>
      <c r="Z587" s="2040" t="str">
        <f>C567</f>
        <v>CalHFA SNHP</v>
      </c>
      <c r="AA587" s="2040"/>
      <c r="AB587" s="2040"/>
      <c r="AC587" s="2040"/>
      <c r="AD587" s="2040"/>
      <c r="AE587" s="2040"/>
      <c r="AF587" s="2040"/>
      <c r="AG587" s="2040"/>
      <c r="AH587" s="2040"/>
      <c r="AI587" s="2040"/>
      <c r="AJ587" s="2040"/>
      <c r="AK587" s="204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 r="A588" s="35"/>
      <c r="B588" s="12" t="s">
        <v>90</v>
      </c>
      <c r="G588" s="2051" t="s">
        <v>2613</v>
      </c>
      <c r="H588" s="2051"/>
      <c r="I588" s="2051"/>
      <c r="J588" s="2051"/>
      <c r="K588" s="2051"/>
      <c r="L588" s="2051"/>
      <c r="M588" s="2051"/>
      <c r="N588" s="2051"/>
      <c r="O588" s="2051"/>
      <c r="P588" s="2051"/>
      <c r="Q588" s="2051"/>
      <c r="R588" s="2051"/>
      <c r="T588" s="35"/>
      <c r="U588" s="12" t="s">
        <v>90</v>
      </c>
      <c r="Z588" s="2051" t="s">
        <v>2620</v>
      </c>
      <c r="AA588" s="2051"/>
      <c r="AB588" s="2051"/>
      <c r="AC588" s="2051"/>
      <c r="AD588" s="2051"/>
      <c r="AE588" s="2051"/>
      <c r="AF588" s="2051"/>
      <c r="AG588" s="2051"/>
      <c r="AH588" s="2051"/>
      <c r="AI588" s="2051"/>
      <c r="AJ588" s="2051"/>
      <c r="AK588" s="205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 r="A589" s="35"/>
      <c r="B589" s="12" t="s">
        <v>615</v>
      </c>
      <c r="G589" s="2051" t="s">
        <v>2614</v>
      </c>
      <c r="H589" s="2051"/>
      <c r="I589" s="2051"/>
      <c r="J589" s="2051"/>
      <c r="K589" s="2051"/>
      <c r="L589" s="2051"/>
      <c r="M589" s="2051"/>
      <c r="N589" s="2051"/>
      <c r="O589" s="2051"/>
      <c r="P589" s="2051"/>
      <c r="Q589" s="2051"/>
      <c r="R589" s="2051"/>
      <c r="T589" s="35"/>
      <c r="U589" s="12" t="s">
        <v>615</v>
      </c>
      <c r="Z589" s="2272" t="s">
        <v>2621</v>
      </c>
      <c r="AA589" s="2272"/>
      <c r="AB589" s="2272"/>
      <c r="AC589" s="2272"/>
      <c r="AD589" s="2272"/>
      <c r="AE589" s="2272"/>
      <c r="AF589" s="2272"/>
      <c r="AG589" s="2272"/>
      <c r="AH589" s="2272"/>
      <c r="AI589" s="2272"/>
      <c r="AJ589" s="2272"/>
      <c r="AK589" s="227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 r="A590" s="35"/>
      <c r="B590" s="12" t="s">
        <v>17</v>
      </c>
      <c r="G590" s="2051" t="s">
        <v>2615</v>
      </c>
      <c r="H590" s="2051"/>
      <c r="I590" s="2051"/>
      <c r="J590" s="2051"/>
      <c r="K590" s="2051"/>
      <c r="L590" s="2051"/>
      <c r="M590" s="2051"/>
      <c r="N590" s="2051"/>
      <c r="O590" s="2051"/>
      <c r="P590" s="2051"/>
      <c r="Q590" s="2051"/>
      <c r="R590" s="2051"/>
      <c r="T590" s="35"/>
      <c r="U590" s="12" t="s">
        <v>17</v>
      </c>
      <c r="Z590" s="2272" t="s">
        <v>2622</v>
      </c>
      <c r="AA590" s="2272"/>
      <c r="AB590" s="2272"/>
      <c r="AC590" s="2272"/>
      <c r="AD590" s="2272"/>
      <c r="AE590" s="2272"/>
      <c r="AF590" s="2272"/>
      <c r="AG590" s="2272"/>
      <c r="AH590" s="2272"/>
      <c r="AI590" s="2272"/>
      <c r="AJ590" s="2272"/>
      <c r="AK590" s="227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71" t="s">
        <v>2616</v>
      </c>
      <c r="H591" s="2271"/>
      <c r="I591" s="2271"/>
      <c r="J591" s="2271"/>
      <c r="K591" s="2271"/>
      <c r="L591" s="2271"/>
      <c r="O591" s="137" t="s">
        <v>212</v>
      </c>
      <c r="P591" s="2088"/>
      <c r="Q591" s="2088"/>
      <c r="R591" s="2088"/>
      <c r="T591" s="35"/>
      <c r="U591" s="12" t="s">
        <v>325</v>
      </c>
      <c r="Z591" s="2271" t="s">
        <v>2623</v>
      </c>
      <c r="AA591" s="2271"/>
      <c r="AB591" s="2271"/>
      <c r="AC591" s="2271"/>
      <c r="AD591" s="2271"/>
      <c r="AE591" s="2271"/>
      <c r="AH591" s="137" t="s">
        <v>212</v>
      </c>
      <c r="AI591" s="2088"/>
      <c r="AJ591" s="2088"/>
      <c r="AK591" s="208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1" t="s">
        <v>2693</v>
      </c>
      <c r="I592" s="2051"/>
      <c r="J592" s="2051"/>
      <c r="K592" s="2051"/>
      <c r="L592" s="2051"/>
      <c r="M592" s="2051"/>
      <c r="N592" s="2051"/>
      <c r="O592" s="2051"/>
      <c r="P592" s="2051"/>
      <c r="Q592" s="2051"/>
      <c r="R592" s="2051"/>
      <c r="T592" s="35"/>
      <c r="U592" s="12" t="s">
        <v>18</v>
      </c>
      <c r="AA592" s="1863" t="s">
        <v>2629</v>
      </c>
      <c r="AB592" s="1863"/>
      <c r="AC592" s="1863"/>
      <c r="AD592" s="1863"/>
      <c r="AE592" s="1863"/>
      <c r="AF592" s="1863"/>
      <c r="AG592" s="1863"/>
      <c r="AH592" s="1863"/>
      <c r="AI592" s="1863"/>
      <c r="AJ592" s="1863"/>
      <c r="AK592" s="186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0" t="s">
        <v>578</v>
      </c>
      <c r="O593" s="2050"/>
      <c r="T593" s="35"/>
      <c r="U593" s="12" t="s">
        <v>20</v>
      </c>
      <c r="AG593" s="2050" t="s">
        <v>578</v>
      </c>
      <c r="AH593" s="205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40" t="str">
        <f>C568</f>
        <v>OCHFT</v>
      </c>
      <c r="H595" s="2040"/>
      <c r="I595" s="2040"/>
      <c r="J595" s="2040"/>
      <c r="K595" s="2040"/>
      <c r="L595" s="2040"/>
      <c r="M595" s="2040"/>
      <c r="N595" s="2040"/>
      <c r="O595" s="2040"/>
      <c r="P595" s="2040"/>
      <c r="Q595" s="2040"/>
      <c r="R595" s="2040"/>
      <c r="T595" s="87" t="s">
        <v>619</v>
      </c>
      <c r="U595" s="12" t="s">
        <v>496</v>
      </c>
      <c r="Z595" s="2040" t="str">
        <f>C569</f>
        <v>Deferred Costs</v>
      </c>
      <c r="AA595" s="2040"/>
      <c r="AB595" s="2040"/>
      <c r="AC595" s="2040"/>
      <c r="AD595" s="2040"/>
      <c r="AE595" s="2040"/>
      <c r="AF595" s="2040"/>
      <c r="AG595" s="2040"/>
      <c r="AH595" s="2040"/>
      <c r="AI595" s="2040"/>
      <c r="AJ595" s="2040"/>
      <c r="AK595" s="204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1" t="s">
        <v>2625</v>
      </c>
      <c r="H596" s="2051"/>
      <c r="I596" s="2051"/>
      <c r="J596" s="2051"/>
      <c r="K596" s="2051"/>
      <c r="L596" s="2051"/>
      <c r="M596" s="2051"/>
      <c r="N596" s="2051"/>
      <c r="O596" s="2051"/>
      <c r="P596" s="2051"/>
      <c r="Q596" s="2051"/>
      <c r="R596" s="2051"/>
      <c r="T596" s="35"/>
      <c r="U596" s="12" t="s">
        <v>90</v>
      </c>
      <c r="Z596" s="2051" t="s">
        <v>2537</v>
      </c>
      <c r="AA596" s="2051"/>
      <c r="AB596" s="2051"/>
      <c r="AC596" s="2051"/>
      <c r="AD596" s="2051"/>
      <c r="AE596" s="2051"/>
      <c r="AF596" s="2051"/>
      <c r="AG596" s="2051"/>
      <c r="AH596" s="2051"/>
      <c r="AI596" s="2051"/>
      <c r="AJ596" s="2051"/>
      <c r="AK596" s="205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272" t="s">
        <v>2626</v>
      </c>
      <c r="H597" s="2272"/>
      <c r="I597" s="2272"/>
      <c r="J597" s="2272"/>
      <c r="K597" s="2272"/>
      <c r="L597" s="2272"/>
      <c r="M597" s="2272"/>
      <c r="N597" s="2272"/>
      <c r="O597" s="2272"/>
      <c r="P597" s="2272"/>
      <c r="Q597" s="2272"/>
      <c r="R597" s="2272"/>
      <c r="T597" s="35"/>
      <c r="U597" s="12" t="s">
        <v>615</v>
      </c>
      <c r="Z597" s="2272" t="s">
        <v>2538</v>
      </c>
      <c r="AA597" s="2272"/>
      <c r="AB597" s="2272"/>
      <c r="AC597" s="2272"/>
      <c r="AD597" s="2272"/>
      <c r="AE597" s="2272"/>
      <c r="AF597" s="2272"/>
      <c r="AG597" s="2272"/>
      <c r="AH597" s="2272"/>
      <c r="AI597" s="2272"/>
      <c r="AJ597" s="2272"/>
      <c r="AK597" s="227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272" t="s">
        <v>2627</v>
      </c>
      <c r="H598" s="2272"/>
      <c r="I598" s="2272"/>
      <c r="J598" s="2272"/>
      <c r="K598" s="2272"/>
      <c r="L598" s="2272"/>
      <c r="M598" s="2272"/>
      <c r="N598" s="2272"/>
      <c r="O598" s="2272"/>
      <c r="P598" s="2272"/>
      <c r="Q598" s="2272"/>
      <c r="R598" s="2272"/>
      <c r="T598" s="35"/>
      <c r="U598" s="12" t="s">
        <v>17</v>
      </c>
      <c r="Z598" s="2272" t="s">
        <v>2673</v>
      </c>
      <c r="AA598" s="2272"/>
      <c r="AB598" s="2272"/>
      <c r="AC598" s="2272"/>
      <c r="AD598" s="2272"/>
      <c r="AE598" s="2272"/>
      <c r="AF598" s="2272"/>
      <c r="AG598" s="2272"/>
      <c r="AH598" s="2272"/>
      <c r="AI598" s="2272"/>
      <c r="AJ598" s="2272"/>
      <c r="AK598" s="227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71" t="s">
        <v>2628</v>
      </c>
      <c r="H599" s="2271"/>
      <c r="I599" s="2271"/>
      <c r="J599" s="2271"/>
      <c r="K599" s="2271"/>
      <c r="L599" s="2271"/>
      <c r="O599" s="137" t="s">
        <v>212</v>
      </c>
      <c r="P599" s="2088"/>
      <c r="Q599" s="2088"/>
      <c r="R599" s="2088"/>
      <c r="T599" s="35"/>
      <c r="U599" s="12" t="s">
        <v>325</v>
      </c>
      <c r="Z599" s="2305" t="s">
        <v>2566</v>
      </c>
      <c r="AA599" s="2271"/>
      <c r="AB599" s="2271"/>
      <c r="AC599" s="2271"/>
      <c r="AD599" s="2271"/>
      <c r="AE599" s="2271"/>
      <c r="AH599" s="137" t="s">
        <v>212</v>
      </c>
      <c r="AI599" s="2088"/>
      <c r="AJ599" s="2088"/>
      <c r="AK599" s="208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1" t="s">
        <v>2629</v>
      </c>
      <c r="I600" s="2051"/>
      <c r="J600" s="2051"/>
      <c r="K600" s="2051"/>
      <c r="L600" s="2051"/>
      <c r="M600" s="2051"/>
      <c r="N600" s="2051"/>
      <c r="O600" s="2051"/>
      <c r="P600" s="2051"/>
      <c r="Q600" s="2051"/>
      <c r="R600" s="2051"/>
      <c r="T600" s="35"/>
      <c r="U600" s="12" t="s">
        <v>18</v>
      </c>
      <c r="AA600" s="2051" t="s">
        <v>2608</v>
      </c>
      <c r="AB600" s="2051"/>
      <c r="AC600" s="2051"/>
      <c r="AD600" s="2051"/>
      <c r="AE600" s="2051"/>
      <c r="AF600" s="2051"/>
      <c r="AG600" s="2051"/>
      <c r="AH600" s="2051"/>
      <c r="AI600" s="2051"/>
      <c r="AJ600" s="2051"/>
      <c r="AK600" s="205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0" t="s">
        <v>578</v>
      </c>
      <c r="O601" s="2050"/>
      <c r="T601" s="35"/>
      <c r="U601" s="12" t="s">
        <v>20</v>
      </c>
      <c r="AG601" s="2050" t="s">
        <v>578</v>
      </c>
      <c r="AH601" s="205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40" t="str">
        <f>C570</f>
        <v>Tax Credit Equity</v>
      </c>
      <c r="H603" s="2040"/>
      <c r="I603" s="2040"/>
      <c r="J603" s="2040"/>
      <c r="K603" s="2040"/>
      <c r="L603" s="2040"/>
      <c r="M603" s="2040"/>
      <c r="N603" s="2040"/>
      <c r="O603" s="2040"/>
      <c r="P603" s="2040"/>
      <c r="Q603" s="2040"/>
      <c r="R603" s="2040"/>
      <c r="T603" s="87" t="s">
        <v>488</v>
      </c>
      <c r="U603" s="12" t="s">
        <v>496</v>
      </c>
      <c r="Z603" s="2040">
        <f>C571</f>
        <v>0</v>
      </c>
      <c r="AA603" s="2040"/>
      <c r="AB603" s="2040"/>
      <c r="AC603" s="2040"/>
      <c r="AD603" s="2040"/>
      <c r="AE603" s="2040"/>
      <c r="AF603" s="2040"/>
      <c r="AG603" s="2040"/>
      <c r="AH603" s="2040"/>
      <c r="AI603" s="2040"/>
      <c r="AJ603" s="2040"/>
      <c r="AK603" s="204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1" t="s">
        <v>2630</v>
      </c>
      <c r="H604" s="2051"/>
      <c r="I604" s="2051"/>
      <c r="J604" s="2051"/>
      <c r="K604" s="2051"/>
      <c r="L604" s="2051"/>
      <c r="M604" s="2051"/>
      <c r="N604" s="2051"/>
      <c r="O604" s="2051"/>
      <c r="P604" s="2051"/>
      <c r="Q604" s="2051"/>
      <c r="R604" s="2051"/>
      <c r="T604" s="35"/>
      <c r="U604" s="12" t="s">
        <v>90</v>
      </c>
      <c r="Z604" s="2051"/>
      <c r="AA604" s="2051"/>
      <c r="AB604" s="2051"/>
      <c r="AC604" s="2051"/>
      <c r="AD604" s="2051"/>
      <c r="AE604" s="2051"/>
      <c r="AF604" s="2051"/>
      <c r="AG604" s="2051"/>
      <c r="AH604" s="2051"/>
      <c r="AI604" s="2051"/>
      <c r="AJ604" s="2051"/>
      <c r="AK604" s="205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51" t="s">
        <v>2631</v>
      </c>
      <c r="H605" s="2051"/>
      <c r="I605" s="2051"/>
      <c r="J605" s="2051"/>
      <c r="K605" s="2051"/>
      <c r="L605" s="2051"/>
      <c r="M605" s="2051"/>
      <c r="N605" s="2051"/>
      <c r="O605" s="2051"/>
      <c r="P605" s="2051"/>
      <c r="Q605" s="2051"/>
      <c r="R605" s="2051"/>
      <c r="T605" s="35"/>
      <c r="U605" s="12" t="s">
        <v>615</v>
      </c>
      <c r="Z605" s="2272"/>
      <c r="AA605" s="2272"/>
      <c r="AB605" s="2272"/>
      <c r="AC605" s="2272"/>
      <c r="AD605" s="2272"/>
      <c r="AE605" s="2272"/>
      <c r="AF605" s="2272"/>
      <c r="AG605" s="2272"/>
      <c r="AH605" s="2272"/>
      <c r="AI605" s="2272"/>
      <c r="AJ605" s="2272"/>
      <c r="AK605" s="227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1" t="s">
        <v>2632</v>
      </c>
      <c r="H606" s="2051"/>
      <c r="I606" s="2051"/>
      <c r="J606" s="2051"/>
      <c r="K606" s="2051"/>
      <c r="L606" s="2051"/>
      <c r="M606" s="2051"/>
      <c r="N606" s="2051"/>
      <c r="O606" s="2051"/>
      <c r="P606" s="2051"/>
      <c r="Q606" s="2051"/>
      <c r="R606" s="2051"/>
      <c r="T606" s="35"/>
      <c r="U606" s="12" t="s">
        <v>17</v>
      </c>
      <c r="Z606" s="2272"/>
      <c r="AA606" s="2272"/>
      <c r="AB606" s="2272"/>
      <c r="AC606" s="2272"/>
      <c r="AD606" s="2272"/>
      <c r="AE606" s="2272"/>
      <c r="AF606" s="2272"/>
      <c r="AG606" s="2272"/>
      <c r="AH606" s="2272"/>
      <c r="AI606" s="2272"/>
      <c r="AJ606" s="2272"/>
      <c r="AK606" s="227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271" t="s">
        <v>2633</v>
      </c>
      <c r="H607" s="2271"/>
      <c r="I607" s="2271"/>
      <c r="J607" s="2271"/>
      <c r="K607" s="2271"/>
      <c r="L607" s="2271"/>
      <c r="M607" s="12"/>
      <c r="N607" s="12"/>
      <c r="O607" s="137" t="s">
        <v>212</v>
      </c>
      <c r="P607" s="2088"/>
      <c r="Q607" s="2088"/>
      <c r="R607" s="2088"/>
      <c r="S607" s="12"/>
      <c r="T607" s="35"/>
      <c r="U607" s="12" t="s">
        <v>325</v>
      </c>
      <c r="V607" s="12"/>
      <c r="W607" s="12"/>
      <c r="X607" s="12"/>
      <c r="Y607" s="12"/>
      <c r="Z607" s="2271"/>
      <c r="AA607" s="2271"/>
      <c r="AB607" s="2271"/>
      <c r="AC607" s="2271"/>
      <c r="AD607" s="2271"/>
      <c r="AE607" s="2271"/>
      <c r="AF607" s="12"/>
      <c r="AG607" s="12"/>
      <c r="AH607" s="137" t="s">
        <v>212</v>
      </c>
      <c r="AI607" s="2088"/>
      <c r="AJ607" s="2088"/>
      <c r="AK607" s="208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1" t="s">
        <v>2609</v>
      </c>
      <c r="I608" s="2051"/>
      <c r="J608" s="2051"/>
      <c r="K608" s="2051"/>
      <c r="L608" s="2051"/>
      <c r="M608" s="2051"/>
      <c r="N608" s="2051"/>
      <c r="O608" s="2051"/>
      <c r="P608" s="2051"/>
      <c r="Q608" s="2051"/>
      <c r="R608" s="2051"/>
      <c r="S608" s="12"/>
      <c r="T608" s="35"/>
      <c r="U608" s="12" t="s">
        <v>18</v>
      </c>
      <c r="V608" s="12"/>
      <c r="W608" s="12"/>
      <c r="X608" s="12"/>
      <c r="Y608" s="12"/>
      <c r="Z608" s="12"/>
      <c r="AA608" s="2051"/>
      <c r="AB608" s="2051"/>
      <c r="AC608" s="2051"/>
      <c r="AD608" s="2051"/>
      <c r="AE608" s="2051"/>
      <c r="AF608" s="2051"/>
      <c r="AG608" s="2051"/>
      <c r="AH608" s="2051"/>
      <c r="AI608" s="2051"/>
      <c r="AJ608" s="2051"/>
      <c r="AK608" s="205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0" t="s">
        <v>578</v>
      </c>
      <c r="O609" s="2050"/>
      <c r="P609" s="12"/>
      <c r="Q609" s="12"/>
      <c r="R609" s="12"/>
      <c r="S609" s="12"/>
      <c r="T609" s="35"/>
      <c r="U609" s="12" t="s">
        <v>20</v>
      </c>
      <c r="V609" s="12"/>
      <c r="W609" s="12"/>
      <c r="X609" s="12"/>
      <c r="Y609" s="12"/>
      <c r="Z609" s="12"/>
      <c r="AA609" s="12"/>
      <c r="AB609" s="12"/>
      <c r="AC609" s="12"/>
      <c r="AD609" s="12"/>
      <c r="AE609" s="12"/>
      <c r="AF609" s="12"/>
      <c r="AG609" s="2050" t="s">
        <v>706</v>
      </c>
      <c r="AH609" s="2050"/>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96"/>
      <c r="BH609" s="2098"/>
      <c r="BI609" s="185" t="s">
        <v>508</v>
      </c>
      <c r="BJ609" s="186"/>
      <c r="BK609" s="2096"/>
      <c r="BL609" s="2098"/>
      <c r="BM609" s="58"/>
      <c r="BN609" s="2186" t="s">
        <v>668</v>
      </c>
      <c r="BO609" s="2187"/>
      <c r="BP609" s="2187"/>
      <c r="BQ609" s="2187"/>
      <c r="BR609" s="2188"/>
      <c r="BS609" s="2108" t="s">
        <v>334</v>
      </c>
      <c r="BT609" s="2108"/>
      <c r="BU609" s="2108"/>
      <c r="BV609" s="2108"/>
      <c r="BW609" s="2108"/>
      <c r="BX609" s="2108" t="s">
        <v>168</v>
      </c>
      <c r="BY609" s="2108"/>
      <c r="BZ609" s="2108"/>
      <c r="CA609" s="2108"/>
      <c r="CB609" s="2108"/>
      <c r="CC609" s="2108" t="s">
        <v>169</v>
      </c>
      <c r="CD609" s="2108"/>
      <c r="CE609" s="2108"/>
      <c r="CF609" s="2108"/>
      <c r="CG609" s="2108"/>
      <c r="CH609" s="2108" t="s">
        <v>493</v>
      </c>
      <c r="CI609" s="2108"/>
      <c r="CJ609" s="2108"/>
      <c r="CK609" s="2108"/>
      <c r="CL609" s="2108"/>
      <c r="CM609" s="2108" t="s">
        <v>31</v>
      </c>
      <c r="CN609" s="2108"/>
      <c r="CO609" s="2108"/>
      <c r="CP609" s="2108"/>
      <c r="CQ609" s="2108"/>
      <c r="CR609" s="1803"/>
      <c r="CS609" s="2108" t="s">
        <v>668</v>
      </c>
      <c r="CT609" s="2108"/>
      <c r="CU609" s="2108"/>
      <c r="CV609" s="2108"/>
      <c r="CW609" s="2108"/>
      <c r="CX609" s="2108" t="s">
        <v>334</v>
      </c>
      <c r="CY609" s="2108"/>
      <c r="CZ609" s="2108"/>
      <c r="DA609" s="2108"/>
      <c r="DB609" s="2108"/>
      <c r="DC609" s="2108" t="s">
        <v>168</v>
      </c>
      <c r="DD609" s="2108"/>
      <c r="DE609" s="2108"/>
      <c r="DF609" s="2108"/>
      <c r="DG609" s="2108"/>
      <c r="DH609" s="2108" t="s">
        <v>169</v>
      </c>
      <c r="DI609" s="2108"/>
      <c r="DJ609" s="2108"/>
      <c r="DK609" s="2108"/>
      <c r="DL609" s="2108"/>
      <c r="DM609" s="2108" t="s">
        <v>493</v>
      </c>
      <c r="DN609" s="2108"/>
      <c r="DO609" s="2108"/>
      <c r="DP609" s="2108"/>
      <c r="DQ609" s="2108"/>
      <c r="DR609" s="2108" t="s">
        <v>31</v>
      </c>
      <c r="DS609" s="2108"/>
      <c r="DT609" s="2108"/>
      <c r="DU609" s="2108"/>
      <c r="DV609" s="2108"/>
      <c r="DX609" s="2108" t="s">
        <v>668</v>
      </c>
      <c r="DY609" s="2108"/>
      <c r="DZ609" s="2108"/>
      <c r="EA609" s="2108"/>
      <c r="EB609" s="2108"/>
      <c r="EC609" s="2108" t="s">
        <v>334</v>
      </c>
      <c r="ED609" s="2108"/>
      <c r="EE609" s="2108"/>
      <c r="EF609" s="2108"/>
      <c r="EG609" s="2108"/>
      <c r="EH609" s="2108" t="s">
        <v>168</v>
      </c>
      <c r="EI609" s="2108"/>
      <c r="EJ609" s="2108"/>
      <c r="EK609" s="2108"/>
      <c r="EL609" s="2108"/>
      <c r="EM609" s="2108" t="s">
        <v>169</v>
      </c>
      <c r="EN609" s="2108"/>
      <c r="EO609" s="2108"/>
      <c r="EP609" s="2108"/>
      <c r="EQ609" s="2108"/>
      <c r="ER609" s="2108" t="s">
        <v>493</v>
      </c>
      <c r="ES609" s="2108"/>
      <c r="ET609" s="2108"/>
      <c r="EU609" s="2108"/>
      <c r="EV609" s="2108"/>
      <c r="EW609" s="2108" t="s">
        <v>31</v>
      </c>
      <c r="EX609" s="2108"/>
      <c r="EY609" s="2108"/>
      <c r="EZ609" s="2108"/>
      <c r="FA609" s="210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52">
        <f t="shared" ref="BE610:BE634" si="0">IF(AND(AH728&lt;=0.5,AH728&gt;=0.36),1,0)</f>
        <v>0</v>
      </c>
      <c r="BF610" s="2054"/>
      <c r="BG610" s="2096">
        <f t="shared" ref="BG610:BG634" si="1">IF(BE610=1,G728,0)</f>
        <v>0</v>
      </c>
      <c r="BH610" s="2098"/>
      <c r="BI610" s="2052">
        <f t="shared" ref="BI610:BI634" si="2">IF(AND(AH728&lt;=0.35,AH728&gt;0),1,0)</f>
        <v>1</v>
      </c>
      <c r="BJ610" s="2054"/>
      <c r="BK610" s="2096">
        <f t="shared" ref="BK610:BK634" si="3">IF(BI610=1,G728,0)</f>
        <v>21</v>
      </c>
      <c r="BL610" s="2098"/>
      <c r="BM610" s="58"/>
      <c r="BN610" s="2029">
        <f t="shared" ref="BN610:BN634" si="4">IF(B728="SRO/Studio",G728,0)</f>
        <v>0</v>
      </c>
      <c r="BO610" s="2030"/>
      <c r="BP610" s="2030"/>
      <c r="BQ610" s="2030"/>
      <c r="BR610" s="2031"/>
      <c r="BS610" s="2035">
        <f t="shared" ref="BS610:BS634" si="5">IF(B728="1 Bedroom",G728,0)</f>
        <v>21</v>
      </c>
      <c r="BT610" s="2035"/>
      <c r="BU610" s="2035"/>
      <c r="BV610" s="2035"/>
      <c r="BW610" s="2035"/>
      <c r="BX610" s="2035">
        <f t="shared" ref="BX610:BX634" si="6">IF(B728="2 Bedrooms",G728,0)</f>
        <v>0</v>
      </c>
      <c r="BY610" s="2035"/>
      <c r="BZ610" s="2035"/>
      <c r="CA610" s="2035"/>
      <c r="CB610" s="2035"/>
      <c r="CC610" s="2035">
        <f t="shared" ref="CC610:CC634" si="7">IF(B728="3 Bedrooms",G728,0)</f>
        <v>0</v>
      </c>
      <c r="CD610" s="2035"/>
      <c r="CE610" s="2035"/>
      <c r="CF610" s="2035"/>
      <c r="CG610" s="2035"/>
      <c r="CH610" s="2035">
        <f t="shared" ref="CH610:CH634" si="8">IF(B728="4 Bedrooms",G728,0)</f>
        <v>0</v>
      </c>
      <c r="CI610" s="2035"/>
      <c r="CJ610" s="2035"/>
      <c r="CK610" s="2035"/>
      <c r="CL610" s="2035"/>
      <c r="CM610" s="2035">
        <f t="shared" ref="CM610:CM634" si="9">IF(B728="5 Bedrooms",G728,0)</f>
        <v>0</v>
      </c>
      <c r="CN610" s="2035"/>
      <c r="CO610" s="2035"/>
      <c r="CP610" s="2035"/>
      <c r="CQ610" s="2035"/>
      <c r="CR610" s="265"/>
      <c r="CS610" s="2056">
        <f t="shared" ref="CS610:CS634" si="10">IF(AND(B728="SRO/Studio",AH728&lt;=0.3),G728,0)</f>
        <v>0</v>
      </c>
      <c r="CT610" s="2056"/>
      <c r="CU610" s="2056"/>
      <c r="CV610" s="2056"/>
      <c r="CW610" s="2056"/>
      <c r="CX610" s="2056">
        <f t="shared" ref="CX610:CX634" si="11">IF(AND(B728="1 Bedroom",AH728&lt;=0.3),G728,0)</f>
        <v>21</v>
      </c>
      <c r="CY610" s="2056"/>
      <c r="CZ610" s="2056"/>
      <c r="DA610" s="2056"/>
      <c r="DB610" s="2056"/>
      <c r="DC610" s="2056">
        <f t="shared" ref="DC610:DC634" si="12">IF(AND(B728="2 Bedrooms",AH728&lt;=0.3),G728,0)</f>
        <v>0</v>
      </c>
      <c r="DD610" s="2056"/>
      <c r="DE610" s="2056"/>
      <c r="DF610" s="2056"/>
      <c r="DG610" s="2056"/>
      <c r="DH610" s="2056">
        <f t="shared" ref="DH610:DH634" si="13">IF(AND(B728="3 Bedrooms",AH728&lt;=0.3),G728,0)</f>
        <v>0</v>
      </c>
      <c r="DI610" s="2056"/>
      <c r="DJ610" s="2056"/>
      <c r="DK610" s="2056"/>
      <c r="DL610" s="2056"/>
      <c r="DM610" s="2056">
        <f t="shared" ref="DM610:DM634" si="14">IF(AND(B728="4 Bedrooms",AH728&lt;=0.3),G728,0)</f>
        <v>0</v>
      </c>
      <c r="DN610" s="2056"/>
      <c r="DO610" s="2056"/>
      <c r="DP610" s="2056"/>
      <c r="DQ610" s="2056"/>
      <c r="DR610" s="2056">
        <f t="shared" ref="DR610:DR634" si="15">IF(AND(B728="5 Bedrooms",AH728&lt;=0.3),G728,0)</f>
        <v>0</v>
      </c>
      <c r="DS610" s="2056"/>
      <c r="DT610" s="2056"/>
      <c r="DU610" s="2056"/>
      <c r="DV610" s="2056"/>
      <c r="DX610" s="2052" t="str">
        <f t="shared" ref="DX610:DX634" si="16">IF(BN610&gt;0,O728," ")</f>
        <v xml:space="preserve"> </v>
      </c>
      <c r="DY610" s="2053"/>
      <c r="DZ610" s="2053"/>
      <c r="EA610" s="2053"/>
      <c r="EB610" s="2054"/>
      <c r="EC610" s="2052">
        <f t="shared" ref="EC610:EC634" si="17">IF(BS610&gt;0,O728," ")</f>
        <v>732</v>
      </c>
      <c r="ED610" s="2053"/>
      <c r="EE610" s="2053"/>
      <c r="EF610" s="2053"/>
      <c r="EG610" s="2054"/>
      <c r="EH610" s="2052" t="str">
        <f t="shared" ref="EH610:EH634" si="18">IF(BX610&gt;0,O728," ")</f>
        <v xml:space="preserve"> </v>
      </c>
      <c r="EI610" s="2053"/>
      <c r="EJ610" s="2053"/>
      <c r="EK610" s="2053"/>
      <c r="EL610" s="2054"/>
      <c r="EM610" s="2052" t="str">
        <f t="shared" ref="EM610:EM634" si="19">IF(CC610&gt;0,O728," ")</f>
        <v xml:space="preserve"> </v>
      </c>
      <c r="EN610" s="2053"/>
      <c r="EO610" s="2053"/>
      <c r="EP610" s="2053"/>
      <c r="EQ610" s="2054"/>
      <c r="ER610" s="2052" t="str">
        <f t="shared" ref="ER610:ER634" si="20">IF(CH610&gt;0,O728," ")</f>
        <v xml:space="preserve"> </v>
      </c>
      <c r="ES610" s="2053"/>
      <c r="ET610" s="2053"/>
      <c r="EU610" s="2053"/>
      <c r="EV610" s="2054"/>
      <c r="EW610" s="2052" t="str">
        <f t="shared" ref="EW610:EW634" si="21">IF(CM610&gt;0,O728," ")</f>
        <v xml:space="preserve"> </v>
      </c>
      <c r="EX610" s="2053"/>
      <c r="EY610" s="2053"/>
      <c r="EZ610" s="2053"/>
      <c r="FA610" s="2054"/>
    </row>
    <row r="611" spans="1:157" s="7" customFormat="1" ht="12.75">
      <c r="A611" s="87" t="s">
        <v>494</v>
      </c>
      <c r="B611" s="12" t="s">
        <v>496</v>
      </c>
      <c r="C611" s="12"/>
      <c r="D611" s="12"/>
      <c r="E611" s="12"/>
      <c r="F611" s="12"/>
      <c r="G611" s="2040">
        <f>C572</f>
        <v>0</v>
      </c>
      <c r="H611" s="2040"/>
      <c r="I611" s="2040"/>
      <c r="J611" s="2040"/>
      <c r="K611" s="2040"/>
      <c r="L611" s="2040"/>
      <c r="M611" s="2040"/>
      <c r="N611" s="2040"/>
      <c r="O611" s="2040"/>
      <c r="P611" s="2040"/>
      <c r="Q611" s="2040"/>
      <c r="R611" s="2040"/>
      <c r="S611" s="12"/>
      <c r="T611" s="87" t="s">
        <v>681</v>
      </c>
      <c r="U611" s="12" t="s">
        <v>496</v>
      </c>
      <c r="V611" s="12"/>
      <c r="W611" s="12"/>
      <c r="X611" s="12"/>
      <c r="Y611" s="12"/>
      <c r="Z611" s="2040">
        <f>C573</f>
        <v>0</v>
      </c>
      <c r="AA611" s="2040"/>
      <c r="AB611" s="2040"/>
      <c r="AC611" s="2040"/>
      <c r="AD611" s="2040"/>
      <c r="AE611" s="2040"/>
      <c r="AF611" s="2040"/>
      <c r="AG611" s="2040"/>
      <c r="AH611" s="2040"/>
      <c r="AI611" s="2040"/>
      <c r="AJ611" s="2040"/>
      <c r="AK611" s="2040"/>
      <c r="AL611" s="12"/>
      <c r="AM611" s="39"/>
      <c r="AN611" s="39"/>
      <c r="AO611" s="39"/>
      <c r="AP611" s="39"/>
      <c r="AQ611" s="39"/>
      <c r="AR611" s="39"/>
      <c r="AS611" s="39"/>
      <c r="AT611" s="39"/>
      <c r="AU611" s="39"/>
      <c r="AV611" s="39"/>
      <c r="AW611" s="39"/>
      <c r="AX611" s="39"/>
      <c r="AY611" s="39"/>
      <c r="BA611" s="7" t="s">
        <v>168</v>
      </c>
      <c r="BB611" s="58"/>
      <c r="BC611" s="58"/>
      <c r="BD611" s="58"/>
      <c r="BE611" s="2052">
        <f t="shared" si="0"/>
        <v>1</v>
      </c>
      <c r="BF611" s="2054"/>
      <c r="BG611" s="2096">
        <f t="shared" si="1"/>
        <v>8</v>
      </c>
      <c r="BH611" s="2098"/>
      <c r="BI611" s="2052">
        <f t="shared" si="2"/>
        <v>0</v>
      </c>
      <c r="BJ611" s="2054"/>
      <c r="BK611" s="2096">
        <f t="shared" si="3"/>
        <v>0</v>
      </c>
      <c r="BL611" s="2098"/>
      <c r="BM611" s="58"/>
      <c r="BN611" s="2029">
        <f t="shared" si="4"/>
        <v>0</v>
      </c>
      <c r="BO611" s="2030"/>
      <c r="BP611" s="2030"/>
      <c r="BQ611" s="2030"/>
      <c r="BR611" s="2031"/>
      <c r="BS611" s="2035">
        <f t="shared" si="5"/>
        <v>8</v>
      </c>
      <c r="BT611" s="2035"/>
      <c r="BU611" s="2035"/>
      <c r="BV611" s="2035"/>
      <c r="BW611" s="2035"/>
      <c r="BX611" s="2035">
        <f t="shared" si="6"/>
        <v>0</v>
      </c>
      <c r="BY611" s="2035"/>
      <c r="BZ611" s="2035"/>
      <c r="CA611" s="2035"/>
      <c r="CB611" s="2035"/>
      <c r="CC611" s="2035">
        <f t="shared" si="7"/>
        <v>0</v>
      </c>
      <c r="CD611" s="2035"/>
      <c r="CE611" s="2035"/>
      <c r="CF611" s="2035"/>
      <c r="CG611" s="2035"/>
      <c r="CH611" s="2035">
        <f t="shared" si="8"/>
        <v>0</v>
      </c>
      <c r="CI611" s="2035"/>
      <c r="CJ611" s="2035"/>
      <c r="CK611" s="2035"/>
      <c r="CL611" s="2035"/>
      <c r="CM611" s="2035">
        <f t="shared" si="9"/>
        <v>0</v>
      </c>
      <c r="CN611" s="2035"/>
      <c r="CO611" s="2035"/>
      <c r="CP611" s="2035"/>
      <c r="CQ611" s="2035"/>
      <c r="CR611" s="265"/>
      <c r="CS611" s="2056">
        <f t="shared" si="10"/>
        <v>0</v>
      </c>
      <c r="CT611" s="2056"/>
      <c r="CU611" s="2056"/>
      <c r="CV611" s="2056"/>
      <c r="CW611" s="2056"/>
      <c r="CX611" s="2056">
        <f t="shared" si="11"/>
        <v>0</v>
      </c>
      <c r="CY611" s="2056"/>
      <c r="CZ611" s="2056"/>
      <c r="DA611" s="2056"/>
      <c r="DB611" s="2056"/>
      <c r="DC611" s="2056">
        <f t="shared" si="12"/>
        <v>0</v>
      </c>
      <c r="DD611" s="2056"/>
      <c r="DE611" s="2056"/>
      <c r="DF611" s="2056"/>
      <c r="DG611" s="2056"/>
      <c r="DH611" s="2056">
        <f t="shared" si="13"/>
        <v>0</v>
      </c>
      <c r="DI611" s="2056"/>
      <c r="DJ611" s="2056"/>
      <c r="DK611" s="2056"/>
      <c r="DL611" s="2056"/>
      <c r="DM611" s="2056">
        <f t="shared" si="14"/>
        <v>0</v>
      </c>
      <c r="DN611" s="2056"/>
      <c r="DO611" s="2056"/>
      <c r="DP611" s="2056"/>
      <c r="DQ611" s="2056"/>
      <c r="DR611" s="2056">
        <f t="shared" si="15"/>
        <v>0</v>
      </c>
      <c r="DS611" s="2056"/>
      <c r="DT611" s="2056"/>
      <c r="DU611" s="2056"/>
      <c r="DV611" s="2056"/>
      <c r="DX611" s="2052" t="str">
        <f t="shared" si="16"/>
        <v xml:space="preserve"> </v>
      </c>
      <c r="DY611" s="2053"/>
      <c r="DZ611" s="2053"/>
      <c r="EA611" s="2053"/>
      <c r="EB611" s="2054"/>
      <c r="EC611" s="2052">
        <f t="shared" si="17"/>
        <v>1111</v>
      </c>
      <c r="ED611" s="2053"/>
      <c r="EE611" s="2053"/>
      <c r="EF611" s="2053"/>
      <c r="EG611" s="2054"/>
      <c r="EH611" s="2052" t="str">
        <f t="shared" si="18"/>
        <v xml:space="preserve"> </v>
      </c>
      <c r="EI611" s="2053"/>
      <c r="EJ611" s="2053"/>
      <c r="EK611" s="2053"/>
      <c r="EL611" s="2054"/>
      <c r="EM611" s="2052" t="str">
        <f t="shared" si="19"/>
        <v xml:space="preserve"> </v>
      </c>
      <c r="EN611" s="2053"/>
      <c r="EO611" s="2053"/>
      <c r="EP611" s="2053"/>
      <c r="EQ611" s="2054"/>
      <c r="ER611" s="2052" t="str">
        <f t="shared" si="20"/>
        <v xml:space="preserve"> </v>
      </c>
      <c r="ES611" s="2053"/>
      <c r="ET611" s="2053"/>
      <c r="EU611" s="2053"/>
      <c r="EV611" s="2054"/>
      <c r="EW611" s="2052" t="str">
        <f t="shared" si="21"/>
        <v xml:space="preserve"> </v>
      </c>
      <c r="EX611" s="2053"/>
      <c r="EY611" s="2053"/>
      <c r="EZ611" s="2053"/>
      <c r="FA611" s="2054"/>
    </row>
    <row r="612" spans="1:157" ht="12.75">
      <c r="A612" s="35"/>
      <c r="B612" s="12" t="s">
        <v>90</v>
      </c>
      <c r="G612" s="2051"/>
      <c r="H612" s="2051"/>
      <c r="I612" s="2051"/>
      <c r="J612" s="2051"/>
      <c r="K612" s="2051"/>
      <c r="L612" s="2051"/>
      <c r="M612" s="2051"/>
      <c r="N612" s="2051"/>
      <c r="O612" s="2051"/>
      <c r="P612" s="2051"/>
      <c r="Q612" s="2051"/>
      <c r="R612" s="2051"/>
      <c r="T612" s="35"/>
      <c r="U612" s="12" t="s">
        <v>90</v>
      </c>
      <c r="Z612" s="2051"/>
      <c r="AA612" s="2051"/>
      <c r="AB612" s="2051"/>
      <c r="AC612" s="2051"/>
      <c r="AD612" s="2051"/>
      <c r="AE612" s="2051"/>
      <c r="AF612" s="2051"/>
      <c r="AG612" s="2051"/>
      <c r="AH612" s="2051"/>
      <c r="AI612" s="2051"/>
      <c r="AJ612" s="2051"/>
      <c r="AK612" s="2051"/>
      <c r="BA612" s="7" t="s">
        <v>169</v>
      </c>
      <c r="BB612" s="58"/>
      <c r="BC612" s="58"/>
      <c r="BD612" s="58"/>
      <c r="BE612" s="2052">
        <f t="shared" si="0"/>
        <v>1</v>
      </c>
      <c r="BF612" s="2054"/>
      <c r="BG612" s="2096">
        <f t="shared" si="1"/>
        <v>16</v>
      </c>
      <c r="BH612" s="2098"/>
      <c r="BI612" s="2052">
        <f t="shared" si="2"/>
        <v>0</v>
      </c>
      <c r="BJ612" s="2054"/>
      <c r="BK612" s="2096">
        <f t="shared" si="3"/>
        <v>0</v>
      </c>
      <c r="BL612" s="2098"/>
      <c r="BM612" s="58"/>
      <c r="BN612" s="2029">
        <f t="shared" si="4"/>
        <v>0</v>
      </c>
      <c r="BO612" s="2030"/>
      <c r="BP612" s="2030"/>
      <c r="BQ612" s="2030"/>
      <c r="BR612" s="2031"/>
      <c r="BS612" s="2035">
        <f t="shared" si="5"/>
        <v>16</v>
      </c>
      <c r="BT612" s="2035"/>
      <c r="BU612" s="2035"/>
      <c r="BV612" s="2035"/>
      <c r="BW612" s="2035"/>
      <c r="BX612" s="2035">
        <f t="shared" si="6"/>
        <v>0</v>
      </c>
      <c r="BY612" s="2035"/>
      <c r="BZ612" s="2035"/>
      <c r="CA612" s="2035"/>
      <c r="CB612" s="2035"/>
      <c r="CC612" s="2035">
        <f t="shared" si="7"/>
        <v>0</v>
      </c>
      <c r="CD612" s="2035"/>
      <c r="CE612" s="2035"/>
      <c r="CF612" s="2035"/>
      <c r="CG612" s="2035"/>
      <c r="CH612" s="2035">
        <f t="shared" si="8"/>
        <v>0</v>
      </c>
      <c r="CI612" s="2035"/>
      <c r="CJ612" s="2035"/>
      <c r="CK612" s="2035"/>
      <c r="CL612" s="2035"/>
      <c r="CM612" s="2035">
        <f t="shared" si="9"/>
        <v>0</v>
      </c>
      <c r="CN612" s="2035"/>
      <c r="CO612" s="2035"/>
      <c r="CP612" s="2035"/>
      <c r="CQ612" s="2035"/>
      <c r="CR612" s="265"/>
      <c r="CS612" s="2056">
        <f t="shared" si="10"/>
        <v>0</v>
      </c>
      <c r="CT612" s="2056"/>
      <c r="CU612" s="2056"/>
      <c r="CV612" s="2056"/>
      <c r="CW612" s="2056"/>
      <c r="CX612" s="2056">
        <f t="shared" si="11"/>
        <v>0</v>
      </c>
      <c r="CY612" s="2056"/>
      <c r="CZ612" s="2056"/>
      <c r="DA612" s="2056"/>
      <c r="DB612" s="2056"/>
      <c r="DC612" s="2056">
        <f t="shared" si="12"/>
        <v>0</v>
      </c>
      <c r="DD612" s="2056"/>
      <c r="DE612" s="2056"/>
      <c r="DF612" s="2056"/>
      <c r="DG612" s="2056"/>
      <c r="DH612" s="2056">
        <f t="shared" si="13"/>
        <v>0</v>
      </c>
      <c r="DI612" s="2056"/>
      <c r="DJ612" s="2056"/>
      <c r="DK612" s="2056"/>
      <c r="DL612" s="2056"/>
      <c r="DM612" s="2056">
        <f t="shared" si="14"/>
        <v>0</v>
      </c>
      <c r="DN612" s="2056"/>
      <c r="DO612" s="2056"/>
      <c r="DP612" s="2056"/>
      <c r="DQ612" s="2056"/>
      <c r="DR612" s="2056">
        <f t="shared" si="15"/>
        <v>0</v>
      </c>
      <c r="DS612" s="2056"/>
      <c r="DT612" s="2056"/>
      <c r="DU612" s="2056"/>
      <c r="DV612" s="2056"/>
      <c r="DX612" s="2052" t="str">
        <f t="shared" si="16"/>
        <v xml:space="preserve"> </v>
      </c>
      <c r="DY612" s="2053"/>
      <c r="DZ612" s="2053"/>
      <c r="EA612" s="2053"/>
      <c r="EB612" s="2054"/>
      <c r="EC612" s="2052">
        <f t="shared" si="17"/>
        <v>1237</v>
      </c>
      <c r="ED612" s="2053"/>
      <c r="EE612" s="2053"/>
      <c r="EF612" s="2053"/>
      <c r="EG612" s="2054"/>
      <c r="EH612" s="2052" t="str">
        <f t="shared" si="18"/>
        <v xml:space="preserve"> </v>
      </c>
      <c r="EI612" s="2053"/>
      <c r="EJ612" s="2053"/>
      <c r="EK612" s="2053"/>
      <c r="EL612" s="2054"/>
      <c r="EM612" s="2052" t="str">
        <f t="shared" si="19"/>
        <v xml:space="preserve"> </v>
      </c>
      <c r="EN612" s="2053"/>
      <c r="EO612" s="2053"/>
      <c r="EP612" s="2053"/>
      <c r="EQ612" s="2054"/>
      <c r="ER612" s="2052" t="str">
        <f t="shared" si="20"/>
        <v xml:space="preserve"> </v>
      </c>
      <c r="ES612" s="2053"/>
      <c r="ET612" s="2053"/>
      <c r="EU612" s="2053"/>
      <c r="EV612" s="2054"/>
      <c r="EW612" s="2052" t="str">
        <f t="shared" si="21"/>
        <v xml:space="preserve"> </v>
      </c>
      <c r="EX612" s="2053"/>
      <c r="EY612" s="2053"/>
      <c r="EZ612" s="2053"/>
      <c r="FA612" s="2054"/>
    </row>
    <row r="613" spans="1:157" ht="12.75">
      <c r="A613" s="35"/>
      <c r="B613" s="12" t="s">
        <v>615</v>
      </c>
      <c r="G613" s="2051"/>
      <c r="H613" s="2051"/>
      <c r="I613" s="2051"/>
      <c r="J613" s="2051"/>
      <c r="K613" s="2051"/>
      <c r="L613" s="2051"/>
      <c r="M613" s="2051"/>
      <c r="N613" s="2051"/>
      <c r="O613" s="2051"/>
      <c r="P613" s="2051"/>
      <c r="Q613" s="2051"/>
      <c r="R613" s="2051"/>
      <c r="T613" s="35"/>
      <c r="U613" s="12" t="s">
        <v>615</v>
      </c>
      <c r="Z613" s="2272"/>
      <c r="AA613" s="2272"/>
      <c r="AB613" s="2272"/>
      <c r="AC613" s="2272"/>
      <c r="AD613" s="2272"/>
      <c r="AE613" s="2272"/>
      <c r="AF613" s="2272"/>
      <c r="AG613" s="2272"/>
      <c r="AH613" s="2272"/>
      <c r="AI613" s="2272"/>
      <c r="AJ613" s="2272"/>
      <c r="AK613" s="2272"/>
      <c r="BA613" s="7" t="s">
        <v>170</v>
      </c>
      <c r="BB613" s="58"/>
      <c r="BC613" s="58"/>
      <c r="BD613" s="58"/>
      <c r="BE613" s="2052">
        <f t="shared" si="0"/>
        <v>0</v>
      </c>
      <c r="BF613" s="2054"/>
      <c r="BG613" s="2096">
        <f t="shared" si="1"/>
        <v>0</v>
      </c>
      <c r="BH613" s="2098"/>
      <c r="BI613" s="2052">
        <f t="shared" si="2"/>
        <v>0</v>
      </c>
      <c r="BJ613" s="2054"/>
      <c r="BK613" s="2096">
        <f t="shared" si="3"/>
        <v>0</v>
      </c>
      <c r="BL613" s="2098"/>
      <c r="BM613" s="58"/>
      <c r="BN613" s="2029">
        <f t="shared" si="4"/>
        <v>0</v>
      </c>
      <c r="BO613" s="2030"/>
      <c r="BP613" s="2030"/>
      <c r="BQ613" s="2030"/>
      <c r="BR613" s="2031"/>
      <c r="BS613" s="2035">
        <f t="shared" si="5"/>
        <v>13</v>
      </c>
      <c r="BT613" s="2035"/>
      <c r="BU613" s="2035"/>
      <c r="BV613" s="2035"/>
      <c r="BW613" s="2035"/>
      <c r="BX613" s="2035">
        <f t="shared" si="6"/>
        <v>0</v>
      </c>
      <c r="BY613" s="2035"/>
      <c r="BZ613" s="2035"/>
      <c r="CA613" s="2035"/>
      <c r="CB613" s="2035"/>
      <c r="CC613" s="2035">
        <f t="shared" si="7"/>
        <v>0</v>
      </c>
      <c r="CD613" s="2035"/>
      <c r="CE613" s="2035"/>
      <c r="CF613" s="2035"/>
      <c r="CG613" s="2035"/>
      <c r="CH613" s="2035">
        <f t="shared" si="8"/>
        <v>0</v>
      </c>
      <c r="CI613" s="2035"/>
      <c r="CJ613" s="2035"/>
      <c r="CK613" s="2035"/>
      <c r="CL613" s="2035"/>
      <c r="CM613" s="2035">
        <f t="shared" si="9"/>
        <v>0</v>
      </c>
      <c r="CN613" s="2035"/>
      <c r="CO613" s="2035"/>
      <c r="CP613" s="2035"/>
      <c r="CQ613" s="2035"/>
      <c r="CR613" s="265"/>
      <c r="CS613" s="2056">
        <f t="shared" si="10"/>
        <v>0</v>
      </c>
      <c r="CT613" s="2056"/>
      <c r="CU613" s="2056"/>
      <c r="CV613" s="2056"/>
      <c r="CW613" s="2056"/>
      <c r="CX613" s="2056">
        <f t="shared" si="11"/>
        <v>0</v>
      </c>
      <c r="CY613" s="2056"/>
      <c r="CZ613" s="2056"/>
      <c r="DA613" s="2056"/>
      <c r="DB613" s="2056"/>
      <c r="DC613" s="2056">
        <f t="shared" si="12"/>
        <v>0</v>
      </c>
      <c r="DD613" s="2056"/>
      <c r="DE613" s="2056"/>
      <c r="DF613" s="2056"/>
      <c r="DG613" s="2056"/>
      <c r="DH613" s="2056">
        <f t="shared" si="13"/>
        <v>0</v>
      </c>
      <c r="DI613" s="2056"/>
      <c r="DJ613" s="2056"/>
      <c r="DK613" s="2056"/>
      <c r="DL613" s="2056"/>
      <c r="DM613" s="2056">
        <f t="shared" si="14"/>
        <v>0</v>
      </c>
      <c r="DN613" s="2056"/>
      <c r="DO613" s="2056"/>
      <c r="DP613" s="2056"/>
      <c r="DQ613" s="2056"/>
      <c r="DR613" s="2056">
        <f t="shared" si="15"/>
        <v>0</v>
      </c>
      <c r="DS613" s="2056"/>
      <c r="DT613" s="2056"/>
      <c r="DU613" s="2056"/>
      <c r="DV613" s="2056"/>
      <c r="DX613" s="2052" t="str">
        <f t="shared" si="16"/>
        <v xml:space="preserve"> </v>
      </c>
      <c r="DY613" s="2053"/>
      <c r="DZ613" s="2053"/>
      <c r="EA613" s="2053"/>
      <c r="EB613" s="2054"/>
      <c r="EC613" s="2052">
        <f t="shared" si="17"/>
        <v>1489</v>
      </c>
      <c r="ED613" s="2053"/>
      <c r="EE613" s="2053"/>
      <c r="EF613" s="2053"/>
      <c r="EG613" s="2054"/>
      <c r="EH613" s="2052" t="str">
        <f t="shared" si="18"/>
        <v xml:space="preserve"> </v>
      </c>
      <c r="EI613" s="2053"/>
      <c r="EJ613" s="2053"/>
      <c r="EK613" s="2053"/>
      <c r="EL613" s="2054"/>
      <c r="EM613" s="2052" t="str">
        <f t="shared" si="19"/>
        <v xml:space="preserve"> </v>
      </c>
      <c r="EN613" s="2053"/>
      <c r="EO613" s="2053"/>
      <c r="EP613" s="2053"/>
      <c r="EQ613" s="2054"/>
      <c r="ER613" s="2052" t="str">
        <f t="shared" si="20"/>
        <v xml:space="preserve"> </v>
      </c>
      <c r="ES613" s="2053"/>
      <c r="ET613" s="2053"/>
      <c r="EU613" s="2053"/>
      <c r="EV613" s="2054"/>
      <c r="EW613" s="2052" t="str">
        <f t="shared" si="21"/>
        <v xml:space="preserve"> </v>
      </c>
      <c r="EX613" s="2053"/>
      <c r="EY613" s="2053"/>
      <c r="EZ613" s="2053"/>
      <c r="FA613" s="2054"/>
    </row>
    <row r="614" spans="1:157" ht="12.75">
      <c r="A614" s="35"/>
      <c r="B614" s="12" t="s">
        <v>17</v>
      </c>
      <c r="G614" s="2051"/>
      <c r="H614" s="2051"/>
      <c r="I614" s="2051"/>
      <c r="J614" s="2051"/>
      <c r="K614" s="2051"/>
      <c r="L614" s="2051"/>
      <c r="M614" s="2051"/>
      <c r="N614" s="2051"/>
      <c r="O614" s="2051"/>
      <c r="P614" s="2051"/>
      <c r="Q614" s="2051"/>
      <c r="R614" s="2051"/>
      <c r="T614" s="35"/>
      <c r="U614" s="12" t="s">
        <v>17</v>
      </c>
      <c r="Z614" s="2272"/>
      <c r="AA614" s="2272"/>
      <c r="AB614" s="2272"/>
      <c r="AC614" s="2272"/>
      <c r="AD614" s="2272"/>
      <c r="AE614" s="2272"/>
      <c r="AF614" s="2272"/>
      <c r="AG614" s="2272"/>
      <c r="AH614" s="2272"/>
      <c r="AI614" s="2272"/>
      <c r="AJ614" s="2272"/>
      <c r="AK614" s="2272"/>
      <c r="BA614" s="7" t="s">
        <v>31</v>
      </c>
      <c r="BB614" s="58"/>
      <c r="BC614" s="58"/>
      <c r="BD614" s="58"/>
      <c r="BE614" s="2052">
        <f t="shared" si="0"/>
        <v>0</v>
      </c>
      <c r="BF614" s="2054"/>
      <c r="BG614" s="2096">
        <f t="shared" si="1"/>
        <v>0</v>
      </c>
      <c r="BH614" s="2098"/>
      <c r="BI614" s="2052">
        <f t="shared" si="2"/>
        <v>1</v>
      </c>
      <c r="BJ614" s="2054"/>
      <c r="BK614" s="2096">
        <f t="shared" si="3"/>
        <v>1</v>
      </c>
      <c r="BL614" s="2098"/>
      <c r="BM614" s="58"/>
      <c r="BN614" s="2029">
        <f t="shared" si="4"/>
        <v>0</v>
      </c>
      <c r="BO614" s="2030"/>
      <c r="BP614" s="2030"/>
      <c r="BQ614" s="2030"/>
      <c r="BR614" s="2031"/>
      <c r="BS614" s="2035">
        <f t="shared" si="5"/>
        <v>0</v>
      </c>
      <c r="BT614" s="2035"/>
      <c r="BU614" s="2035"/>
      <c r="BV614" s="2035"/>
      <c r="BW614" s="2035"/>
      <c r="BX614" s="2035">
        <f t="shared" si="6"/>
        <v>1</v>
      </c>
      <c r="BY614" s="2035"/>
      <c r="BZ614" s="2035"/>
      <c r="CA614" s="2035"/>
      <c r="CB614" s="2035"/>
      <c r="CC614" s="2035">
        <f t="shared" si="7"/>
        <v>0</v>
      </c>
      <c r="CD614" s="2035"/>
      <c r="CE614" s="2035"/>
      <c r="CF614" s="2035"/>
      <c r="CG614" s="2035"/>
      <c r="CH614" s="2035">
        <f t="shared" si="8"/>
        <v>0</v>
      </c>
      <c r="CI614" s="2035"/>
      <c r="CJ614" s="2035"/>
      <c r="CK614" s="2035"/>
      <c r="CL614" s="2035"/>
      <c r="CM614" s="2035">
        <f t="shared" si="9"/>
        <v>0</v>
      </c>
      <c r="CN614" s="2035"/>
      <c r="CO614" s="2035"/>
      <c r="CP614" s="2035"/>
      <c r="CQ614" s="2035"/>
      <c r="CR614" s="265"/>
      <c r="CS614" s="2056">
        <f t="shared" si="10"/>
        <v>0</v>
      </c>
      <c r="CT614" s="2056"/>
      <c r="CU614" s="2056"/>
      <c r="CV614" s="2056"/>
      <c r="CW614" s="2056"/>
      <c r="CX614" s="2056">
        <f t="shared" si="11"/>
        <v>0</v>
      </c>
      <c r="CY614" s="2056"/>
      <c r="CZ614" s="2056"/>
      <c r="DA614" s="2056"/>
      <c r="DB614" s="2056"/>
      <c r="DC614" s="2056">
        <f t="shared" si="12"/>
        <v>1</v>
      </c>
      <c r="DD614" s="2056"/>
      <c r="DE614" s="2056"/>
      <c r="DF614" s="2056"/>
      <c r="DG614" s="2056"/>
      <c r="DH614" s="2056">
        <f t="shared" si="13"/>
        <v>0</v>
      </c>
      <c r="DI614" s="2056"/>
      <c r="DJ614" s="2056"/>
      <c r="DK614" s="2056"/>
      <c r="DL614" s="2056"/>
      <c r="DM614" s="2056">
        <f t="shared" si="14"/>
        <v>0</v>
      </c>
      <c r="DN614" s="2056"/>
      <c r="DO614" s="2056"/>
      <c r="DP614" s="2056"/>
      <c r="DQ614" s="2056"/>
      <c r="DR614" s="2056">
        <f t="shared" si="15"/>
        <v>0</v>
      </c>
      <c r="DS614" s="2056"/>
      <c r="DT614" s="2056"/>
      <c r="DU614" s="2056"/>
      <c r="DV614" s="2056"/>
      <c r="DX614" s="2052" t="str">
        <f t="shared" si="16"/>
        <v xml:space="preserve"> </v>
      </c>
      <c r="DY614" s="2053"/>
      <c r="DZ614" s="2053"/>
      <c r="EA614" s="2053"/>
      <c r="EB614" s="2054"/>
      <c r="EC614" s="2052" t="str">
        <f t="shared" si="17"/>
        <v xml:space="preserve"> </v>
      </c>
      <c r="ED614" s="2053"/>
      <c r="EE614" s="2053"/>
      <c r="EF614" s="2053"/>
      <c r="EG614" s="2054"/>
      <c r="EH614" s="2052">
        <f t="shared" si="18"/>
        <v>875</v>
      </c>
      <c r="EI614" s="2053"/>
      <c r="EJ614" s="2053"/>
      <c r="EK614" s="2053"/>
      <c r="EL614" s="2054"/>
      <c r="EM614" s="2052" t="str">
        <f t="shared" si="19"/>
        <v xml:space="preserve"> </v>
      </c>
      <c r="EN614" s="2053"/>
      <c r="EO614" s="2053"/>
      <c r="EP614" s="2053"/>
      <c r="EQ614" s="2054"/>
      <c r="ER614" s="2052" t="str">
        <f t="shared" si="20"/>
        <v xml:space="preserve"> </v>
      </c>
      <c r="ES614" s="2053"/>
      <c r="ET614" s="2053"/>
      <c r="EU614" s="2053"/>
      <c r="EV614" s="2054"/>
      <c r="EW614" s="2052" t="str">
        <f t="shared" si="21"/>
        <v xml:space="preserve"> </v>
      </c>
      <c r="EX614" s="2053"/>
      <c r="EY614" s="2053"/>
      <c r="EZ614" s="2053"/>
      <c r="FA614" s="2054"/>
    </row>
    <row r="615" spans="1:157" ht="12.75">
      <c r="A615" s="35"/>
      <c r="B615" s="12" t="s">
        <v>325</v>
      </c>
      <c r="G615" s="2271"/>
      <c r="H615" s="2271"/>
      <c r="I615" s="2271"/>
      <c r="J615" s="2271"/>
      <c r="K615" s="2271"/>
      <c r="L615" s="2271"/>
      <c r="O615" s="137" t="s">
        <v>212</v>
      </c>
      <c r="P615" s="2088"/>
      <c r="Q615" s="2088"/>
      <c r="R615" s="2088"/>
      <c r="T615" s="35"/>
      <c r="U615" s="12" t="s">
        <v>325</v>
      </c>
      <c r="Z615" s="2271"/>
      <c r="AA615" s="2271"/>
      <c r="AB615" s="2271"/>
      <c r="AC615" s="2271"/>
      <c r="AD615" s="2271"/>
      <c r="AE615" s="2271"/>
      <c r="AH615" s="137" t="s">
        <v>212</v>
      </c>
      <c r="AI615" s="2088"/>
      <c r="AJ615" s="2088"/>
      <c r="AK615" s="2088"/>
      <c r="AZ615" s="58"/>
      <c r="BA615" s="58"/>
      <c r="BB615" s="58"/>
      <c r="BC615" s="58"/>
      <c r="BD615" s="58"/>
      <c r="BE615" s="2052">
        <f t="shared" si="0"/>
        <v>1</v>
      </c>
      <c r="BF615" s="2054"/>
      <c r="BG615" s="2096">
        <f t="shared" si="1"/>
        <v>2</v>
      </c>
      <c r="BH615" s="2098"/>
      <c r="BI615" s="2052">
        <f t="shared" si="2"/>
        <v>0</v>
      </c>
      <c r="BJ615" s="2054"/>
      <c r="BK615" s="2096">
        <f t="shared" si="3"/>
        <v>0</v>
      </c>
      <c r="BL615" s="2098"/>
      <c r="BM615" s="58"/>
      <c r="BN615" s="2029">
        <f t="shared" si="4"/>
        <v>0</v>
      </c>
      <c r="BO615" s="2030"/>
      <c r="BP615" s="2030"/>
      <c r="BQ615" s="2030"/>
      <c r="BR615" s="2031"/>
      <c r="BS615" s="2035">
        <f t="shared" si="5"/>
        <v>0</v>
      </c>
      <c r="BT615" s="2035"/>
      <c r="BU615" s="2035"/>
      <c r="BV615" s="2035"/>
      <c r="BW615" s="2035"/>
      <c r="BX615" s="2035">
        <f t="shared" si="6"/>
        <v>2</v>
      </c>
      <c r="BY615" s="2035"/>
      <c r="BZ615" s="2035"/>
      <c r="CA615" s="2035"/>
      <c r="CB615" s="2035"/>
      <c r="CC615" s="2035">
        <f t="shared" si="7"/>
        <v>0</v>
      </c>
      <c r="CD615" s="2035"/>
      <c r="CE615" s="2035"/>
      <c r="CF615" s="2035"/>
      <c r="CG615" s="2035"/>
      <c r="CH615" s="2035">
        <f t="shared" si="8"/>
        <v>0</v>
      </c>
      <c r="CI615" s="2035"/>
      <c r="CJ615" s="2035"/>
      <c r="CK615" s="2035"/>
      <c r="CL615" s="2035"/>
      <c r="CM615" s="2035">
        <f t="shared" si="9"/>
        <v>0</v>
      </c>
      <c r="CN615" s="2035"/>
      <c r="CO615" s="2035"/>
      <c r="CP615" s="2035"/>
      <c r="CQ615" s="2035"/>
      <c r="CR615" s="265"/>
      <c r="CS615" s="2056">
        <f t="shared" si="10"/>
        <v>0</v>
      </c>
      <c r="CT615" s="2056"/>
      <c r="CU615" s="2056"/>
      <c r="CV615" s="2056"/>
      <c r="CW615" s="2056"/>
      <c r="CX615" s="2056">
        <f t="shared" si="11"/>
        <v>0</v>
      </c>
      <c r="CY615" s="2056"/>
      <c r="CZ615" s="2056"/>
      <c r="DA615" s="2056"/>
      <c r="DB615" s="2056"/>
      <c r="DC615" s="2056">
        <f t="shared" si="12"/>
        <v>0</v>
      </c>
      <c r="DD615" s="2056"/>
      <c r="DE615" s="2056"/>
      <c r="DF615" s="2056"/>
      <c r="DG615" s="2056"/>
      <c r="DH615" s="2056">
        <f t="shared" si="13"/>
        <v>0</v>
      </c>
      <c r="DI615" s="2056"/>
      <c r="DJ615" s="2056"/>
      <c r="DK615" s="2056"/>
      <c r="DL615" s="2056"/>
      <c r="DM615" s="2056">
        <f t="shared" si="14"/>
        <v>0</v>
      </c>
      <c r="DN615" s="2056"/>
      <c r="DO615" s="2056"/>
      <c r="DP615" s="2056"/>
      <c r="DQ615" s="2056"/>
      <c r="DR615" s="2056">
        <f t="shared" si="15"/>
        <v>0</v>
      </c>
      <c r="DS615" s="2056"/>
      <c r="DT615" s="2056"/>
      <c r="DU615" s="2056"/>
      <c r="DV615" s="2056"/>
      <c r="DX615" s="2052" t="str">
        <f t="shared" si="16"/>
        <v xml:space="preserve"> </v>
      </c>
      <c r="DY615" s="2053"/>
      <c r="DZ615" s="2053"/>
      <c r="EA615" s="2053"/>
      <c r="EB615" s="2054"/>
      <c r="EC615" s="2052" t="str">
        <f t="shared" si="17"/>
        <v xml:space="preserve"> </v>
      </c>
      <c r="ED615" s="2053"/>
      <c r="EE615" s="2053"/>
      <c r="EF615" s="2053"/>
      <c r="EG615" s="2054"/>
      <c r="EH615" s="2052">
        <f t="shared" si="18"/>
        <v>1329</v>
      </c>
      <c r="EI615" s="2053"/>
      <c r="EJ615" s="2053"/>
      <c r="EK615" s="2053"/>
      <c r="EL615" s="2054"/>
      <c r="EM615" s="2052" t="str">
        <f t="shared" si="19"/>
        <v xml:space="preserve"> </v>
      </c>
      <c r="EN615" s="2053"/>
      <c r="EO615" s="2053"/>
      <c r="EP615" s="2053"/>
      <c r="EQ615" s="2054"/>
      <c r="ER615" s="2052" t="str">
        <f t="shared" si="20"/>
        <v xml:space="preserve"> </v>
      </c>
      <c r="ES615" s="2053"/>
      <c r="ET615" s="2053"/>
      <c r="EU615" s="2053"/>
      <c r="EV615" s="2054"/>
      <c r="EW615" s="2052" t="str">
        <f t="shared" si="21"/>
        <v xml:space="preserve"> </v>
      </c>
      <c r="EX615" s="2053"/>
      <c r="EY615" s="2053"/>
      <c r="EZ615" s="2053"/>
      <c r="FA615" s="2054"/>
    </row>
    <row r="616" spans="1:157" ht="12.75">
      <c r="A616" s="35"/>
      <c r="B616" s="12" t="s">
        <v>18</v>
      </c>
      <c r="H616" s="2051"/>
      <c r="I616" s="2051"/>
      <c r="J616" s="2051"/>
      <c r="K616" s="2051"/>
      <c r="L616" s="2051"/>
      <c r="M616" s="2051"/>
      <c r="N616" s="2051"/>
      <c r="O616" s="2051"/>
      <c r="P616" s="2051"/>
      <c r="Q616" s="2051"/>
      <c r="R616" s="2051"/>
      <c r="T616" s="35"/>
      <c r="U616" s="12" t="s">
        <v>18</v>
      </c>
      <c r="AA616" s="2051"/>
      <c r="AB616" s="2051"/>
      <c r="AC616" s="2051"/>
      <c r="AD616" s="2051"/>
      <c r="AE616" s="2051"/>
      <c r="AF616" s="2051"/>
      <c r="AG616" s="2051"/>
      <c r="AH616" s="2051"/>
      <c r="AI616" s="2051"/>
      <c r="AJ616" s="2051"/>
      <c r="AK616" s="2051"/>
      <c r="AZ616" s="58"/>
      <c r="BA616" s="58"/>
      <c r="BB616" s="58"/>
      <c r="BC616" s="58"/>
      <c r="BD616" s="58"/>
      <c r="BE616" s="2052">
        <f t="shared" si="0"/>
        <v>1</v>
      </c>
      <c r="BF616" s="2054"/>
      <c r="BG616" s="2096">
        <f t="shared" si="1"/>
        <v>2</v>
      </c>
      <c r="BH616" s="2098"/>
      <c r="BI616" s="2052">
        <f t="shared" si="2"/>
        <v>0</v>
      </c>
      <c r="BJ616" s="2054"/>
      <c r="BK616" s="2096">
        <f t="shared" si="3"/>
        <v>0</v>
      </c>
      <c r="BL616" s="2098"/>
      <c r="BM616" s="58"/>
      <c r="BN616" s="2029">
        <f t="shared" si="4"/>
        <v>0</v>
      </c>
      <c r="BO616" s="2030"/>
      <c r="BP616" s="2030"/>
      <c r="BQ616" s="2030"/>
      <c r="BR616" s="2031"/>
      <c r="BS616" s="2035">
        <f t="shared" si="5"/>
        <v>0</v>
      </c>
      <c r="BT616" s="2035"/>
      <c r="BU616" s="2035"/>
      <c r="BV616" s="2035"/>
      <c r="BW616" s="2035"/>
      <c r="BX616" s="2035">
        <f t="shared" si="6"/>
        <v>2</v>
      </c>
      <c r="BY616" s="2035"/>
      <c r="BZ616" s="2035"/>
      <c r="CA616" s="2035"/>
      <c r="CB616" s="2035"/>
      <c r="CC616" s="2035">
        <f t="shared" si="7"/>
        <v>0</v>
      </c>
      <c r="CD616" s="2035"/>
      <c r="CE616" s="2035"/>
      <c r="CF616" s="2035"/>
      <c r="CG616" s="2035"/>
      <c r="CH616" s="2035">
        <f t="shared" si="8"/>
        <v>0</v>
      </c>
      <c r="CI616" s="2035"/>
      <c r="CJ616" s="2035"/>
      <c r="CK616" s="2035"/>
      <c r="CL616" s="2035"/>
      <c r="CM616" s="2035">
        <f t="shared" si="9"/>
        <v>0</v>
      </c>
      <c r="CN616" s="2035"/>
      <c r="CO616" s="2035"/>
      <c r="CP616" s="2035"/>
      <c r="CQ616" s="2035"/>
      <c r="CR616" s="265"/>
      <c r="CS616" s="2056">
        <f t="shared" si="10"/>
        <v>0</v>
      </c>
      <c r="CT616" s="2056"/>
      <c r="CU616" s="2056"/>
      <c r="CV616" s="2056"/>
      <c r="CW616" s="2056"/>
      <c r="CX616" s="2056">
        <f t="shared" si="11"/>
        <v>0</v>
      </c>
      <c r="CY616" s="2056"/>
      <c r="CZ616" s="2056"/>
      <c r="DA616" s="2056"/>
      <c r="DB616" s="2056"/>
      <c r="DC616" s="2056">
        <f t="shared" si="12"/>
        <v>0</v>
      </c>
      <c r="DD616" s="2056"/>
      <c r="DE616" s="2056"/>
      <c r="DF616" s="2056"/>
      <c r="DG616" s="2056"/>
      <c r="DH616" s="2056">
        <f t="shared" si="13"/>
        <v>0</v>
      </c>
      <c r="DI616" s="2056"/>
      <c r="DJ616" s="2056"/>
      <c r="DK616" s="2056"/>
      <c r="DL616" s="2056"/>
      <c r="DM616" s="2056">
        <f t="shared" si="14"/>
        <v>0</v>
      </c>
      <c r="DN616" s="2056"/>
      <c r="DO616" s="2056"/>
      <c r="DP616" s="2056"/>
      <c r="DQ616" s="2056"/>
      <c r="DR616" s="2056">
        <f t="shared" si="15"/>
        <v>0</v>
      </c>
      <c r="DS616" s="2056"/>
      <c r="DT616" s="2056"/>
      <c r="DU616" s="2056"/>
      <c r="DV616" s="2056"/>
      <c r="DX616" s="2052" t="str">
        <f t="shared" si="16"/>
        <v xml:space="preserve"> </v>
      </c>
      <c r="DY616" s="2053"/>
      <c r="DZ616" s="2053"/>
      <c r="EA616" s="2053"/>
      <c r="EB616" s="2054"/>
      <c r="EC616" s="2052" t="str">
        <f t="shared" si="17"/>
        <v xml:space="preserve"> </v>
      </c>
      <c r="ED616" s="2053"/>
      <c r="EE616" s="2053"/>
      <c r="EF616" s="2053"/>
      <c r="EG616" s="2054"/>
      <c r="EH616" s="2052">
        <f t="shared" si="18"/>
        <v>1480</v>
      </c>
      <c r="EI616" s="2053"/>
      <c r="EJ616" s="2053"/>
      <c r="EK616" s="2053"/>
      <c r="EL616" s="2054"/>
      <c r="EM616" s="2052" t="str">
        <f t="shared" si="19"/>
        <v xml:space="preserve"> </v>
      </c>
      <c r="EN616" s="2053"/>
      <c r="EO616" s="2053"/>
      <c r="EP616" s="2053"/>
      <c r="EQ616" s="2054"/>
      <c r="ER616" s="2052" t="str">
        <f t="shared" si="20"/>
        <v xml:space="preserve"> </v>
      </c>
      <c r="ES616" s="2053"/>
      <c r="ET616" s="2053"/>
      <c r="EU616" s="2053"/>
      <c r="EV616" s="2054"/>
      <c r="EW616" s="2052" t="str">
        <f t="shared" si="21"/>
        <v xml:space="preserve"> </v>
      </c>
      <c r="EX616" s="2053"/>
      <c r="EY616" s="2053"/>
      <c r="EZ616" s="2053"/>
      <c r="FA616" s="2054"/>
    </row>
    <row r="617" spans="1:157" ht="12.75">
      <c r="A617" s="35"/>
      <c r="B617" s="12" t="s">
        <v>20</v>
      </c>
      <c r="N617" s="2050" t="s">
        <v>706</v>
      </c>
      <c r="O617" s="2050"/>
      <c r="T617" s="35"/>
      <c r="U617" s="12" t="s">
        <v>20</v>
      </c>
      <c r="AG617" s="2050" t="s">
        <v>706</v>
      </c>
      <c r="AH617" s="2050"/>
      <c r="AZ617" s="58"/>
      <c r="BA617" s="58"/>
      <c r="BB617" s="58"/>
      <c r="BC617" s="58"/>
      <c r="BD617" s="58"/>
      <c r="BE617" s="2052">
        <f t="shared" si="0"/>
        <v>1</v>
      </c>
      <c r="BF617" s="2054"/>
      <c r="BG617" s="2096">
        <f t="shared" si="1"/>
        <v>1</v>
      </c>
      <c r="BH617" s="2098"/>
      <c r="BI617" s="2052">
        <f t="shared" si="2"/>
        <v>0</v>
      </c>
      <c r="BJ617" s="2054"/>
      <c r="BK617" s="2096">
        <f t="shared" si="3"/>
        <v>0</v>
      </c>
      <c r="BL617" s="2098"/>
      <c r="BM617" s="58"/>
      <c r="BN617" s="2029">
        <f t="shared" si="4"/>
        <v>1</v>
      </c>
      <c r="BO617" s="2030"/>
      <c r="BP617" s="2030"/>
      <c r="BQ617" s="2030"/>
      <c r="BR617" s="2031"/>
      <c r="BS617" s="2035">
        <f t="shared" si="5"/>
        <v>0</v>
      </c>
      <c r="BT617" s="2035"/>
      <c r="BU617" s="2035"/>
      <c r="BV617" s="2035"/>
      <c r="BW617" s="2035"/>
      <c r="BX617" s="2035">
        <f t="shared" si="6"/>
        <v>0</v>
      </c>
      <c r="BY617" s="2035"/>
      <c r="BZ617" s="2035"/>
      <c r="CA617" s="2035"/>
      <c r="CB617" s="2035"/>
      <c r="CC617" s="2035">
        <f t="shared" si="7"/>
        <v>0</v>
      </c>
      <c r="CD617" s="2035"/>
      <c r="CE617" s="2035"/>
      <c r="CF617" s="2035"/>
      <c r="CG617" s="2035"/>
      <c r="CH617" s="2035">
        <f t="shared" si="8"/>
        <v>0</v>
      </c>
      <c r="CI617" s="2035"/>
      <c r="CJ617" s="2035"/>
      <c r="CK617" s="2035"/>
      <c r="CL617" s="2035"/>
      <c r="CM617" s="2035">
        <f t="shared" si="9"/>
        <v>0</v>
      </c>
      <c r="CN617" s="2035"/>
      <c r="CO617" s="2035"/>
      <c r="CP617" s="2035"/>
      <c r="CQ617" s="2035"/>
      <c r="CR617" s="265"/>
      <c r="CS617" s="2056">
        <f t="shared" si="10"/>
        <v>0</v>
      </c>
      <c r="CT617" s="2056"/>
      <c r="CU617" s="2056"/>
      <c r="CV617" s="2056"/>
      <c r="CW617" s="2056"/>
      <c r="CX617" s="2056">
        <f t="shared" si="11"/>
        <v>0</v>
      </c>
      <c r="CY617" s="2056"/>
      <c r="CZ617" s="2056"/>
      <c r="DA617" s="2056"/>
      <c r="DB617" s="2056"/>
      <c r="DC617" s="2056">
        <f t="shared" si="12"/>
        <v>0</v>
      </c>
      <c r="DD617" s="2056"/>
      <c r="DE617" s="2056"/>
      <c r="DF617" s="2056"/>
      <c r="DG617" s="2056"/>
      <c r="DH617" s="2056">
        <f t="shared" si="13"/>
        <v>0</v>
      </c>
      <c r="DI617" s="2056"/>
      <c r="DJ617" s="2056"/>
      <c r="DK617" s="2056"/>
      <c r="DL617" s="2056"/>
      <c r="DM617" s="2056">
        <f t="shared" si="14"/>
        <v>0</v>
      </c>
      <c r="DN617" s="2056"/>
      <c r="DO617" s="2056"/>
      <c r="DP617" s="2056"/>
      <c r="DQ617" s="2056"/>
      <c r="DR617" s="2056">
        <f t="shared" si="15"/>
        <v>0</v>
      </c>
      <c r="DS617" s="2056"/>
      <c r="DT617" s="2056"/>
      <c r="DU617" s="2056"/>
      <c r="DV617" s="2056"/>
      <c r="DX617" s="2052">
        <f t="shared" si="16"/>
        <v>1035</v>
      </c>
      <c r="DY617" s="2053"/>
      <c r="DZ617" s="2053"/>
      <c r="EA617" s="2053"/>
      <c r="EB617" s="2054"/>
      <c r="EC617" s="2052" t="str">
        <f t="shared" si="17"/>
        <v xml:space="preserve"> </v>
      </c>
      <c r="ED617" s="2053"/>
      <c r="EE617" s="2053"/>
      <c r="EF617" s="2053"/>
      <c r="EG617" s="2054"/>
      <c r="EH617" s="2052" t="str">
        <f t="shared" si="18"/>
        <v xml:space="preserve"> </v>
      </c>
      <c r="EI617" s="2053"/>
      <c r="EJ617" s="2053"/>
      <c r="EK617" s="2053"/>
      <c r="EL617" s="2054"/>
      <c r="EM617" s="2052" t="str">
        <f t="shared" si="19"/>
        <v xml:space="preserve"> </v>
      </c>
      <c r="EN617" s="2053"/>
      <c r="EO617" s="2053"/>
      <c r="EP617" s="2053"/>
      <c r="EQ617" s="2054"/>
      <c r="ER617" s="2052" t="str">
        <f t="shared" si="20"/>
        <v xml:space="preserve"> </v>
      </c>
      <c r="ES617" s="2053"/>
      <c r="ET617" s="2053"/>
      <c r="EU617" s="2053"/>
      <c r="EV617" s="2054"/>
      <c r="EW617" s="2052" t="str">
        <f t="shared" si="21"/>
        <v xml:space="preserve"> </v>
      </c>
      <c r="EX617" s="2053"/>
      <c r="EY617" s="2053"/>
      <c r="EZ617" s="2053"/>
      <c r="FA617" s="2054"/>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2">
        <f t="shared" si="0"/>
        <v>0</v>
      </c>
      <c r="BF618" s="2054"/>
      <c r="BG618" s="2096">
        <f t="shared" si="1"/>
        <v>0</v>
      </c>
      <c r="BH618" s="2098"/>
      <c r="BI618" s="2052">
        <f t="shared" si="2"/>
        <v>0</v>
      </c>
      <c r="BJ618" s="2054"/>
      <c r="BK618" s="2096">
        <f t="shared" si="3"/>
        <v>0</v>
      </c>
      <c r="BL618" s="2098"/>
      <c r="BM618" s="58"/>
      <c r="BN618" s="2029">
        <f t="shared" si="4"/>
        <v>0</v>
      </c>
      <c r="BO618" s="2030"/>
      <c r="BP618" s="2030"/>
      <c r="BQ618" s="2030"/>
      <c r="BR618" s="2031"/>
      <c r="BS618" s="2035">
        <f t="shared" si="5"/>
        <v>0</v>
      </c>
      <c r="BT618" s="2035"/>
      <c r="BU618" s="2035"/>
      <c r="BV618" s="2035"/>
      <c r="BW618" s="2035"/>
      <c r="BX618" s="2035">
        <f t="shared" si="6"/>
        <v>0</v>
      </c>
      <c r="BY618" s="2035"/>
      <c r="BZ618" s="2035"/>
      <c r="CA618" s="2035"/>
      <c r="CB618" s="2035"/>
      <c r="CC618" s="2035">
        <f t="shared" si="7"/>
        <v>0</v>
      </c>
      <c r="CD618" s="2035"/>
      <c r="CE618" s="2035"/>
      <c r="CF618" s="2035"/>
      <c r="CG618" s="2035"/>
      <c r="CH618" s="2035">
        <f t="shared" si="8"/>
        <v>0</v>
      </c>
      <c r="CI618" s="2035"/>
      <c r="CJ618" s="2035"/>
      <c r="CK618" s="2035"/>
      <c r="CL618" s="2035"/>
      <c r="CM618" s="2035">
        <f t="shared" si="9"/>
        <v>0</v>
      </c>
      <c r="CN618" s="2035"/>
      <c r="CO618" s="2035"/>
      <c r="CP618" s="2035"/>
      <c r="CQ618" s="2035"/>
      <c r="CR618" s="265"/>
      <c r="CS618" s="2056">
        <f t="shared" si="10"/>
        <v>0</v>
      </c>
      <c r="CT618" s="2056"/>
      <c r="CU618" s="2056"/>
      <c r="CV618" s="2056"/>
      <c r="CW618" s="2056"/>
      <c r="CX618" s="2056">
        <f t="shared" si="11"/>
        <v>0</v>
      </c>
      <c r="CY618" s="2056"/>
      <c r="CZ618" s="2056"/>
      <c r="DA618" s="2056"/>
      <c r="DB618" s="2056"/>
      <c r="DC618" s="2056">
        <f t="shared" si="12"/>
        <v>0</v>
      </c>
      <c r="DD618" s="2056"/>
      <c r="DE618" s="2056"/>
      <c r="DF618" s="2056"/>
      <c r="DG618" s="2056"/>
      <c r="DH618" s="2056">
        <f t="shared" si="13"/>
        <v>0</v>
      </c>
      <c r="DI618" s="2056"/>
      <c r="DJ618" s="2056"/>
      <c r="DK618" s="2056"/>
      <c r="DL618" s="2056"/>
      <c r="DM618" s="2056">
        <f t="shared" si="14"/>
        <v>0</v>
      </c>
      <c r="DN618" s="2056"/>
      <c r="DO618" s="2056"/>
      <c r="DP618" s="2056"/>
      <c r="DQ618" s="2056"/>
      <c r="DR618" s="2056">
        <f t="shared" si="15"/>
        <v>0</v>
      </c>
      <c r="DS618" s="2056"/>
      <c r="DT618" s="2056"/>
      <c r="DU618" s="2056"/>
      <c r="DV618" s="2056"/>
      <c r="DX618" s="2052" t="str">
        <f t="shared" si="16"/>
        <v xml:space="preserve"> </v>
      </c>
      <c r="DY618" s="2053"/>
      <c r="DZ618" s="2053"/>
      <c r="EA618" s="2053"/>
      <c r="EB618" s="2054"/>
      <c r="EC618" s="2052" t="str">
        <f t="shared" si="17"/>
        <v xml:space="preserve"> </v>
      </c>
      <c r="ED618" s="2053"/>
      <c r="EE618" s="2053"/>
      <c r="EF618" s="2053"/>
      <c r="EG618" s="2054"/>
      <c r="EH618" s="2052" t="str">
        <f t="shared" si="18"/>
        <v xml:space="preserve"> </v>
      </c>
      <c r="EI618" s="2053"/>
      <c r="EJ618" s="2053"/>
      <c r="EK618" s="2053"/>
      <c r="EL618" s="2054"/>
      <c r="EM618" s="2052" t="str">
        <f t="shared" si="19"/>
        <v xml:space="preserve"> </v>
      </c>
      <c r="EN618" s="2053"/>
      <c r="EO618" s="2053"/>
      <c r="EP618" s="2053"/>
      <c r="EQ618" s="2054"/>
      <c r="ER618" s="2052" t="str">
        <f t="shared" si="20"/>
        <v xml:space="preserve"> </v>
      </c>
      <c r="ES618" s="2053"/>
      <c r="ET618" s="2053"/>
      <c r="EU618" s="2053"/>
      <c r="EV618" s="2054"/>
      <c r="EW618" s="2052" t="str">
        <f t="shared" si="21"/>
        <v xml:space="preserve"> </v>
      </c>
      <c r="EX618" s="2053"/>
      <c r="EY618" s="2053"/>
      <c r="EZ618" s="2053"/>
      <c r="FA618" s="2054"/>
    </row>
    <row r="619" spans="1:157" s="7" customFormat="1" ht="12.75">
      <c r="A619" s="87" t="s">
        <v>372</v>
      </c>
      <c r="B619" s="12" t="s">
        <v>496</v>
      </c>
      <c r="C619" s="12"/>
      <c r="D619" s="12"/>
      <c r="E619" s="12"/>
      <c r="F619" s="12"/>
      <c r="G619" s="2040">
        <f>C574</f>
        <v>0</v>
      </c>
      <c r="H619" s="2040"/>
      <c r="I619" s="2040"/>
      <c r="J619" s="2040"/>
      <c r="K619" s="2040"/>
      <c r="L619" s="2040"/>
      <c r="M619" s="2040"/>
      <c r="N619" s="2040"/>
      <c r="O619" s="2040"/>
      <c r="P619" s="2040"/>
      <c r="Q619" s="2040"/>
      <c r="R619" s="2040"/>
      <c r="S619" s="12"/>
      <c r="T619" s="87" t="s">
        <v>373</v>
      </c>
      <c r="U619" s="12" t="s">
        <v>496</v>
      </c>
      <c r="V619" s="12"/>
      <c r="W619" s="12"/>
      <c r="X619" s="12"/>
      <c r="Y619" s="12"/>
      <c r="Z619" s="2040">
        <f>C575</f>
        <v>0</v>
      </c>
      <c r="AA619" s="2040"/>
      <c r="AB619" s="2040"/>
      <c r="AC619" s="2040"/>
      <c r="AD619" s="2040"/>
      <c r="AE619" s="2040"/>
      <c r="AF619" s="2040"/>
      <c r="AG619" s="2040"/>
      <c r="AH619" s="2040"/>
      <c r="AI619" s="2040"/>
      <c r="AJ619" s="2040"/>
      <c r="AK619" s="2040"/>
      <c r="AL619" s="12"/>
      <c r="AM619" s="39"/>
      <c r="AN619" s="39"/>
      <c r="AO619" s="39"/>
      <c r="AP619" s="39"/>
      <c r="AQ619" s="39"/>
      <c r="AR619" s="39"/>
      <c r="AS619" s="39"/>
      <c r="AT619" s="39"/>
      <c r="AU619" s="39"/>
      <c r="AV619" s="39"/>
      <c r="AW619" s="39"/>
      <c r="AX619" s="39"/>
      <c r="AY619" s="39"/>
      <c r="AZ619" s="58"/>
      <c r="BA619" s="58"/>
      <c r="BB619" s="58"/>
      <c r="BC619" s="58"/>
      <c r="BD619" s="58"/>
      <c r="BE619" s="2052">
        <f t="shared" si="0"/>
        <v>0</v>
      </c>
      <c r="BF619" s="2054"/>
      <c r="BG619" s="2096">
        <f t="shared" si="1"/>
        <v>0</v>
      </c>
      <c r="BH619" s="2098"/>
      <c r="BI619" s="2052">
        <f t="shared" si="2"/>
        <v>0</v>
      </c>
      <c r="BJ619" s="2054"/>
      <c r="BK619" s="2096">
        <f t="shared" si="3"/>
        <v>0</v>
      </c>
      <c r="BL619" s="2098"/>
      <c r="BM619" s="58"/>
      <c r="BN619" s="2029">
        <f t="shared" si="4"/>
        <v>0</v>
      </c>
      <c r="BO619" s="2030"/>
      <c r="BP619" s="2030"/>
      <c r="BQ619" s="2030"/>
      <c r="BR619" s="2031"/>
      <c r="BS619" s="2035">
        <f t="shared" si="5"/>
        <v>0</v>
      </c>
      <c r="BT619" s="2035"/>
      <c r="BU619" s="2035"/>
      <c r="BV619" s="2035"/>
      <c r="BW619" s="2035"/>
      <c r="BX619" s="2035">
        <f t="shared" si="6"/>
        <v>0</v>
      </c>
      <c r="BY619" s="2035"/>
      <c r="BZ619" s="2035"/>
      <c r="CA619" s="2035"/>
      <c r="CB619" s="2035"/>
      <c r="CC619" s="2035">
        <f t="shared" si="7"/>
        <v>0</v>
      </c>
      <c r="CD619" s="2035"/>
      <c r="CE619" s="2035"/>
      <c r="CF619" s="2035"/>
      <c r="CG619" s="2035"/>
      <c r="CH619" s="2035">
        <f t="shared" si="8"/>
        <v>0</v>
      </c>
      <c r="CI619" s="2035"/>
      <c r="CJ619" s="2035"/>
      <c r="CK619" s="2035"/>
      <c r="CL619" s="2035"/>
      <c r="CM619" s="2035">
        <f t="shared" si="9"/>
        <v>0</v>
      </c>
      <c r="CN619" s="2035"/>
      <c r="CO619" s="2035"/>
      <c r="CP619" s="2035"/>
      <c r="CQ619" s="2035"/>
      <c r="CR619" s="265"/>
      <c r="CS619" s="2056">
        <f t="shared" si="10"/>
        <v>0</v>
      </c>
      <c r="CT619" s="2056"/>
      <c r="CU619" s="2056"/>
      <c r="CV619" s="2056"/>
      <c r="CW619" s="2056"/>
      <c r="CX619" s="2056">
        <f t="shared" si="11"/>
        <v>0</v>
      </c>
      <c r="CY619" s="2056"/>
      <c r="CZ619" s="2056"/>
      <c r="DA619" s="2056"/>
      <c r="DB619" s="2056"/>
      <c r="DC619" s="2056">
        <f t="shared" si="12"/>
        <v>0</v>
      </c>
      <c r="DD619" s="2056"/>
      <c r="DE619" s="2056"/>
      <c r="DF619" s="2056"/>
      <c r="DG619" s="2056"/>
      <c r="DH619" s="2056">
        <f t="shared" si="13"/>
        <v>0</v>
      </c>
      <c r="DI619" s="2056"/>
      <c r="DJ619" s="2056"/>
      <c r="DK619" s="2056"/>
      <c r="DL619" s="2056"/>
      <c r="DM619" s="2056">
        <f t="shared" si="14"/>
        <v>0</v>
      </c>
      <c r="DN619" s="2056"/>
      <c r="DO619" s="2056"/>
      <c r="DP619" s="2056"/>
      <c r="DQ619" s="2056"/>
      <c r="DR619" s="2056">
        <f t="shared" si="15"/>
        <v>0</v>
      </c>
      <c r="DS619" s="2056"/>
      <c r="DT619" s="2056"/>
      <c r="DU619" s="2056"/>
      <c r="DV619" s="2056"/>
      <c r="DX619" s="2052" t="str">
        <f t="shared" si="16"/>
        <v xml:space="preserve"> </v>
      </c>
      <c r="DY619" s="2053"/>
      <c r="DZ619" s="2053"/>
      <c r="EA619" s="2053"/>
      <c r="EB619" s="2054"/>
      <c r="EC619" s="2052" t="str">
        <f t="shared" si="17"/>
        <v xml:space="preserve"> </v>
      </c>
      <c r="ED619" s="2053"/>
      <c r="EE619" s="2053"/>
      <c r="EF619" s="2053"/>
      <c r="EG619" s="2054"/>
      <c r="EH619" s="2052" t="str">
        <f t="shared" si="18"/>
        <v xml:space="preserve"> </v>
      </c>
      <c r="EI619" s="2053"/>
      <c r="EJ619" s="2053"/>
      <c r="EK619" s="2053"/>
      <c r="EL619" s="2054"/>
      <c r="EM619" s="2052" t="str">
        <f t="shared" si="19"/>
        <v xml:space="preserve"> </v>
      </c>
      <c r="EN619" s="2053"/>
      <c r="EO619" s="2053"/>
      <c r="EP619" s="2053"/>
      <c r="EQ619" s="2054"/>
      <c r="ER619" s="2052" t="str">
        <f t="shared" si="20"/>
        <v xml:space="preserve"> </v>
      </c>
      <c r="ES619" s="2053"/>
      <c r="ET619" s="2053"/>
      <c r="EU619" s="2053"/>
      <c r="EV619" s="2054"/>
      <c r="EW619" s="2052" t="str">
        <f t="shared" si="21"/>
        <v xml:space="preserve"> </v>
      </c>
      <c r="EX619" s="2053"/>
      <c r="EY619" s="2053"/>
      <c r="EZ619" s="2053"/>
      <c r="FA619" s="2054"/>
    </row>
    <row r="620" spans="1:157" s="7" customFormat="1" ht="12.75">
      <c r="A620" s="12"/>
      <c r="B620" s="12" t="s">
        <v>90</v>
      </c>
      <c r="C620" s="12"/>
      <c r="D620" s="12"/>
      <c r="E620" s="12"/>
      <c r="F620" s="12"/>
      <c r="G620" s="2051"/>
      <c r="H620" s="2051"/>
      <c r="I620" s="2051"/>
      <c r="J620" s="2051"/>
      <c r="K620" s="2051"/>
      <c r="L620" s="2051"/>
      <c r="M620" s="2051"/>
      <c r="N620" s="2051"/>
      <c r="O620" s="2051"/>
      <c r="P620" s="2051"/>
      <c r="Q620" s="2051"/>
      <c r="R620" s="2051"/>
      <c r="S620" s="12"/>
      <c r="T620" s="12"/>
      <c r="U620" s="12" t="s">
        <v>90</v>
      </c>
      <c r="V620" s="12"/>
      <c r="W620" s="12"/>
      <c r="X620" s="12"/>
      <c r="Y620" s="12"/>
      <c r="Z620" s="2051"/>
      <c r="AA620" s="2051"/>
      <c r="AB620" s="2051"/>
      <c r="AC620" s="2051"/>
      <c r="AD620" s="2051"/>
      <c r="AE620" s="2051"/>
      <c r="AF620" s="2051"/>
      <c r="AG620" s="2051"/>
      <c r="AH620" s="2051"/>
      <c r="AI620" s="2051"/>
      <c r="AJ620" s="2051"/>
      <c r="AK620" s="2051"/>
      <c r="AL620" s="12"/>
      <c r="AM620" s="39"/>
      <c r="AN620" s="39"/>
      <c r="AO620" s="39"/>
      <c r="AP620" s="39"/>
      <c r="AQ620" s="39"/>
      <c r="AR620" s="39"/>
      <c r="AS620" s="39"/>
      <c r="AT620" s="39"/>
      <c r="AU620" s="39"/>
      <c r="AV620" s="39"/>
      <c r="AW620" s="39"/>
      <c r="AX620" s="39"/>
      <c r="AY620" s="39"/>
      <c r="AZ620" s="58"/>
      <c r="BA620" s="58"/>
      <c r="BB620" s="58"/>
      <c r="BC620" s="58"/>
      <c r="BD620" s="58"/>
      <c r="BE620" s="2052">
        <f t="shared" si="0"/>
        <v>0</v>
      </c>
      <c r="BF620" s="2054"/>
      <c r="BG620" s="2096">
        <f t="shared" si="1"/>
        <v>0</v>
      </c>
      <c r="BH620" s="2098"/>
      <c r="BI620" s="2052">
        <f t="shared" si="2"/>
        <v>0</v>
      </c>
      <c r="BJ620" s="2054"/>
      <c r="BK620" s="2096">
        <f t="shared" si="3"/>
        <v>0</v>
      </c>
      <c r="BL620" s="2098"/>
      <c r="BM620" s="58"/>
      <c r="BN620" s="2029">
        <f t="shared" si="4"/>
        <v>0</v>
      </c>
      <c r="BO620" s="2030"/>
      <c r="BP620" s="2030"/>
      <c r="BQ620" s="2030"/>
      <c r="BR620" s="2031"/>
      <c r="BS620" s="2035">
        <f t="shared" si="5"/>
        <v>0</v>
      </c>
      <c r="BT620" s="2035"/>
      <c r="BU620" s="2035"/>
      <c r="BV620" s="2035"/>
      <c r="BW620" s="2035"/>
      <c r="BX620" s="2035">
        <f t="shared" si="6"/>
        <v>0</v>
      </c>
      <c r="BY620" s="2035"/>
      <c r="BZ620" s="2035"/>
      <c r="CA620" s="2035"/>
      <c r="CB620" s="2035"/>
      <c r="CC620" s="2035">
        <f t="shared" si="7"/>
        <v>0</v>
      </c>
      <c r="CD620" s="2035"/>
      <c r="CE620" s="2035"/>
      <c r="CF620" s="2035"/>
      <c r="CG620" s="2035"/>
      <c r="CH620" s="2035">
        <f t="shared" si="8"/>
        <v>0</v>
      </c>
      <c r="CI620" s="2035"/>
      <c r="CJ620" s="2035"/>
      <c r="CK620" s="2035"/>
      <c r="CL620" s="2035"/>
      <c r="CM620" s="2035">
        <f t="shared" si="9"/>
        <v>0</v>
      </c>
      <c r="CN620" s="2035"/>
      <c r="CO620" s="2035"/>
      <c r="CP620" s="2035"/>
      <c r="CQ620" s="2035"/>
      <c r="CR620" s="265"/>
      <c r="CS620" s="2056">
        <f t="shared" si="10"/>
        <v>0</v>
      </c>
      <c r="CT620" s="2056"/>
      <c r="CU620" s="2056"/>
      <c r="CV620" s="2056"/>
      <c r="CW620" s="2056"/>
      <c r="CX620" s="2056">
        <f t="shared" si="11"/>
        <v>0</v>
      </c>
      <c r="CY620" s="2056"/>
      <c r="CZ620" s="2056"/>
      <c r="DA620" s="2056"/>
      <c r="DB620" s="2056"/>
      <c r="DC620" s="2056">
        <f t="shared" si="12"/>
        <v>0</v>
      </c>
      <c r="DD620" s="2056"/>
      <c r="DE620" s="2056"/>
      <c r="DF620" s="2056"/>
      <c r="DG620" s="2056"/>
      <c r="DH620" s="2056">
        <f t="shared" si="13"/>
        <v>0</v>
      </c>
      <c r="DI620" s="2056"/>
      <c r="DJ620" s="2056"/>
      <c r="DK620" s="2056"/>
      <c r="DL620" s="2056"/>
      <c r="DM620" s="2056">
        <f t="shared" si="14"/>
        <v>0</v>
      </c>
      <c r="DN620" s="2056"/>
      <c r="DO620" s="2056"/>
      <c r="DP620" s="2056"/>
      <c r="DQ620" s="2056"/>
      <c r="DR620" s="2056">
        <f t="shared" si="15"/>
        <v>0</v>
      </c>
      <c r="DS620" s="2056"/>
      <c r="DT620" s="2056"/>
      <c r="DU620" s="2056"/>
      <c r="DV620" s="2056"/>
      <c r="DX620" s="2052" t="str">
        <f t="shared" si="16"/>
        <v xml:space="preserve"> </v>
      </c>
      <c r="DY620" s="2053"/>
      <c r="DZ620" s="2053"/>
      <c r="EA620" s="2053"/>
      <c r="EB620" s="2054"/>
      <c r="EC620" s="2052" t="str">
        <f t="shared" si="17"/>
        <v xml:space="preserve"> </v>
      </c>
      <c r="ED620" s="2053"/>
      <c r="EE620" s="2053"/>
      <c r="EF620" s="2053"/>
      <c r="EG620" s="2054"/>
      <c r="EH620" s="2052" t="str">
        <f t="shared" si="18"/>
        <v xml:space="preserve"> </v>
      </c>
      <c r="EI620" s="2053"/>
      <c r="EJ620" s="2053"/>
      <c r="EK620" s="2053"/>
      <c r="EL620" s="2054"/>
      <c r="EM620" s="2052" t="str">
        <f t="shared" si="19"/>
        <v xml:space="preserve"> </v>
      </c>
      <c r="EN620" s="2053"/>
      <c r="EO620" s="2053"/>
      <c r="EP620" s="2053"/>
      <c r="EQ620" s="2054"/>
      <c r="ER620" s="2052" t="str">
        <f t="shared" si="20"/>
        <v xml:space="preserve"> </v>
      </c>
      <c r="ES620" s="2053"/>
      <c r="ET620" s="2053"/>
      <c r="EU620" s="2053"/>
      <c r="EV620" s="2054"/>
      <c r="EW620" s="2052" t="str">
        <f t="shared" si="21"/>
        <v xml:space="preserve"> </v>
      </c>
      <c r="EX620" s="2053"/>
      <c r="EY620" s="2053"/>
      <c r="EZ620" s="2053"/>
      <c r="FA620" s="2054"/>
    </row>
    <row r="621" spans="1:157" ht="12.75">
      <c r="B621" s="12" t="s">
        <v>615</v>
      </c>
      <c r="G621" s="2051"/>
      <c r="H621" s="2051"/>
      <c r="I621" s="2051"/>
      <c r="J621" s="2051"/>
      <c r="K621" s="2051"/>
      <c r="L621" s="2051"/>
      <c r="M621" s="2051"/>
      <c r="N621" s="2051"/>
      <c r="O621" s="2051"/>
      <c r="P621" s="2051"/>
      <c r="Q621" s="2051"/>
      <c r="R621" s="2051"/>
      <c r="U621" s="12" t="s">
        <v>615</v>
      </c>
      <c r="Z621" s="2272"/>
      <c r="AA621" s="2272"/>
      <c r="AB621" s="2272"/>
      <c r="AC621" s="2272"/>
      <c r="AD621" s="2272"/>
      <c r="AE621" s="2272"/>
      <c r="AF621" s="2272"/>
      <c r="AG621" s="2272"/>
      <c r="AH621" s="2272"/>
      <c r="AI621" s="2272"/>
      <c r="AJ621" s="2272"/>
      <c r="AK621" s="2272"/>
      <c r="AZ621" s="58"/>
      <c r="BA621" s="58"/>
      <c r="BB621" s="58"/>
      <c r="BC621" s="58"/>
      <c r="BD621" s="58"/>
      <c r="BE621" s="2052">
        <f t="shared" si="0"/>
        <v>0</v>
      </c>
      <c r="BF621" s="2054"/>
      <c r="BG621" s="2096">
        <f t="shared" si="1"/>
        <v>0</v>
      </c>
      <c r="BH621" s="2098"/>
      <c r="BI621" s="2052">
        <f t="shared" si="2"/>
        <v>0</v>
      </c>
      <c r="BJ621" s="2054"/>
      <c r="BK621" s="2096">
        <f t="shared" si="3"/>
        <v>0</v>
      </c>
      <c r="BL621" s="2098"/>
      <c r="BM621" s="58"/>
      <c r="BN621" s="2029">
        <f t="shared" si="4"/>
        <v>0</v>
      </c>
      <c r="BO621" s="2030"/>
      <c r="BP621" s="2030"/>
      <c r="BQ621" s="2030"/>
      <c r="BR621" s="2031"/>
      <c r="BS621" s="2035">
        <f t="shared" si="5"/>
        <v>0</v>
      </c>
      <c r="BT621" s="2035"/>
      <c r="BU621" s="2035"/>
      <c r="BV621" s="2035"/>
      <c r="BW621" s="2035"/>
      <c r="BX621" s="2035">
        <f t="shared" si="6"/>
        <v>0</v>
      </c>
      <c r="BY621" s="2035"/>
      <c r="BZ621" s="2035"/>
      <c r="CA621" s="2035"/>
      <c r="CB621" s="2035"/>
      <c r="CC621" s="2035">
        <f t="shared" si="7"/>
        <v>0</v>
      </c>
      <c r="CD621" s="2035"/>
      <c r="CE621" s="2035"/>
      <c r="CF621" s="2035"/>
      <c r="CG621" s="2035"/>
      <c r="CH621" s="2035">
        <f t="shared" si="8"/>
        <v>0</v>
      </c>
      <c r="CI621" s="2035"/>
      <c r="CJ621" s="2035"/>
      <c r="CK621" s="2035"/>
      <c r="CL621" s="2035"/>
      <c r="CM621" s="2035">
        <f t="shared" si="9"/>
        <v>0</v>
      </c>
      <c r="CN621" s="2035"/>
      <c r="CO621" s="2035"/>
      <c r="CP621" s="2035"/>
      <c r="CQ621" s="2035"/>
      <c r="CR621" s="265"/>
      <c r="CS621" s="2056">
        <f t="shared" si="10"/>
        <v>0</v>
      </c>
      <c r="CT621" s="2056"/>
      <c r="CU621" s="2056"/>
      <c r="CV621" s="2056"/>
      <c r="CW621" s="2056"/>
      <c r="CX621" s="2056">
        <f t="shared" si="11"/>
        <v>0</v>
      </c>
      <c r="CY621" s="2056"/>
      <c r="CZ621" s="2056"/>
      <c r="DA621" s="2056"/>
      <c r="DB621" s="2056"/>
      <c r="DC621" s="2056">
        <f t="shared" si="12"/>
        <v>0</v>
      </c>
      <c r="DD621" s="2056"/>
      <c r="DE621" s="2056"/>
      <c r="DF621" s="2056"/>
      <c r="DG621" s="2056"/>
      <c r="DH621" s="2056">
        <f t="shared" si="13"/>
        <v>0</v>
      </c>
      <c r="DI621" s="2056"/>
      <c r="DJ621" s="2056"/>
      <c r="DK621" s="2056"/>
      <c r="DL621" s="2056"/>
      <c r="DM621" s="2056">
        <f t="shared" si="14"/>
        <v>0</v>
      </c>
      <c r="DN621" s="2056"/>
      <c r="DO621" s="2056"/>
      <c r="DP621" s="2056"/>
      <c r="DQ621" s="2056"/>
      <c r="DR621" s="2056">
        <f t="shared" si="15"/>
        <v>0</v>
      </c>
      <c r="DS621" s="2056"/>
      <c r="DT621" s="2056"/>
      <c r="DU621" s="2056"/>
      <c r="DV621" s="2056"/>
      <c r="DX621" s="2052" t="str">
        <f t="shared" si="16"/>
        <v xml:space="preserve"> </v>
      </c>
      <c r="DY621" s="2053"/>
      <c r="DZ621" s="2053"/>
      <c r="EA621" s="2053"/>
      <c r="EB621" s="2054"/>
      <c r="EC621" s="2052" t="str">
        <f t="shared" si="17"/>
        <v xml:space="preserve"> </v>
      </c>
      <c r="ED621" s="2053"/>
      <c r="EE621" s="2053"/>
      <c r="EF621" s="2053"/>
      <c r="EG621" s="2054"/>
      <c r="EH621" s="2052" t="str">
        <f t="shared" si="18"/>
        <v xml:space="preserve"> </v>
      </c>
      <c r="EI621" s="2053"/>
      <c r="EJ621" s="2053"/>
      <c r="EK621" s="2053"/>
      <c r="EL621" s="2054"/>
      <c r="EM621" s="2052" t="str">
        <f t="shared" si="19"/>
        <v xml:space="preserve"> </v>
      </c>
      <c r="EN621" s="2053"/>
      <c r="EO621" s="2053"/>
      <c r="EP621" s="2053"/>
      <c r="EQ621" s="2054"/>
      <c r="ER621" s="2052" t="str">
        <f t="shared" si="20"/>
        <v xml:space="preserve"> </v>
      </c>
      <c r="ES621" s="2053"/>
      <c r="ET621" s="2053"/>
      <c r="EU621" s="2053"/>
      <c r="EV621" s="2054"/>
      <c r="EW621" s="2052" t="str">
        <f t="shared" si="21"/>
        <v xml:space="preserve"> </v>
      </c>
      <c r="EX621" s="2053"/>
      <c r="EY621" s="2053"/>
      <c r="EZ621" s="2053"/>
      <c r="FA621" s="2054"/>
    </row>
    <row r="622" spans="1:157" ht="12.75">
      <c r="B622" s="12" t="s">
        <v>17</v>
      </c>
      <c r="G622" s="2051"/>
      <c r="H622" s="2051"/>
      <c r="I622" s="2051"/>
      <c r="J622" s="2051"/>
      <c r="K622" s="2051"/>
      <c r="L622" s="2051"/>
      <c r="M622" s="2051"/>
      <c r="N622" s="2051"/>
      <c r="O622" s="2051"/>
      <c r="P622" s="2051"/>
      <c r="Q622" s="2051"/>
      <c r="R622" s="2051"/>
      <c r="U622" s="12" t="s">
        <v>17</v>
      </c>
      <c r="Z622" s="2272"/>
      <c r="AA622" s="2272"/>
      <c r="AB622" s="2272"/>
      <c r="AC622" s="2272"/>
      <c r="AD622" s="2272"/>
      <c r="AE622" s="2272"/>
      <c r="AF622" s="2272"/>
      <c r="AG622" s="2272"/>
      <c r="AH622" s="2272"/>
      <c r="AI622" s="2272"/>
      <c r="AJ622" s="2272"/>
      <c r="AK622" s="2272"/>
      <c r="AZ622" s="58"/>
      <c r="BA622" s="58"/>
      <c r="BB622" s="58"/>
      <c r="BC622" s="58"/>
      <c r="BD622" s="58"/>
      <c r="BE622" s="2052">
        <f t="shared" si="0"/>
        <v>0</v>
      </c>
      <c r="BF622" s="2054"/>
      <c r="BG622" s="2096">
        <f t="shared" si="1"/>
        <v>0</v>
      </c>
      <c r="BH622" s="2098"/>
      <c r="BI622" s="2052">
        <f t="shared" si="2"/>
        <v>0</v>
      </c>
      <c r="BJ622" s="2054"/>
      <c r="BK622" s="2096">
        <f t="shared" si="3"/>
        <v>0</v>
      </c>
      <c r="BL622" s="2098"/>
      <c r="BM622" s="58"/>
      <c r="BN622" s="2029">
        <f t="shared" si="4"/>
        <v>0</v>
      </c>
      <c r="BO622" s="2030"/>
      <c r="BP622" s="2030"/>
      <c r="BQ622" s="2030"/>
      <c r="BR622" s="2031"/>
      <c r="BS622" s="2035">
        <f t="shared" si="5"/>
        <v>0</v>
      </c>
      <c r="BT622" s="2035"/>
      <c r="BU622" s="2035"/>
      <c r="BV622" s="2035"/>
      <c r="BW622" s="2035"/>
      <c r="BX622" s="2035">
        <f t="shared" si="6"/>
        <v>0</v>
      </c>
      <c r="BY622" s="2035"/>
      <c r="BZ622" s="2035"/>
      <c r="CA622" s="2035"/>
      <c r="CB622" s="2035"/>
      <c r="CC622" s="2035">
        <f t="shared" si="7"/>
        <v>0</v>
      </c>
      <c r="CD622" s="2035"/>
      <c r="CE622" s="2035"/>
      <c r="CF622" s="2035"/>
      <c r="CG622" s="2035"/>
      <c r="CH622" s="2035">
        <f t="shared" si="8"/>
        <v>0</v>
      </c>
      <c r="CI622" s="2035"/>
      <c r="CJ622" s="2035"/>
      <c r="CK622" s="2035"/>
      <c r="CL622" s="2035"/>
      <c r="CM622" s="2035">
        <f t="shared" si="9"/>
        <v>0</v>
      </c>
      <c r="CN622" s="2035"/>
      <c r="CO622" s="2035"/>
      <c r="CP622" s="2035"/>
      <c r="CQ622" s="2035"/>
      <c r="CR622" s="265"/>
      <c r="CS622" s="2056">
        <f t="shared" si="10"/>
        <v>0</v>
      </c>
      <c r="CT622" s="2056"/>
      <c r="CU622" s="2056"/>
      <c r="CV622" s="2056"/>
      <c r="CW622" s="2056"/>
      <c r="CX622" s="2056">
        <f t="shared" si="11"/>
        <v>0</v>
      </c>
      <c r="CY622" s="2056"/>
      <c r="CZ622" s="2056"/>
      <c r="DA622" s="2056"/>
      <c r="DB622" s="2056"/>
      <c r="DC622" s="2056">
        <f t="shared" si="12"/>
        <v>0</v>
      </c>
      <c r="DD622" s="2056"/>
      <c r="DE622" s="2056"/>
      <c r="DF622" s="2056"/>
      <c r="DG622" s="2056"/>
      <c r="DH622" s="2056">
        <f t="shared" si="13"/>
        <v>0</v>
      </c>
      <c r="DI622" s="2056"/>
      <c r="DJ622" s="2056"/>
      <c r="DK622" s="2056"/>
      <c r="DL622" s="2056"/>
      <c r="DM622" s="2056">
        <f t="shared" si="14"/>
        <v>0</v>
      </c>
      <c r="DN622" s="2056"/>
      <c r="DO622" s="2056"/>
      <c r="DP622" s="2056"/>
      <c r="DQ622" s="2056"/>
      <c r="DR622" s="2056">
        <f t="shared" si="15"/>
        <v>0</v>
      </c>
      <c r="DS622" s="2056"/>
      <c r="DT622" s="2056"/>
      <c r="DU622" s="2056"/>
      <c r="DV622" s="2056"/>
      <c r="DX622" s="2052" t="str">
        <f t="shared" si="16"/>
        <v xml:space="preserve"> </v>
      </c>
      <c r="DY622" s="2053"/>
      <c r="DZ622" s="2053"/>
      <c r="EA622" s="2053"/>
      <c r="EB622" s="2054"/>
      <c r="EC622" s="2052" t="str">
        <f t="shared" si="17"/>
        <v xml:space="preserve"> </v>
      </c>
      <c r="ED622" s="2053"/>
      <c r="EE622" s="2053"/>
      <c r="EF622" s="2053"/>
      <c r="EG622" s="2054"/>
      <c r="EH622" s="2052" t="str">
        <f t="shared" si="18"/>
        <v xml:space="preserve"> </v>
      </c>
      <c r="EI622" s="2053"/>
      <c r="EJ622" s="2053"/>
      <c r="EK622" s="2053"/>
      <c r="EL622" s="2054"/>
      <c r="EM622" s="2052" t="str">
        <f t="shared" si="19"/>
        <v xml:space="preserve"> </v>
      </c>
      <c r="EN622" s="2053"/>
      <c r="EO622" s="2053"/>
      <c r="EP622" s="2053"/>
      <c r="EQ622" s="2054"/>
      <c r="ER622" s="2052" t="str">
        <f t="shared" si="20"/>
        <v xml:space="preserve"> </v>
      </c>
      <c r="ES622" s="2053"/>
      <c r="ET622" s="2053"/>
      <c r="EU622" s="2053"/>
      <c r="EV622" s="2054"/>
      <c r="EW622" s="2052" t="str">
        <f t="shared" si="21"/>
        <v xml:space="preserve"> </v>
      </c>
      <c r="EX622" s="2053"/>
      <c r="EY622" s="2053"/>
      <c r="EZ622" s="2053"/>
      <c r="FA622" s="2054"/>
    </row>
    <row r="623" spans="1:157" ht="12.75">
      <c r="B623" s="12" t="s">
        <v>325</v>
      </c>
      <c r="G623" s="2271"/>
      <c r="H623" s="2271"/>
      <c r="I623" s="2271"/>
      <c r="J623" s="2271"/>
      <c r="K623" s="2271"/>
      <c r="L623" s="2271"/>
      <c r="O623" s="137" t="s">
        <v>212</v>
      </c>
      <c r="P623" s="2088"/>
      <c r="Q623" s="2088"/>
      <c r="R623" s="2088"/>
      <c r="U623" s="12" t="s">
        <v>325</v>
      </c>
      <c r="Z623" s="2271"/>
      <c r="AA623" s="2271"/>
      <c r="AB623" s="2271"/>
      <c r="AC623" s="2271"/>
      <c r="AD623" s="2271"/>
      <c r="AE623" s="2271"/>
      <c r="AH623" s="137" t="s">
        <v>212</v>
      </c>
      <c r="AI623" s="2088"/>
      <c r="AJ623" s="2088"/>
      <c r="AK623" s="2088"/>
      <c r="AZ623" s="58"/>
      <c r="BA623" s="58"/>
      <c r="BB623" s="58"/>
      <c r="BC623" s="58"/>
      <c r="BD623" s="58"/>
      <c r="BE623" s="2052">
        <f t="shared" si="0"/>
        <v>0</v>
      </c>
      <c r="BF623" s="2054"/>
      <c r="BG623" s="2096">
        <f t="shared" si="1"/>
        <v>0</v>
      </c>
      <c r="BH623" s="2098"/>
      <c r="BI623" s="2052">
        <f t="shared" si="2"/>
        <v>0</v>
      </c>
      <c r="BJ623" s="2054"/>
      <c r="BK623" s="2096">
        <f t="shared" si="3"/>
        <v>0</v>
      </c>
      <c r="BL623" s="2098"/>
      <c r="BM623" s="58"/>
      <c r="BN623" s="2029">
        <f t="shared" si="4"/>
        <v>0</v>
      </c>
      <c r="BO623" s="2030"/>
      <c r="BP623" s="2030"/>
      <c r="BQ623" s="2030"/>
      <c r="BR623" s="2031"/>
      <c r="BS623" s="2035">
        <f t="shared" si="5"/>
        <v>0</v>
      </c>
      <c r="BT623" s="2035"/>
      <c r="BU623" s="2035"/>
      <c r="BV623" s="2035"/>
      <c r="BW623" s="2035"/>
      <c r="BX623" s="2035">
        <f t="shared" si="6"/>
        <v>0</v>
      </c>
      <c r="BY623" s="2035"/>
      <c r="BZ623" s="2035"/>
      <c r="CA623" s="2035"/>
      <c r="CB623" s="2035"/>
      <c r="CC623" s="2035">
        <f t="shared" si="7"/>
        <v>0</v>
      </c>
      <c r="CD623" s="2035"/>
      <c r="CE623" s="2035"/>
      <c r="CF623" s="2035"/>
      <c r="CG623" s="2035"/>
      <c r="CH623" s="2035">
        <f t="shared" si="8"/>
        <v>0</v>
      </c>
      <c r="CI623" s="2035"/>
      <c r="CJ623" s="2035"/>
      <c r="CK623" s="2035"/>
      <c r="CL623" s="2035"/>
      <c r="CM623" s="2035">
        <f t="shared" si="9"/>
        <v>0</v>
      </c>
      <c r="CN623" s="2035"/>
      <c r="CO623" s="2035"/>
      <c r="CP623" s="2035"/>
      <c r="CQ623" s="2035"/>
      <c r="CR623" s="265"/>
      <c r="CS623" s="2056">
        <f t="shared" si="10"/>
        <v>0</v>
      </c>
      <c r="CT623" s="2056"/>
      <c r="CU623" s="2056"/>
      <c r="CV623" s="2056"/>
      <c r="CW623" s="2056"/>
      <c r="CX623" s="2056">
        <f t="shared" si="11"/>
        <v>0</v>
      </c>
      <c r="CY623" s="2056"/>
      <c r="CZ623" s="2056"/>
      <c r="DA623" s="2056"/>
      <c r="DB623" s="2056"/>
      <c r="DC623" s="2056">
        <f t="shared" si="12"/>
        <v>0</v>
      </c>
      <c r="DD623" s="2056"/>
      <c r="DE623" s="2056"/>
      <c r="DF623" s="2056"/>
      <c r="DG623" s="2056"/>
      <c r="DH623" s="2056">
        <f t="shared" si="13"/>
        <v>0</v>
      </c>
      <c r="DI623" s="2056"/>
      <c r="DJ623" s="2056"/>
      <c r="DK623" s="2056"/>
      <c r="DL623" s="2056"/>
      <c r="DM623" s="2056">
        <f t="shared" si="14"/>
        <v>0</v>
      </c>
      <c r="DN623" s="2056"/>
      <c r="DO623" s="2056"/>
      <c r="DP623" s="2056"/>
      <c r="DQ623" s="2056"/>
      <c r="DR623" s="2056">
        <f t="shared" si="15"/>
        <v>0</v>
      </c>
      <c r="DS623" s="2056"/>
      <c r="DT623" s="2056"/>
      <c r="DU623" s="2056"/>
      <c r="DV623" s="2056"/>
      <c r="DX623" s="2052" t="str">
        <f t="shared" si="16"/>
        <v xml:space="preserve"> </v>
      </c>
      <c r="DY623" s="2053"/>
      <c r="DZ623" s="2053"/>
      <c r="EA623" s="2053"/>
      <c r="EB623" s="2054"/>
      <c r="EC623" s="2052" t="str">
        <f t="shared" si="17"/>
        <v xml:space="preserve"> </v>
      </c>
      <c r="ED623" s="2053"/>
      <c r="EE623" s="2053"/>
      <c r="EF623" s="2053"/>
      <c r="EG623" s="2054"/>
      <c r="EH623" s="2052" t="str">
        <f t="shared" si="18"/>
        <v xml:space="preserve"> </v>
      </c>
      <c r="EI623" s="2053"/>
      <c r="EJ623" s="2053"/>
      <c r="EK623" s="2053"/>
      <c r="EL623" s="2054"/>
      <c r="EM623" s="2052" t="str">
        <f t="shared" si="19"/>
        <v xml:space="preserve"> </v>
      </c>
      <c r="EN623" s="2053"/>
      <c r="EO623" s="2053"/>
      <c r="EP623" s="2053"/>
      <c r="EQ623" s="2054"/>
      <c r="ER623" s="2052" t="str">
        <f t="shared" si="20"/>
        <v xml:space="preserve"> </v>
      </c>
      <c r="ES623" s="2053"/>
      <c r="ET623" s="2053"/>
      <c r="EU623" s="2053"/>
      <c r="EV623" s="2054"/>
      <c r="EW623" s="2052" t="str">
        <f t="shared" si="21"/>
        <v xml:space="preserve"> </v>
      </c>
      <c r="EX623" s="2053"/>
      <c r="EY623" s="2053"/>
      <c r="EZ623" s="2053"/>
      <c r="FA623" s="2054"/>
    </row>
    <row r="624" spans="1:157" ht="12.75">
      <c r="B624" s="12" t="s">
        <v>18</v>
      </c>
      <c r="H624" s="2051"/>
      <c r="I624" s="2051"/>
      <c r="J624" s="2051"/>
      <c r="K624" s="2051"/>
      <c r="L624" s="2051"/>
      <c r="M624" s="2051"/>
      <c r="N624" s="2051"/>
      <c r="O624" s="2051"/>
      <c r="P624" s="2051"/>
      <c r="Q624" s="2051"/>
      <c r="R624" s="2051"/>
      <c r="U624" s="12" t="s">
        <v>18</v>
      </c>
      <c r="AA624" s="2051"/>
      <c r="AB624" s="2051"/>
      <c r="AC624" s="2051"/>
      <c r="AD624" s="2051"/>
      <c r="AE624" s="2051"/>
      <c r="AF624" s="2051"/>
      <c r="AG624" s="2051"/>
      <c r="AH624" s="2051"/>
      <c r="AI624" s="2051"/>
      <c r="AJ624" s="2051"/>
      <c r="AK624" s="2051"/>
      <c r="AZ624" s="58"/>
      <c r="BA624" s="58"/>
      <c r="BB624" s="58"/>
      <c r="BC624" s="58"/>
      <c r="BD624" s="58"/>
      <c r="BE624" s="2052">
        <f t="shared" si="0"/>
        <v>0</v>
      </c>
      <c r="BF624" s="2054"/>
      <c r="BG624" s="2096">
        <f t="shared" si="1"/>
        <v>0</v>
      </c>
      <c r="BH624" s="2098"/>
      <c r="BI624" s="2052">
        <f t="shared" si="2"/>
        <v>0</v>
      </c>
      <c r="BJ624" s="2054"/>
      <c r="BK624" s="2096">
        <f t="shared" si="3"/>
        <v>0</v>
      </c>
      <c r="BL624" s="2098"/>
      <c r="BM624" s="58"/>
      <c r="BN624" s="2029">
        <f t="shared" si="4"/>
        <v>0</v>
      </c>
      <c r="BO624" s="2030"/>
      <c r="BP624" s="2030"/>
      <c r="BQ624" s="2030"/>
      <c r="BR624" s="2031"/>
      <c r="BS624" s="2035">
        <f t="shared" si="5"/>
        <v>0</v>
      </c>
      <c r="BT624" s="2035"/>
      <c r="BU624" s="2035"/>
      <c r="BV624" s="2035"/>
      <c r="BW624" s="2035"/>
      <c r="BX624" s="2035">
        <f t="shared" si="6"/>
        <v>0</v>
      </c>
      <c r="BY624" s="2035"/>
      <c r="BZ624" s="2035"/>
      <c r="CA624" s="2035"/>
      <c r="CB624" s="2035"/>
      <c r="CC624" s="2035">
        <f t="shared" si="7"/>
        <v>0</v>
      </c>
      <c r="CD624" s="2035"/>
      <c r="CE624" s="2035"/>
      <c r="CF624" s="2035"/>
      <c r="CG624" s="2035"/>
      <c r="CH624" s="2035">
        <f t="shared" si="8"/>
        <v>0</v>
      </c>
      <c r="CI624" s="2035"/>
      <c r="CJ624" s="2035"/>
      <c r="CK624" s="2035"/>
      <c r="CL624" s="2035"/>
      <c r="CM624" s="2035">
        <f t="shared" si="9"/>
        <v>0</v>
      </c>
      <c r="CN624" s="2035"/>
      <c r="CO624" s="2035"/>
      <c r="CP624" s="2035"/>
      <c r="CQ624" s="2035"/>
      <c r="CR624" s="265"/>
      <c r="CS624" s="2056">
        <f t="shared" si="10"/>
        <v>0</v>
      </c>
      <c r="CT624" s="2056"/>
      <c r="CU624" s="2056"/>
      <c r="CV624" s="2056"/>
      <c r="CW624" s="2056"/>
      <c r="CX624" s="2056">
        <f t="shared" si="11"/>
        <v>0</v>
      </c>
      <c r="CY624" s="2056"/>
      <c r="CZ624" s="2056"/>
      <c r="DA624" s="2056"/>
      <c r="DB624" s="2056"/>
      <c r="DC624" s="2056">
        <f t="shared" si="12"/>
        <v>0</v>
      </c>
      <c r="DD624" s="2056"/>
      <c r="DE624" s="2056"/>
      <c r="DF624" s="2056"/>
      <c r="DG624" s="2056"/>
      <c r="DH624" s="2056">
        <f t="shared" si="13"/>
        <v>0</v>
      </c>
      <c r="DI624" s="2056"/>
      <c r="DJ624" s="2056"/>
      <c r="DK624" s="2056"/>
      <c r="DL624" s="2056"/>
      <c r="DM624" s="2056">
        <f t="shared" si="14"/>
        <v>0</v>
      </c>
      <c r="DN624" s="2056"/>
      <c r="DO624" s="2056"/>
      <c r="DP624" s="2056"/>
      <c r="DQ624" s="2056"/>
      <c r="DR624" s="2056">
        <f t="shared" si="15"/>
        <v>0</v>
      </c>
      <c r="DS624" s="2056"/>
      <c r="DT624" s="2056"/>
      <c r="DU624" s="2056"/>
      <c r="DV624" s="2056"/>
      <c r="DX624" s="2052" t="str">
        <f t="shared" si="16"/>
        <v xml:space="preserve"> </v>
      </c>
      <c r="DY624" s="2053"/>
      <c r="DZ624" s="2053"/>
      <c r="EA624" s="2053"/>
      <c r="EB624" s="2054"/>
      <c r="EC624" s="2052" t="str">
        <f t="shared" si="17"/>
        <v xml:space="preserve"> </v>
      </c>
      <c r="ED624" s="2053"/>
      <c r="EE624" s="2053"/>
      <c r="EF624" s="2053"/>
      <c r="EG624" s="2054"/>
      <c r="EH624" s="2052" t="str">
        <f t="shared" si="18"/>
        <v xml:space="preserve"> </v>
      </c>
      <c r="EI624" s="2053"/>
      <c r="EJ624" s="2053"/>
      <c r="EK624" s="2053"/>
      <c r="EL624" s="2054"/>
      <c r="EM624" s="2052" t="str">
        <f t="shared" si="19"/>
        <v xml:space="preserve"> </v>
      </c>
      <c r="EN624" s="2053"/>
      <c r="EO624" s="2053"/>
      <c r="EP624" s="2053"/>
      <c r="EQ624" s="2054"/>
      <c r="ER624" s="2052" t="str">
        <f t="shared" si="20"/>
        <v xml:space="preserve"> </v>
      </c>
      <c r="ES624" s="2053"/>
      <c r="ET624" s="2053"/>
      <c r="EU624" s="2053"/>
      <c r="EV624" s="2054"/>
      <c r="EW624" s="2052" t="str">
        <f t="shared" si="21"/>
        <v xml:space="preserve"> </v>
      </c>
      <c r="EX624" s="2053"/>
      <c r="EY624" s="2053"/>
      <c r="EZ624" s="2053"/>
      <c r="FA624" s="2054"/>
    </row>
    <row r="625" spans="1:157" ht="12.75">
      <c r="B625" s="12" t="s">
        <v>20</v>
      </c>
      <c r="N625" s="2050" t="s">
        <v>706</v>
      </c>
      <c r="O625" s="2050"/>
      <c r="U625" s="12" t="s">
        <v>20</v>
      </c>
      <c r="AG625" s="2050" t="s">
        <v>706</v>
      </c>
      <c r="AH625" s="2050"/>
      <c r="AZ625" s="58"/>
      <c r="BA625" s="58"/>
      <c r="BB625" s="58"/>
      <c r="BC625" s="58"/>
      <c r="BD625" s="58"/>
      <c r="BE625" s="2052">
        <f t="shared" si="0"/>
        <v>0</v>
      </c>
      <c r="BF625" s="2054"/>
      <c r="BG625" s="2096">
        <f t="shared" si="1"/>
        <v>0</v>
      </c>
      <c r="BH625" s="2098"/>
      <c r="BI625" s="2052">
        <f t="shared" si="2"/>
        <v>0</v>
      </c>
      <c r="BJ625" s="2054"/>
      <c r="BK625" s="2096">
        <f t="shared" si="3"/>
        <v>0</v>
      </c>
      <c r="BL625" s="2098"/>
      <c r="BM625" s="58"/>
      <c r="BN625" s="2029">
        <f t="shared" si="4"/>
        <v>0</v>
      </c>
      <c r="BO625" s="2030"/>
      <c r="BP625" s="2030"/>
      <c r="BQ625" s="2030"/>
      <c r="BR625" s="2031"/>
      <c r="BS625" s="2035">
        <f t="shared" si="5"/>
        <v>0</v>
      </c>
      <c r="BT625" s="2035"/>
      <c r="BU625" s="2035"/>
      <c r="BV625" s="2035"/>
      <c r="BW625" s="2035"/>
      <c r="BX625" s="2035">
        <f t="shared" si="6"/>
        <v>0</v>
      </c>
      <c r="BY625" s="2035"/>
      <c r="BZ625" s="2035"/>
      <c r="CA625" s="2035"/>
      <c r="CB625" s="2035"/>
      <c r="CC625" s="2035">
        <f t="shared" si="7"/>
        <v>0</v>
      </c>
      <c r="CD625" s="2035"/>
      <c r="CE625" s="2035"/>
      <c r="CF625" s="2035"/>
      <c r="CG625" s="2035"/>
      <c r="CH625" s="2035">
        <f t="shared" si="8"/>
        <v>0</v>
      </c>
      <c r="CI625" s="2035"/>
      <c r="CJ625" s="2035"/>
      <c r="CK625" s="2035"/>
      <c r="CL625" s="2035"/>
      <c r="CM625" s="2035">
        <f t="shared" si="9"/>
        <v>0</v>
      </c>
      <c r="CN625" s="2035"/>
      <c r="CO625" s="2035"/>
      <c r="CP625" s="2035"/>
      <c r="CQ625" s="2035"/>
      <c r="CR625" s="265"/>
      <c r="CS625" s="2056">
        <f t="shared" si="10"/>
        <v>0</v>
      </c>
      <c r="CT625" s="2056"/>
      <c r="CU625" s="2056"/>
      <c r="CV625" s="2056"/>
      <c r="CW625" s="2056"/>
      <c r="CX625" s="2056">
        <f t="shared" si="11"/>
        <v>0</v>
      </c>
      <c r="CY625" s="2056"/>
      <c r="CZ625" s="2056"/>
      <c r="DA625" s="2056"/>
      <c r="DB625" s="2056"/>
      <c r="DC625" s="2056">
        <f t="shared" si="12"/>
        <v>0</v>
      </c>
      <c r="DD625" s="2056"/>
      <c r="DE625" s="2056"/>
      <c r="DF625" s="2056"/>
      <c r="DG625" s="2056"/>
      <c r="DH625" s="2056">
        <f t="shared" si="13"/>
        <v>0</v>
      </c>
      <c r="DI625" s="2056"/>
      <c r="DJ625" s="2056"/>
      <c r="DK625" s="2056"/>
      <c r="DL625" s="2056"/>
      <c r="DM625" s="2056">
        <f t="shared" si="14"/>
        <v>0</v>
      </c>
      <c r="DN625" s="2056"/>
      <c r="DO625" s="2056"/>
      <c r="DP625" s="2056"/>
      <c r="DQ625" s="2056"/>
      <c r="DR625" s="2056">
        <f t="shared" si="15"/>
        <v>0</v>
      </c>
      <c r="DS625" s="2056"/>
      <c r="DT625" s="2056"/>
      <c r="DU625" s="2056"/>
      <c r="DV625" s="2056"/>
      <c r="DX625" s="2052" t="str">
        <f t="shared" si="16"/>
        <v xml:space="preserve"> </v>
      </c>
      <c r="DY625" s="2053"/>
      <c r="DZ625" s="2053"/>
      <c r="EA625" s="2053"/>
      <c r="EB625" s="2054"/>
      <c r="EC625" s="2052" t="str">
        <f t="shared" si="17"/>
        <v xml:space="preserve"> </v>
      </c>
      <c r="ED625" s="2053"/>
      <c r="EE625" s="2053"/>
      <c r="EF625" s="2053"/>
      <c r="EG625" s="2054"/>
      <c r="EH625" s="2052" t="str">
        <f t="shared" si="18"/>
        <v xml:space="preserve"> </v>
      </c>
      <c r="EI625" s="2053"/>
      <c r="EJ625" s="2053"/>
      <c r="EK625" s="2053"/>
      <c r="EL625" s="2054"/>
      <c r="EM625" s="2052" t="str">
        <f t="shared" si="19"/>
        <v xml:space="preserve"> </v>
      </c>
      <c r="EN625" s="2053"/>
      <c r="EO625" s="2053"/>
      <c r="EP625" s="2053"/>
      <c r="EQ625" s="2054"/>
      <c r="ER625" s="2052" t="str">
        <f t="shared" si="20"/>
        <v xml:space="preserve"> </v>
      </c>
      <c r="ES625" s="2053"/>
      <c r="ET625" s="2053"/>
      <c r="EU625" s="2053"/>
      <c r="EV625" s="2054"/>
      <c r="EW625" s="2052" t="str">
        <f t="shared" si="21"/>
        <v xml:space="preserve"> </v>
      </c>
      <c r="EX625" s="2053"/>
      <c r="EY625" s="2053"/>
      <c r="EZ625" s="2053"/>
      <c r="FA625" s="2054"/>
    </row>
    <row r="626" spans="1:157" ht="12.75">
      <c r="AZ626" s="58"/>
      <c r="BA626" s="58"/>
      <c r="BB626" s="58"/>
      <c r="BC626" s="58"/>
      <c r="BD626" s="58"/>
      <c r="BE626" s="2052">
        <f t="shared" si="0"/>
        <v>0</v>
      </c>
      <c r="BF626" s="2054"/>
      <c r="BG626" s="2096">
        <f t="shared" si="1"/>
        <v>0</v>
      </c>
      <c r="BH626" s="2098"/>
      <c r="BI626" s="2052">
        <f t="shared" si="2"/>
        <v>0</v>
      </c>
      <c r="BJ626" s="2054"/>
      <c r="BK626" s="2096">
        <f t="shared" si="3"/>
        <v>0</v>
      </c>
      <c r="BL626" s="2098"/>
      <c r="BM626" s="58"/>
      <c r="BN626" s="2029">
        <f t="shared" si="4"/>
        <v>0</v>
      </c>
      <c r="BO626" s="2030"/>
      <c r="BP626" s="2030"/>
      <c r="BQ626" s="2030"/>
      <c r="BR626" s="2031"/>
      <c r="BS626" s="2035">
        <f t="shared" si="5"/>
        <v>0</v>
      </c>
      <c r="BT626" s="2035"/>
      <c r="BU626" s="2035"/>
      <c r="BV626" s="2035"/>
      <c r="BW626" s="2035"/>
      <c r="BX626" s="2035">
        <f t="shared" si="6"/>
        <v>0</v>
      </c>
      <c r="BY626" s="2035"/>
      <c r="BZ626" s="2035"/>
      <c r="CA626" s="2035"/>
      <c r="CB626" s="2035"/>
      <c r="CC626" s="2035">
        <f t="shared" si="7"/>
        <v>0</v>
      </c>
      <c r="CD626" s="2035"/>
      <c r="CE626" s="2035"/>
      <c r="CF626" s="2035"/>
      <c r="CG626" s="2035"/>
      <c r="CH626" s="2035">
        <f t="shared" si="8"/>
        <v>0</v>
      </c>
      <c r="CI626" s="2035"/>
      <c r="CJ626" s="2035"/>
      <c r="CK626" s="2035"/>
      <c r="CL626" s="2035"/>
      <c r="CM626" s="2035">
        <f t="shared" si="9"/>
        <v>0</v>
      </c>
      <c r="CN626" s="2035"/>
      <c r="CO626" s="2035"/>
      <c r="CP626" s="2035"/>
      <c r="CQ626" s="2035"/>
      <c r="CR626" s="265"/>
      <c r="CS626" s="2056">
        <f t="shared" si="10"/>
        <v>0</v>
      </c>
      <c r="CT626" s="2056"/>
      <c r="CU626" s="2056"/>
      <c r="CV626" s="2056"/>
      <c r="CW626" s="2056"/>
      <c r="CX626" s="2056">
        <f t="shared" si="11"/>
        <v>0</v>
      </c>
      <c r="CY626" s="2056"/>
      <c r="CZ626" s="2056"/>
      <c r="DA626" s="2056"/>
      <c r="DB626" s="2056"/>
      <c r="DC626" s="2056">
        <f t="shared" si="12"/>
        <v>0</v>
      </c>
      <c r="DD626" s="2056"/>
      <c r="DE626" s="2056"/>
      <c r="DF626" s="2056"/>
      <c r="DG626" s="2056"/>
      <c r="DH626" s="2056">
        <f t="shared" si="13"/>
        <v>0</v>
      </c>
      <c r="DI626" s="2056"/>
      <c r="DJ626" s="2056"/>
      <c r="DK626" s="2056"/>
      <c r="DL626" s="2056"/>
      <c r="DM626" s="2056">
        <f t="shared" si="14"/>
        <v>0</v>
      </c>
      <c r="DN626" s="2056"/>
      <c r="DO626" s="2056"/>
      <c r="DP626" s="2056"/>
      <c r="DQ626" s="2056"/>
      <c r="DR626" s="2056">
        <f t="shared" si="15"/>
        <v>0</v>
      </c>
      <c r="DS626" s="2056"/>
      <c r="DT626" s="2056"/>
      <c r="DU626" s="2056"/>
      <c r="DV626" s="2056"/>
      <c r="DX626" s="2052" t="str">
        <f t="shared" si="16"/>
        <v xml:space="preserve"> </v>
      </c>
      <c r="DY626" s="2053"/>
      <c r="DZ626" s="2053"/>
      <c r="EA626" s="2053"/>
      <c r="EB626" s="2054"/>
      <c r="EC626" s="2052" t="str">
        <f t="shared" si="17"/>
        <v xml:space="preserve"> </v>
      </c>
      <c r="ED626" s="2053"/>
      <c r="EE626" s="2053"/>
      <c r="EF626" s="2053"/>
      <c r="EG626" s="2054"/>
      <c r="EH626" s="2052" t="str">
        <f t="shared" si="18"/>
        <v xml:space="preserve"> </v>
      </c>
      <c r="EI626" s="2053"/>
      <c r="EJ626" s="2053"/>
      <c r="EK626" s="2053"/>
      <c r="EL626" s="2054"/>
      <c r="EM626" s="2052" t="str">
        <f t="shared" si="19"/>
        <v xml:space="preserve"> </v>
      </c>
      <c r="EN626" s="2053"/>
      <c r="EO626" s="2053"/>
      <c r="EP626" s="2053"/>
      <c r="EQ626" s="2054"/>
      <c r="ER626" s="2052" t="str">
        <f t="shared" si="20"/>
        <v xml:space="preserve"> </v>
      </c>
      <c r="ES626" s="2053"/>
      <c r="ET626" s="2053"/>
      <c r="EU626" s="2053"/>
      <c r="EV626" s="2054"/>
      <c r="EW626" s="2052" t="str">
        <f t="shared" si="21"/>
        <v xml:space="preserve"> </v>
      </c>
      <c r="EX626" s="2053"/>
      <c r="EY626" s="2053"/>
      <c r="EZ626" s="2053"/>
      <c r="FA626" s="2054"/>
    </row>
    <row r="627" spans="1:157" ht="12.75" customHeight="1">
      <c r="A627" s="1877" t="s">
        <v>577</v>
      </c>
      <c r="B627" s="1877"/>
      <c r="C627" s="1877"/>
      <c r="D627" s="1877"/>
      <c r="E627" s="1877"/>
      <c r="F627" s="1877"/>
      <c r="G627" s="1877"/>
      <c r="H627" s="1877"/>
      <c r="I627" s="1877"/>
      <c r="J627" s="1877"/>
      <c r="K627" s="1877"/>
      <c r="L627" s="1877"/>
      <c r="M627" s="1877"/>
      <c r="N627" s="1877"/>
      <c r="O627" s="1877"/>
      <c r="P627" s="1877"/>
      <c r="Q627" s="1877"/>
      <c r="R627" s="1877"/>
      <c r="S627" s="1877"/>
      <c r="T627" s="1877"/>
      <c r="U627" s="1877"/>
      <c r="V627" s="1877"/>
      <c r="W627" s="1877"/>
      <c r="X627" s="1877"/>
      <c r="Y627" s="1877"/>
      <c r="Z627" s="1877"/>
      <c r="AA627" s="1877"/>
      <c r="AB627" s="1877"/>
      <c r="AC627" s="1877"/>
      <c r="AD627" s="1877"/>
      <c r="AE627" s="1877"/>
      <c r="AF627" s="1877"/>
      <c r="AG627" s="1877"/>
      <c r="AH627" s="1877"/>
      <c r="AI627" s="1877"/>
      <c r="AJ627" s="1877"/>
      <c r="AK627" s="1877"/>
      <c r="AL627" s="1877"/>
      <c r="AM627" s="1877"/>
      <c r="AN627" s="1877"/>
      <c r="AO627" s="1877"/>
      <c r="AP627" s="1877"/>
      <c r="AQ627" s="1877"/>
      <c r="AR627" s="1877"/>
      <c r="AS627" s="1877"/>
      <c r="AT627" s="1571"/>
      <c r="AU627" s="1571"/>
      <c r="AV627" s="1571"/>
      <c r="AW627" s="1571"/>
      <c r="AX627" s="1571"/>
      <c r="AY627" s="1571"/>
      <c r="AZ627" s="58"/>
      <c r="BA627" s="58"/>
      <c r="BB627" s="58"/>
      <c r="BC627" s="58"/>
      <c r="BD627" s="58"/>
      <c r="BE627" s="2052">
        <f t="shared" si="0"/>
        <v>0</v>
      </c>
      <c r="BF627" s="2054"/>
      <c r="BG627" s="2096">
        <f t="shared" si="1"/>
        <v>0</v>
      </c>
      <c r="BH627" s="2098"/>
      <c r="BI627" s="2052">
        <f t="shared" si="2"/>
        <v>0</v>
      </c>
      <c r="BJ627" s="2054"/>
      <c r="BK627" s="2096">
        <f t="shared" si="3"/>
        <v>0</v>
      </c>
      <c r="BL627" s="2098"/>
      <c r="BM627" s="58"/>
      <c r="BN627" s="2029">
        <f t="shared" si="4"/>
        <v>0</v>
      </c>
      <c r="BO627" s="2030"/>
      <c r="BP627" s="2030"/>
      <c r="BQ627" s="2030"/>
      <c r="BR627" s="2031"/>
      <c r="BS627" s="2035">
        <f t="shared" si="5"/>
        <v>0</v>
      </c>
      <c r="BT627" s="2035"/>
      <c r="BU627" s="2035"/>
      <c r="BV627" s="2035"/>
      <c r="BW627" s="2035"/>
      <c r="BX627" s="2035">
        <f t="shared" si="6"/>
        <v>0</v>
      </c>
      <c r="BY627" s="2035"/>
      <c r="BZ627" s="2035"/>
      <c r="CA627" s="2035"/>
      <c r="CB627" s="2035"/>
      <c r="CC627" s="2035">
        <f t="shared" si="7"/>
        <v>0</v>
      </c>
      <c r="CD627" s="2035"/>
      <c r="CE627" s="2035"/>
      <c r="CF627" s="2035"/>
      <c r="CG627" s="2035"/>
      <c r="CH627" s="2035">
        <f t="shared" si="8"/>
        <v>0</v>
      </c>
      <c r="CI627" s="2035"/>
      <c r="CJ627" s="2035"/>
      <c r="CK627" s="2035"/>
      <c r="CL627" s="2035"/>
      <c r="CM627" s="2035">
        <f t="shared" si="9"/>
        <v>0</v>
      </c>
      <c r="CN627" s="2035"/>
      <c r="CO627" s="2035"/>
      <c r="CP627" s="2035"/>
      <c r="CQ627" s="2035"/>
      <c r="CR627" s="265"/>
      <c r="CS627" s="2056">
        <f t="shared" si="10"/>
        <v>0</v>
      </c>
      <c r="CT627" s="2056"/>
      <c r="CU627" s="2056"/>
      <c r="CV627" s="2056"/>
      <c r="CW627" s="2056"/>
      <c r="CX627" s="2056">
        <f t="shared" si="11"/>
        <v>0</v>
      </c>
      <c r="CY627" s="2056"/>
      <c r="CZ627" s="2056"/>
      <c r="DA627" s="2056"/>
      <c r="DB627" s="2056"/>
      <c r="DC627" s="2056">
        <f t="shared" si="12"/>
        <v>0</v>
      </c>
      <c r="DD627" s="2056"/>
      <c r="DE627" s="2056"/>
      <c r="DF627" s="2056"/>
      <c r="DG627" s="2056"/>
      <c r="DH627" s="2056">
        <f t="shared" si="13"/>
        <v>0</v>
      </c>
      <c r="DI627" s="2056"/>
      <c r="DJ627" s="2056"/>
      <c r="DK627" s="2056"/>
      <c r="DL627" s="2056"/>
      <c r="DM627" s="2056">
        <f t="shared" si="14"/>
        <v>0</v>
      </c>
      <c r="DN627" s="2056"/>
      <c r="DO627" s="2056"/>
      <c r="DP627" s="2056"/>
      <c r="DQ627" s="2056"/>
      <c r="DR627" s="2056">
        <f t="shared" si="15"/>
        <v>0</v>
      </c>
      <c r="DS627" s="2056"/>
      <c r="DT627" s="2056"/>
      <c r="DU627" s="2056"/>
      <c r="DV627" s="2056"/>
      <c r="DX627" s="2052" t="str">
        <f t="shared" si="16"/>
        <v xml:space="preserve"> </v>
      </c>
      <c r="DY627" s="2053"/>
      <c r="DZ627" s="2053"/>
      <c r="EA627" s="2053"/>
      <c r="EB627" s="2054"/>
      <c r="EC627" s="2052" t="str">
        <f t="shared" si="17"/>
        <v xml:space="preserve"> </v>
      </c>
      <c r="ED627" s="2053"/>
      <c r="EE627" s="2053"/>
      <c r="EF627" s="2053"/>
      <c r="EG627" s="2054"/>
      <c r="EH627" s="2052" t="str">
        <f t="shared" si="18"/>
        <v xml:space="preserve"> </v>
      </c>
      <c r="EI627" s="2053"/>
      <c r="EJ627" s="2053"/>
      <c r="EK627" s="2053"/>
      <c r="EL627" s="2054"/>
      <c r="EM627" s="2052" t="str">
        <f t="shared" si="19"/>
        <v xml:space="preserve"> </v>
      </c>
      <c r="EN627" s="2053"/>
      <c r="EO627" s="2053"/>
      <c r="EP627" s="2053"/>
      <c r="EQ627" s="2054"/>
      <c r="ER627" s="2052" t="str">
        <f t="shared" si="20"/>
        <v xml:space="preserve"> </v>
      </c>
      <c r="ES627" s="2053"/>
      <c r="ET627" s="2053"/>
      <c r="EU627" s="2053"/>
      <c r="EV627" s="2054"/>
      <c r="EW627" s="2052" t="str">
        <f t="shared" si="21"/>
        <v xml:space="preserve"> </v>
      </c>
      <c r="EX627" s="2053"/>
      <c r="EY627" s="2053"/>
      <c r="EZ627" s="2053"/>
      <c r="FA627" s="2054"/>
    </row>
    <row r="628" spans="1:157" ht="12.75">
      <c r="A628" s="1877"/>
      <c r="B628" s="1877"/>
      <c r="C628" s="1877"/>
      <c r="D628" s="1877"/>
      <c r="E628" s="1877"/>
      <c r="F628" s="1877"/>
      <c r="G628" s="1877"/>
      <c r="H628" s="1877"/>
      <c r="I628" s="1877"/>
      <c r="J628" s="1877"/>
      <c r="K628" s="1877"/>
      <c r="L628" s="1877"/>
      <c r="M628" s="1877"/>
      <c r="N628" s="1877"/>
      <c r="O628" s="1877"/>
      <c r="P628" s="1877"/>
      <c r="Q628" s="1877"/>
      <c r="R628" s="1877"/>
      <c r="S628" s="1877"/>
      <c r="T628" s="1877"/>
      <c r="U628" s="1877"/>
      <c r="V628" s="1877"/>
      <c r="W628" s="1877"/>
      <c r="X628" s="1877"/>
      <c r="Y628" s="1877"/>
      <c r="Z628" s="1877"/>
      <c r="AA628" s="1877"/>
      <c r="AB628" s="1877"/>
      <c r="AC628" s="1877"/>
      <c r="AD628" s="1877"/>
      <c r="AE628" s="1877"/>
      <c r="AF628" s="1877"/>
      <c r="AG628" s="1877"/>
      <c r="AH628" s="1877"/>
      <c r="AI628" s="1877"/>
      <c r="AJ628" s="1877"/>
      <c r="AK628" s="1877"/>
      <c r="AL628" s="1877"/>
      <c r="AM628" s="1877"/>
      <c r="AN628" s="1877"/>
      <c r="AO628" s="1877"/>
      <c r="AP628" s="1877"/>
      <c r="AQ628" s="1877"/>
      <c r="AR628" s="1877"/>
      <c r="AS628" s="1877"/>
      <c r="AT628" s="1571"/>
      <c r="AU628" s="1571"/>
      <c r="AV628" s="1571"/>
      <c r="AW628" s="1571"/>
      <c r="AX628" s="1571"/>
      <c r="AY628" s="1571"/>
      <c r="AZ628" s="58"/>
      <c r="BA628" s="58"/>
      <c r="BB628" s="58"/>
      <c r="BC628" s="58"/>
      <c r="BD628" s="58"/>
      <c r="BE628" s="2052">
        <f t="shared" si="0"/>
        <v>0</v>
      </c>
      <c r="BF628" s="2054"/>
      <c r="BG628" s="2096">
        <f t="shared" si="1"/>
        <v>0</v>
      </c>
      <c r="BH628" s="2098"/>
      <c r="BI628" s="2052">
        <f t="shared" si="2"/>
        <v>0</v>
      </c>
      <c r="BJ628" s="2054"/>
      <c r="BK628" s="2096">
        <f t="shared" si="3"/>
        <v>0</v>
      </c>
      <c r="BL628" s="2098"/>
      <c r="BM628" s="58"/>
      <c r="BN628" s="2029">
        <f t="shared" si="4"/>
        <v>0</v>
      </c>
      <c r="BO628" s="2030"/>
      <c r="BP628" s="2030"/>
      <c r="BQ628" s="2030"/>
      <c r="BR628" s="2031"/>
      <c r="BS628" s="2035">
        <f t="shared" si="5"/>
        <v>0</v>
      </c>
      <c r="BT628" s="2035"/>
      <c r="BU628" s="2035"/>
      <c r="BV628" s="2035"/>
      <c r="BW628" s="2035"/>
      <c r="BX628" s="2035">
        <f t="shared" si="6"/>
        <v>0</v>
      </c>
      <c r="BY628" s="2035"/>
      <c r="BZ628" s="2035"/>
      <c r="CA628" s="2035"/>
      <c r="CB628" s="2035"/>
      <c r="CC628" s="2035">
        <f t="shared" si="7"/>
        <v>0</v>
      </c>
      <c r="CD628" s="2035"/>
      <c r="CE628" s="2035"/>
      <c r="CF628" s="2035"/>
      <c r="CG628" s="2035"/>
      <c r="CH628" s="2035">
        <f t="shared" si="8"/>
        <v>0</v>
      </c>
      <c r="CI628" s="2035"/>
      <c r="CJ628" s="2035"/>
      <c r="CK628" s="2035"/>
      <c r="CL628" s="2035"/>
      <c r="CM628" s="2035">
        <f t="shared" si="9"/>
        <v>0</v>
      </c>
      <c r="CN628" s="2035"/>
      <c r="CO628" s="2035"/>
      <c r="CP628" s="2035"/>
      <c r="CQ628" s="2035"/>
      <c r="CR628" s="265"/>
      <c r="CS628" s="2056">
        <f t="shared" si="10"/>
        <v>0</v>
      </c>
      <c r="CT628" s="2056"/>
      <c r="CU628" s="2056"/>
      <c r="CV628" s="2056"/>
      <c r="CW628" s="2056"/>
      <c r="CX628" s="2056">
        <f t="shared" si="11"/>
        <v>0</v>
      </c>
      <c r="CY628" s="2056"/>
      <c r="CZ628" s="2056"/>
      <c r="DA628" s="2056"/>
      <c r="DB628" s="2056"/>
      <c r="DC628" s="2056">
        <f t="shared" si="12"/>
        <v>0</v>
      </c>
      <c r="DD628" s="2056"/>
      <c r="DE628" s="2056"/>
      <c r="DF628" s="2056"/>
      <c r="DG628" s="2056"/>
      <c r="DH628" s="2056">
        <f t="shared" si="13"/>
        <v>0</v>
      </c>
      <c r="DI628" s="2056"/>
      <c r="DJ628" s="2056"/>
      <c r="DK628" s="2056"/>
      <c r="DL628" s="2056"/>
      <c r="DM628" s="2056">
        <f t="shared" si="14"/>
        <v>0</v>
      </c>
      <c r="DN628" s="2056"/>
      <c r="DO628" s="2056"/>
      <c r="DP628" s="2056"/>
      <c r="DQ628" s="2056"/>
      <c r="DR628" s="2056">
        <f t="shared" si="15"/>
        <v>0</v>
      </c>
      <c r="DS628" s="2056"/>
      <c r="DT628" s="2056"/>
      <c r="DU628" s="2056"/>
      <c r="DV628" s="2056"/>
      <c r="DX628" s="2052" t="str">
        <f t="shared" si="16"/>
        <v xml:space="preserve"> </v>
      </c>
      <c r="DY628" s="2053"/>
      <c r="DZ628" s="2053"/>
      <c r="EA628" s="2053"/>
      <c r="EB628" s="2054"/>
      <c r="EC628" s="2052" t="str">
        <f t="shared" si="17"/>
        <v xml:space="preserve"> </v>
      </c>
      <c r="ED628" s="2053"/>
      <c r="EE628" s="2053"/>
      <c r="EF628" s="2053"/>
      <c r="EG628" s="2054"/>
      <c r="EH628" s="2052" t="str">
        <f t="shared" si="18"/>
        <v xml:space="preserve"> </v>
      </c>
      <c r="EI628" s="2053"/>
      <c r="EJ628" s="2053"/>
      <c r="EK628" s="2053"/>
      <c r="EL628" s="2054"/>
      <c r="EM628" s="2052" t="str">
        <f t="shared" si="19"/>
        <v xml:space="preserve"> </v>
      </c>
      <c r="EN628" s="2053"/>
      <c r="EO628" s="2053"/>
      <c r="EP628" s="2053"/>
      <c r="EQ628" s="2054"/>
      <c r="ER628" s="2052" t="str">
        <f t="shared" si="20"/>
        <v xml:space="preserve"> </v>
      </c>
      <c r="ES628" s="2053"/>
      <c r="ET628" s="2053"/>
      <c r="EU628" s="2053"/>
      <c r="EV628" s="2054"/>
      <c r="EW628" s="2052" t="str">
        <f t="shared" si="21"/>
        <v xml:space="preserve"> </v>
      </c>
      <c r="EX628" s="2053"/>
      <c r="EY628" s="2053"/>
      <c r="EZ628" s="2053"/>
      <c r="FA628" s="2054"/>
    </row>
    <row r="629" spans="1:157" ht="12.75">
      <c r="A629" s="25"/>
      <c r="B629" s="25"/>
      <c r="C629" s="25"/>
      <c r="D629" s="25"/>
      <c r="E629" s="25"/>
      <c r="F629" s="25"/>
      <c r="G629" s="3"/>
      <c r="H629" s="25"/>
      <c r="AZ629" s="58"/>
      <c r="BA629" s="58"/>
      <c r="BB629" s="58"/>
      <c r="BC629" s="58"/>
      <c r="BD629" s="58"/>
      <c r="BE629" s="2052">
        <f t="shared" si="0"/>
        <v>0</v>
      </c>
      <c r="BF629" s="2054"/>
      <c r="BG629" s="2096">
        <f t="shared" si="1"/>
        <v>0</v>
      </c>
      <c r="BH629" s="2098"/>
      <c r="BI629" s="2052">
        <f t="shared" si="2"/>
        <v>0</v>
      </c>
      <c r="BJ629" s="2054"/>
      <c r="BK629" s="2096">
        <f t="shared" si="3"/>
        <v>0</v>
      </c>
      <c r="BL629" s="2098"/>
      <c r="BM629" s="58"/>
      <c r="BN629" s="2029">
        <f t="shared" si="4"/>
        <v>0</v>
      </c>
      <c r="BO629" s="2030"/>
      <c r="BP629" s="2030"/>
      <c r="BQ629" s="2030"/>
      <c r="BR629" s="2031"/>
      <c r="BS629" s="2035">
        <f t="shared" si="5"/>
        <v>0</v>
      </c>
      <c r="BT629" s="2035"/>
      <c r="BU629" s="2035"/>
      <c r="BV629" s="2035"/>
      <c r="BW629" s="2035"/>
      <c r="BX629" s="2035">
        <f t="shared" si="6"/>
        <v>0</v>
      </c>
      <c r="BY629" s="2035"/>
      <c r="BZ629" s="2035"/>
      <c r="CA629" s="2035"/>
      <c r="CB629" s="2035"/>
      <c r="CC629" s="2035">
        <f t="shared" si="7"/>
        <v>0</v>
      </c>
      <c r="CD629" s="2035"/>
      <c r="CE629" s="2035"/>
      <c r="CF629" s="2035"/>
      <c r="CG629" s="2035"/>
      <c r="CH629" s="2035">
        <f t="shared" si="8"/>
        <v>0</v>
      </c>
      <c r="CI629" s="2035"/>
      <c r="CJ629" s="2035"/>
      <c r="CK629" s="2035"/>
      <c r="CL629" s="2035"/>
      <c r="CM629" s="2035">
        <f t="shared" si="9"/>
        <v>0</v>
      </c>
      <c r="CN629" s="2035"/>
      <c r="CO629" s="2035"/>
      <c r="CP629" s="2035"/>
      <c r="CQ629" s="2035"/>
      <c r="CR629" s="265"/>
      <c r="CS629" s="2056">
        <f t="shared" si="10"/>
        <v>0</v>
      </c>
      <c r="CT629" s="2056"/>
      <c r="CU629" s="2056"/>
      <c r="CV629" s="2056"/>
      <c r="CW629" s="2056"/>
      <c r="CX629" s="2056">
        <f t="shared" si="11"/>
        <v>0</v>
      </c>
      <c r="CY629" s="2056"/>
      <c r="CZ629" s="2056"/>
      <c r="DA629" s="2056"/>
      <c r="DB629" s="2056"/>
      <c r="DC629" s="2056">
        <f t="shared" si="12"/>
        <v>0</v>
      </c>
      <c r="DD629" s="2056"/>
      <c r="DE629" s="2056"/>
      <c r="DF629" s="2056"/>
      <c r="DG629" s="2056"/>
      <c r="DH629" s="2056">
        <f t="shared" si="13"/>
        <v>0</v>
      </c>
      <c r="DI629" s="2056"/>
      <c r="DJ629" s="2056"/>
      <c r="DK629" s="2056"/>
      <c r="DL629" s="2056"/>
      <c r="DM629" s="2056">
        <f t="shared" si="14"/>
        <v>0</v>
      </c>
      <c r="DN629" s="2056"/>
      <c r="DO629" s="2056"/>
      <c r="DP629" s="2056"/>
      <c r="DQ629" s="2056"/>
      <c r="DR629" s="2056">
        <f t="shared" si="15"/>
        <v>0</v>
      </c>
      <c r="DS629" s="2056"/>
      <c r="DT629" s="2056"/>
      <c r="DU629" s="2056"/>
      <c r="DV629" s="2056"/>
      <c r="DX629" s="2052" t="str">
        <f t="shared" si="16"/>
        <v xml:space="preserve"> </v>
      </c>
      <c r="DY629" s="2053"/>
      <c r="DZ629" s="2053"/>
      <c r="EA629" s="2053"/>
      <c r="EB629" s="2054"/>
      <c r="EC629" s="2052" t="str">
        <f t="shared" si="17"/>
        <v xml:space="preserve"> </v>
      </c>
      <c r="ED629" s="2053"/>
      <c r="EE629" s="2053"/>
      <c r="EF629" s="2053"/>
      <c r="EG629" s="2054"/>
      <c r="EH629" s="2052" t="str">
        <f t="shared" si="18"/>
        <v xml:space="preserve"> </v>
      </c>
      <c r="EI629" s="2053"/>
      <c r="EJ629" s="2053"/>
      <c r="EK629" s="2053"/>
      <c r="EL629" s="2054"/>
      <c r="EM629" s="2052" t="str">
        <f t="shared" si="19"/>
        <v xml:space="preserve"> </v>
      </c>
      <c r="EN629" s="2053"/>
      <c r="EO629" s="2053"/>
      <c r="EP629" s="2053"/>
      <c r="EQ629" s="2054"/>
      <c r="ER629" s="2052" t="str">
        <f t="shared" si="20"/>
        <v xml:space="preserve"> </v>
      </c>
      <c r="ES629" s="2053"/>
      <c r="ET629" s="2053"/>
      <c r="EU629" s="2053"/>
      <c r="EV629" s="2054"/>
      <c r="EW629" s="2052" t="str">
        <f t="shared" si="21"/>
        <v xml:space="preserve"> </v>
      </c>
      <c r="EX629" s="2053"/>
      <c r="EY629" s="2053"/>
      <c r="EZ629" s="2053"/>
      <c r="FA629" s="2054"/>
    </row>
    <row r="630" spans="1:157" ht="12.75">
      <c r="A630" s="50" t="s">
        <v>328</v>
      </c>
      <c r="B630" s="50"/>
      <c r="C630" s="50" t="s">
        <v>21</v>
      </c>
      <c r="AZ630" s="58"/>
      <c r="BA630" s="58"/>
      <c r="BB630" s="58"/>
      <c r="BC630" s="58"/>
      <c r="BD630" s="58"/>
      <c r="BE630" s="2052">
        <f t="shared" si="0"/>
        <v>0</v>
      </c>
      <c r="BF630" s="2054"/>
      <c r="BG630" s="2096">
        <f t="shared" si="1"/>
        <v>0</v>
      </c>
      <c r="BH630" s="2098"/>
      <c r="BI630" s="2052">
        <f t="shared" si="2"/>
        <v>0</v>
      </c>
      <c r="BJ630" s="2054"/>
      <c r="BK630" s="2096">
        <f t="shared" si="3"/>
        <v>0</v>
      </c>
      <c r="BL630" s="2098"/>
      <c r="BM630" s="58"/>
      <c r="BN630" s="2029">
        <f t="shared" si="4"/>
        <v>0</v>
      </c>
      <c r="BO630" s="2030"/>
      <c r="BP630" s="2030"/>
      <c r="BQ630" s="2030"/>
      <c r="BR630" s="2031"/>
      <c r="BS630" s="2035">
        <f t="shared" si="5"/>
        <v>0</v>
      </c>
      <c r="BT630" s="2035"/>
      <c r="BU630" s="2035"/>
      <c r="BV630" s="2035"/>
      <c r="BW630" s="2035"/>
      <c r="BX630" s="2035">
        <f t="shared" si="6"/>
        <v>0</v>
      </c>
      <c r="BY630" s="2035"/>
      <c r="BZ630" s="2035"/>
      <c r="CA630" s="2035"/>
      <c r="CB630" s="2035"/>
      <c r="CC630" s="2035">
        <f t="shared" si="7"/>
        <v>0</v>
      </c>
      <c r="CD630" s="2035"/>
      <c r="CE630" s="2035"/>
      <c r="CF630" s="2035"/>
      <c r="CG630" s="2035"/>
      <c r="CH630" s="2035">
        <f t="shared" si="8"/>
        <v>0</v>
      </c>
      <c r="CI630" s="2035"/>
      <c r="CJ630" s="2035"/>
      <c r="CK630" s="2035"/>
      <c r="CL630" s="2035"/>
      <c r="CM630" s="2035">
        <f t="shared" si="9"/>
        <v>0</v>
      </c>
      <c r="CN630" s="2035"/>
      <c r="CO630" s="2035"/>
      <c r="CP630" s="2035"/>
      <c r="CQ630" s="2035"/>
      <c r="CR630" s="265"/>
      <c r="CS630" s="2056">
        <f t="shared" si="10"/>
        <v>0</v>
      </c>
      <c r="CT630" s="2056"/>
      <c r="CU630" s="2056"/>
      <c r="CV630" s="2056"/>
      <c r="CW630" s="2056"/>
      <c r="CX630" s="2056">
        <f t="shared" si="11"/>
        <v>0</v>
      </c>
      <c r="CY630" s="2056"/>
      <c r="CZ630" s="2056"/>
      <c r="DA630" s="2056"/>
      <c r="DB630" s="2056"/>
      <c r="DC630" s="2056">
        <f t="shared" si="12"/>
        <v>0</v>
      </c>
      <c r="DD630" s="2056"/>
      <c r="DE630" s="2056"/>
      <c r="DF630" s="2056"/>
      <c r="DG630" s="2056"/>
      <c r="DH630" s="2056">
        <f t="shared" si="13"/>
        <v>0</v>
      </c>
      <c r="DI630" s="2056"/>
      <c r="DJ630" s="2056"/>
      <c r="DK630" s="2056"/>
      <c r="DL630" s="2056"/>
      <c r="DM630" s="2056">
        <f t="shared" si="14"/>
        <v>0</v>
      </c>
      <c r="DN630" s="2056"/>
      <c r="DO630" s="2056"/>
      <c r="DP630" s="2056"/>
      <c r="DQ630" s="2056"/>
      <c r="DR630" s="2056">
        <f t="shared" si="15"/>
        <v>0</v>
      </c>
      <c r="DS630" s="2056"/>
      <c r="DT630" s="2056"/>
      <c r="DU630" s="2056"/>
      <c r="DV630" s="2056"/>
      <c r="DX630" s="2052" t="str">
        <f t="shared" si="16"/>
        <v xml:space="preserve"> </v>
      </c>
      <c r="DY630" s="2053"/>
      <c r="DZ630" s="2053"/>
      <c r="EA630" s="2053"/>
      <c r="EB630" s="2054"/>
      <c r="EC630" s="2052" t="str">
        <f t="shared" si="17"/>
        <v xml:space="preserve"> </v>
      </c>
      <c r="ED630" s="2053"/>
      <c r="EE630" s="2053"/>
      <c r="EF630" s="2053"/>
      <c r="EG630" s="2054"/>
      <c r="EH630" s="2052" t="str">
        <f t="shared" si="18"/>
        <v xml:space="preserve"> </v>
      </c>
      <c r="EI630" s="2053"/>
      <c r="EJ630" s="2053"/>
      <c r="EK630" s="2053"/>
      <c r="EL630" s="2054"/>
      <c r="EM630" s="2052" t="str">
        <f t="shared" si="19"/>
        <v xml:space="preserve"> </v>
      </c>
      <c r="EN630" s="2053"/>
      <c r="EO630" s="2053"/>
      <c r="EP630" s="2053"/>
      <c r="EQ630" s="2054"/>
      <c r="ER630" s="2052" t="str">
        <f t="shared" si="20"/>
        <v xml:space="preserve"> </v>
      </c>
      <c r="ES630" s="2053"/>
      <c r="ET630" s="2053"/>
      <c r="EU630" s="2053"/>
      <c r="EV630" s="2054"/>
      <c r="EW630" s="2052" t="str">
        <f t="shared" si="21"/>
        <v xml:space="preserve"> </v>
      </c>
      <c r="EX630" s="2053"/>
      <c r="EY630" s="2053"/>
      <c r="EZ630" s="2053"/>
      <c r="FA630" s="2054"/>
    </row>
    <row r="631" spans="1:157" ht="12.75">
      <c r="A631" s="50"/>
      <c r="B631" s="50"/>
      <c r="C631" s="50"/>
      <c r="AZ631" s="58"/>
      <c r="BA631" s="58"/>
      <c r="BB631" s="58"/>
      <c r="BC631" s="58"/>
      <c r="BD631" s="58"/>
      <c r="BE631" s="2052">
        <f t="shared" si="0"/>
        <v>0</v>
      </c>
      <c r="BF631" s="2054"/>
      <c r="BG631" s="2096">
        <f t="shared" si="1"/>
        <v>0</v>
      </c>
      <c r="BH631" s="2098"/>
      <c r="BI631" s="2052">
        <f t="shared" si="2"/>
        <v>0</v>
      </c>
      <c r="BJ631" s="2054"/>
      <c r="BK631" s="2096">
        <f t="shared" si="3"/>
        <v>0</v>
      </c>
      <c r="BL631" s="2098"/>
      <c r="BM631" s="58"/>
      <c r="BN631" s="2029">
        <f t="shared" si="4"/>
        <v>0</v>
      </c>
      <c r="BO631" s="2030"/>
      <c r="BP631" s="2030"/>
      <c r="BQ631" s="2030"/>
      <c r="BR631" s="2031"/>
      <c r="BS631" s="2035">
        <f t="shared" si="5"/>
        <v>0</v>
      </c>
      <c r="BT631" s="2035"/>
      <c r="BU631" s="2035"/>
      <c r="BV631" s="2035"/>
      <c r="BW631" s="2035"/>
      <c r="BX631" s="2035">
        <f t="shared" si="6"/>
        <v>0</v>
      </c>
      <c r="BY631" s="2035"/>
      <c r="BZ631" s="2035"/>
      <c r="CA631" s="2035"/>
      <c r="CB631" s="2035"/>
      <c r="CC631" s="2035">
        <f t="shared" si="7"/>
        <v>0</v>
      </c>
      <c r="CD631" s="2035"/>
      <c r="CE631" s="2035"/>
      <c r="CF631" s="2035"/>
      <c r="CG631" s="2035"/>
      <c r="CH631" s="2035">
        <f t="shared" si="8"/>
        <v>0</v>
      </c>
      <c r="CI631" s="2035"/>
      <c r="CJ631" s="2035"/>
      <c r="CK631" s="2035"/>
      <c r="CL631" s="2035"/>
      <c r="CM631" s="2035">
        <f t="shared" si="9"/>
        <v>0</v>
      </c>
      <c r="CN631" s="2035"/>
      <c r="CO631" s="2035"/>
      <c r="CP631" s="2035"/>
      <c r="CQ631" s="2035"/>
      <c r="CR631" s="265"/>
      <c r="CS631" s="2056">
        <f t="shared" si="10"/>
        <v>0</v>
      </c>
      <c r="CT631" s="2056"/>
      <c r="CU631" s="2056"/>
      <c r="CV631" s="2056"/>
      <c r="CW631" s="2056"/>
      <c r="CX631" s="2056">
        <f t="shared" si="11"/>
        <v>0</v>
      </c>
      <c r="CY631" s="2056"/>
      <c r="CZ631" s="2056"/>
      <c r="DA631" s="2056"/>
      <c r="DB631" s="2056"/>
      <c r="DC631" s="2056">
        <f t="shared" si="12"/>
        <v>0</v>
      </c>
      <c r="DD631" s="2056"/>
      <c r="DE631" s="2056"/>
      <c r="DF631" s="2056"/>
      <c r="DG631" s="2056"/>
      <c r="DH631" s="2056">
        <f t="shared" si="13"/>
        <v>0</v>
      </c>
      <c r="DI631" s="2056"/>
      <c r="DJ631" s="2056"/>
      <c r="DK631" s="2056"/>
      <c r="DL631" s="2056"/>
      <c r="DM631" s="2056">
        <f t="shared" si="14"/>
        <v>0</v>
      </c>
      <c r="DN631" s="2056"/>
      <c r="DO631" s="2056"/>
      <c r="DP631" s="2056"/>
      <c r="DQ631" s="2056"/>
      <c r="DR631" s="2056">
        <f t="shared" si="15"/>
        <v>0</v>
      </c>
      <c r="DS631" s="2056"/>
      <c r="DT631" s="2056"/>
      <c r="DU631" s="2056"/>
      <c r="DV631" s="2056"/>
      <c r="DX631" s="2052" t="str">
        <f t="shared" si="16"/>
        <v xml:space="preserve"> </v>
      </c>
      <c r="DY631" s="2053"/>
      <c r="DZ631" s="2053"/>
      <c r="EA631" s="2053"/>
      <c r="EB631" s="2054"/>
      <c r="EC631" s="2052" t="str">
        <f t="shared" si="17"/>
        <v xml:space="preserve"> </v>
      </c>
      <c r="ED631" s="2053"/>
      <c r="EE631" s="2053"/>
      <c r="EF631" s="2053"/>
      <c r="EG631" s="2054"/>
      <c r="EH631" s="2052" t="str">
        <f t="shared" si="18"/>
        <v xml:space="preserve"> </v>
      </c>
      <c r="EI631" s="2053"/>
      <c r="EJ631" s="2053"/>
      <c r="EK631" s="2053"/>
      <c r="EL631" s="2054"/>
      <c r="EM631" s="2052" t="str">
        <f t="shared" si="19"/>
        <v xml:space="preserve"> </v>
      </c>
      <c r="EN631" s="2053"/>
      <c r="EO631" s="2053"/>
      <c r="EP631" s="2053"/>
      <c r="EQ631" s="2054"/>
      <c r="ER631" s="2052" t="str">
        <f t="shared" si="20"/>
        <v xml:space="preserve"> </v>
      </c>
      <c r="ES631" s="2053"/>
      <c r="ET631" s="2053"/>
      <c r="EU631" s="2053"/>
      <c r="EV631" s="2054"/>
      <c r="EW631" s="2052" t="str">
        <f t="shared" si="21"/>
        <v xml:space="preserve"> </v>
      </c>
      <c r="EX631" s="2053"/>
      <c r="EY631" s="2053"/>
      <c r="EZ631" s="2053"/>
      <c r="FA631" s="2054"/>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2">
        <f t="shared" si="0"/>
        <v>0</v>
      </c>
      <c r="BF632" s="2054"/>
      <c r="BG632" s="2096">
        <f t="shared" si="1"/>
        <v>0</v>
      </c>
      <c r="BH632" s="2098"/>
      <c r="BI632" s="2052">
        <f t="shared" si="2"/>
        <v>0</v>
      </c>
      <c r="BJ632" s="2054"/>
      <c r="BK632" s="2096">
        <f t="shared" si="3"/>
        <v>0</v>
      </c>
      <c r="BL632" s="2098"/>
      <c r="BM632" s="58"/>
      <c r="BN632" s="2029">
        <f t="shared" si="4"/>
        <v>0</v>
      </c>
      <c r="BO632" s="2030"/>
      <c r="BP632" s="2030"/>
      <c r="BQ632" s="2030"/>
      <c r="BR632" s="2031"/>
      <c r="BS632" s="2035">
        <f t="shared" si="5"/>
        <v>0</v>
      </c>
      <c r="BT632" s="2035"/>
      <c r="BU632" s="2035"/>
      <c r="BV632" s="2035"/>
      <c r="BW632" s="2035"/>
      <c r="BX632" s="2035">
        <f t="shared" si="6"/>
        <v>0</v>
      </c>
      <c r="BY632" s="2035"/>
      <c r="BZ632" s="2035"/>
      <c r="CA632" s="2035"/>
      <c r="CB632" s="2035"/>
      <c r="CC632" s="2035">
        <f t="shared" si="7"/>
        <v>0</v>
      </c>
      <c r="CD632" s="2035"/>
      <c r="CE632" s="2035"/>
      <c r="CF632" s="2035"/>
      <c r="CG632" s="2035"/>
      <c r="CH632" s="2035">
        <f t="shared" si="8"/>
        <v>0</v>
      </c>
      <c r="CI632" s="2035"/>
      <c r="CJ632" s="2035"/>
      <c r="CK632" s="2035"/>
      <c r="CL632" s="2035"/>
      <c r="CM632" s="2035">
        <f t="shared" si="9"/>
        <v>0</v>
      </c>
      <c r="CN632" s="2035"/>
      <c r="CO632" s="2035"/>
      <c r="CP632" s="2035"/>
      <c r="CQ632" s="2035"/>
      <c r="CR632" s="265"/>
      <c r="CS632" s="2056">
        <f t="shared" si="10"/>
        <v>0</v>
      </c>
      <c r="CT632" s="2056"/>
      <c r="CU632" s="2056"/>
      <c r="CV632" s="2056"/>
      <c r="CW632" s="2056"/>
      <c r="CX632" s="2056">
        <f t="shared" si="11"/>
        <v>0</v>
      </c>
      <c r="CY632" s="2056"/>
      <c r="CZ632" s="2056"/>
      <c r="DA632" s="2056"/>
      <c r="DB632" s="2056"/>
      <c r="DC632" s="2056">
        <f t="shared" si="12"/>
        <v>0</v>
      </c>
      <c r="DD632" s="2056"/>
      <c r="DE632" s="2056"/>
      <c r="DF632" s="2056"/>
      <c r="DG632" s="2056"/>
      <c r="DH632" s="2056">
        <f t="shared" si="13"/>
        <v>0</v>
      </c>
      <c r="DI632" s="2056"/>
      <c r="DJ632" s="2056"/>
      <c r="DK632" s="2056"/>
      <c r="DL632" s="2056"/>
      <c r="DM632" s="2056">
        <f t="shared" si="14"/>
        <v>0</v>
      </c>
      <c r="DN632" s="2056"/>
      <c r="DO632" s="2056"/>
      <c r="DP632" s="2056"/>
      <c r="DQ632" s="2056"/>
      <c r="DR632" s="2056">
        <f t="shared" si="15"/>
        <v>0</v>
      </c>
      <c r="DS632" s="2056"/>
      <c r="DT632" s="2056"/>
      <c r="DU632" s="2056"/>
      <c r="DV632" s="2056"/>
      <c r="DX632" s="2052" t="str">
        <f t="shared" si="16"/>
        <v xml:space="preserve"> </v>
      </c>
      <c r="DY632" s="2053"/>
      <c r="DZ632" s="2053"/>
      <c r="EA632" s="2053"/>
      <c r="EB632" s="2054"/>
      <c r="EC632" s="2052" t="str">
        <f t="shared" si="17"/>
        <v xml:space="preserve"> </v>
      </c>
      <c r="ED632" s="2053"/>
      <c r="EE632" s="2053"/>
      <c r="EF632" s="2053"/>
      <c r="EG632" s="2054"/>
      <c r="EH632" s="2052" t="str">
        <f t="shared" si="18"/>
        <v xml:space="preserve"> </v>
      </c>
      <c r="EI632" s="2053"/>
      <c r="EJ632" s="2053"/>
      <c r="EK632" s="2053"/>
      <c r="EL632" s="2054"/>
      <c r="EM632" s="2052" t="str">
        <f t="shared" si="19"/>
        <v xml:space="preserve"> </v>
      </c>
      <c r="EN632" s="2053"/>
      <c r="EO632" s="2053"/>
      <c r="EP632" s="2053"/>
      <c r="EQ632" s="2054"/>
      <c r="ER632" s="2052" t="str">
        <f t="shared" si="20"/>
        <v xml:space="preserve"> </v>
      </c>
      <c r="ES632" s="2053"/>
      <c r="ET632" s="2053"/>
      <c r="EU632" s="2053"/>
      <c r="EV632" s="2054"/>
      <c r="EW632" s="2052" t="str">
        <f t="shared" si="21"/>
        <v xml:space="preserve"> </v>
      </c>
      <c r="EX632" s="2053"/>
      <c r="EY632" s="2053"/>
      <c r="EZ632" s="2053"/>
      <c r="FA632" s="2054"/>
    </row>
    <row r="633" spans="1:157" ht="12.75">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2">
        <f t="shared" si="0"/>
        <v>0</v>
      </c>
      <c r="BF633" s="2054"/>
      <c r="BG633" s="2096">
        <f t="shared" si="1"/>
        <v>0</v>
      </c>
      <c r="BH633" s="2098"/>
      <c r="BI633" s="2052">
        <f t="shared" si="2"/>
        <v>0</v>
      </c>
      <c r="BJ633" s="2054"/>
      <c r="BK633" s="2096">
        <f t="shared" si="3"/>
        <v>0</v>
      </c>
      <c r="BL633" s="2098"/>
      <c r="BM633" s="58"/>
      <c r="BN633" s="2029">
        <f t="shared" si="4"/>
        <v>0</v>
      </c>
      <c r="BO633" s="2030"/>
      <c r="BP633" s="2030"/>
      <c r="BQ633" s="2030"/>
      <c r="BR633" s="2031"/>
      <c r="BS633" s="2035">
        <f t="shared" si="5"/>
        <v>0</v>
      </c>
      <c r="BT633" s="2035"/>
      <c r="BU633" s="2035"/>
      <c r="BV633" s="2035"/>
      <c r="BW633" s="2035"/>
      <c r="BX633" s="2035">
        <f t="shared" si="6"/>
        <v>0</v>
      </c>
      <c r="BY633" s="2035"/>
      <c r="BZ633" s="2035"/>
      <c r="CA633" s="2035"/>
      <c r="CB633" s="2035"/>
      <c r="CC633" s="2035">
        <f t="shared" si="7"/>
        <v>0</v>
      </c>
      <c r="CD633" s="2035"/>
      <c r="CE633" s="2035"/>
      <c r="CF633" s="2035"/>
      <c r="CG633" s="2035"/>
      <c r="CH633" s="2035">
        <f t="shared" si="8"/>
        <v>0</v>
      </c>
      <c r="CI633" s="2035"/>
      <c r="CJ633" s="2035"/>
      <c r="CK633" s="2035"/>
      <c r="CL633" s="2035"/>
      <c r="CM633" s="2035">
        <f t="shared" si="9"/>
        <v>0</v>
      </c>
      <c r="CN633" s="2035"/>
      <c r="CO633" s="2035"/>
      <c r="CP633" s="2035"/>
      <c r="CQ633" s="2035"/>
      <c r="CR633" s="265"/>
      <c r="CS633" s="2056">
        <f t="shared" si="10"/>
        <v>0</v>
      </c>
      <c r="CT633" s="2056"/>
      <c r="CU633" s="2056"/>
      <c r="CV633" s="2056"/>
      <c r="CW633" s="2056"/>
      <c r="CX633" s="2056">
        <f t="shared" si="11"/>
        <v>0</v>
      </c>
      <c r="CY633" s="2056"/>
      <c r="CZ633" s="2056"/>
      <c r="DA633" s="2056"/>
      <c r="DB633" s="2056"/>
      <c r="DC633" s="2056">
        <f t="shared" si="12"/>
        <v>0</v>
      </c>
      <c r="DD633" s="2056"/>
      <c r="DE633" s="2056"/>
      <c r="DF633" s="2056"/>
      <c r="DG633" s="2056"/>
      <c r="DH633" s="2056">
        <f t="shared" si="13"/>
        <v>0</v>
      </c>
      <c r="DI633" s="2056"/>
      <c r="DJ633" s="2056"/>
      <c r="DK633" s="2056"/>
      <c r="DL633" s="2056"/>
      <c r="DM633" s="2056">
        <f t="shared" si="14"/>
        <v>0</v>
      </c>
      <c r="DN633" s="2056"/>
      <c r="DO633" s="2056"/>
      <c r="DP633" s="2056"/>
      <c r="DQ633" s="2056"/>
      <c r="DR633" s="2056">
        <f t="shared" si="15"/>
        <v>0</v>
      </c>
      <c r="DS633" s="2056"/>
      <c r="DT633" s="2056"/>
      <c r="DU633" s="2056"/>
      <c r="DV633" s="2056"/>
      <c r="DX633" s="2052" t="str">
        <f t="shared" si="16"/>
        <v xml:space="preserve"> </v>
      </c>
      <c r="DY633" s="2053"/>
      <c r="DZ633" s="2053"/>
      <c r="EA633" s="2053"/>
      <c r="EB633" s="2054"/>
      <c r="EC633" s="2052" t="str">
        <f t="shared" si="17"/>
        <v xml:space="preserve"> </v>
      </c>
      <c r="ED633" s="2053"/>
      <c r="EE633" s="2053"/>
      <c r="EF633" s="2053"/>
      <c r="EG633" s="2054"/>
      <c r="EH633" s="2052" t="str">
        <f t="shared" si="18"/>
        <v xml:space="preserve"> </v>
      </c>
      <c r="EI633" s="2053"/>
      <c r="EJ633" s="2053"/>
      <c r="EK633" s="2053"/>
      <c r="EL633" s="2054"/>
      <c r="EM633" s="2052" t="str">
        <f t="shared" si="19"/>
        <v xml:space="preserve"> </v>
      </c>
      <c r="EN633" s="2053"/>
      <c r="EO633" s="2053"/>
      <c r="EP633" s="2053"/>
      <c r="EQ633" s="2054"/>
      <c r="ER633" s="2052" t="str">
        <f t="shared" si="20"/>
        <v xml:space="preserve"> </v>
      </c>
      <c r="ES633" s="2053"/>
      <c r="ET633" s="2053"/>
      <c r="EU633" s="2053"/>
      <c r="EV633" s="2054"/>
      <c r="EW633" s="2052" t="str">
        <f t="shared" si="21"/>
        <v xml:space="preserve"> </v>
      </c>
      <c r="EX633" s="2053"/>
      <c r="EY633" s="2053"/>
      <c r="EZ633" s="2053"/>
      <c r="FA633" s="2054"/>
    </row>
    <row r="634" spans="1:157" s="1820" customFormat="1" ht="12.75" customHeight="1">
      <c r="B634" s="2356" t="s">
        <v>484</v>
      </c>
      <c r="C634" s="2357"/>
      <c r="D634" s="2357"/>
      <c r="E634" s="2357"/>
      <c r="F634" s="2357"/>
      <c r="G634" s="2357"/>
      <c r="H634" s="2357"/>
      <c r="I634" s="2357"/>
      <c r="J634" s="2357"/>
      <c r="K634" s="2357"/>
      <c r="L634" s="2357"/>
      <c r="M634" s="2357"/>
      <c r="N634" s="2358"/>
      <c r="O634" s="2347" t="s">
        <v>2379</v>
      </c>
      <c r="P634" s="2348"/>
      <c r="Q634" s="2349"/>
      <c r="R634" s="2347" t="s">
        <v>2377</v>
      </c>
      <c r="S634" s="2348"/>
      <c r="T634" s="2349"/>
      <c r="U634" s="2082" t="s">
        <v>485</v>
      </c>
      <c r="V634" s="2082"/>
      <c r="W634" s="2083"/>
      <c r="X634" s="2347" t="s">
        <v>2153</v>
      </c>
      <c r="Y634" s="2348"/>
      <c r="Z634" s="2348"/>
      <c r="AA634" s="2348"/>
      <c r="AB634" s="2349"/>
      <c r="AC634" s="2295" t="s">
        <v>2151</v>
      </c>
      <c r="AD634" s="2296"/>
      <c r="AE634" s="2297"/>
      <c r="AF634" s="2347" t="s">
        <v>2154</v>
      </c>
      <c r="AG634" s="2348"/>
      <c r="AH634" s="2348"/>
      <c r="AI634" s="2348"/>
      <c r="AJ634" s="2349"/>
      <c r="AK634" s="2285" t="s">
        <v>2155</v>
      </c>
      <c r="AL634" s="2286"/>
      <c r="AM634" s="2286"/>
      <c r="AN634" s="2287"/>
      <c r="AO634" s="2368" t="s">
        <v>486</v>
      </c>
      <c r="AP634" s="2368"/>
      <c r="AQ634" s="2368"/>
      <c r="AR634" s="2368"/>
      <c r="AS634" s="2368"/>
      <c r="AT634" s="1821"/>
      <c r="AU634" s="1821"/>
      <c r="AV634" s="1821"/>
      <c r="AW634" s="1821"/>
      <c r="AX634" s="1821"/>
      <c r="AY634" s="1821"/>
      <c r="AZ634" s="181"/>
      <c r="BA634" s="181"/>
      <c r="BB634" s="181"/>
      <c r="BC634" s="181"/>
      <c r="BD634" s="181"/>
      <c r="BE634" s="2052">
        <f t="shared" si="0"/>
        <v>0</v>
      </c>
      <c r="BF634" s="2054"/>
      <c r="BG634" s="2096">
        <f t="shared" si="1"/>
        <v>0</v>
      </c>
      <c r="BH634" s="2098"/>
      <c r="BI634" s="2052">
        <f t="shared" si="2"/>
        <v>0</v>
      </c>
      <c r="BJ634" s="2054"/>
      <c r="BK634" s="2096">
        <f t="shared" si="3"/>
        <v>0</v>
      </c>
      <c r="BL634" s="2098"/>
      <c r="BM634" s="181"/>
      <c r="BN634" s="2029">
        <f t="shared" si="4"/>
        <v>0</v>
      </c>
      <c r="BO634" s="2030"/>
      <c r="BP634" s="2030"/>
      <c r="BQ634" s="2030"/>
      <c r="BR634" s="2031"/>
      <c r="BS634" s="2035">
        <f t="shared" si="5"/>
        <v>0</v>
      </c>
      <c r="BT634" s="2035"/>
      <c r="BU634" s="2035"/>
      <c r="BV634" s="2035"/>
      <c r="BW634" s="2035"/>
      <c r="BX634" s="2035">
        <f t="shared" si="6"/>
        <v>0</v>
      </c>
      <c r="BY634" s="2035"/>
      <c r="BZ634" s="2035"/>
      <c r="CA634" s="2035"/>
      <c r="CB634" s="2035"/>
      <c r="CC634" s="2035">
        <f t="shared" si="7"/>
        <v>0</v>
      </c>
      <c r="CD634" s="2035"/>
      <c r="CE634" s="2035"/>
      <c r="CF634" s="2035"/>
      <c r="CG634" s="2035"/>
      <c r="CH634" s="2035">
        <f t="shared" si="8"/>
        <v>0</v>
      </c>
      <c r="CI634" s="2035"/>
      <c r="CJ634" s="2035"/>
      <c r="CK634" s="2035"/>
      <c r="CL634" s="2035"/>
      <c r="CM634" s="2035">
        <f t="shared" si="9"/>
        <v>0</v>
      </c>
      <c r="CN634" s="2035"/>
      <c r="CO634" s="2035"/>
      <c r="CP634" s="2035"/>
      <c r="CQ634" s="2035"/>
      <c r="CR634" s="265"/>
      <c r="CS634" s="2056">
        <f t="shared" si="10"/>
        <v>0</v>
      </c>
      <c r="CT634" s="2056"/>
      <c r="CU634" s="2056"/>
      <c r="CV634" s="2056"/>
      <c r="CW634" s="2056"/>
      <c r="CX634" s="2056">
        <f t="shared" si="11"/>
        <v>0</v>
      </c>
      <c r="CY634" s="2056"/>
      <c r="CZ634" s="2056"/>
      <c r="DA634" s="2056"/>
      <c r="DB634" s="2056"/>
      <c r="DC634" s="2056">
        <f t="shared" si="12"/>
        <v>0</v>
      </c>
      <c r="DD634" s="2056"/>
      <c r="DE634" s="2056"/>
      <c r="DF634" s="2056"/>
      <c r="DG634" s="2056"/>
      <c r="DH634" s="2056">
        <f t="shared" si="13"/>
        <v>0</v>
      </c>
      <c r="DI634" s="2056"/>
      <c r="DJ634" s="2056"/>
      <c r="DK634" s="2056"/>
      <c r="DL634" s="2056"/>
      <c r="DM634" s="2056">
        <f t="shared" si="14"/>
        <v>0</v>
      </c>
      <c r="DN634" s="2056"/>
      <c r="DO634" s="2056"/>
      <c r="DP634" s="2056"/>
      <c r="DQ634" s="2056"/>
      <c r="DR634" s="2056">
        <f t="shared" si="15"/>
        <v>0</v>
      </c>
      <c r="DS634" s="2056"/>
      <c r="DT634" s="2056"/>
      <c r="DU634" s="2056"/>
      <c r="DV634" s="2056"/>
      <c r="DX634" s="2052" t="str">
        <f t="shared" si="16"/>
        <v xml:space="preserve"> </v>
      </c>
      <c r="DY634" s="2053"/>
      <c r="DZ634" s="2053"/>
      <c r="EA634" s="2053"/>
      <c r="EB634" s="2054"/>
      <c r="EC634" s="2052" t="str">
        <f t="shared" si="17"/>
        <v xml:space="preserve"> </v>
      </c>
      <c r="ED634" s="2053"/>
      <c r="EE634" s="2053"/>
      <c r="EF634" s="2053"/>
      <c r="EG634" s="2054"/>
      <c r="EH634" s="2052" t="str">
        <f t="shared" si="18"/>
        <v xml:space="preserve"> </v>
      </c>
      <c r="EI634" s="2053"/>
      <c r="EJ634" s="2053"/>
      <c r="EK634" s="2053"/>
      <c r="EL634" s="2054"/>
      <c r="EM634" s="2052" t="str">
        <f t="shared" si="19"/>
        <v xml:space="preserve"> </v>
      </c>
      <c r="EN634" s="2053"/>
      <c r="EO634" s="2053"/>
      <c r="EP634" s="2053"/>
      <c r="EQ634" s="2054"/>
      <c r="ER634" s="2052" t="str">
        <f t="shared" si="20"/>
        <v xml:space="preserve"> </v>
      </c>
      <c r="ES634" s="2053"/>
      <c r="ET634" s="2053"/>
      <c r="EU634" s="2053"/>
      <c r="EV634" s="2054"/>
      <c r="EW634" s="2052" t="str">
        <f t="shared" si="21"/>
        <v xml:space="preserve"> </v>
      </c>
      <c r="EX634" s="2053"/>
      <c r="EY634" s="2053"/>
      <c r="EZ634" s="2053"/>
      <c r="FA634" s="2054"/>
    </row>
    <row r="635" spans="1:157" s="1820" customFormat="1" ht="12.75">
      <c r="B635" s="2359"/>
      <c r="C635" s="2360"/>
      <c r="D635" s="2360"/>
      <c r="E635" s="2360"/>
      <c r="F635" s="2360"/>
      <c r="G635" s="2360"/>
      <c r="H635" s="2360"/>
      <c r="I635" s="2360"/>
      <c r="J635" s="2360"/>
      <c r="K635" s="2360"/>
      <c r="L635" s="2360"/>
      <c r="M635" s="2360"/>
      <c r="N635" s="2361"/>
      <c r="O635" s="2350"/>
      <c r="P635" s="2351"/>
      <c r="Q635" s="2352"/>
      <c r="R635" s="2350"/>
      <c r="S635" s="2351"/>
      <c r="T635" s="2352"/>
      <c r="U635" s="2084"/>
      <c r="V635" s="2084"/>
      <c r="W635" s="2085"/>
      <c r="X635" s="2350"/>
      <c r="Y635" s="2351"/>
      <c r="Z635" s="2351"/>
      <c r="AA635" s="2351"/>
      <c r="AB635" s="2352"/>
      <c r="AC635" s="2298"/>
      <c r="AD635" s="2299"/>
      <c r="AE635" s="2300"/>
      <c r="AF635" s="2350"/>
      <c r="AG635" s="2351"/>
      <c r="AH635" s="2351"/>
      <c r="AI635" s="2351"/>
      <c r="AJ635" s="2352"/>
      <c r="AK635" s="2288"/>
      <c r="AL635" s="2289"/>
      <c r="AM635" s="2289"/>
      <c r="AN635" s="2290"/>
      <c r="AO635" s="2368"/>
      <c r="AP635" s="2368"/>
      <c r="AQ635" s="2368"/>
      <c r="AR635" s="2368"/>
      <c r="AS635" s="2368"/>
      <c r="AT635" s="1821"/>
      <c r="AU635" s="1821"/>
      <c r="AV635" s="1821"/>
      <c r="AW635" s="1821"/>
      <c r="AX635" s="1821"/>
      <c r="AY635" s="1821"/>
      <c r="AZ635" s="181"/>
      <c r="BA635" s="181"/>
      <c r="BB635" s="181"/>
      <c r="BC635" s="181"/>
      <c r="BD635" s="181"/>
      <c r="BE635" s="181"/>
      <c r="BF635" s="181"/>
      <c r="BG635" s="2052">
        <f>SUM(BG610:BH634)</f>
        <v>29</v>
      </c>
      <c r="BH635" s="2054"/>
      <c r="BI635" s="181"/>
      <c r="BJ635" s="181"/>
      <c r="BK635" s="2052">
        <f>SUM(BK610:BL634)</f>
        <v>22</v>
      </c>
      <c r="BL635" s="2054"/>
      <c r="BM635" s="181"/>
      <c r="BN635" s="2052">
        <f>SUM(BN610:BR634)</f>
        <v>1</v>
      </c>
      <c r="BO635" s="2053"/>
      <c r="BP635" s="2053"/>
      <c r="BQ635" s="2053"/>
      <c r="BR635" s="2054"/>
      <c r="BS635" s="2081">
        <f>SUM(BS610:BW634)</f>
        <v>58</v>
      </c>
      <c r="BT635" s="2081"/>
      <c r="BU635" s="2081"/>
      <c r="BV635" s="2081"/>
      <c r="BW635" s="2081"/>
      <c r="BX635" s="2081">
        <f>SUM(BX610:CB634)</f>
        <v>5</v>
      </c>
      <c r="BY635" s="2081"/>
      <c r="BZ635" s="2081"/>
      <c r="CA635" s="2081"/>
      <c r="CB635" s="2081"/>
      <c r="CC635" s="2081">
        <f>SUM(CC610:CG634)</f>
        <v>0</v>
      </c>
      <c r="CD635" s="2081"/>
      <c r="CE635" s="2081"/>
      <c r="CF635" s="2081"/>
      <c r="CG635" s="2081"/>
      <c r="CH635" s="2081">
        <f>SUM(CH610:CL634)</f>
        <v>0</v>
      </c>
      <c r="CI635" s="2081"/>
      <c r="CJ635" s="2081"/>
      <c r="CK635" s="2081"/>
      <c r="CL635" s="2081"/>
      <c r="CM635" s="2081">
        <f>SUM(CM610:CQ634)</f>
        <v>0</v>
      </c>
      <c r="CN635" s="2081"/>
      <c r="CO635" s="2081"/>
      <c r="CP635" s="2081"/>
      <c r="CQ635" s="2081"/>
      <c r="CR635" s="696"/>
      <c r="CS635" s="2081">
        <f>SUM(CS610:CW634)</f>
        <v>0</v>
      </c>
      <c r="CT635" s="2081"/>
      <c r="CU635" s="2081"/>
      <c r="CV635" s="2081"/>
      <c r="CW635" s="2081"/>
      <c r="CX635" s="2081">
        <f>SUM(CX610:DB634)</f>
        <v>21</v>
      </c>
      <c r="CY635" s="2081"/>
      <c r="CZ635" s="2081"/>
      <c r="DA635" s="2081"/>
      <c r="DB635" s="2081"/>
      <c r="DC635" s="2081">
        <f>SUM(DC610:DG634)</f>
        <v>1</v>
      </c>
      <c r="DD635" s="2081"/>
      <c r="DE635" s="2081"/>
      <c r="DF635" s="2081"/>
      <c r="DG635" s="2081"/>
      <c r="DH635" s="2081">
        <f>SUM(DH610:DL634)</f>
        <v>0</v>
      </c>
      <c r="DI635" s="2081"/>
      <c r="DJ635" s="2081"/>
      <c r="DK635" s="2081"/>
      <c r="DL635" s="2081"/>
      <c r="DM635" s="2081">
        <f>SUM(DM610:DQ634)</f>
        <v>0</v>
      </c>
      <c r="DN635" s="2081"/>
      <c r="DO635" s="2081"/>
      <c r="DP635" s="2081"/>
      <c r="DQ635" s="2081"/>
      <c r="DR635" s="2081">
        <f>SUM(DR610:DV634)</f>
        <v>0</v>
      </c>
      <c r="DS635" s="2081"/>
      <c r="DT635" s="2081"/>
      <c r="DU635" s="2081"/>
      <c r="DV635" s="2081"/>
      <c r="DX635" s="2081">
        <f>SUM(DX610:EB634)</f>
        <v>1035</v>
      </c>
      <c r="DY635" s="2081"/>
      <c r="DZ635" s="2081"/>
      <c r="EA635" s="2081"/>
      <c r="EB635" s="2081"/>
      <c r="EC635" s="2081">
        <f>SUM(EC610:EG634)</f>
        <v>4569</v>
      </c>
      <c r="ED635" s="2081"/>
      <c r="EE635" s="2081"/>
      <c r="EF635" s="2081"/>
      <c r="EG635" s="2081"/>
      <c r="EH635" s="2081">
        <f>SUM(EH610:EL634)</f>
        <v>3684</v>
      </c>
      <c r="EI635" s="2081"/>
      <c r="EJ635" s="2081"/>
      <c r="EK635" s="2081"/>
      <c r="EL635" s="2081"/>
      <c r="EM635" s="2081">
        <f>SUM(EM610:EQ634)</f>
        <v>0</v>
      </c>
      <c r="EN635" s="2081"/>
      <c r="EO635" s="2081"/>
      <c r="EP635" s="2081"/>
      <c r="EQ635" s="2081"/>
      <c r="ER635" s="2081">
        <f>SUM(ER610:EV634)</f>
        <v>0</v>
      </c>
      <c r="ES635" s="2081"/>
      <c r="ET635" s="2081"/>
      <c r="EU635" s="2081"/>
      <c r="EV635" s="2081"/>
      <c r="EW635" s="2081">
        <f>SUM(EW610:FA634)</f>
        <v>0</v>
      </c>
      <c r="EX635" s="2081"/>
      <c r="EY635" s="2081"/>
      <c r="EZ635" s="2081"/>
      <c r="FA635" s="2081"/>
    </row>
    <row r="636" spans="1:157" s="1820" customFormat="1" ht="12.75">
      <c r="B636" s="2362"/>
      <c r="C636" s="2360"/>
      <c r="D636" s="2360"/>
      <c r="E636" s="2360"/>
      <c r="F636" s="2360"/>
      <c r="G636" s="2360"/>
      <c r="H636" s="2360"/>
      <c r="I636" s="2360"/>
      <c r="J636" s="2360"/>
      <c r="K636" s="2360"/>
      <c r="L636" s="2360"/>
      <c r="M636" s="2360"/>
      <c r="N636" s="2361"/>
      <c r="O636" s="2353"/>
      <c r="P636" s="2354"/>
      <c r="Q636" s="2355"/>
      <c r="R636" s="2353"/>
      <c r="S636" s="2354"/>
      <c r="T636" s="2355"/>
      <c r="U636" s="2086"/>
      <c r="V636" s="2086"/>
      <c r="W636" s="2087"/>
      <c r="X636" s="2353"/>
      <c r="Y636" s="2354"/>
      <c r="Z636" s="2354"/>
      <c r="AA636" s="2354"/>
      <c r="AB636" s="2355"/>
      <c r="AC636" s="2301"/>
      <c r="AD636" s="2302"/>
      <c r="AE636" s="2303"/>
      <c r="AF636" s="2353"/>
      <c r="AG636" s="2354"/>
      <c r="AH636" s="2354"/>
      <c r="AI636" s="2354"/>
      <c r="AJ636" s="2355"/>
      <c r="AK636" s="2291"/>
      <c r="AL636" s="2292"/>
      <c r="AM636" s="2292"/>
      <c r="AN636" s="2293"/>
      <c r="AO636" s="2368"/>
      <c r="AP636" s="2368"/>
      <c r="AQ636" s="2368"/>
      <c r="AR636" s="2368"/>
      <c r="AS636" s="2368"/>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52">
        <f>BN635+BS635+BX635+CC635+CH635+CM635</f>
        <v>64</v>
      </c>
      <c r="CN636" s="2053"/>
      <c r="CO636" s="2053"/>
      <c r="CP636" s="2053"/>
      <c r="CQ636" s="2054"/>
      <c r="CR636" s="696"/>
      <c r="CS636" s="181"/>
      <c r="CT636" s="181"/>
      <c r="CU636" s="181"/>
      <c r="CV636" s="181"/>
      <c r="CW636" s="181"/>
      <c r="CX636" s="181"/>
      <c r="CY636" s="181"/>
      <c r="CZ636" s="181"/>
      <c r="DA636" s="181"/>
      <c r="DB636" s="181"/>
      <c r="DC636" s="181"/>
      <c r="DD636" s="181"/>
      <c r="DE636" s="181"/>
      <c r="DF636" s="181"/>
    </row>
    <row r="637" spans="1:157" ht="12.75">
      <c r="B637" s="83" t="s">
        <v>117</v>
      </c>
      <c r="C637" s="1866" t="s">
        <v>2634</v>
      </c>
      <c r="D637" s="1856"/>
      <c r="E637" s="1856"/>
      <c r="F637" s="1856"/>
      <c r="G637" s="1856"/>
      <c r="H637" s="1856"/>
      <c r="I637" s="1856"/>
      <c r="J637" s="1856"/>
      <c r="K637" s="1856"/>
      <c r="L637" s="1856"/>
      <c r="M637" s="1856"/>
      <c r="N637" s="1860"/>
      <c r="O637" s="2093">
        <v>216</v>
      </c>
      <c r="P637" s="2094"/>
      <c r="Q637" s="2095"/>
      <c r="R637" s="2072">
        <v>420</v>
      </c>
      <c r="S637" s="2073"/>
      <c r="T637" s="2074"/>
      <c r="U637" s="2066">
        <v>0.04</v>
      </c>
      <c r="V637" s="2067"/>
      <c r="W637" s="2068"/>
      <c r="X637" s="2060" t="s">
        <v>2152</v>
      </c>
      <c r="Y637" s="2061"/>
      <c r="Z637" s="2061"/>
      <c r="AA637" s="2061"/>
      <c r="AB637" s="2062"/>
      <c r="AC637" s="2063">
        <v>1</v>
      </c>
      <c r="AD637" s="2064"/>
      <c r="AE637" s="2065"/>
      <c r="AF637" s="2076">
        <v>344634</v>
      </c>
      <c r="AG637" s="2077"/>
      <c r="AH637" s="2077"/>
      <c r="AI637" s="2077"/>
      <c r="AJ637" s="2078"/>
      <c r="AK637" s="2069"/>
      <c r="AL637" s="2070"/>
      <c r="AM637" s="2070"/>
      <c r="AN637" s="2071"/>
      <c r="AO637" s="2075">
        <v>6486000</v>
      </c>
      <c r="AP637" s="2075"/>
      <c r="AQ637" s="2075"/>
      <c r="AR637" s="2075"/>
      <c r="AS637" s="2075"/>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69">
        <f>BN635*1</f>
        <v>1</v>
      </c>
      <c r="BS637" s="58"/>
      <c r="BT637" s="58"/>
      <c r="BU637" s="58"/>
      <c r="BV637" s="58"/>
      <c r="BW637" s="1469">
        <f>BS635*1</f>
        <v>58</v>
      </c>
      <c r="BX637" s="58"/>
      <c r="BY637" s="58"/>
      <c r="BZ637" s="58"/>
      <c r="CA637" s="58"/>
      <c r="CB637" s="1469">
        <f>BX635*2</f>
        <v>10</v>
      </c>
      <c r="CC637" s="58"/>
      <c r="CD637" s="58"/>
      <c r="CE637" s="58"/>
      <c r="CF637" s="58"/>
      <c r="CG637" s="1469">
        <f>CC635*3</f>
        <v>0</v>
      </c>
      <c r="CH637" s="58"/>
      <c r="CI637" s="58"/>
      <c r="CJ637" s="58"/>
      <c r="CK637" s="58"/>
      <c r="CL637" s="1469">
        <f>CH635*4</f>
        <v>0</v>
      </c>
      <c r="CM637" s="58"/>
      <c r="CN637" s="58"/>
      <c r="CO637" s="58"/>
      <c r="CP637" s="58"/>
      <c r="CQ637" s="1469">
        <f>CM635*5</f>
        <v>0</v>
      </c>
      <c r="CS637" s="1469">
        <f>BR637+BW637+CB637+CG637+CL637+CQ637</f>
        <v>69</v>
      </c>
      <c r="CT637" s="134" t="s">
        <v>2391</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079" t="s">
        <v>2635</v>
      </c>
      <c r="D638" s="2088"/>
      <c r="E638" s="2088"/>
      <c r="F638" s="2088"/>
      <c r="G638" s="2088"/>
      <c r="H638" s="2088"/>
      <c r="I638" s="2088"/>
      <c r="J638" s="2088"/>
      <c r="K638" s="2088"/>
      <c r="L638" s="2088"/>
      <c r="M638" s="2088"/>
      <c r="N638" s="2092"/>
      <c r="O638" s="2093">
        <v>660</v>
      </c>
      <c r="P638" s="2094"/>
      <c r="Q638" s="2095"/>
      <c r="R638" s="2072"/>
      <c r="S638" s="2073"/>
      <c r="T638" s="2074"/>
      <c r="U638" s="2066">
        <v>0.03</v>
      </c>
      <c r="V638" s="2067"/>
      <c r="W638" s="2068"/>
      <c r="X638" s="2060" t="s">
        <v>490</v>
      </c>
      <c r="Y638" s="2061"/>
      <c r="Z638" s="2061"/>
      <c r="AA638" s="2061"/>
      <c r="AB638" s="2062"/>
      <c r="AC638" s="2063">
        <v>2</v>
      </c>
      <c r="AD638" s="2064"/>
      <c r="AE638" s="2065"/>
      <c r="AF638" s="2076">
        <v>20185</v>
      </c>
      <c r="AG638" s="2077"/>
      <c r="AH638" s="2077"/>
      <c r="AI638" s="2077"/>
      <c r="AJ638" s="2078"/>
      <c r="AK638" s="2069"/>
      <c r="AL638" s="2070"/>
      <c r="AM638" s="2070"/>
      <c r="AN638" s="2071"/>
      <c r="AO638" s="2075">
        <v>4806018</v>
      </c>
      <c r="AP638" s="2075"/>
      <c r="AQ638" s="2075"/>
      <c r="AR638" s="2075"/>
      <c r="AS638" s="2075"/>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39" t="e">
        <f t="shared" ref="DX638:DX662" si="22">DX610*(BN610/$BN$635)</f>
        <v>#VALUE!</v>
      </c>
      <c r="DY638" s="2039"/>
      <c r="DZ638" s="2039"/>
      <c r="EA638" s="2039"/>
      <c r="EB638" s="2039"/>
      <c r="EC638" s="2039">
        <f t="shared" ref="EC638:EC662" si="23">EC610*(BS610/$BS$635)</f>
        <v>265.0344827586207</v>
      </c>
      <c r="ED638" s="2039"/>
      <c r="EE638" s="2039"/>
      <c r="EF638" s="2039"/>
      <c r="EG638" s="2039"/>
      <c r="EH638" s="2039" t="e">
        <f t="shared" ref="EH638:EH662" si="24">EH610*(BX610/$BX$635)</f>
        <v>#VALUE!</v>
      </c>
      <c r="EI638" s="2039"/>
      <c r="EJ638" s="2039"/>
      <c r="EK638" s="2039"/>
      <c r="EL638" s="2039"/>
      <c r="EM638" s="2039" t="e">
        <f t="shared" ref="EM638:EM662" si="25">EM610*(CC610/$CC$635)</f>
        <v>#VALUE!</v>
      </c>
      <c r="EN638" s="2039"/>
      <c r="EO638" s="2039"/>
      <c r="EP638" s="2039"/>
      <c r="EQ638" s="2039"/>
      <c r="ER638" s="2039" t="e">
        <f t="shared" ref="ER638:ER662" si="26">ER610*(CH610/$CH$635)</f>
        <v>#VALUE!</v>
      </c>
      <c r="ES638" s="2039"/>
      <c r="ET638" s="2039"/>
      <c r="EU638" s="2039"/>
      <c r="EV638" s="2039"/>
      <c r="EW638" s="2039" t="e">
        <f t="shared" ref="EW638:EW662" si="27">EW610*(CM610/$CM$635)</f>
        <v>#VALUE!</v>
      </c>
      <c r="EX638" s="2039"/>
      <c r="EY638" s="2039"/>
      <c r="EZ638" s="2039"/>
      <c r="FA638" s="2039"/>
    </row>
    <row r="639" spans="1:157" ht="12.75" customHeight="1">
      <c r="B639" s="84" t="s">
        <v>124</v>
      </c>
      <c r="C639" s="2079" t="s">
        <v>645</v>
      </c>
      <c r="D639" s="2088"/>
      <c r="E639" s="2088"/>
      <c r="F639" s="2088"/>
      <c r="G639" s="2088"/>
      <c r="H639" s="2088"/>
      <c r="I639" s="2088"/>
      <c r="J639" s="2088"/>
      <c r="K639" s="2088"/>
      <c r="L639" s="2088"/>
      <c r="M639" s="2088"/>
      <c r="N639" s="2092"/>
      <c r="O639" s="2093">
        <v>660</v>
      </c>
      <c r="P639" s="2094"/>
      <c r="Q639" s="2095"/>
      <c r="R639" s="2072"/>
      <c r="S639" s="2073"/>
      <c r="T639" s="2074"/>
      <c r="U639" s="2066">
        <v>0.03</v>
      </c>
      <c r="V639" s="2067"/>
      <c r="W639" s="2068"/>
      <c r="X639" s="2060" t="s">
        <v>490</v>
      </c>
      <c r="Y639" s="2061"/>
      <c r="Z639" s="2061"/>
      <c r="AA639" s="2061"/>
      <c r="AB639" s="2062"/>
      <c r="AC639" s="2063">
        <v>3</v>
      </c>
      <c r="AD639" s="2064"/>
      <c r="AE639" s="2065"/>
      <c r="AF639" s="2076"/>
      <c r="AG639" s="2077"/>
      <c r="AH639" s="2077"/>
      <c r="AI639" s="2077"/>
      <c r="AJ639" s="2078"/>
      <c r="AK639" s="2069"/>
      <c r="AL639" s="2070"/>
      <c r="AM639" s="2070"/>
      <c r="AN639" s="2071"/>
      <c r="AO639" s="2075">
        <v>500000</v>
      </c>
      <c r="AP639" s="2075"/>
      <c r="AQ639" s="2075"/>
      <c r="AR639" s="2075"/>
      <c r="AS639" s="2075"/>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39" t="e">
        <f t="shared" si="22"/>
        <v>#VALUE!</v>
      </c>
      <c r="DY639" s="2039"/>
      <c r="DZ639" s="2039"/>
      <c r="EA639" s="2039"/>
      <c r="EB639" s="2039"/>
      <c r="EC639" s="2039">
        <f t="shared" si="23"/>
        <v>153.24137931034483</v>
      </c>
      <c r="ED639" s="2039"/>
      <c r="EE639" s="2039"/>
      <c r="EF639" s="2039"/>
      <c r="EG639" s="2039"/>
      <c r="EH639" s="2039" t="e">
        <f t="shared" si="24"/>
        <v>#VALUE!</v>
      </c>
      <c r="EI639" s="2039"/>
      <c r="EJ639" s="2039"/>
      <c r="EK639" s="2039"/>
      <c r="EL639" s="2039"/>
      <c r="EM639" s="2039" t="e">
        <f t="shared" si="25"/>
        <v>#VALUE!</v>
      </c>
      <c r="EN639" s="2039"/>
      <c r="EO639" s="2039"/>
      <c r="EP639" s="2039"/>
      <c r="EQ639" s="2039"/>
      <c r="ER639" s="2039" t="e">
        <f t="shared" si="26"/>
        <v>#VALUE!</v>
      </c>
      <c r="ES639" s="2039"/>
      <c r="ET639" s="2039"/>
      <c r="EU639" s="2039"/>
      <c r="EV639" s="2039"/>
      <c r="EW639" s="2039" t="e">
        <f t="shared" si="27"/>
        <v>#VALUE!</v>
      </c>
      <c r="EX639" s="2039"/>
      <c r="EY639" s="2039"/>
      <c r="EZ639" s="2039"/>
      <c r="FA639" s="2039"/>
    </row>
    <row r="640" spans="1:157" ht="12.75">
      <c r="B640" s="84" t="s">
        <v>616</v>
      </c>
      <c r="C640" s="2079" t="s">
        <v>2606</v>
      </c>
      <c r="D640" s="2088"/>
      <c r="E640" s="2088"/>
      <c r="F640" s="2088"/>
      <c r="G640" s="2088"/>
      <c r="H640" s="2088"/>
      <c r="I640" s="2088"/>
      <c r="J640" s="2088"/>
      <c r="K640" s="2088"/>
      <c r="L640" s="2088"/>
      <c r="M640" s="2088"/>
      <c r="N640" s="2092"/>
      <c r="O640" s="2093">
        <v>660</v>
      </c>
      <c r="P640" s="2094"/>
      <c r="Q640" s="2095"/>
      <c r="R640" s="2072"/>
      <c r="S640" s="2073"/>
      <c r="T640" s="2074"/>
      <c r="U640" s="2066">
        <v>0.03</v>
      </c>
      <c r="V640" s="2067"/>
      <c r="W640" s="2068"/>
      <c r="X640" s="2060" t="s">
        <v>490</v>
      </c>
      <c r="Y640" s="2061"/>
      <c r="Z640" s="2061"/>
      <c r="AA640" s="2061"/>
      <c r="AB640" s="2062"/>
      <c r="AC640" s="2063">
        <v>4</v>
      </c>
      <c r="AD640" s="2064"/>
      <c r="AE640" s="2065"/>
      <c r="AF640" s="2076"/>
      <c r="AG640" s="2077"/>
      <c r="AH640" s="2077"/>
      <c r="AI640" s="2077"/>
      <c r="AJ640" s="2078"/>
      <c r="AK640" s="2069"/>
      <c r="AL640" s="2070"/>
      <c r="AM640" s="2070"/>
      <c r="AN640" s="2071"/>
      <c r="AO640" s="2075">
        <v>2519696</v>
      </c>
      <c r="AP640" s="2075"/>
      <c r="AQ640" s="2075"/>
      <c r="AR640" s="2075"/>
      <c r="AS640" s="2075"/>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29">
        <f>IF(J772="SRO/Studio",O772,0)</f>
        <v>0</v>
      </c>
      <c r="BO640" s="2030"/>
      <c r="BP640" s="2030"/>
      <c r="BQ640" s="2030"/>
      <c r="BR640" s="2031"/>
      <c r="BS640" s="2035">
        <f>IF(J772="1 Bedroom",O772,0)</f>
        <v>0</v>
      </c>
      <c r="BT640" s="2035"/>
      <c r="BU640" s="2035"/>
      <c r="BV640" s="2035"/>
      <c r="BW640" s="2035"/>
      <c r="BX640" s="2035">
        <f>IF(J772="2 Bedrooms",O772,0)</f>
        <v>1</v>
      </c>
      <c r="BY640" s="2035"/>
      <c r="BZ640" s="2035"/>
      <c r="CA640" s="2035"/>
      <c r="CB640" s="2035"/>
      <c r="CC640" s="2035">
        <f>IF(J772="3 Bedrooms",O772,0)</f>
        <v>0</v>
      </c>
      <c r="CD640" s="2035"/>
      <c r="CE640" s="2035"/>
      <c r="CF640" s="2035"/>
      <c r="CG640" s="2035"/>
      <c r="CH640" s="2035">
        <f>IF(J772="4 Bedrooms",O772,0)</f>
        <v>0</v>
      </c>
      <c r="CI640" s="2035"/>
      <c r="CJ640" s="2035"/>
      <c r="CK640" s="2035"/>
      <c r="CL640" s="2035"/>
      <c r="CM640" s="2035">
        <f>IF(J772="5 Bedrooms",O772,0)</f>
        <v>0</v>
      </c>
      <c r="CN640" s="2035"/>
      <c r="CO640" s="2035"/>
      <c r="CP640" s="2035"/>
      <c r="CQ640" s="2035"/>
      <c r="CR640" s="265"/>
      <c r="CS640" s="58"/>
      <c r="CT640" s="58"/>
      <c r="CU640" s="58"/>
      <c r="CV640" s="58"/>
      <c r="CW640" s="58"/>
      <c r="CX640" s="58"/>
      <c r="CY640" s="58"/>
      <c r="CZ640" s="58"/>
      <c r="DA640" s="58"/>
      <c r="DB640" s="58"/>
      <c r="DC640" s="58"/>
      <c r="DD640" s="58"/>
      <c r="DE640" s="58"/>
      <c r="DF640" s="58"/>
      <c r="DX640" s="2039" t="e">
        <f t="shared" si="22"/>
        <v>#VALUE!</v>
      </c>
      <c r="DY640" s="2039"/>
      <c r="DZ640" s="2039"/>
      <c r="EA640" s="2039"/>
      <c r="EB640" s="2039"/>
      <c r="EC640" s="2039">
        <f t="shared" si="23"/>
        <v>341.24137931034483</v>
      </c>
      <c r="ED640" s="2039"/>
      <c r="EE640" s="2039"/>
      <c r="EF640" s="2039"/>
      <c r="EG640" s="2039"/>
      <c r="EH640" s="2039" t="e">
        <f t="shared" si="24"/>
        <v>#VALUE!</v>
      </c>
      <c r="EI640" s="2039"/>
      <c r="EJ640" s="2039"/>
      <c r="EK640" s="2039"/>
      <c r="EL640" s="2039"/>
      <c r="EM640" s="2039" t="e">
        <f t="shared" si="25"/>
        <v>#VALUE!</v>
      </c>
      <c r="EN640" s="2039"/>
      <c r="EO640" s="2039"/>
      <c r="EP640" s="2039"/>
      <c r="EQ640" s="2039"/>
      <c r="ER640" s="2039" t="e">
        <f t="shared" si="26"/>
        <v>#VALUE!</v>
      </c>
      <c r="ES640" s="2039"/>
      <c r="ET640" s="2039"/>
      <c r="EU640" s="2039"/>
      <c r="EV640" s="2039"/>
      <c r="EW640" s="2039" t="e">
        <f t="shared" si="27"/>
        <v>#VALUE!</v>
      </c>
      <c r="EX640" s="2039"/>
      <c r="EY640" s="2039"/>
      <c r="EZ640" s="2039"/>
      <c r="FA640" s="2039"/>
    </row>
    <row r="641" spans="1:157" ht="12.75">
      <c r="B641" s="84" t="s">
        <v>821</v>
      </c>
      <c r="C641" s="2079" t="s">
        <v>2607</v>
      </c>
      <c r="D641" s="2088"/>
      <c r="E641" s="2088"/>
      <c r="F641" s="2088"/>
      <c r="G641" s="2088"/>
      <c r="H641" s="2088"/>
      <c r="I641" s="2088"/>
      <c r="J641" s="2088"/>
      <c r="K641" s="2088"/>
      <c r="L641" s="2088"/>
      <c r="M641" s="2088"/>
      <c r="N641" s="2092"/>
      <c r="O641" s="2093">
        <v>660</v>
      </c>
      <c r="P641" s="2094"/>
      <c r="Q641" s="2095"/>
      <c r="R641" s="2072"/>
      <c r="S641" s="2073"/>
      <c r="T641" s="2074"/>
      <c r="U641" s="2066">
        <v>0.03</v>
      </c>
      <c r="V641" s="2067"/>
      <c r="W641" s="2068"/>
      <c r="X641" s="2060" t="s">
        <v>490</v>
      </c>
      <c r="Y641" s="2061"/>
      <c r="Z641" s="2061"/>
      <c r="AA641" s="2061"/>
      <c r="AB641" s="2062"/>
      <c r="AC641" s="2063">
        <v>5</v>
      </c>
      <c r="AD641" s="2064"/>
      <c r="AE641" s="2065"/>
      <c r="AF641" s="2076"/>
      <c r="AG641" s="2077"/>
      <c r="AH641" s="2077"/>
      <c r="AI641" s="2077"/>
      <c r="AJ641" s="2078"/>
      <c r="AK641" s="2069"/>
      <c r="AL641" s="2070"/>
      <c r="AM641" s="2070"/>
      <c r="AN641" s="2071"/>
      <c r="AO641" s="2075">
        <v>792060</v>
      </c>
      <c r="AP641" s="2075"/>
      <c r="AQ641" s="2075"/>
      <c r="AR641" s="2075"/>
      <c r="AS641" s="2075"/>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29">
        <f>IF(J773="SRO/Studio",O773,0)</f>
        <v>0</v>
      </c>
      <c r="BO641" s="2030"/>
      <c r="BP641" s="2030"/>
      <c r="BQ641" s="2030"/>
      <c r="BR641" s="2031"/>
      <c r="BS641" s="2035">
        <f>IF(J773="1 Bedroom",O773,0)</f>
        <v>0</v>
      </c>
      <c r="BT641" s="2035"/>
      <c r="BU641" s="2035"/>
      <c r="BV641" s="2035"/>
      <c r="BW641" s="2035"/>
      <c r="BX641" s="2035">
        <f>IF(J773="2 Bedrooms",O773,0)</f>
        <v>0</v>
      </c>
      <c r="BY641" s="2035"/>
      <c r="BZ641" s="2035"/>
      <c r="CA641" s="2035"/>
      <c r="CB641" s="2035"/>
      <c r="CC641" s="2035">
        <f>IF(J773="3 Bedrooms",O773,0)</f>
        <v>0</v>
      </c>
      <c r="CD641" s="2035"/>
      <c r="CE641" s="2035"/>
      <c r="CF641" s="2035"/>
      <c r="CG641" s="2035"/>
      <c r="CH641" s="2035">
        <f>IF(J773="4 Bedrooms",O773,0)</f>
        <v>0</v>
      </c>
      <c r="CI641" s="2035"/>
      <c r="CJ641" s="2035"/>
      <c r="CK641" s="2035"/>
      <c r="CL641" s="2035"/>
      <c r="CM641" s="2035">
        <f>IF(J773="5 Bedrooms",O773,0)</f>
        <v>0</v>
      </c>
      <c r="CN641" s="2035"/>
      <c r="CO641" s="2035"/>
      <c r="CP641" s="2035"/>
      <c r="CQ641" s="2035"/>
      <c r="CR641" s="265"/>
      <c r="CS641" s="58"/>
      <c r="CT641" s="58"/>
      <c r="CU641" s="58"/>
      <c r="CV641" s="58"/>
      <c r="CW641" s="58"/>
      <c r="CX641" s="58"/>
      <c r="CY641" s="58"/>
      <c r="CZ641" s="58"/>
      <c r="DA641" s="58"/>
      <c r="DB641" s="58"/>
      <c r="DC641" s="58"/>
      <c r="DD641" s="58"/>
      <c r="DE641" s="58"/>
      <c r="DF641" s="58"/>
      <c r="DX641" s="2039" t="e">
        <f t="shared" si="22"/>
        <v>#VALUE!</v>
      </c>
      <c r="DY641" s="2039"/>
      <c r="DZ641" s="2039"/>
      <c r="EA641" s="2039"/>
      <c r="EB641" s="2039"/>
      <c r="EC641" s="2039">
        <f t="shared" si="23"/>
        <v>333.74137931034483</v>
      </c>
      <c r="ED641" s="2039"/>
      <c r="EE641" s="2039"/>
      <c r="EF641" s="2039"/>
      <c r="EG641" s="2039"/>
      <c r="EH641" s="2039" t="e">
        <f t="shared" si="24"/>
        <v>#VALUE!</v>
      </c>
      <c r="EI641" s="2039"/>
      <c r="EJ641" s="2039"/>
      <c r="EK641" s="2039"/>
      <c r="EL641" s="2039"/>
      <c r="EM641" s="2039" t="e">
        <f t="shared" si="25"/>
        <v>#VALUE!</v>
      </c>
      <c r="EN641" s="2039"/>
      <c r="EO641" s="2039"/>
      <c r="EP641" s="2039"/>
      <c r="EQ641" s="2039"/>
      <c r="ER641" s="2039" t="e">
        <f t="shared" si="26"/>
        <v>#VALUE!</v>
      </c>
      <c r="ES641" s="2039"/>
      <c r="ET641" s="2039"/>
      <c r="EU641" s="2039"/>
      <c r="EV641" s="2039"/>
      <c r="EW641" s="2039" t="e">
        <f t="shared" si="27"/>
        <v>#VALUE!</v>
      </c>
      <c r="EX641" s="2039"/>
      <c r="EY641" s="2039"/>
      <c r="EZ641" s="2039"/>
      <c r="FA641" s="2039"/>
    </row>
    <row r="642" spans="1:157" ht="12.75">
      <c r="B642" s="84" t="s">
        <v>619</v>
      </c>
      <c r="C642" s="2079" t="s">
        <v>2636</v>
      </c>
      <c r="D642" s="2088"/>
      <c r="E642" s="2088"/>
      <c r="F642" s="2088"/>
      <c r="G642" s="2088"/>
      <c r="H642" s="2088"/>
      <c r="I642" s="2088"/>
      <c r="J642" s="2088"/>
      <c r="K642" s="2088"/>
      <c r="L642" s="2088"/>
      <c r="M642" s="2088"/>
      <c r="N642" s="2092"/>
      <c r="O642" s="2093"/>
      <c r="P642" s="2094"/>
      <c r="Q642" s="2095"/>
      <c r="R642" s="2072"/>
      <c r="S642" s="2073"/>
      <c r="T642" s="2074"/>
      <c r="U642" s="2066"/>
      <c r="V642" s="2067"/>
      <c r="W642" s="2068"/>
      <c r="X642" s="2060" t="s">
        <v>1384</v>
      </c>
      <c r="Y642" s="2061"/>
      <c r="Z642" s="2061"/>
      <c r="AA642" s="2061"/>
      <c r="AB642" s="2062"/>
      <c r="AC642" s="2063">
        <v>6</v>
      </c>
      <c r="AD642" s="2064"/>
      <c r="AE642" s="2065"/>
      <c r="AF642" s="2076"/>
      <c r="AG642" s="2077"/>
      <c r="AH642" s="2077"/>
      <c r="AI642" s="2077"/>
      <c r="AJ642" s="2078"/>
      <c r="AK642" s="2069"/>
      <c r="AL642" s="2070"/>
      <c r="AM642" s="2070"/>
      <c r="AN642" s="2071"/>
      <c r="AO642" s="2075">
        <v>640000</v>
      </c>
      <c r="AP642" s="2075"/>
      <c r="AQ642" s="2075"/>
      <c r="AR642" s="2075"/>
      <c r="AS642" s="207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9">
        <f>IF(J774="SRO/Studio",O774,0)</f>
        <v>0</v>
      </c>
      <c r="BO642" s="2030"/>
      <c r="BP642" s="2030"/>
      <c r="BQ642" s="2030"/>
      <c r="BR642" s="2031"/>
      <c r="BS642" s="2035">
        <f>IF(J774="1 Bedroom",O774,0)</f>
        <v>0</v>
      </c>
      <c r="BT642" s="2035"/>
      <c r="BU642" s="2035"/>
      <c r="BV642" s="2035"/>
      <c r="BW642" s="2035"/>
      <c r="BX642" s="2035">
        <f>IF(J774="2 Bedrooms",O774,0)</f>
        <v>0</v>
      </c>
      <c r="BY642" s="2035"/>
      <c r="BZ642" s="2035"/>
      <c r="CA642" s="2035"/>
      <c r="CB642" s="2035"/>
      <c r="CC642" s="2035">
        <f>IF(J774="3 Bedrooms",O774,0)</f>
        <v>0</v>
      </c>
      <c r="CD642" s="2035"/>
      <c r="CE642" s="2035"/>
      <c r="CF642" s="2035"/>
      <c r="CG642" s="2035"/>
      <c r="CH642" s="2035">
        <f>IF(J774="4 Bedrooms",O774,0)</f>
        <v>0</v>
      </c>
      <c r="CI642" s="2035"/>
      <c r="CJ642" s="2035"/>
      <c r="CK642" s="2035"/>
      <c r="CL642" s="2035"/>
      <c r="CM642" s="2035">
        <f>IF(J774="5 Bedrooms",O774,0)</f>
        <v>0</v>
      </c>
      <c r="CN642" s="2035"/>
      <c r="CO642" s="2035"/>
      <c r="CP642" s="2035"/>
      <c r="CQ642" s="2035"/>
      <c r="CR642" s="1804"/>
      <c r="CV642" s="58"/>
      <c r="CW642" s="58"/>
      <c r="CX642" s="58"/>
      <c r="CY642" s="58"/>
      <c r="CZ642" s="58"/>
      <c r="DA642" s="58"/>
      <c r="DB642" s="58"/>
      <c r="DC642" s="58"/>
      <c r="DD642" s="58"/>
      <c r="DE642" s="58"/>
      <c r="DF642" s="58"/>
      <c r="DX642" s="2039" t="e">
        <f t="shared" si="22"/>
        <v>#VALUE!</v>
      </c>
      <c r="DY642" s="2039"/>
      <c r="DZ642" s="2039"/>
      <c r="EA642" s="2039"/>
      <c r="EB642" s="2039"/>
      <c r="EC642" s="2039" t="e">
        <f t="shared" si="23"/>
        <v>#VALUE!</v>
      </c>
      <c r="ED642" s="2039"/>
      <c r="EE642" s="2039"/>
      <c r="EF642" s="2039"/>
      <c r="EG642" s="2039"/>
      <c r="EH642" s="2039">
        <f t="shared" si="24"/>
        <v>175</v>
      </c>
      <c r="EI642" s="2039"/>
      <c r="EJ642" s="2039"/>
      <c r="EK642" s="2039"/>
      <c r="EL642" s="2039"/>
      <c r="EM642" s="2039" t="e">
        <f t="shared" si="25"/>
        <v>#VALUE!</v>
      </c>
      <c r="EN642" s="2039"/>
      <c r="EO642" s="2039"/>
      <c r="EP642" s="2039"/>
      <c r="EQ642" s="2039"/>
      <c r="ER642" s="2039" t="e">
        <f t="shared" si="26"/>
        <v>#VALUE!</v>
      </c>
      <c r="ES642" s="2039"/>
      <c r="ET642" s="2039"/>
      <c r="EU642" s="2039"/>
      <c r="EV642" s="2039"/>
      <c r="EW642" s="2039" t="e">
        <f t="shared" si="27"/>
        <v>#VALUE!</v>
      </c>
      <c r="EX642" s="2039"/>
      <c r="EY642" s="2039"/>
      <c r="EZ642" s="2039"/>
      <c r="FA642" s="2039"/>
    </row>
    <row r="643" spans="1:157" ht="12.75">
      <c r="B643" s="84" t="s">
        <v>487</v>
      </c>
      <c r="C643" s="2079"/>
      <c r="D643" s="2088"/>
      <c r="E643" s="2088"/>
      <c r="F643" s="2088"/>
      <c r="G643" s="2088"/>
      <c r="H643" s="2088"/>
      <c r="I643" s="2088"/>
      <c r="J643" s="2088"/>
      <c r="K643" s="2088"/>
      <c r="L643" s="2088"/>
      <c r="M643" s="2088"/>
      <c r="N643" s="2092"/>
      <c r="O643" s="2093"/>
      <c r="P643" s="2094"/>
      <c r="Q643" s="2095"/>
      <c r="R643" s="2072"/>
      <c r="S643" s="2073"/>
      <c r="T643" s="2074"/>
      <c r="U643" s="2066"/>
      <c r="V643" s="2067"/>
      <c r="W643" s="2068"/>
      <c r="X643" s="2060" t="s">
        <v>1384</v>
      </c>
      <c r="Y643" s="2061"/>
      <c r="Z643" s="2061"/>
      <c r="AA643" s="2061"/>
      <c r="AB643" s="2062"/>
      <c r="AC643" s="2063"/>
      <c r="AD643" s="2064"/>
      <c r="AE643" s="2065"/>
      <c r="AF643" s="2076"/>
      <c r="AG643" s="2077"/>
      <c r="AH643" s="2077"/>
      <c r="AI643" s="2077"/>
      <c r="AJ643" s="2078"/>
      <c r="AK643" s="2069"/>
      <c r="AL643" s="2070"/>
      <c r="AM643" s="2070"/>
      <c r="AN643" s="2071"/>
      <c r="AO643" s="2075"/>
      <c r="AP643" s="2075"/>
      <c r="AQ643" s="2075"/>
      <c r="AR643" s="2075"/>
      <c r="AS643" s="207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9">
        <f>IF(J775="SRO/Studio",O775,0)</f>
        <v>0</v>
      </c>
      <c r="BO643" s="2030"/>
      <c r="BP643" s="2030"/>
      <c r="BQ643" s="2030"/>
      <c r="BR643" s="2031"/>
      <c r="BS643" s="2035">
        <f>IF(J775="1 Bedroom",O775,0)</f>
        <v>0</v>
      </c>
      <c r="BT643" s="2035"/>
      <c r="BU643" s="2035"/>
      <c r="BV643" s="2035"/>
      <c r="BW643" s="2035"/>
      <c r="BX643" s="2035">
        <f>IF(J775="2 Bedrooms",O775,0)</f>
        <v>0</v>
      </c>
      <c r="BY643" s="2035"/>
      <c r="BZ643" s="2035"/>
      <c r="CA643" s="2035"/>
      <c r="CB643" s="2035"/>
      <c r="CC643" s="2035">
        <f>IF(J775="3 Bedrooms",O775,0)</f>
        <v>0</v>
      </c>
      <c r="CD643" s="2035"/>
      <c r="CE643" s="2035"/>
      <c r="CF643" s="2035"/>
      <c r="CG643" s="2035"/>
      <c r="CH643" s="2035">
        <f>IF(J775="4 Bedrooms",O775,0)</f>
        <v>0</v>
      </c>
      <c r="CI643" s="2035"/>
      <c r="CJ643" s="2035"/>
      <c r="CK643" s="2035"/>
      <c r="CL643" s="2035"/>
      <c r="CM643" s="2035">
        <f>IF(J775="5 Bedrooms",O775,0)</f>
        <v>0</v>
      </c>
      <c r="CN643" s="2035"/>
      <c r="CO643" s="2035"/>
      <c r="CP643" s="2035"/>
      <c r="CQ643" s="2035"/>
      <c r="CV643" s="58"/>
      <c r="CW643" s="58"/>
      <c r="CX643" s="58"/>
      <c r="CY643" s="58"/>
      <c r="CZ643" s="58"/>
      <c r="DA643" s="58"/>
      <c r="DB643" s="58"/>
      <c r="DC643" s="58"/>
      <c r="DD643" s="58"/>
      <c r="DE643" s="58"/>
      <c r="DF643" s="58"/>
      <c r="DX643" s="2039" t="e">
        <f t="shared" si="22"/>
        <v>#VALUE!</v>
      </c>
      <c r="DY643" s="2039"/>
      <c r="DZ643" s="2039"/>
      <c r="EA643" s="2039"/>
      <c r="EB643" s="2039"/>
      <c r="EC643" s="2039" t="e">
        <f t="shared" si="23"/>
        <v>#VALUE!</v>
      </c>
      <c r="ED643" s="2039"/>
      <c r="EE643" s="2039"/>
      <c r="EF643" s="2039"/>
      <c r="EG643" s="2039"/>
      <c r="EH643" s="2039">
        <f t="shared" si="24"/>
        <v>531.6</v>
      </c>
      <c r="EI643" s="2039"/>
      <c r="EJ643" s="2039"/>
      <c r="EK643" s="2039"/>
      <c r="EL643" s="2039"/>
      <c r="EM643" s="2039" t="e">
        <f t="shared" si="25"/>
        <v>#VALUE!</v>
      </c>
      <c r="EN643" s="2039"/>
      <c r="EO643" s="2039"/>
      <c r="EP643" s="2039"/>
      <c r="EQ643" s="2039"/>
      <c r="ER643" s="2039" t="e">
        <f t="shared" si="26"/>
        <v>#VALUE!</v>
      </c>
      <c r="ES643" s="2039"/>
      <c r="ET643" s="2039"/>
      <c r="EU643" s="2039"/>
      <c r="EV643" s="2039"/>
      <c r="EW643" s="2039" t="e">
        <f t="shared" si="27"/>
        <v>#VALUE!</v>
      </c>
      <c r="EX643" s="2039"/>
      <c r="EY643" s="2039"/>
      <c r="EZ643" s="2039"/>
      <c r="FA643" s="2039"/>
    </row>
    <row r="644" spans="1:157" ht="12.75">
      <c r="B644" s="84" t="s">
        <v>488</v>
      </c>
      <c r="C644" s="2088"/>
      <c r="D644" s="2088"/>
      <c r="E644" s="2088"/>
      <c r="F644" s="2088"/>
      <c r="G644" s="2088"/>
      <c r="H644" s="2088"/>
      <c r="I644" s="2088"/>
      <c r="J644" s="2088"/>
      <c r="K644" s="2088"/>
      <c r="L644" s="2088"/>
      <c r="M644" s="2088"/>
      <c r="N644" s="2092"/>
      <c r="O644" s="2093"/>
      <c r="P644" s="2094"/>
      <c r="Q644" s="2095"/>
      <c r="R644" s="2072"/>
      <c r="S644" s="2073"/>
      <c r="T644" s="2074"/>
      <c r="U644" s="2066"/>
      <c r="V644" s="2067"/>
      <c r="W644" s="2068"/>
      <c r="X644" s="2060" t="s">
        <v>1384</v>
      </c>
      <c r="Y644" s="2061"/>
      <c r="Z644" s="2061"/>
      <c r="AA644" s="2061"/>
      <c r="AB644" s="2062"/>
      <c r="AC644" s="2063"/>
      <c r="AD644" s="2064"/>
      <c r="AE644" s="2065"/>
      <c r="AF644" s="2076"/>
      <c r="AG644" s="2077"/>
      <c r="AH644" s="2077"/>
      <c r="AI644" s="2077"/>
      <c r="AJ644" s="2078"/>
      <c r="AK644" s="2069"/>
      <c r="AL644" s="2070"/>
      <c r="AM644" s="2070"/>
      <c r="AN644" s="2071"/>
      <c r="AO644" s="2075"/>
      <c r="AP644" s="2075"/>
      <c r="AQ644" s="2075"/>
      <c r="AR644" s="2075"/>
      <c r="AS644" s="207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96">
        <f>SUM(BN640:BR643)</f>
        <v>0</v>
      </c>
      <c r="BO644" s="2097"/>
      <c r="BP644" s="2097"/>
      <c r="BQ644" s="2097"/>
      <c r="BR644" s="2098"/>
      <c r="BS644" s="2032">
        <f>SUM(BS640:BW643)</f>
        <v>0</v>
      </c>
      <c r="BT644" s="2033"/>
      <c r="BU644" s="2033"/>
      <c r="BV644" s="2033"/>
      <c r="BW644" s="2034"/>
      <c r="BX644" s="2032">
        <f>SUM(BX640:CB643)</f>
        <v>1</v>
      </c>
      <c r="BY644" s="2033"/>
      <c r="BZ644" s="2033"/>
      <c r="CA644" s="2033"/>
      <c r="CB644" s="2034"/>
      <c r="CC644" s="2032">
        <f>SUM(CC640:CG643)</f>
        <v>0</v>
      </c>
      <c r="CD644" s="2033"/>
      <c r="CE644" s="2033"/>
      <c r="CF644" s="2033"/>
      <c r="CG644" s="2034"/>
      <c r="CH644" s="2032">
        <f>SUM(CH640:CL643)</f>
        <v>0</v>
      </c>
      <c r="CI644" s="2033"/>
      <c r="CJ644" s="2033"/>
      <c r="CK644" s="2033"/>
      <c r="CL644" s="2034"/>
      <c r="CM644" s="2032">
        <f>SUM(CM640:CQ643)</f>
        <v>0</v>
      </c>
      <c r="CN644" s="2033"/>
      <c r="CO644" s="2033"/>
      <c r="CP644" s="2033"/>
      <c r="CQ644" s="2034"/>
      <c r="CS644" s="1469">
        <f>BN644+BS644+BX644+CC644+CH644+CM644</f>
        <v>1</v>
      </c>
      <c r="CT644" s="134" t="s">
        <v>2388</v>
      </c>
      <c r="CU644" s="58"/>
      <c r="CV644" s="58"/>
      <c r="CW644" s="58"/>
      <c r="CX644" s="58"/>
      <c r="CY644" s="58"/>
      <c r="CZ644" s="58"/>
      <c r="DA644" s="58"/>
      <c r="DB644" s="58"/>
      <c r="DC644" s="58"/>
      <c r="DD644" s="58"/>
      <c r="DE644" s="58"/>
      <c r="DF644" s="58"/>
      <c r="DX644" s="2039" t="e">
        <f t="shared" si="22"/>
        <v>#VALUE!</v>
      </c>
      <c r="DY644" s="2039"/>
      <c r="DZ644" s="2039"/>
      <c r="EA644" s="2039"/>
      <c r="EB644" s="2039"/>
      <c r="EC644" s="2039" t="e">
        <f t="shared" si="23"/>
        <v>#VALUE!</v>
      </c>
      <c r="ED644" s="2039"/>
      <c r="EE644" s="2039"/>
      <c r="EF644" s="2039"/>
      <c r="EG644" s="2039"/>
      <c r="EH644" s="2039">
        <f t="shared" si="24"/>
        <v>592</v>
      </c>
      <c r="EI644" s="2039"/>
      <c r="EJ644" s="2039"/>
      <c r="EK644" s="2039"/>
      <c r="EL644" s="2039"/>
      <c r="EM644" s="2039" t="e">
        <f t="shared" si="25"/>
        <v>#VALUE!</v>
      </c>
      <c r="EN644" s="2039"/>
      <c r="EO644" s="2039"/>
      <c r="EP644" s="2039"/>
      <c r="EQ644" s="2039"/>
      <c r="ER644" s="2039" t="e">
        <f t="shared" si="26"/>
        <v>#VALUE!</v>
      </c>
      <c r="ES644" s="2039"/>
      <c r="ET644" s="2039"/>
      <c r="EU644" s="2039"/>
      <c r="EV644" s="2039"/>
      <c r="EW644" s="2039" t="e">
        <f t="shared" si="27"/>
        <v>#VALUE!</v>
      </c>
      <c r="EX644" s="2039"/>
      <c r="EY644" s="2039"/>
      <c r="EZ644" s="2039"/>
      <c r="FA644" s="2039"/>
    </row>
    <row r="645" spans="1:157" ht="12.75">
      <c r="B645" s="84" t="s">
        <v>494</v>
      </c>
      <c r="C645" s="2088"/>
      <c r="D645" s="2088"/>
      <c r="E645" s="2088"/>
      <c r="F645" s="2088"/>
      <c r="G645" s="2088"/>
      <c r="H645" s="2088"/>
      <c r="I645" s="2088"/>
      <c r="J645" s="2088"/>
      <c r="K645" s="2088"/>
      <c r="L645" s="2088"/>
      <c r="M645" s="2088"/>
      <c r="N645" s="2092"/>
      <c r="O645" s="2093"/>
      <c r="P645" s="2094"/>
      <c r="Q645" s="2095"/>
      <c r="R645" s="2072"/>
      <c r="S645" s="2073"/>
      <c r="T645" s="2074"/>
      <c r="U645" s="2066"/>
      <c r="V645" s="2067"/>
      <c r="W645" s="2068"/>
      <c r="X645" s="2060" t="s">
        <v>1384</v>
      </c>
      <c r="Y645" s="2061"/>
      <c r="Z645" s="2061"/>
      <c r="AA645" s="2061"/>
      <c r="AB645" s="2062"/>
      <c r="AC645" s="2063"/>
      <c r="AD645" s="2064"/>
      <c r="AE645" s="2065"/>
      <c r="AF645" s="2076"/>
      <c r="AG645" s="2077"/>
      <c r="AH645" s="2077"/>
      <c r="AI645" s="2077"/>
      <c r="AJ645" s="2078"/>
      <c r="AK645" s="2069"/>
      <c r="AL645" s="2070"/>
      <c r="AM645" s="2070"/>
      <c r="AN645" s="2071"/>
      <c r="AO645" s="2075"/>
      <c r="AP645" s="2075"/>
      <c r="AQ645" s="2075"/>
      <c r="AR645" s="2075"/>
      <c r="AS645" s="207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9">
        <f>BN644*1</f>
        <v>0</v>
      </c>
      <c r="BS645" s="58"/>
      <c r="BT645" s="58"/>
      <c r="BU645" s="58"/>
      <c r="BV645" s="58"/>
      <c r="BW645" s="1469">
        <f>BS644*1</f>
        <v>0</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2</v>
      </c>
      <c r="CT645" s="134" t="s">
        <v>2390</v>
      </c>
      <c r="CU645" s="58"/>
      <c r="CV645" s="58"/>
      <c r="CW645" s="58"/>
      <c r="CX645" s="58"/>
      <c r="CY645" s="58"/>
      <c r="CZ645" s="58"/>
      <c r="DA645" s="58"/>
      <c r="DB645" s="58"/>
      <c r="DC645" s="58"/>
      <c r="DD645" s="58"/>
      <c r="DE645" s="58"/>
      <c r="DF645" s="58"/>
      <c r="DX645" s="2039">
        <f t="shared" si="22"/>
        <v>1035</v>
      </c>
      <c r="DY645" s="2039"/>
      <c r="DZ645" s="2039"/>
      <c r="EA645" s="2039"/>
      <c r="EB645" s="2039"/>
      <c r="EC645" s="2039" t="e">
        <f t="shared" si="23"/>
        <v>#VALUE!</v>
      </c>
      <c r="ED645" s="2039"/>
      <c r="EE645" s="2039"/>
      <c r="EF645" s="2039"/>
      <c r="EG645" s="2039"/>
      <c r="EH645" s="2039" t="e">
        <f t="shared" si="24"/>
        <v>#VALUE!</v>
      </c>
      <c r="EI645" s="2039"/>
      <c r="EJ645" s="2039"/>
      <c r="EK645" s="2039"/>
      <c r="EL645" s="2039"/>
      <c r="EM645" s="2039" t="e">
        <f t="shared" si="25"/>
        <v>#VALUE!</v>
      </c>
      <c r="EN645" s="2039"/>
      <c r="EO645" s="2039"/>
      <c r="EP645" s="2039"/>
      <c r="EQ645" s="2039"/>
      <c r="ER645" s="2039" t="e">
        <f t="shared" si="26"/>
        <v>#VALUE!</v>
      </c>
      <c r="ES645" s="2039"/>
      <c r="ET645" s="2039"/>
      <c r="EU645" s="2039"/>
      <c r="EV645" s="2039"/>
      <c r="EW645" s="2039" t="e">
        <f t="shared" si="27"/>
        <v>#VALUE!</v>
      </c>
      <c r="EX645" s="2039"/>
      <c r="EY645" s="2039"/>
      <c r="EZ645" s="2039"/>
      <c r="FA645" s="2039"/>
    </row>
    <row r="646" spans="1:157" ht="12.75">
      <c r="B646" s="84" t="s">
        <v>681</v>
      </c>
      <c r="C646" s="2088"/>
      <c r="D646" s="2088"/>
      <c r="E646" s="2088"/>
      <c r="F646" s="2088"/>
      <c r="G646" s="2088"/>
      <c r="H646" s="2088"/>
      <c r="I646" s="2088"/>
      <c r="J646" s="2088"/>
      <c r="K646" s="2088"/>
      <c r="L646" s="2088"/>
      <c r="M646" s="2088"/>
      <c r="N646" s="2092"/>
      <c r="O646" s="2093"/>
      <c r="P646" s="2094"/>
      <c r="Q646" s="2095"/>
      <c r="R646" s="2072"/>
      <c r="S646" s="2073"/>
      <c r="T646" s="2074"/>
      <c r="U646" s="2066"/>
      <c r="V646" s="2067"/>
      <c r="W646" s="2068"/>
      <c r="X646" s="2060" t="s">
        <v>1384</v>
      </c>
      <c r="Y646" s="2061"/>
      <c r="Z646" s="2061"/>
      <c r="AA646" s="2061"/>
      <c r="AB646" s="2062"/>
      <c r="AC646" s="2063"/>
      <c r="AD646" s="2064"/>
      <c r="AE646" s="2065"/>
      <c r="AF646" s="2076"/>
      <c r="AG646" s="2077"/>
      <c r="AH646" s="2077"/>
      <c r="AI646" s="2077"/>
      <c r="AJ646" s="2078"/>
      <c r="AK646" s="2069"/>
      <c r="AL646" s="2070"/>
      <c r="AM646" s="2070"/>
      <c r="AN646" s="2071"/>
      <c r="AO646" s="2075"/>
      <c r="AP646" s="2075"/>
      <c r="AQ646" s="2075"/>
      <c r="AR646" s="2075"/>
      <c r="AS646" s="207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39" t="e">
        <f t="shared" si="22"/>
        <v>#VALUE!</v>
      </c>
      <c r="DY646" s="2039"/>
      <c r="DZ646" s="2039"/>
      <c r="EA646" s="2039"/>
      <c r="EB646" s="2039"/>
      <c r="EC646" s="2039" t="e">
        <f t="shared" si="23"/>
        <v>#VALUE!</v>
      </c>
      <c r="ED646" s="2039"/>
      <c r="EE646" s="2039"/>
      <c r="EF646" s="2039"/>
      <c r="EG646" s="2039"/>
      <c r="EH646" s="2039" t="e">
        <f t="shared" si="24"/>
        <v>#VALUE!</v>
      </c>
      <c r="EI646" s="2039"/>
      <c r="EJ646" s="2039"/>
      <c r="EK646" s="2039"/>
      <c r="EL646" s="2039"/>
      <c r="EM646" s="2039" t="e">
        <f t="shared" si="25"/>
        <v>#VALUE!</v>
      </c>
      <c r="EN646" s="2039"/>
      <c r="EO646" s="2039"/>
      <c r="EP646" s="2039"/>
      <c r="EQ646" s="2039"/>
      <c r="ER646" s="2039" t="e">
        <f t="shared" si="26"/>
        <v>#VALUE!</v>
      </c>
      <c r="ES646" s="2039"/>
      <c r="ET646" s="2039"/>
      <c r="EU646" s="2039"/>
      <c r="EV646" s="2039"/>
      <c r="EW646" s="2039" t="e">
        <f t="shared" si="27"/>
        <v>#VALUE!</v>
      </c>
      <c r="EX646" s="2039"/>
      <c r="EY646" s="2039"/>
      <c r="EZ646" s="2039"/>
      <c r="FA646" s="2039"/>
    </row>
    <row r="647" spans="1:157" ht="12.75">
      <c r="B647" s="84" t="s">
        <v>372</v>
      </c>
      <c r="C647" s="2088"/>
      <c r="D647" s="2088"/>
      <c r="E647" s="2088"/>
      <c r="F647" s="2088"/>
      <c r="G647" s="2088"/>
      <c r="H647" s="2088"/>
      <c r="I647" s="2088"/>
      <c r="J647" s="2088"/>
      <c r="K647" s="2088"/>
      <c r="L647" s="2088"/>
      <c r="M647" s="2088"/>
      <c r="N647" s="2092"/>
      <c r="O647" s="2093"/>
      <c r="P647" s="2094"/>
      <c r="Q647" s="2095"/>
      <c r="R647" s="2072"/>
      <c r="S647" s="2073"/>
      <c r="T647" s="2074"/>
      <c r="U647" s="2066"/>
      <c r="V647" s="2067"/>
      <c r="W647" s="2068"/>
      <c r="X647" s="2060" t="s">
        <v>1384</v>
      </c>
      <c r="Y647" s="2061"/>
      <c r="Z647" s="2061"/>
      <c r="AA647" s="2061"/>
      <c r="AB647" s="2062"/>
      <c r="AC647" s="2063"/>
      <c r="AD647" s="2064"/>
      <c r="AE647" s="2065"/>
      <c r="AF647" s="2076"/>
      <c r="AG647" s="2077"/>
      <c r="AH647" s="2077"/>
      <c r="AI647" s="2077"/>
      <c r="AJ647" s="2078"/>
      <c r="AK647" s="2069"/>
      <c r="AL647" s="2070"/>
      <c r="AM647" s="2070"/>
      <c r="AN647" s="2071"/>
      <c r="AO647" s="2075"/>
      <c r="AP647" s="2075"/>
      <c r="AQ647" s="2075"/>
      <c r="AR647" s="2075"/>
      <c r="AS647" s="207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39" t="e">
        <f t="shared" si="22"/>
        <v>#VALUE!</v>
      </c>
      <c r="DY647" s="2039"/>
      <c r="DZ647" s="2039"/>
      <c r="EA647" s="2039"/>
      <c r="EB647" s="2039"/>
      <c r="EC647" s="2039" t="e">
        <f t="shared" si="23"/>
        <v>#VALUE!</v>
      </c>
      <c r="ED647" s="2039"/>
      <c r="EE647" s="2039"/>
      <c r="EF647" s="2039"/>
      <c r="EG647" s="2039"/>
      <c r="EH647" s="2039" t="e">
        <f t="shared" si="24"/>
        <v>#VALUE!</v>
      </c>
      <c r="EI647" s="2039"/>
      <c r="EJ647" s="2039"/>
      <c r="EK647" s="2039"/>
      <c r="EL647" s="2039"/>
      <c r="EM647" s="2039" t="e">
        <f t="shared" si="25"/>
        <v>#VALUE!</v>
      </c>
      <c r="EN647" s="2039"/>
      <c r="EO647" s="2039"/>
      <c r="EP647" s="2039"/>
      <c r="EQ647" s="2039"/>
      <c r="ER647" s="2039" t="e">
        <f t="shared" si="26"/>
        <v>#VALUE!</v>
      </c>
      <c r="ES647" s="2039"/>
      <c r="ET647" s="2039"/>
      <c r="EU647" s="2039"/>
      <c r="EV647" s="2039"/>
      <c r="EW647" s="2039" t="e">
        <f t="shared" si="27"/>
        <v>#VALUE!</v>
      </c>
      <c r="EX647" s="2039"/>
      <c r="EY647" s="2039"/>
      <c r="EZ647" s="2039"/>
      <c r="FA647" s="2039"/>
    </row>
    <row r="648" spans="1:157" ht="12.75">
      <c r="B648" s="84" t="s">
        <v>373</v>
      </c>
      <c r="C648" s="2088"/>
      <c r="D648" s="2088"/>
      <c r="E648" s="2088"/>
      <c r="F648" s="2088"/>
      <c r="G648" s="2088"/>
      <c r="H648" s="2088"/>
      <c r="I648" s="2088"/>
      <c r="J648" s="2088"/>
      <c r="K648" s="2088"/>
      <c r="L648" s="2088"/>
      <c r="M648" s="2088"/>
      <c r="N648" s="2092"/>
      <c r="O648" s="2093"/>
      <c r="P648" s="2094"/>
      <c r="Q648" s="2095"/>
      <c r="R648" s="2072"/>
      <c r="S648" s="2073"/>
      <c r="T648" s="2074"/>
      <c r="U648" s="2066"/>
      <c r="V648" s="2067"/>
      <c r="W648" s="2068"/>
      <c r="X648" s="2060" t="s">
        <v>1384</v>
      </c>
      <c r="Y648" s="2061"/>
      <c r="Z648" s="2061"/>
      <c r="AA648" s="2061"/>
      <c r="AB648" s="2062"/>
      <c r="AC648" s="2063"/>
      <c r="AD648" s="2064"/>
      <c r="AE648" s="2065"/>
      <c r="AF648" s="2076"/>
      <c r="AG648" s="2077"/>
      <c r="AH648" s="2077"/>
      <c r="AI648" s="2077"/>
      <c r="AJ648" s="2078"/>
      <c r="AK648" s="2069"/>
      <c r="AL648" s="2070"/>
      <c r="AM648" s="2070"/>
      <c r="AN648" s="2071"/>
      <c r="AO648" s="2075"/>
      <c r="AP648" s="2075"/>
      <c r="AQ648" s="2075"/>
      <c r="AR648" s="2075"/>
      <c r="AS648" s="207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9">
        <f t="shared" ref="BN648:BN657" si="28">IF(J786="SRO/Studio",O786,0)</f>
        <v>0</v>
      </c>
      <c r="BO648" s="2030"/>
      <c r="BP648" s="2030"/>
      <c r="BQ648" s="2030"/>
      <c r="BR648" s="2031"/>
      <c r="BS648" s="2035">
        <f t="shared" ref="BS648:BS657" si="29">IF(J786="1 Bedroom",O786,0)</f>
        <v>0</v>
      </c>
      <c r="BT648" s="2035"/>
      <c r="BU648" s="2035"/>
      <c r="BV648" s="2035"/>
      <c r="BW648" s="2035"/>
      <c r="BX648" s="2035">
        <f t="shared" ref="BX648:BX657" si="30">IF(J786="2 Bedrooms",O786,0)</f>
        <v>0</v>
      </c>
      <c r="BY648" s="2035"/>
      <c r="BZ648" s="2035"/>
      <c r="CA648" s="2035"/>
      <c r="CB648" s="2035"/>
      <c r="CC648" s="2035">
        <f t="shared" ref="CC648:CC657" si="31">IF(J786="3 Bedrooms",O786,0)</f>
        <v>0</v>
      </c>
      <c r="CD648" s="2035"/>
      <c r="CE648" s="2035"/>
      <c r="CF648" s="2035"/>
      <c r="CG648" s="2035"/>
      <c r="CH648" s="2035">
        <f t="shared" ref="CH648:CH657" si="32">IF(J786="4 Bedrooms",O786,0)</f>
        <v>0</v>
      </c>
      <c r="CI648" s="2035"/>
      <c r="CJ648" s="2035"/>
      <c r="CK648" s="2035"/>
      <c r="CL648" s="2035"/>
      <c r="CM648" s="2035">
        <f t="shared" ref="CM648:CM657" si="33">IF(J786="5 Bedrooms",O786,0)</f>
        <v>0</v>
      </c>
      <c r="CN648" s="2035"/>
      <c r="CO648" s="2035"/>
      <c r="CP648" s="2035"/>
      <c r="CQ648" s="2035"/>
      <c r="CR648" s="265"/>
      <c r="CS648" s="2029">
        <f>IF(AND(BN648&gt;=1,AH786&gt;=0.1,AH786&lt;=1),O786,0)</f>
        <v>0</v>
      </c>
      <c r="CT648" s="2030"/>
      <c r="CU648" s="2030"/>
      <c r="CV648" s="2030"/>
      <c r="CW648" s="2031"/>
      <c r="CX648" s="2029">
        <f>IF(AND(BS648&gt;=1,AH786&gt;=0.1,AH786&lt;=1),O786,0)</f>
        <v>0</v>
      </c>
      <c r="CY648" s="2030"/>
      <c r="CZ648" s="2030"/>
      <c r="DA648" s="2030"/>
      <c r="DB648" s="2031"/>
      <c r="DC648" s="2029">
        <f>IF(AND(BX648&gt;=1,AH786&gt;=0.1,AH786&lt;=1),O786,0)</f>
        <v>0</v>
      </c>
      <c r="DD648" s="2030"/>
      <c r="DE648" s="2030"/>
      <c r="DF648" s="2030"/>
      <c r="DG648" s="2031"/>
      <c r="DH648" s="2029">
        <f>IF(AND(CC648&gt;=1,AH786&gt;=0.1,AH786&lt;=1),O786,0)</f>
        <v>0</v>
      </c>
      <c r="DI648" s="2030"/>
      <c r="DJ648" s="2030"/>
      <c r="DK648" s="2030"/>
      <c r="DL648" s="2031"/>
      <c r="DM648" s="2029">
        <f>IF(AND(CH648&gt;=1,AH786&gt;=0.1,AH786&lt;=1),O786,0)</f>
        <v>0</v>
      </c>
      <c r="DN648" s="2030"/>
      <c r="DO648" s="2030"/>
      <c r="DP648" s="2030"/>
      <c r="DQ648" s="2031"/>
      <c r="DR648" s="2029">
        <f>IF(AND(CM648&gt;=1,AH786&gt;=0.1,AH786&lt;=1),O786,0)</f>
        <v>0</v>
      </c>
      <c r="DS648" s="2030"/>
      <c r="DT648" s="2030"/>
      <c r="DU648" s="2030"/>
      <c r="DV648" s="2031"/>
      <c r="DX648" s="2039" t="e">
        <f t="shared" si="22"/>
        <v>#VALUE!</v>
      </c>
      <c r="DY648" s="2039"/>
      <c r="DZ648" s="2039"/>
      <c r="EA648" s="2039"/>
      <c r="EB648" s="2039"/>
      <c r="EC648" s="2039" t="e">
        <f t="shared" si="23"/>
        <v>#VALUE!</v>
      </c>
      <c r="ED648" s="2039"/>
      <c r="EE648" s="2039"/>
      <c r="EF648" s="2039"/>
      <c r="EG648" s="2039"/>
      <c r="EH648" s="2039" t="e">
        <f t="shared" si="24"/>
        <v>#VALUE!</v>
      </c>
      <c r="EI648" s="2039"/>
      <c r="EJ648" s="2039"/>
      <c r="EK648" s="2039"/>
      <c r="EL648" s="2039"/>
      <c r="EM648" s="2039" t="e">
        <f t="shared" si="25"/>
        <v>#VALUE!</v>
      </c>
      <c r="EN648" s="2039"/>
      <c r="EO648" s="2039"/>
      <c r="EP648" s="2039"/>
      <c r="EQ648" s="2039"/>
      <c r="ER648" s="2039" t="e">
        <f t="shared" si="26"/>
        <v>#VALUE!</v>
      </c>
      <c r="ES648" s="2039"/>
      <c r="ET648" s="2039"/>
      <c r="EU648" s="2039"/>
      <c r="EV648" s="2039"/>
      <c r="EW648" s="2039" t="e">
        <f t="shared" si="27"/>
        <v>#VALUE!</v>
      </c>
      <c r="EX648" s="2039"/>
      <c r="EY648" s="2039"/>
      <c r="EZ648" s="2039"/>
      <c r="FA648" s="2039"/>
    </row>
    <row r="649" spans="1:157" ht="12.75">
      <c r="B649" s="2328" t="s">
        <v>133</v>
      </c>
      <c r="C649" s="2329"/>
      <c r="D649" s="2329"/>
      <c r="E649" s="2329"/>
      <c r="F649" s="2329"/>
      <c r="G649" s="2329"/>
      <c r="H649" s="2329"/>
      <c r="I649" s="2329"/>
      <c r="J649" s="2329"/>
      <c r="K649" s="2329"/>
      <c r="L649" s="2329"/>
      <c r="M649" s="2329"/>
      <c r="N649" s="2329"/>
      <c r="O649" s="2329"/>
      <c r="P649" s="2329"/>
      <c r="Q649" s="2329"/>
      <c r="R649" s="2329"/>
      <c r="S649" s="2329"/>
      <c r="T649" s="2329"/>
      <c r="U649" s="2329"/>
      <c r="V649" s="2329"/>
      <c r="W649" s="2329"/>
      <c r="X649" s="2329"/>
      <c r="Y649" s="2329"/>
      <c r="Z649" s="2329"/>
      <c r="AA649" s="2329"/>
      <c r="AB649" s="2329"/>
      <c r="AC649" s="2329"/>
      <c r="AD649" s="2329"/>
      <c r="AE649" s="2329"/>
      <c r="AF649" s="2329"/>
      <c r="AG649" s="2329"/>
      <c r="AH649" s="2329"/>
      <c r="AI649" s="2329"/>
      <c r="AJ649" s="2329"/>
      <c r="AK649" s="2329"/>
      <c r="AL649" s="2329"/>
      <c r="AM649" s="2329"/>
      <c r="AN649" s="2330"/>
      <c r="AO649" s="2036">
        <f>SUM(AO637:AR648)</f>
        <v>15743774</v>
      </c>
      <c r="AP649" s="2037"/>
      <c r="AQ649" s="2037"/>
      <c r="AR649" s="2037"/>
      <c r="AS649" s="2038"/>
      <c r="AZ649" s="58"/>
      <c r="BA649" s="58"/>
      <c r="BB649" s="58"/>
      <c r="BC649" s="58"/>
      <c r="BD649" s="58"/>
      <c r="BE649" s="58"/>
      <c r="BF649" s="58"/>
      <c r="BG649" s="58"/>
      <c r="BH649" s="58"/>
      <c r="BI649" s="58"/>
      <c r="BJ649" s="58"/>
      <c r="BK649" s="58"/>
      <c r="BL649" s="58"/>
      <c r="BM649" s="58"/>
      <c r="BN649" s="2029">
        <f t="shared" si="28"/>
        <v>0</v>
      </c>
      <c r="BO649" s="2030"/>
      <c r="BP649" s="2030"/>
      <c r="BQ649" s="2030"/>
      <c r="BR649" s="2031"/>
      <c r="BS649" s="2035">
        <f t="shared" si="29"/>
        <v>0</v>
      </c>
      <c r="BT649" s="2035"/>
      <c r="BU649" s="2035"/>
      <c r="BV649" s="2035"/>
      <c r="BW649" s="2035"/>
      <c r="BX649" s="2035">
        <f t="shared" si="30"/>
        <v>0</v>
      </c>
      <c r="BY649" s="2035"/>
      <c r="BZ649" s="2035"/>
      <c r="CA649" s="2035"/>
      <c r="CB649" s="2035"/>
      <c r="CC649" s="2035">
        <f t="shared" si="31"/>
        <v>0</v>
      </c>
      <c r="CD649" s="2035"/>
      <c r="CE649" s="2035"/>
      <c r="CF649" s="2035"/>
      <c r="CG649" s="2035"/>
      <c r="CH649" s="2035">
        <f t="shared" si="32"/>
        <v>0</v>
      </c>
      <c r="CI649" s="2035"/>
      <c r="CJ649" s="2035"/>
      <c r="CK649" s="2035"/>
      <c r="CL649" s="2035"/>
      <c r="CM649" s="2035">
        <f t="shared" si="33"/>
        <v>0</v>
      </c>
      <c r="CN649" s="2035"/>
      <c r="CO649" s="2035"/>
      <c r="CP649" s="2035"/>
      <c r="CQ649" s="2035"/>
      <c r="CR649" s="265"/>
      <c r="CS649" s="2029">
        <f t="shared" ref="CS649:CS657" si="34">IF(AND(BN649&gt;=1,AH787&gt;=0.1,AH787&lt;=1),O787,0)</f>
        <v>0</v>
      </c>
      <c r="CT649" s="2030"/>
      <c r="CU649" s="2030"/>
      <c r="CV649" s="2030"/>
      <c r="CW649" s="2031"/>
      <c r="CX649" s="2029">
        <f t="shared" ref="CX649:CX657" si="35">IF(AND(BS649&gt;=1,AH787&gt;=0.1,AH787&lt;=1),O787,0)</f>
        <v>0</v>
      </c>
      <c r="CY649" s="2030"/>
      <c r="CZ649" s="2030"/>
      <c r="DA649" s="2030"/>
      <c r="DB649" s="2031"/>
      <c r="DC649" s="2029">
        <f t="shared" ref="DC649:DC657" si="36">IF(AND(BX649&gt;=1,AH787&gt;=0.1,AH787&lt;=1),O787,0)</f>
        <v>0</v>
      </c>
      <c r="DD649" s="2030"/>
      <c r="DE649" s="2030"/>
      <c r="DF649" s="2030"/>
      <c r="DG649" s="2031"/>
      <c r="DH649" s="2029">
        <f t="shared" ref="DH649:DH657" si="37">IF(AND(CC649&gt;=1,AH787&gt;=0.1,AH787&lt;=1),O787,0)</f>
        <v>0</v>
      </c>
      <c r="DI649" s="2030"/>
      <c r="DJ649" s="2030"/>
      <c r="DK649" s="2030"/>
      <c r="DL649" s="2031"/>
      <c r="DM649" s="2029">
        <f t="shared" ref="DM649:DM657" si="38">IF(AND(CH649&gt;=1,AH787&gt;=0.1,AH787&lt;=1),O787,0)</f>
        <v>0</v>
      </c>
      <c r="DN649" s="2030"/>
      <c r="DO649" s="2030"/>
      <c r="DP649" s="2030"/>
      <c r="DQ649" s="2031"/>
      <c r="DR649" s="2029">
        <f t="shared" ref="DR649:DR657" si="39">IF(AND(CM649&gt;=1,AH787&gt;=0.1,AH787&lt;=1),O787,0)</f>
        <v>0</v>
      </c>
      <c r="DS649" s="2030"/>
      <c r="DT649" s="2030"/>
      <c r="DU649" s="2030"/>
      <c r="DV649" s="2031"/>
      <c r="DX649" s="2039" t="e">
        <f t="shared" si="22"/>
        <v>#VALUE!</v>
      </c>
      <c r="DY649" s="2039"/>
      <c r="DZ649" s="2039"/>
      <c r="EA649" s="2039"/>
      <c r="EB649" s="2039"/>
      <c r="EC649" s="2039" t="e">
        <f t="shared" si="23"/>
        <v>#VALUE!</v>
      </c>
      <c r="ED649" s="2039"/>
      <c r="EE649" s="2039"/>
      <c r="EF649" s="2039"/>
      <c r="EG649" s="2039"/>
      <c r="EH649" s="2039" t="e">
        <f t="shared" si="24"/>
        <v>#VALUE!</v>
      </c>
      <c r="EI649" s="2039"/>
      <c r="EJ649" s="2039"/>
      <c r="EK649" s="2039"/>
      <c r="EL649" s="2039"/>
      <c r="EM649" s="2039" t="e">
        <f t="shared" si="25"/>
        <v>#VALUE!</v>
      </c>
      <c r="EN649" s="2039"/>
      <c r="EO649" s="2039"/>
      <c r="EP649" s="2039"/>
      <c r="EQ649" s="2039"/>
      <c r="ER649" s="2039" t="e">
        <f t="shared" si="26"/>
        <v>#VALUE!</v>
      </c>
      <c r="ES649" s="2039"/>
      <c r="ET649" s="2039"/>
      <c r="EU649" s="2039"/>
      <c r="EV649" s="2039"/>
      <c r="EW649" s="2039" t="e">
        <f t="shared" si="27"/>
        <v>#VALUE!</v>
      </c>
      <c r="EX649" s="2039"/>
      <c r="EY649" s="2039"/>
      <c r="EZ649" s="2039"/>
      <c r="FA649" s="2039"/>
    </row>
    <row r="650" spans="1:157" ht="12.75" customHeight="1">
      <c r="B650" s="2328" t="s">
        <v>273</v>
      </c>
      <c r="C650" s="2329"/>
      <c r="D650" s="2329"/>
      <c r="E650" s="2329"/>
      <c r="F650" s="2329"/>
      <c r="G650" s="2329"/>
      <c r="H650" s="2329"/>
      <c r="I650" s="2329"/>
      <c r="J650" s="2329"/>
      <c r="K650" s="2329"/>
      <c r="L650" s="2329"/>
      <c r="M650" s="2329"/>
      <c r="N650" s="2329"/>
      <c r="O650" s="2329"/>
      <c r="P650" s="2329"/>
      <c r="Q650" s="2329"/>
      <c r="R650" s="2329"/>
      <c r="S650" s="2329"/>
      <c r="T650" s="2329"/>
      <c r="U650" s="2329"/>
      <c r="V650" s="2329"/>
      <c r="W650" s="2329"/>
      <c r="X650" s="2329"/>
      <c r="Y650" s="2329"/>
      <c r="Z650" s="2329"/>
      <c r="AA650" s="2329"/>
      <c r="AB650" s="2329"/>
      <c r="AC650" s="2329"/>
      <c r="AD650" s="2329"/>
      <c r="AE650" s="2329"/>
      <c r="AF650" s="2329"/>
      <c r="AG650" s="2329"/>
      <c r="AH650" s="2329"/>
      <c r="AI650" s="2329"/>
      <c r="AJ650" s="2329"/>
      <c r="AK650" s="2329"/>
      <c r="AL650" s="2329"/>
      <c r="AM650" s="2329"/>
      <c r="AN650" s="2330"/>
      <c r="AO650" s="2041">
        <v>14534304</v>
      </c>
      <c r="AP650" s="2042"/>
      <c r="AQ650" s="2042"/>
      <c r="AR650" s="2042"/>
      <c r="AS650" s="2043"/>
      <c r="AZ650" s="61"/>
      <c r="BA650" s="61"/>
      <c r="BB650" s="61"/>
      <c r="BC650" s="61"/>
      <c r="BD650" s="61"/>
      <c r="BE650" s="61"/>
      <c r="BF650" s="61"/>
      <c r="BG650" s="61"/>
      <c r="BH650" s="61"/>
      <c r="BI650" s="61"/>
      <c r="BJ650" s="61"/>
      <c r="BK650" s="61"/>
      <c r="BL650" s="61"/>
      <c r="BM650" s="61"/>
      <c r="BN650" s="2029">
        <f t="shared" si="28"/>
        <v>0</v>
      </c>
      <c r="BO650" s="2030"/>
      <c r="BP650" s="2030"/>
      <c r="BQ650" s="2030"/>
      <c r="BR650" s="2031"/>
      <c r="BS650" s="2035">
        <f t="shared" si="29"/>
        <v>0</v>
      </c>
      <c r="BT650" s="2035"/>
      <c r="BU650" s="2035"/>
      <c r="BV650" s="2035"/>
      <c r="BW650" s="2035"/>
      <c r="BX650" s="2035">
        <f t="shared" si="30"/>
        <v>0</v>
      </c>
      <c r="BY650" s="2035"/>
      <c r="BZ650" s="2035"/>
      <c r="CA650" s="2035"/>
      <c r="CB650" s="2035"/>
      <c r="CC650" s="2035">
        <f t="shared" si="31"/>
        <v>0</v>
      </c>
      <c r="CD650" s="2035"/>
      <c r="CE650" s="2035"/>
      <c r="CF650" s="2035"/>
      <c r="CG650" s="2035"/>
      <c r="CH650" s="2035">
        <f t="shared" si="32"/>
        <v>0</v>
      </c>
      <c r="CI650" s="2035"/>
      <c r="CJ650" s="2035"/>
      <c r="CK650" s="2035"/>
      <c r="CL650" s="2035"/>
      <c r="CM650" s="2035">
        <f t="shared" si="33"/>
        <v>0</v>
      </c>
      <c r="CN650" s="2035"/>
      <c r="CO650" s="2035"/>
      <c r="CP650" s="2035"/>
      <c r="CQ650" s="2035"/>
      <c r="CR650" s="265"/>
      <c r="CS650" s="2029">
        <f t="shared" si="34"/>
        <v>0</v>
      </c>
      <c r="CT650" s="2030"/>
      <c r="CU650" s="2030"/>
      <c r="CV650" s="2030"/>
      <c r="CW650" s="2031"/>
      <c r="CX650" s="2029">
        <f t="shared" si="35"/>
        <v>0</v>
      </c>
      <c r="CY650" s="2030"/>
      <c r="CZ650" s="2030"/>
      <c r="DA650" s="2030"/>
      <c r="DB650" s="2031"/>
      <c r="DC650" s="2029">
        <f t="shared" si="36"/>
        <v>0</v>
      </c>
      <c r="DD650" s="2030"/>
      <c r="DE650" s="2030"/>
      <c r="DF650" s="2030"/>
      <c r="DG650" s="2031"/>
      <c r="DH650" s="2029">
        <f t="shared" si="37"/>
        <v>0</v>
      </c>
      <c r="DI650" s="2030"/>
      <c r="DJ650" s="2030"/>
      <c r="DK650" s="2030"/>
      <c r="DL650" s="2031"/>
      <c r="DM650" s="2029">
        <f t="shared" si="38"/>
        <v>0</v>
      </c>
      <c r="DN650" s="2030"/>
      <c r="DO650" s="2030"/>
      <c r="DP650" s="2030"/>
      <c r="DQ650" s="2031"/>
      <c r="DR650" s="2029">
        <f t="shared" si="39"/>
        <v>0</v>
      </c>
      <c r="DS650" s="2030"/>
      <c r="DT650" s="2030"/>
      <c r="DU650" s="2030"/>
      <c r="DV650" s="2031"/>
      <c r="DX650" s="2039" t="e">
        <f t="shared" si="22"/>
        <v>#VALUE!</v>
      </c>
      <c r="DY650" s="2039"/>
      <c r="DZ650" s="2039"/>
      <c r="EA650" s="2039"/>
      <c r="EB650" s="2039"/>
      <c r="EC650" s="2039" t="e">
        <f t="shared" si="23"/>
        <v>#VALUE!</v>
      </c>
      <c r="ED650" s="2039"/>
      <c r="EE650" s="2039"/>
      <c r="EF650" s="2039"/>
      <c r="EG650" s="2039"/>
      <c r="EH650" s="2039" t="e">
        <f t="shared" si="24"/>
        <v>#VALUE!</v>
      </c>
      <c r="EI650" s="2039"/>
      <c r="EJ650" s="2039"/>
      <c r="EK650" s="2039"/>
      <c r="EL650" s="2039"/>
      <c r="EM650" s="2039" t="e">
        <f t="shared" si="25"/>
        <v>#VALUE!</v>
      </c>
      <c r="EN650" s="2039"/>
      <c r="EO650" s="2039"/>
      <c r="EP650" s="2039"/>
      <c r="EQ650" s="2039"/>
      <c r="ER650" s="2039" t="e">
        <f t="shared" si="26"/>
        <v>#VALUE!</v>
      </c>
      <c r="ES650" s="2039"/>
      <c r="ET650" s="2039"/>
      <c r="EU650" s="2039"/>
      <c r="EV650" s="2039"/>
      <c r="EW650" s="2039" t="e">
        <f t="shared" si="27"/>
        <v>#VALUE!</v>
      </c>
      <c r="EX650" s="2039"/>
      <c r="EY650" s="2039"/>
      <c r="EZ650" s="2039"/>
      <c r="FA650" s="2039"/>
    </row>
    <row r="651" spans="1:157" ht="12.75" customHeight="1">
      <c r="B651" s="2440" t="s">
        <v>274</v>
      </c>
      <c r="C651" s="2441"/>
      <c r="D651" s="2441"/>
      <c r="E651" s="2441"/>
      <c r="F651" s="2441"/>
      <c r="G651" s="2441"/>
      <c r="H651" s="2441"/>
      <c r="I651" s="2441"/>
      <c r="J651" s="2441"/>
      <c r="K651" s="2441"/>
      <c r="L651" s="2441"/>
      <c r="M651" s="2441"/>
      <c r="N651" s="2441"/>
      <c r="O651" s="2441"/>
      <c r="P651" s="2441"/>
      <c r="Q651" s="2441"/>
      <c r="R651" s="2441"/>
      <c r="S651" s="2441"/>
      <c r="T651" s="2441"/>
      <c r="U651" s="2441"/>
      <c r="V651" s="2441"/>
      <c r="W651" s="2441"/>
      <c r="X651" s="2441"/>
      <c r="Y651" s="2441"/>
      <c r="Z651" s="2441"/>
      <c r="AA651" s="2441"/>
      <c r="AB651" s="2441"/>
      <c r="AC651" s="2441"/>
      <c r="AD651" s="2441"/>
      <c r="AE651" s="2441"/>
      <c r="AF651" s="2441"/>
      <c r="AG651" s="2441"/>
      <c r="AH651" s="2441"/>
      <c r="AI651" s="2441"/>
      <c r="AJ651" s="2441"/>
      <c r="AK651" s="2441"/>
      <c r="AL651" s="2441"/>
      <c r="AM651" s="2441"/>
      <c r="AN651" s="2442"/>
      <c r="AO651" s="2036">
        <f>AO649+AO650</f>
        <v>30278078</v>
      </c>
      <c r="AP651" s="2037"/>
      <c r="AQ651" s="2037"/>
      <c r="AR651" s="2037"/>
      <c r="AS651" s="2038"/>
      <c r="AZ651" s="61"/>
      <c r="BA651" s="61"/>
      <c r="BB651" s="61"/>
      <c r="BC651" s="61"/>
      <c r="BD651" s="61"/>
      <c r="BE651" s="61"/>
      <c r="BF651" s="61"/>
      <c r="BG651" s="61"/>
      <c r="BH651" s="61"/>
      <c r="BI651" s="61"/>
      <c r="BJ651" s="61"/>
      <c r="BK651" s="61"/>
      <c r="BL651" s="61"/>
      <c r="BM651" s="61"/>
      <c r="BN651" s="2029">
        <f t="shared" si="28"/>
        <v>0</v>
      </c>
      <c r="BO651" s="2030"/>
      <c r="BP651" s="2030"/>
      <c r="BQ651" s="2030"/>
      <c r="BR651" s="2031"/>
      <c r="BS651" s="2035">
        <f t="shared" si="29"/>
        <v>0</v>
      </c>
      <c r="BT651" s="2035"/>
      <c r="BU651" s="2035"/>
      <c r="BV651" s="2035"/>
      <c r="BW651" s="2035"/>
      <c r="BX651" s="2035">
        <f t="shared" si="30"/>
        <v>0</v>
      </c>
      <c r="BY651" s="2035"/>
      <c r="BZ651" s="2035"/>
      <c r="CA651" s="2035"/>
      <c r="CB651" s="2035"/>
      <c r="CC651" s="2035">
        <f t="shared" si="31"/>
        <v>0</v>
      </c>
      <c r="CD651" s="2035"/>
      <c r="CE651" s="2035"/>
      <c r="CF651" s="2035"/>
      <c r="CG651" s="2035"/>
      <c r="CH651" s="2035">
        <f t="shared" si="32"/>
        <v>0</v>
      </c>
      <c r="CI651" s="2035"/>
      <c r="CJ651" s="2035"/>
      <c r="CK651" s="2035"/>
      <c r="CL651" s="2035"/>
      <c r="CM651" s="2035">
        <f t="shared" si="33"/>
        <v>0</v>
      </c>
      <c r="CN651" s="2035"/>
      <c r="CO651" s="2035"/>
      <c r="CP651" s="2035"/>
      <c r="CQ651" s="2035"/>
      <c r="CR651" s="265"/>
      <c r="CS651" s="2029">
        <f t="shared" si="34"/>
        <v>0</v>
      </c>
      <c r="CT651" s="2030"/>
      <c r="CU651" s="2030"/>
      <c r="CV651" s="2030"/>
      <c r="CW651" s="2031"/>
      <c r="CX651" s="2029">
        <f t="shared" si="35"/>
        <v>0</v>
      </c>
      <c r="CY651" s="2030"/>
      <c r="CZ651" s="2030"/>
      <c r="DA651" s="2030"/>
      <c r="DB651" s="2031"/>
      <c r="DC651" s="2029">
        <f t="shared" si="36"/>
        <v>0</v>
      </c>
      <c r="DD651" s="2030"/>
      <c r="DE651" s="2030"/>
      <c r="DF651" s="2030"/>
      <c r="DG651" s="2031"/>
      <c r="DH651" s="2029">
        <f t="shared" si="37"/>
        <v>0</v>
      </c>
      <c r="DI651" s="2030"/>
      <c r="DJ651" s="2030"/>
      <c r="DK651" s="2030"/>
      <c r="DL651" s="2031"/>
      <c r="DM651" s="2029">
        <f t="shared" si="38"/>
        <v>0</v>
      </c>
      <c r="DN651" s="2030"/>
      <c r="DO651" s="2030"/>
      <c r="DP651" s="2030"/>
      <c r="DQ651" s="2031"/>
      <c r="DR651" s="2029">
        <f t="shared" si="39"/>
        <v>0</v>
      </c>
      <c r="DS651" s="2030"/>
      <c r="DT651" s="2030"/>
      <c r="DU651" s="2030"/>
      <c r="DV651" s="2031"/>
      <c r="DX651" s="2039" t="e">
        <f t="shared" si="22"/>
        <v>#VALUE!</v>
      </c>
      <c r="DY651" s="2039"/>
      <c r="DZ651" s="2039"/>
      <c r="EA651" s="2039"/>
      <c r="EB651" s="2039"/>
      <c r="EC651" s="2039" t="e">
        <f t="shared" si="23"/>
        <v>#VALUE!</v>
      </c>
      <c r="ED651" s="2039"/>
      <c r="EE651" s="2039"/>
      <c r="EF651" s="2039"/>
      <c r="EG651" s="2039"/>
      <c r="EH651" s="2039" t="e">
        <f t="shared" si="24"/>
        <v>#VALUE!</v>
      </c>
      <c r="EI651" s="2039"/>
      <c r="EJ651" s="2039"/>
      <c r="EK651" s="2039"/>
      <c r="EL651" s="2039"/>
      <c r="EM651" s="2039" t="e">
        <f t="shared" si="25"/>
        <v>#VALUE!</v>
      </c>
      <c r="EN651" s="2039"/>
      <c r="EO651" s="2039"/>
      <c r="EP651" s="2039"/>
      <c r="EQ651" s="2039"/>
      <c r="ER651" s="2039" t="e">
        <f t="shared" si="26"/>
        <v>#VALUE!</v>
      </c>
      <c r="ES651" s="2039"/>
      <c r="ET651" s="2039"/>
      <c r="EU651" s="2039"/>
      <c r="EV651" s="2039"/>
      <c r="EW651" s="2039" t="e">
        <f t="shared" si="27"/>
        <v>#VALUE!</v>
      </c>
      <c r="EX651" s="2039"/>
      <c r="EY651" s="2039"/>
      <c r="EZ651" s="2039"/>
      <c r="FA651" s="2039"/>
    </row>
    <row r="652" spans="1:157" ht="12.75">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9">
        <f t="shared" si="28"/>
        <v>0</v>
      </c>
      <c r="BO652" s="2030"/>
      <c r="BP652" s="2030"/>
      <c r="BQ652" s="2030"/>
      <c r="BR652" s="2031"/>
      <c r="BS652" s="2035">
        <f t="shared" si="29"/>
        <v>0</v>
      </c>
      <c r="BT652" s="2035"/>
      <c r="BU652" s="2035"/>
      <c r="BV652" s="2035"/>
      <c r="BW652" s="2035"/>
      <c r="BX652" s="2035">
        <f t="shared" si="30"/>
        <v>0</v>
      </c>
      <c r="BY652" s="2035"/>
      <c r="BZ652" s="2035"/>
      <c r="CA652" s="2035"/>
      <c r="CB652" s="2035"/>
      <c r="CC652" s="2035">
        <f t="shared" si="31"/>
        <v>0</v>
      </c>
      <c r="CD652" s="2035"/>
      <c r="CE652" s="2035"/>
      <c r="CF652" s="2035"/>
      <c r="CG652" s="2035"/>
      <c r="CH652" s="2035">
        <f t="shared" si="32"/>
        <v>0</v>
      </c>
      <c r="CI652" s="2035"/>
      <c r="CJ652" s="2035"/>
      <c r="CK652" s="2035"/>
      <c r="CL652" s="2035"/>
      <c r="CM652" s="2035">
        <f t="shared" si="33"/>
        <v>0</v>
      </c>
      <c r="CN652" s="2035"/>
      <c r="CO652" s="2035"/>
      <c r="CP652" s="2035"/>
      <c r="CQ652" s="2035"/>
      <c r="CR652" s="265"/>
      <c r="CS652" s="2029">
        <f t="shared" si="34"/>
        <v>0</v>
      </c>
      <c r="CT652" s="2030"/>
      <c r="CU652" s="2030"/>
      <c r="CV652" s="2030"/>
      <c r="CW652" s="2031"/>
      <c r="CX652" s="2029">
        <f t="shared" si="35"/>
        <v>0</v>
      </c>
      <c r="CY652" s="2030"/>
      <c r="CZ652" s="2030"/>
      <c r="DA652" s="2030"/>
      <c r="DB652" s="2031"/>
      <c r="DC652" s="2029">
        <f t="shared" si="36"/>
        <v>0</v>
      </c>
      <c r="DD652" s="2030"/>
      <c r="DE652" s="2030"/>
      <c r="DF652" s="2030"/>
      <c r="DG652" s="2031"/>
      <c r="DH652" s="2029">
        <f t="shared" si="37"/>
        <v>0</v>
      </c>
      <c r="DI652" s="2030"/>
      <c r="DJ652" s="2030"/>
      <c r="DK652" s="2030"/>
      <c r="DL652" s="2031"/>
      <c r="DM652" s="2029">
        <f t="shared" si="38"/>
        <v>0</v>
      </c>
      <c r="DN652" s="2030"/>
      <c r="DO652" s="2030"/>
      <c r="DP652" s="2030"/>
      <c r="DQ652" s="2031"/>
      <c r="DR652" s="2029">
        <f t="shared" si="39"/>
        <v>0</v>
      </c>
      <c r="DS652" s="2030"/>
      <c r="DT652" s="2030"/>
      <c r="DU652" s="2030"/>
      <c r="DV652" s="2031"/>
      <c r="DX652" s="2039" t="e">
        <f t="shared" si="22"/>
        <v>#VALUE!</v>
      </c>
      <c r="DY652" s="2039"/>
      <c r="DZ652" s="2039"/>
      <c r="EA652" s="2039"/>
      <c r="EB652" s="2039"/>
      <c r="EC652" s="2039" t="e">
        <f t="shared" si="23"/>
        <v>#VALUE!</v>
      </c>
      <c r="ED652" s="2039"/>
      <c r="EE652" s="2039"/>
      <c r="EF652" s="2039"/>
      <c r="EG652" s="2039"/>
      <c r="EH652" s="2039" t="e">
        <f t="shared" si="24"/>
        <v>#VALUE!</v>
      </c>
      <c r="EI652" s="2039"/>
      <c r="EJ652" s="2039"/>
      <c r="EK652" s="2039"/>
      <c r="EL652" s="2039"/>
      <c r="EM652" s="2039" t="e">
        <f t="shared" si="25"/>
        <v>#VALUE!</v>
      </c>
      <c r="EN652" s="2039"/>
      <c r="EO652" s="2039"/>
      <c r="EP652" s="2039"/>
      <c r="EQ652" s="2039"/>
      <c r="ER652" s="2039" t="e">
        <f t="shared" si="26"/>
        <v>#VALUE!</v>
      </c>
      <c r="ES652" s="2039"/>
      <c r="ET652" s="2039"/>
      <c r="EU652" s="2039"/>
      <c r="EV652" s="2039"/>
      <c r="EW652" s="2039" t="e">
        <f t="shared" si="27"/>
        <v>#VALUE!</v>
      </c>
      <c r="EX652" s="2039"/>
      <c r="EY652" s="2039"/>
      <c r="EZ652" s="2039"/>
      <c r="FA652" s="2039"/>
    </row>
    <row r="653" spans="1:157" ht="12.75">
      <c r="A653" s="87" t="s">
        <v>117</v>
      </c>
      <c r="B653" s="12" t="s">
        <v>496</v>
      </c>
      <c r="G653" s="2040" t="str">
        <f>C637</f>
        <v>CCRC</v>
      </c>
      <c r="H653" s="2040"/>
      <c r="I653" s="2040"/>
      <c r="J653" s="2040"/>
      <c r="K653" s="2040"/>
      <c r="L653" s="2040"/>
      <c r="M653" s="2040"/>
      <c r="N653" s="2040"/>
      <c r="O653" s="2040"/>
      <c r="P653" s="2040"/>
      <c r="Q653" s="2040"/>
      <c r="R653" s="2040"/>
      <c r="S653" s="14"/>
      <c r="T653" s="87" t="s">
        <v>118</v>
      </c>
      <c r="U653" s="12" t="s">
        <v>496</v>
      </c>
      <c r="Z653" s="2040" t="str">
        <f>C638</f>
        <v xml:space="preserve">State of CA HCD NPLH											</v>
      </c>
      <c r="AA653" s="2040"/>
      <c r="AB653" s="2040"/>
      <c r="AC653" s="2040"/>
      <c r="AD653" s="2040"/>
      <c r="AE653" s="2040"/>
      <c r="AF653" s="2040"/>
      <c r="AG653" s="2040"/>
      <c r="AH653" s="2040"/>
      <c r="AI653" s="2040"/>
      <c r="AJ653" s="2040"/>
      <c r="AK653" s="2040"/>
      <c r="AZ653" s="61"/>
      <c r="BA653" s="61"/>
      <c r="BB653" s="61"/>
      <c r="BC653" s="61"/>
      <c r="BD653" s="61"/>
      <c r="BE653" s="61"/>
      <c r="BF653" s="61"/>
      <c r="BG653" s="61"/>
      <c r="BH653" s="61"/>
      <c r="BI653" s="61"/>
      <c r="BJ653" s="61"/>
      <c r="BK653" s="61"/>
      <c r="BL653" s="61"/>
      <c r="BM653" s="61"/>
      <c r="BN653" s="2029">
        <f t="shared" si="28"/>
        <v>0</v>
      </c>
      <c r="BO653" s="2030"/>
      <c r="BP653" s="2030"/>
      <c r="BQ653" s="2030"/>
      <c r="BR653" s="2031"/>
      <c r="BS653" s="2035">
        <f t="shared" si="29"/>
        <v>0</v>
      </c>
      <c r="BT653" s="2035"/>
      <c r="BU653" s="2035"/>
      <c r="BV653" s="2035"/>
      <c r="BW653" s="2035"/>
      <c r="BX653" s="2035">
        <f t="shared" si="30"/>
        <v>0</v>
      </c>
      <c r="BY653" s="2035"/>
      <c r="BZ653" s="2035"/>
      <c r="CA653" s="2035"/>
      <c r="CB653" s="2035"/>
      <c r="CC653" s="2035">
        <f t="shared" si="31"/>
        <v>0</v>
      </c>
      <c r="CD653" s="2035"/>
      <c r="CE653" s="2035"/>
      <c r="CF653" s="2035"/>
      <c r="CG653" s="2035"/>
      <c r="CH653" s="2035">
        <f t="shared" si="32"/>
        <v>0</v>
      </c>
      <c r="CI653" s="2035"/>
      <c r="CJ653" s="2035"/>
      <c r="CK653" s="2035"/>
      <c r="CL653" s="2035"/>
      <c r="CM653" s="2035">
        <f t="shared" si="33"/>
        <v>0</v>
      </c>
      <c r="CN653" s="2035"/>
      <c r="CO653" s="2035"/>
      <c r="CP653" s="2035"/>
      <c r="CQ653" s="2035"/>
      <c r="CR653" s="265"/>
      <c r="CS653" s="2029">
        <f t="shared" si="34"/>
        <v>0</v>
      </c>
      <c r="CT653" s="2030"/>
      <c r="CU653" s="2030"/>
      <c r="CV653" s="2030"/>
      <c r="CW653" s="2031"/>
      <c r="CX653" s="2029">
        <f t="shared" si="35"/>
        <v>0</v>
      </c>
      <c r="CY653" s="2030"/>
      <c r="CZ653" s="2030"/>
      <c r="DA653" s="2030"/>
      <c r="DB653" s="2031"/>
      <c r="DC653" s="2029">
        <f t="shared" si="36"/>
        <v>0</v>
      </c>
      <c r="DD653" s="2030"/>
      <c r="DE653" s="2030"/>
      <c r="DF653" s="2030"/>
      <c r="DG653" s="2031"/>
      <c r="DH653" s="2029">
        <f t="shared" si="37"/>
        <v>0</v>
      </c>
      <c r="DI653" s="2030"/>
      <c r="DJ653" s="2030"/>
      <c r="DK653" s="2030"/>
      <c r="DL653" s="2031"/>
      <c r="DM653" s="2029">
        <f t="shared" si="38"/>
        <v>0</v>
      </c>
      <c r="DN653" s="2030"/>
      <c r="DO653" s="2030"/>
      <c r="DP653" s="2030"/>
      <c r="DQ653" s="2031"/>
      <c r="DR653" s="2029">
        <f t="shared" si="39"/>
        <v>0</v>
      </c>
      <c r="DS653" s="2030"/>
      <c r="DT653" s="2030"/>
      <c r="DU653" s="2030"/>
      <c r="DV653" s="2031"/>
      <c r="DX653" s="2039" t="e">
        <f t="shared" si="22"/>
        <v>#VALUE!</v>
      </c>
      <c r="DY653" s="2039"/>
      <c r="DZ653" s="2039"/>
      <c r="EA653" s="2039"/>
      <c r="EB653" s="2039"/>
      <c r="EC653" s="2039" t="e">
        <f t="shared" si="23"/>
        <v>#VALUE!</v>
      </c>
      <c r="ED653" s="2039"/>
      <c r="EE653" s="2039"/>
      <c r="EF653" s="2039"/>
      <c r="EG653" s="2039"/>
      <c r="EH653" s="2039" t="e">
        <f t="shared" si="24"/>
        <v>#VALUE!</v>
      </c>
      <c r="EI653" s="2039"/>
      <c r="EJ653" s="2039"/>
      <c r="EK653" s="2039"/>
      <c r="EL653" s="2039"/>
      <c r="EM653" s="2039" t="e">
        <f t="shared" si="25"/>
        <v>#VALUE!</v>
      </c>
      <c r="EN653" s="2039"/>
      <c r="EO653" s="2039"/>
      <c r="EP653" s="2039"/>
      <c r="EQ653" s="2039"/>
      <c r="ER653" s="2039" t="e">
        <f t="shared" si="26"/>
        <v>#VALUE!</v>
      </c>
      <c r="ES653" s="2039"/>
      <c r="ET653" s="2039"/>
      <c r="EU653" s="2039"/>
      <c r="EV653" s="2039"/>
      <c r="EW653" s="2039" t="e">
        <f t="shared" si="27"/>
        <v>#VALUE!</v>
      </c>
      <c r="EX653" s="2039"/>
      <c r="EY653" s="2039"/>
      <c r="EZ653" s="2039"/>
      <c r="FA653" s="2039"/>
    </row>
    <row r="654" spans="1:157" ht="12.75">
      <c r="A654" s="35"/>
      <c r="B654" s="12" t="s">
        <v>90</v>
      </c>
      <c r="G654" s="2051" t="s">
        <v>2637</v>
      </c>
      <c r="H654" s="2051"/>
      <c r="I654" s="2051"/>
      <c r="J654" s="2051"/>
      <c r="K654" s="2051"/>
      <c r="L654" s="2051"/>
      <c r="M654" s="2051"/>
      <c r="N654" s="2051"/>
      <c r="O654" s="2051"/>
      <c r="P654" s="2051"/>
      <c r="Q654" s="2051"/>
      <c r="R654" s="2051"/>
      <c r="S654" s="14"/>
      <c r="T654" s="35"/>
      <c r="U654" s="12" t="s">
        <v>90</v>
      </c>
      <c r="Z654" s="2051" t="s">
        <v>2642</v>
      </c>
      <c r="AA654" s="2051"/>
      <c r="AB654" s="2051"/>
      <c r="AC654" s="2051"/>
      <c r="AD654" s="2051"/>
      <c r="AE654" s="2051"/>
      <c r="AF654" s="2051"/>
      <c r="AG654" s="2051"/>
      <c r="AH654" s="2051"/>
      <c r="AI654" s="2051"/>
      <c r="AJ654" s="2051"/>
      <c r="AK654" s="2051"/>
      <c r="AZ654" s="61"/>
      <c r="BA654" s="61"/>
      <c r="BB654" s="61"/>
      <c r="BC654" s="61"/>
      <c r="BD654" s="61"/>
      <c r="BE654" s="61"/>
      <c r="BF654" s="61"/>
      <c r="BG654" s="61"/>
      <c r="BH654" s="61"/>
      <c r="BI654" s="61"/>
      <c r="BJ654" s="61"/>
      <c r="BK654" s="61"/>
      <c r="BL654" s="61"/>
      <c r="BM654" s="61"/>
      <c r="BN654" s="2029">
        <f t="shared" si="28"/>
        <v>0</v>
      </c>
      <c r="BO654" s="2030"/>
      <c r="BP654" s="2030"/>
      <c r="BQ654" s="2030"/>
      <c r="BR654" s="2031"/>
      <c r="BS654" s="2035">
        <f t="shared" si="29"/>
        <v>0</v>
      </c>
      <c r="BT654" s="2035"/>
      <c r="BU654" s="2035"/>
      <c r="BV654" s="2035"/>
      <c r="BW654" s="2035"/>
      <c r="BX654" s="2035">
        <f t="shared" si="30"/>
        <v>0</v>
      </c>
      <c r="BY654" s="2035"/>
      <c r="BZ654" s="2035"/>
      <c r="CA654" s="2035"/>
      <c r="CB654" s="2035"/>
      <c r="CC654" s="2035">
        <f t="shared" si="31"/>
        <v>0</v>
      </c>
      <c r="CD654" s="2035"/>
      <c r="CE654" s="2035"/>
      <c r="CF654" s="2035"/>
      <c r="CG654" s="2035"/>
      <c r="CH654" s="2035">
        <f t="shared" si="32"/>
        <v>0</v>
      </c>
      <c r="CI654" s="2035"/>
      <c r="CJ654" s="2035"/>
      <c r="CK654" s="2035"/>
      <c r="CL654" s="2035"/>
      <c r="CM654" s="2035">
        <f t="shared" si="33"/>
        <v>0</v>
      </c>
      <c r="CN654" s="2035"/>
      <c r="CO654" s="2035"/>
      <c r="CP654" s="2035"/>
      <c r="CQ654" s="2035"/>
      <c r="CR654" s="265"/>
      <c r="CS654" s="2029">
        <f t="shared" si="34"/>
        <v>0</v>
      </c>
      <c r="CT654" s="2030"/>
      <c r="CU654" s="2030"/>
      <c r="CV654" s="2030"/>
      <c r="CW654" s="2031"/>
      <c r="CX654" s="2029">
        <f t="shared" si="35"/>
        <v>0</v>
      </c>
      <c r="CY654" s="2030"/>
      <c r="CZ654" s="2030"/>
      <c r="DA654" s="2030"/>
      <c r="DB654" s="2031"/>
      <c r="DC654" s="2029">
        <f t="shared" si="36"/>
        <v>0</v>
      </c>
      <c r="DD654" s="2030"/>
      <c r="DE654" s="2030"/>
      <c r="DF654" s="2030"/>
      <c r="DG654" s="2031"/>
      <c r="DH654" s="2029">
        <f t="shared" si="37"/>
        <v>0</v>
      </c>
      <c r="DI654" s="2030"/>
      <c r="DJ654" s="2030"/>
      <c r="DK654" s="2030"/>
      <c r="DL654" s="2031"/>
      <c r="DM654" s="2029">
        <f t="shared" si="38"/>
        <v>0</v>
      </c>
      <c r="DN654" s="2030"/>
      <c r="DO654" s="2030"/>
      <c r="DP654" s="2030"/>
      <c r="DQ654" s="2031"/>
      <c r="DR654" s="2029">
        <f t="shared" si="39"/>
        <v>0</v>
      </c>
      <c r="DS654" s="2030"/>
      <c r="DT654" s="2030"/>
      <c r="DU654" s="2030"/>
      <c r="DV654" s="2031"/>
      <c r="DX654" s="2039" t="e">
        <f t="shared" si="22"/>
        <v>#VALUE!</v>
      </c>
      <c r="DY654" s="2039"/>
      <c r="DZ654" s="2039"/>
      <c r="EA654" s="2039"/>
      <c r="EB654" s="2039"/>
      <c r="EC654" s="2039" t="e">
        <f t="shared" si="23"/>
        <v>#VALUE!</v>
      </c>
      <c r="ED654" s="2039"/>
      <c r="EE654" s="2039"/>
      <c r="EF654" s="2039"/>
      <c r="EG654" s="2039"/>
      <c r="EH654" s="2039" t="e">
        <f t="shared" si="24"/>
        <v>#VALUE!</v>
      </c>
      <c r="EI654" s="2039"/>
      <c r="EJ654" s="2039"/>
      <c r="EK654" s="2039"/>
      <c r="EL654" s="2039"/>
      <c r="EM654" s="2039" t="e">
        <f t="shared" si="25"/>
        <v>#VALUE!</v>
      </c>
      <c r="EN654" s="2039"/>
      <c r="EO654" s="2039"/>
      <c r="EP654" s="2039"/>
      <c r="EQ654" s="2039"/>
      <c r="ER654" s="2039" t="e">
        <f t="shared" si="26"/>
        <v>#VALUE!</v>
      </c>
      <c r="ES654" s="2039"/>
      <c r="ET654" s="2039"/>
      <c r="EU654" s="2039"/>
      <c r="EV654" s="2039"/>
      <c r="EW654" s="2039" t="e">
        <f t="shared" si="27"/>
        <v>#VALUE!</v>
      </c>
      <c r="EX654" s="2039"/>
      <c r="EY654" s="2039"/>
      <c r="EZ654" s="2039"/>
      <c r="FA654" s="2039"/>
    </row>
    <row r="655" spans="1:157" ht="12.75">
      <c r="A655" s="35"/>
      <c r="B655" s="12" t="s">
        <v>615</v>
      </c>
      <c r="G655" s="2051" t="s">
        <v>2638</v>
      </c>
      <c r="H655" s="2051"/>
      <c r="I655" s="2051"/>
      <c r="J655" s="2051"/>
      <c r="K655" s="2051"/>
      <c r="L655" s="2051"/>
      <c r="M655" s="2051"/>
      <c r="N655" s="2051"/>
      <c r="O655" s="2051"/>
      <c r="P655" s="2051"/>
      <c r="Q655" s="2051"/>
      <c r="R655" s="2051"/>
      <c r="S655" s="88"/>
      <c r="T655" s="35"/>
      <c r="U655" s="12" t="s">
        <v>615</v>
      </c>
      <c r="Z655" s="2272" t="s">
        <v>2643</v>
      </c>
      <c r="AA655" s="2272"/>
      <c r="AB655" s="2272"/>
      <c r="AC655" s="2272"/>
      <c r="AD655" s="2272"/>
      <c r="AE655" s="2272"/>
      <c r="AF655" s="2272"/>
      <c r="AG655" s="2272"/>
      <c r="AH655" s="2272"/>
      <c r="AI655" s="2272"/>
      <c r="AJ655" s="2272"/>
      <c r="AK655" s="2272"/>
      <c r="AZ655" s="61"/>
      <c r="BA655" s="61"/>
      <c r="BB655" s="61"/>
      <c r="BC655" s="61"/>
      <c r="BD655" s="61"/>
      <c r="BE655" s="61"/>
      <c r="BF655" s="61"/>
      <c r="BG655" s="61"/>
      <c r="BH655" s="61"/>
      <c r="BI655" s="61"/>
      <c r="BJ655" s="61"/>
      <c r="BK655" s="61"/>
      <c r="BL655" s="61"/>
      <c r="BM655" s="61"/>
      <c r="BN655" s="2029">
        <f t="shared" si="28"/>
        <v>0</v>
      </c>
      <c r="BO655" s="2030"/>
      <c r="BP655" s="2030"/>
      <c r="BQ655" s="2030"/>
      <c r="BR655" s="2031"/>
      <c r="BS655" s="2035">
        <f t="shared" si="29"/>
        <v>0</v>
      </c>
      <c r="BT655" s="2035"/>
      <c r="BU655" s="2035"/>
      <c r="BV655" s="2035"/>
      <c r="BW655" s="2035"/>
      <c r="BX655" s="2035">
        <f t="shared" si="30"/>
        <v>0</v>
      </c>
      <c r="BY655" s="2035"/>
      <c r="BZ655" s="2035"/>
      <c r="CA655" s="2035"/>
      <c r="CB655" s="2035"/>
      <c r="CC655" s="2035">
        <f t="shared" si="31"/>
        <v>0</v>
      </c>
      <c r="CD655" s="2035"/>
      <c r="CE655" s="2035"/>
      <c r="CF655" s="2035"/>
      <c r="CG655" s="2035"/>
      <c r="CH655" s="2035">
        <f t="shared" si="32"/>
        <v>0</v>
      </c>
      <c r="CI655" s="2035"/>
      <c r="CJ655" s="2035"/>
      <c r="CK655" s="2035"/>
      <c r="CL655" s="2035"/>
      <c r="CM655" s="2035">
        <f t="shared" si="33"/>
        <v>0</v>
      </c>
      <c r="CN655" s="2035"/>
      <c r="CO655" s="2035"/>
      <c r="CP655" s="2035"/>
      <c r="CQ655" s="2035"/>
      <c r="CR655" s="265"/>
      <c r="CS655" s="2029">
        <f t="shared" si="34"/>
        <v>0</v>
      </c>
      <c r="CT655" s="2030"/>
      <c r="CU655" s="2030"/>
      <c r="CV655" s="2030"/>
      <c r="CW655" s="2031"/>
      <c r="CX655" s="2029">
        <f t="shared" si="35"/>
        <v>0</v>
      </c>
      <c r="CY655" s="2030"/>
      <c r="CZ655" s="2030"/>
      <c r="DA655" s="2030"/>
      <c r="DB655" s="2031"/>
      <c r="DC655" s="2029">
        <f t="shared" si="36"/>
        <v>0</v>
      </c>
      <c r="DD655" s="2030"/>
      <c r="DE655" s="2030"/>
      <c r="DF655" s="2030"/>
      <c r="DG655" s="2031"/>
      <c r="DH655" s="2029">
        <f t="shared" si="37"/>
        <v>0</v>
      </c>
      <c r="DI655" s="2030"/>
      <c r="DJ655" s="2030"/>
      <c r="DK655" s="2030"/>
      <c r="DL655" s="2031"/>
      <c r="DM655" s="2029">
        <f t="shared" si="38"/>
        <v>0</v>
      </c>
      <c r="DN655" s="2030"/>
      <c r="DO655" s="2030"/>
      <c r="DP655" s="2030"/>
      <c r="DQ655" s="2031"/>
      <c r="DR655" s="2029">
        <f t="shared" si="39"/>
        <v>0</v>
      </c>
      <c r="DS655" s="2030"/>
      <c r="DT655" s="2030"/>
      <c r="DU655" s="2030"/>
      <c r="DV655" s="2031"/>
      <c r="DX655" s="2039" t="e">
        <f t="shared" si="22"/>
        <v>#VALUE!</v>
      </c>
      <c r="DY655" s="2039"/>
      <c r="DZ655" s="2039"/>
      <c r="EA655" s="2039"/>
      <c r="EB655" s="2039"/>
      <c r="EC655" s="2039" t="e">
        <f t="shared" si="23"/>
        <v>#VALUE!</v>
      </c>
      <c r="ED655" s="2039"/>
      <c r="EE655" s="2039"/>
      <c r="EF655" s="2039"/>
      <c r="EG655" s="2039"/>
      <c r="EH655" s="2039" t="e">
        <f t="shared" si="24"/>
        <v>#VALUE!</v>
      </c>
      <c r="EI655" s="2039"/>
      <c r="EJ655" s="2039"/>
      <c r="EK655" s="2039"/>
      <c r="EL655" s="2039"/>
      <c r="EM655" s="2039" t="e">
        <f t="shared" si="25"/>
        <v>#VALUE!</v>
      </c>
      <c r="EN655" s="2039"/>
      <c r="EO655" s="2039"/>
      <c r="EP655" s="2039"/>
      <c r="EQ655" s="2039"/>
      <c r="ER655" s="2039" t="e">
        <f t="shared" si="26"/>
        <v>#VALUE!</v>
      </c>
      <c r="ES655" s="2039"/>
      <c r="ET655" s="2039"/>
      <c r="EU655" s="2039"/>
      <c r="EV655" s="2039"/>
      <c r="EW655" s="2039" t="e">
        <f t="shared" si="27"/>
        <v>#VALUE!</v>
      </c>
      <c r="EX655" s="2039"/>
      <c r="EY655" s="2039"/>
      <c r="EZ655" s="2039"/>
      <c r="FA655" s="2039"/>
    </row>
    <row r="656" spans="1:157" ht="12.75">
      <c r="A656" s="35"/>
      <c r="B656" s="12" t="s">
        <v>17</v>
      </c>
      <c r="G656" s="2051" t="s">
        <v>2639</v>
      </c>
      <c r="H656" s="2051"/>
      <c r="I656" s="2051"/>
      <c r="J656" s="2051"/>
      <c r="K656" s="2051"/>
      <c r="L656" s="2051"/>
      <c r="M656" s="2051"/>
      <c r="N656" s="2051"/>
      <c r="O656" s="2051"/>
      <c r="P656" s="2051"/>
      <c r="Q656" s="2051"/>
      <c r="R656" s="2051"/>
      <c r="S656" s="14"/>
      <c r="T656" s="35"/>
      <c r="U656" s="12" t="s">
        <v>17</v>
      </c>
      <c r="Z656" s="2272" t="s">
        <v>2644</v>
      </c>
      <c r="AA656" s="2272"/>
      <c r="AB656" s="2272"/>
      <c r="AC656" s="2272"/>
      <c r="AD656" s="2272"/>
      <c r="AE656" s="2272"/>
      <c r="AF656" s="2272"/>
      <c r="AG656" s="2272"/>
      <c r="AH656" s="2272"/>
      <c r="AI656" s="2272"/>
      <c r="AJ656" s="2272"/>
      <c r="AK656" s="2272"/>
      <c r="AZ656" s="61"/>
      <c r="BA656" s="61"/>
      <c r="BB656" s="61"/>
      <c r="BC656" s="61"/>
      <c r="BD656" s="61"/>
      <c r="BE656" s="61"/>
      <c r="BF656" s="61"/>
      <c r="BG656" s="61"/>
      <c r="BH656" s="61"/>
      <c r="BI656" s="61"/>
      <c r="BJ656" s="61"/>
      <c r="BK656" s="61"/>
      <c r="BL656" s="61"/>
      <c r="BM656" s="61"/>
      <c r="BN656" s="2029">
        <f t="shared" si="28"/>
        <v>0</v>
      </c>
      <c r="BO656" s="2030"/>
      <c r="BP656" s="2030"/>
      <c r="BQ656" s="2030"/>
      <c r="BR656" s="2031"/>
      <c r="BS656" s="2035">
        <f t="shared" si="29"/>
        <v>0</v>
      </c>
      <c r="BT656" s="2035"/>
      <c r="BU656" s="2035"/>
      <c r="BV656" s="2035"/>
      <c r="BW656" s="2035"/>
      <c r="BX656" s="2035">
        <f t="shared" si="30"/>
        <v>0</v>
      </c>
      <c r="BY656" s="2035"/>
      <c r="BZ656" s="2035"/>
      <c r="CA656" s="2035"/>
      <c r="CB656" s="2035"/>
      <c r="CC656" s="2035">
        <f t="shared" si="31"/>
        <v>0</v>
      </c>
      <c r="CD656" s="2035"/>
      <c r="CE656" s="2035"/>
      <c r="CF656" s="2035"/>
      <c r="CG656" s="2035"/>
      <c r="CH656" s="2035">
        <f t="shared" si="32"/>
        <v>0</v>
      </c>
      <c r="CI656" s="2035"/>
      <c r="CJ656" s="2035"/>
      <c r="CK656" s="2035"/>
      <c r="CL656" s="2035"/>
      <c r="CM656" s="2035">
        <f t="shared" si="33"/>
        <v>0</v>
      </c>
      <c r="CN656" s="2035"/>
      <c r="CO656" s="2035"/>
      <c r="CP656" s="2035"/>
      <c r="CQ656" s="2035"/>
      <c r="CR656" s="265"/>
      <c r="CS656" s="2029">
        <f t="shared" si="34"/>
        <v>0</v>
      </c>
      <c r="CT656" s="2030"/>
      <c r="CU656" s="2030"/>
      <c r="CV656" s="2030"/>
      <c r="CW656" s="2031"/>
      <c r="CX656" s="2029">
        <f t="shared" si="35"/>
        <v>0</v>
      </c>
      <c r="CY656" s="2030"/>
      <c r="CZ656" s="2030"/>
      <c r="DA656" s="2030"/>
      <c r="DB656" s="2031"/>
      <c r="DC656" s="2029">
        <f t="shared" si="36"/>
        <v>0</v>
      </c>
      <c r="DD656" s="2030"/>
      <c r="DE656" s="2030"/>
      <c r="DF656" s="2030"/>
      <c r="DG656" s="2031"/>
      <c r="DH656" s="2029">
        <f t="shared" si="37"/>
        <v>0</v>
      </c>
      <c r="DI656" s="2030"/>
      <c r="DJ656" s="2030"/>
      <c r="DK656" s="2030"/>
      <c r="DL656" s="2031"/>
      <c r="DM656" s="2029">
        <f t="shared" si="38"/>
        <v>0</v>
      </c>
      <c r="DN656" s="2030"/>
      <c r="DO656" s="2030"/>
      <c r="DP656" s="2030"/>
      <c r="DQ656" s="2031"/>
      <c r="DR656" s="2029">
        <f t="shared" si="39"/>
        <v>0</v>
      </c>
      <c r="DS656" s="2030"/>
      <c r="DT656" s="2030"/>
      <c r="DU656" s="2030"/>
      <c r="DV656" s="2031"/>
      <c r="DX656" s="2039" t="e">
        <f t="shared" si="22"/>
        <v>#VALUE!</v>
      </c>
      <c r="DY656" s="2039"/>
      <c r="DZ656" s="2039"/>
      <c r="EA656" s="2039"/>
      <c r="EB656" s="2039"/>
      <c r="EC656" s="2039" t="e">
        <f t="shared" si="23"/>
        <v>#VALUE!</v>
      </c>
      <c r="ED656" s="2039"/>
      <c r="EE656" s="2039"/>
      <c r="EF656" s="2039"/>
      <c r="EG656" s="2039"/>
      <c r="EH656" s="2039" t="e">
        <f t="shared" si="24"/>
        <v>#VALUE!</v>
      </c>
      <c r="EI656" s="2039"/>
      <c r="EJ656" s="2039"/>
      <c r="EK656" s="2039"/>
      <c r="EL656" s="2039"/>
      <c r="EM656" s="2039" t="e">
        <f t="shared" si="25"/>
        <v>#VALUE!</v>
      </c>
      <c r="EN656" s="2039"/>
      <c r="EO656" s="2039"/>
      <c r="EP656" s="2039"/>
      <c r="EQ656" s="2039"/>
      <c r="ER656" s="2039" t="e">
        <f t="shared" si="26"/>
        <v>#VALUE!</v>
      </c>
      <c r="ES656" s="2039"/>
      <c r="ET656" s="2039"/>
      <c r="EU656" s="2039"/>
      <c r="EV656" s="2039"/>
      <c r="EW656" s="2039" t="e">
        <f t="shared" si="27"/>
        <v>#VALUE!</v>
      </c>
      <c r="EX656" s="2039"/>
      <c r="EY656" s="2039"/>
      <c r="EZ656" s="2039"/>
      <c r="FA656" s="2039"/>
    </row>
    <row r="657" spans="1:157" ht="12.75">
      <c r="A657" s="35"/>
      <c r="B657" s="12" t="s">
        <v>325</v>
      </c>
      <c r="G657" s="2271" t="s">
        <v>2640</v>
      </c>
      <c r="H657" s="2271"/>
      <c r="I657" s="2271"/>
      <c r="J657" s="2271"/>
      <c r="K657" s="2271"/>
      <c r="L657" s="2271"/>
      <c r="O657" s="137" t="s">
        <v>212</v>
      </c>
      <c r="P657" s="2088"/>
      <c r="Q657" s="2088"/>
      <c r="R657" s="2088"/>
      <c r="S657" s="16"/>
      <c r="T657" s="35"/>
      <c r="U657" s="12" t="s">
        <v>325</v>
      </c>
      <c r="Z657" s="2271" t="s">
        <v>2645</v>
      </c>
      <c r="AA657" s="2271"/>
      <c r="AB657" s="2271"/>
      <c r="AC657" s="2271"/>
      <c r="AD657" s="2271"/>
      <c r="AE657" s="2271"/>
      <c r="AH657" s="137" t="s">
        <v>212</v>
      </c>
      <c r="AI657" s="2088"/>
      <c r="AJ657" s="2088"/>
      <c r="AK657" s="2088"/>
      <c r="AZ657" s="61"/>
      <c r="BA657" s="61"/>
      <c r="BB657" s="61"/>
      <c r="BC657" s="61"/>
      <c r="BD657" s="61"/>
      <c r="BE657" s="61"/>
      <c r="BF657" s="61"/>
      <c r="BG657" s="61"/>
      <c r="BH657" s="61"/>
      <c r="BI657" s="61"/>
      <c r="BJ657" s="61"/>
      <c r="BK657" s="61"/>
      <c r="BL657" s="61"/>
      <c r="BM657" s="61"/>
      <c r="BN657" s="2029">
        <f t="shared" si="28"/>
        <v>0</v>
      </c>
      <c r="BO657" s="2030"/>
      <c r="BP657" s="2030"/>
      <c r="BQ657" s="2030"/>
      <c r="BR657" s="2031"/>
      <c r="BS657" s="2035">
        <f t="shared" si="29"/>
        <v>0</v>
      </c>
      <c r="BT657" s="2035"/>
      <c r="BU657" s="2035"/>
      <c r="BV657" s="2035"/>
      <c r="BW657" s="2035"/>
      <c r="BX657" s="2035">
        <f t="shared" si="30"/>
        <v>0</v>
      </c>
      <c r="BY657" s="2035"/>
      <c r="BZ657" s="2035"/>
      <c r="CA657" s="2035"/>
      <c r="CB657" s="2035"/>
      <c r="CC657" s="2035">
        <f t="shared" si="31"/>
        <v>0</v>
      </c>
      <c r="CD657" s="2035"/>
      <c r="CE657" s="2035"/>
      <c r="CF657" s="2035"/>
      <c r="CG657" s="2035"/>
      <c r="CH657" s="2035">
        <f t="shared" si="32"/>
        <v>0</v>
      </c>
      <c r="CI657" s="2035"/>
      <c r="CJ657" s="2035"/>
      <c r="CK657" s="2035"/>
      <c r="CL657" s="2035"/>
      <c r="CM657" s="2035">
        <f t="shared" si="33"/>
        <v>0</v>
      </c>
      <c r="CN657" s="2035"/>
      <c r="CO657" s="2035"/>
      <c r="CP657" s="2035"/>
      <c r="CQ657" s="2035"/>
      <c r="CR657" s="265"/>
      <c r="CS657" s="2029">
        <f t="shared" si="34"/>
        <v>0</v>
      </c>
      <c r="CT657" s="2030"/>
      <c r="CU657" s="2030"/>
      <c r="CV657" s="2030"/>
      <c r="CW657" s="2031"/>
      <c r="CX657" s="2029">
        <f t="shared" si="35"/>
        <v>0</v>
      </c>
      <c r="CY657" s="2030"/>
      <c r="CZ657" s="2030"/>
      <c r="DA657" s="2030"/>
      <c r="DB657" s="2031"/>
      <c r="DC657" s="2029">
        <f t="shared" si="36"/>
        <v>0</v>
      </c>
      <c r="DD657" s="2030"/>
      <c r="DE657" s="2030"/>
      <c r="DF657" s="2030"/>
      <c r="DG657" s="2031"/>
      <c r="DH657" s="2029">
        <f t="shared" si="37"/>
        <v>0</v>
      </c>
      <c r="DI657" s="2030"/>
      <c r="DJ657" s="2030"/>
      <c r="DK657" s="2030"/>
      <c r="DL657" s="2031"/>
      <c r="DM657" s="2029">
        <f t="shared" si="38"/>
        <v>0</v>
      </c>
      <c r="DN657" s="2030"/>
      <c r="DO657" s="2030"/>
      <c r="DP657" s="2030"/>
      <c r="DQ657" s="2031"/>
      <c r="DR657" s="2029">
        <f t="shared" si="39"/>
        <v>0</v>
      </c>
      <c r="DS657" s="2030"/>
      <c r="DT657" s="2030"/>
      <c r="DU657" s="2030"/>
      <c r="DV657" s="2031"/>
      <c r="DX657" s="2039" t="e">
        <f t="shared" si="22"/>
        <v>#VALUE!</v>
      </c>
      <c r="DY657" s="2039"/>
      <c r="DZ657" s="2039"/>
      <c r="EA657" s="2039"/>
      <c r="EB657" s="2039"/>
      <c r="EC657" s="2039" t="e">
        <f t="shared" si="23"/>
        <v>#VALUE!</v>
      </c>
      <c r="ED657" s="2039"/>
      <c r="EE657" s="2039"/>
      <c r="EF657" s="2039"/>
      <c r="EG657" s="2039"/>
      <c r="EH657" s="2039" t="e">
        <f t="shared" si="24"/>
        <v>#VALUE!</v>
      </c>
      <c r="EI657" s="2039"/>
      <c r="EJ657" s="2039"/>
      <c r="EK657" s="2039"/>
      <c r="EL657" s="2039"/>
      <c r="EM657" s="2039" t="e">
        <f t="shared" si="25"/>
        <v>#VALUE!</v>
      </c>
      <c r="EN657" s="2039"/>
      <c r="EO657" s="2039"/>
      <c r="EP657" s="2039"/>
      <c r="EQ657" s="2039"/>
      <c r="ER657" s="2039" t="e">
        <f t="shared" si="26"/>
        <v>#VALUE!</v>
      </c>
      <c r="ES657" s="2039"/>
      <c r="ET657" s="2039"/>
      <c r="EU657" s="2039"/>
      <c r="EV657" s="2039"/>
      <c r="EW657" s="2039" t="e">
        <f t="shared" si="27"/>
        <v>#VALUE!</v>
      </c>
      <c r="EX657" s="2039"/>
      <c r="EY657" s="2039"/>
      <c r="EZ657" s="2039"/>
      <c r="FA657" s="2039"/>
    </row>
    <row r="658" spans="1:157" ht="12.75">
      <c r="A658" s="35"/>
      <c r="B658" s="12" t="s">
        <v>18</v>
      </c>
      <c r="H658" s="2051" t="s">
        <v>2641</v>
      </c>
      <c r="I658" s="2051"/>
      <c r="J658" s="2051"/>
      <c r="K658" s="2051"/>
      <c r="L658" s="2051"/>
      <c r="M658" s="2051"/>
      <c r="N658" s="2051"/>
      <c r="O658" s="2051"/>
      <c r="P658" s="2051"/>
      <c r="Q658" s="2051"/>
      <c r="R658" s="2051"/>
      <c r="S658" s="14"/>
      <c r="T658" s="35"/>
      <c r="U658" s="12" t="s">
        <v>18</v>
      </c>
      <c r="AA658" s="2051" t="s">
        <v>2624</v>
      </c>
      <c r="AB658" s="2051"/>
      <c r="AC658" s="2051"/>
      <c r="AD658" s="2051"/>
      <c r="AE658" s="2051"/>
      <c r="AF658" s="2051"/>
      <c r="AG658" s="2051"/>
      <c r="AH658" s="2051"/>
      <c r="AI658" s="2051"/>
      <c r="AJ658" s="2051"/>
      <c r="AK658" s="2051"/>
      <c r="AZ658" s="61"/>
      <c r="BA658" s="61"/>
      <c r="BB658" s="61"/>
      <c r="BC658" s="61"/>
      <c r="BD658" s="61"/>
      <c r="BE658" s="61"/>
      <c r="BF658" s="61"/>
      <c r="BG658" s="61"/>
      <c r="BH658" s="61"/>
      <c r="BI658" s="61"/>
      <c r="BJ658" s="61"/>
      <c r="BK658" s="61"/>
      <c r="BL658" s="61"/>
      <c r="BM658" s="61"/>
      <c r="BN658" s="2096">
        <f>SUM(BN648:BR657)</f>
        <v>0</v>
      </c>
      <c r="BO658" s="2097"/>
      <c r="BP658" s="2097"/>
      <c r="BQ658" s="2097"/>
      <c r="BR658" s="2098"/>
      <c r="BS658" s="2032">
        <f>SUM(BS648:BW657)</f>
        <v>0</v>
      </c>
      <c r="BT658" s="2033"/>
      <c r="BU658" s="2033"/>
      <c r="BV658" s="2033"/>
      <c r="BW658" s="2034"/>
      <c r="BX658" s="2032">
        <f>SUM(BX648:CB657)</f>
        <v>0</v>
      </c>
      <c r="BY658" s="2033"/>
      <c r="BZ658" s="2033"/>
      <c r="CA658" s="2033"/>
      <c r="CB658" s="2034"/>
      <c r="CC658" s="2032">
        <f>SUM(CC648:CG657)</f>
        <v>0</v>
      </c>
      <c r="CD658" s="2033"/>
      <c r="CE658" s="2033"/>
      <c r="CF658" s="2033"/>
      <c r="CG658" s="2034"/>
      <c r="CH658" s="2032">
        <f>SUM(CH648:CL657)</f>
        <v>0</v>
      </c>
      <c r="CI658" s="2033"/>
      <c r="CJ658" s="2033"/>
      <c r="CK658" s="2033"/>
      <c r="CL658" s="2034"/>
      <c r="CM658" s="2032">
        <f>SUM(CM648:CQ657)</f>
        <v>0</v>
      </c>
      <c r="CN658" s="2033"/>
      <c r="CO658" s="2033"/>
      <c r="CP658" s="2033"/>
      <c r="CQ658" s="2034"/>
      <c r="CR658" s="1804"/>
      <c r="CS658" s="2055">
        <f>SUM(CS648:CW657)</f>
        <v>0</v>
      </c>
      <c r="CT658" s="2055"/>
      <c r="CU658" s="2055"/>
      <c r="CV658" s="2055"/>
      <c r="CW658" s="2055"/>
      <c r="CX658" s="2055">
        <f>SUM(CX648:DB657)</f>
        <v>0</v>
      </c>
      <c r="CY658" s="2055"/>
      <c r="CZ658" s="2055"/>
      <c r="DA658" s="2055"/>
      <c r="DB658" s="2055"/>
      <c r="DC658" s="2055">
        <f>SUM(DC648:DG657)</f>
        <v>0</v>
      </c>
      <c r="DD658" s="2055"/>
      <c r="DE658" s="2055"/>
      <c r="DF658" s="2055"/>
      <c r="DG658" s="2055"/>
      <c r="DH658" s="2055">
        <f>SUM(DH648:DL657)</f>
        <v>0</v>
      </c>
      <c r="DI658" s="2055"/>
      <c r="DJ658" s="2055"/>
      <c r="DK658" s="2055"/>
      <c r="DL658" s="2055"/>
      <c r="DM658" s="2055">
        <f>SUM(DM648:DQ657)</f>
        <v>0</v>
      </c>
      <c r="DN658" s="2055"/>
      <c r="DO658" s="2055"/>
      <c r="DP658" s="2055"/>
      <c r="DQ658" s="2055"/>
      <c r="DR658" s="2055">
        <f>SUM(DR648:DV657)</f>
        <v>0</v>
      </c>
      <c r="DS658" s="2055"/>
      <c r="DT658" s="2055"/>
      <c r="DU658" s="2055"/>
      <c r="DV658" s="2055"/>
      <c r="DX658" s="2039" t="e">
        <f t="shared" si="22"/>
        <v>#VALUE!</v>
      </c>
      <c r="DY658" s="2039"/>
      <c r="DZ658" s="2039"/>
      <c r="EA658" s="2039"/>
      <c r="EB658" s="2039"/>
      <c r="EC658" s="2039" t="e">
        <f t="shared" si="23"/>
        <v>#VALUE!</v>
      </c>
      <c r="ED658" s="2039"/>
      <c r="EE658" s="2039"/>
      <c r="EF658" s="2039"/>
      <c r="EG658" s="2039"/>
      <c r="EH658" s="2039" t="e">
        <f t="shared" si="24"/>
        <v>#VALUE!</v>
      </c>
      <c r="EI658" s="2039"/>
      <c r="EJ658" s="2039"/>
      <c r="EK658" s="2039"/>
      <c r="EL658" s="2039"/>
      <c r="EM658" s="2039" t="e">
        <f t="shared" si="25"/>
        <v>#VALUE!</v>
      </c>
      <c r="EN658" s="2039"/>
      <c r="EO658" s="2039"/>
      <c r="EP658" s="2039"/>
      <c r="EQ658" s="2039"/>
      <c r="ER658" s="2039" t="e">
        <f t="shared" si="26"/>
        <v>#VALUE!</v>
      </c>
      <c r="ES658" s="2039"/>
      <c r="ET658" s="2039"/>
      <c r="EU658" s="2039"/>
      <c r="EV658" s="2039"/>
      <c r="EW658" s="2039" t="e">
        <f t="shared" si="27"/>
        <v>#VALUE!</v>
      </c>
      <c r="EX658" s="2039"/>
      <c r="EY658" s="2039"/>
      <c r="EZ658" s="2039"/>
      <c r="FA658" s="2039"/>
    </row>
    <row r="659" spans="1:157" ht="12.75">
      <c r="A659" s="35"/>
      <c r="B659" s="12" t="s">
        <v>20</v>
      </c>
      <c r="N659" s="2050" t="s">
        <v>578</v>
      </c>
      <c r="O659" s="2050"/>
      <c r="T659" s="35"/>
      <c r="U659" s="12" t="s">
        <v>20</v>
      </c>
      <c r="AG659" s="2050" t="s">
        <v>706</v>
      </c>
      <c r="AH659" s="2050"/>
      <c r="AZ659" s="61"/>
      <c r="BA659" s="61"/>
      <c r="BB659" s="61"/>
      <c r="BC659" s="61"/>
      <c r="BD659" s="61"/>
      <c r="BE659" s="61"/>
      <c r="BF659" s="61"/>
      <c r="BG659" s="61"/>
      <c r="BH659" s="61"/>
      <c r="BI659" s="61"/>
      <c r="BJ659" s="61"/>
      <c r="BK659" s="61"/>
      <c r="BL659" s="61"/>
      <c r="BM659" s="61"/>
      <c r="BN659" s="718"/>
      <c r="BO659" s="718"/>
      <c r="BP659" s="718"/>
      <c r="BQ659" s="71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39" t="e">
        <f t="shared" si="22"/>
        <v>#VALUE!</v>
      </c>
      <c r="DY659" s="2039"/>
      <c r="DZ659" s="2039"/>
      <c r="EA659" s="2039"/>
      <c r="EB659" s="2039"/>
      <c r="EC659" s="2039" t="e">
        <f t="shared" si="23"/>
        <v>#VALUE!</v>
      </c>
      <c r="ED659" s="2039"/>
      <c r="EE659" s="2039"/>
      <c r="EF659" s="2039"/>
      <c r="EG659" s="2039"/>
      <c r="EH659" s="2039" t="e">
        <f t="shared" si="24"/>
        <v>#VALUE!</v>
      </c>
      <c r="EI659" s="2039"/>
      <c r="EJ659" s="2039"/>
      <c r="EK659" s="2039"/>
      <c r="EL659" s="2039"/>
      <c r="EM659" s="2039" t="e">
        <f t="shared" si="25"/>
        <v>#VALUE!</v>
      </c>
      <c r="EN659" s="2039"/>
      <c r="EO659" s="2039"/>
      <c r="EP659" s="2039"/>
      <c r="EQ659" s="2039"/>
      <c r="ER659" s="2039" t="e">
        <f t="shared" si="26"/>
        <v>#VALUE!</v>
      </c>
      <c r="ES659" s="2039"/>
      <c r="ET659" s="2039"/>
      <c r="EU659" s="2039"/>
      <c r="EV659" s="2039"/>
      <c r="EW659" s="2039" t="e">
        <f t="shared" si="27"/>
        <v>#VALUE!</v>
      </c>
      <c r="EX659" s="2039"/>
      <c r="EY659" s="2039"/>
      <c r="EZ659" s="2039"/>
      <c r="FA659" s="2039"/>
    </row>
    <row r="660" spans="1:157" ht="12.75">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2387</v>
      </c>
      <c r="CU660" s="58"/>
      <c r="CV660" s="58"/>
      <c r="CW660" s="58"/>
      <c r="CX660" s="58"/>
      <c r="CY660" s="58"/>
      <c r="CZ660" s="58"/>
      <c r="DA660" s="58"/>
      <c r="DB660" s="58"/>
      <c r="DC660" s="58"/>
      <c r="DD660" s="58"/>
      <c r="DE660" s="58"/>
      <c r="DF660" s="58"/>
      <c r="DQ660" s="136" t="s">
        <v>2399</v>
      </c>
      <c r="DR660" s="2039">
        <f>SUM(CS658:DV658)</f>
        <v>0</v>
      </c>
      <c r="DS660" s="2039"/>
      <c r="DT660" s="2039"/>
      <c r="DU660" s="2039"/>
      <c r="DV660" s="2039"/>
      <c r="DX660" s="2039" t="e">
        <f t="shared" si="22"/>
        <v>#VALUE!</v>
      </c>
      <c r="DY660" s="2039"/>
      <c r="DZ660" s="2039"/>
      <c r="EA660" s="2039"/>
      <c r="EB660" s="2039"/>
      <c r="EC660" s="2039" t="e">
        <f t="shared" si="23"/>
        <v>#VALUE!</v>
      </c>
      <c r="ED660" s="2039"/>
      <c r="EE660" s="2039"/>
      <c r="EF660" s="2039"/>
      <c r="EG660" s="2039"/>
      <c r="EH660" s="2039" t="e">
        <f t="shared" si="24"/>
        <v>#VALUE!</v>
      </c>
      <c r="EI660" s="2039"/>
      <c r="EJ660" s="2039"/>
      <c r="EK660" s="2039"/>
      <c r="EL660" s="2039"/>
      <c r="EM660" s="2039" t="e">
        <f t="shared" si="25"/>
        <v>#VALUE!</v>
      </c>
      <c r="EN660" s="2039"/>
      <c r="EO660" s="2039"/>
      <c r="EP660" s="2039"/>
      <c r="EQ660" s="2039"/>
      <c r="ER660" s="2039" t="e">
        <f t="shared" si="26"/>
        <v>#VALUE!</v>
      </c>
      <c r="ES660" s="2039"/>
      <c r="ET660" s="2039"/>
      <c r="EU660" s="2039"/>
      <c r="EV660" s="2039"/>
      <c r="EW660" s="2039" t="e">
        <f t="shared" si="27"/>
        <v>#VALUE!</v>
      </c>
      <c r="EX660" s="2039"/>
      <c r="EY660" s="2039"/>
      <c r="EZ660" s="2039"/>
      <c r="FA660" s="2039"/>
    </row>
    <row r="661" spans="1:157" ht="12.75">
      <c r="A661" s="87" t="s">
        <v>124</v>
      </c>
      <c r="B661" s="12" t="s">
        <v>496</v>
      </c>
      <c r="G661" s="2040" t="str">
        <f>C639</f>
        <v>Orange County</v>
      </c>
      <c r="H661" s="2040"/>
      <c r="I661" s="2040"/>
      <c r="J661" s="2040"/>
      <c r="K661" s="2040"/>
      <c r="L661" s="2040"/>
      <c r="M661" s="2040"/>
      <c r="N661" s="2040"/>
      <c r="O661" s="2040"/>
      <c r="P661" s="2040"/>
      <c r="Q661" s="2040"/>
      <c r="R661" s="2040"/>
      <c r="T661" s="87" t="s">
        <v>616</v>
      </c>
      <c r="U661" s="12" t="s">
        <v>496</v>
      </c>
      <c r="Z661" s="2040" t="str">
        <f>C640</f>
        <v>CalHFA SNHP</v>
      </c>
      <c r="AA661" s="2040"/>
      <c r="AB661" s="2040"/>
      <c r="AC661" s="2040"/>
      <c r="AD661" s="2040"/>
      <c r="AE661" s="2040"/>
      <c r="AF661" s="2040"/>
      <c r="AG661" s="2040"/>
      <c r="AH661" s="2040"/>
      <c r="AI661" s="2040"/>
      <c r="AJ661" s="2040"/>
      <c r="AK661" s="2040"/>
      <c r="AZ661" s="61"/>
      <c r="BA661" s="61"/>
      <c r="BB661" s="61"/>
      <c r="BC661" s="61"/>
      <c r="BD661" s="61"/>
      <c r="BE661" s="61"/>
      <c r="BF661" s="61"/>
      <c r="BG661" s="61"/>
      <c r="BH661" s="61"/>
      <c r="BI661" s="61"/>
      <c r="BJ661" s="61"/>
      <c r="BK661" s="61"/>
      <c r="BL661" s="61"/>
      <c r="BM661" s="61"/>
      <c r="CR661" s="177"/>
      <c r="CS661" s="1469">
        <f>BR659+BW659+CB659+CG659+CL659+CQ659</f>
        <v>0</v>
      </c>
      <c r="CT661" s="134" t="s">
        <v>1979</v>
      </c>
      <c r="CU661" s="58"/>
      <c r="CV661" s="58"/>
      <c r="CW661" s="58"/>
      <c r="CX661" s="58"/>
      <c r="CY661" s="58"/>
      <c r="CZ661" s="58"/>
      <c r="DA661" s="58"/>
      <c r="DB661" s="58"/>
      <c r="DC661" s="58"/>
      <c r="DD661" s="58"/>
      <c r="DE661" s="58"/>
      <c r="DF661" s="58"/>
      <c r="DX661" s="2039" t="e">
        <f t="shared" si="22"/>
        <v>#VALUE!</v>
      </c>
      <c r="DY661" s="2039"/>
      <c r="DZ661" s="2039"/>
      <c r="EA661" s="2039"/>
      <c r="EB661" s="2039"/>
      <c r="EC661" s="2039" t="e">
        <f t="shared" si="23"/>
        <v>#VALUE!</v>
      </c>
      <c r="ED661" s="2039"/>
      <c r="EE661" s="2039"/>
      <c r="EF661" s="2039"/>
      <c r="EG661" s="2039"/>
      <c r="EH661" s="2039" t="e">
        <f t="shared" si="24"/>
        <v>#VALUE!</v>
      </c>
      <c r="EI661" s="2039"/>
      <c r="EJ661" s="2039"/>
      <c r="EK661" s="2039"/>
      <c r="EL661" s="2039"/>
      <c r="EM661" s="2039" t="e">
        <f t="shared" si="25"/>
        <v>#VALUE!</v>
      </c>
      <c r="EN661" s="2039"/>
      <c r="EO661" s="2039"/>
      <c r="EP661" s="2039"/>
      <c r="EQ661" s="2039"/>
      <c r="ER661" s="2039" t="e">
        <f t="shared" si="26"/>
        <v>#VALUE!</v>
      </c>
      <c r="ES661" s="2039"/>
      <c r="ET661" s="2039"/>
      <c r="EU661" s="2039"/>
      <c r="EV661" s="2039"/>
      <c r="EW661" s="2039" t="e">
        <f t="shared" si="27"/>
        <v>#VALUE!</v>
      </c>
      <c r="EX661" s="2039"/>
      <c r="EY661" s="2039"/>
      <c r="EZ661" s="2039"/>
      <c r="FA661" s="2039"/>
    </row>
    <row r="662" spans="1:157" ht="12.75">
      <c r="A662" s="35"/>
      <c r="B662" s="12" t="s">
        <v>90</v>
      </c>
      <c r="G662" s="2051" t="s">
        <v>2625</v>
      </c>
      <c r="H662" s="2051"/>
      <c r="I662" s="2051"/>
      <c r="J662" s="2051"/>
      <c r="K662" s="2051"/>
      <c r="L662" s="2051"/>
      <c r="M662" s="2051"/>
      <c r="N662" s="2051"/>
      <c r="O662" s="2051"/>
      <c r="P662" s="2051"/>
      <c r="Q662" s="2051"/>
      <c r="R662" s="2051"/>
      <c r="T662" s="35"/>
      <c r="U662" s="12" t="s">
        <v>90</v>
      </c>
      <c r="Z662" s="1863" t="s">
        <v>2620</v>
      </c>
      <c r="AA662" s="1863"/>
      <c r="AB662" s="1863"/>
      <c r="AC662" s="1863"/>
      <c r="AD662" s="1863"/>
      <c r="AE662" s="1863"/>
      <c r="AF662" s="1863"/>
      <c r="AG662" s="1863"/>
      <c r="AH662" s="1863"/>
      <c r="AI662" s="1863"/>
      <c r="AJ662" s="1863"/>
      <c r="AK662" s="186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39" t="e">
        <f t="shared" si="22"/>
        <v>#VALUE!</v>
      </c>
      <c r="DY662" s="2039"/>
      <c r="DZ662" s="2039"/>
      <c r="EA662" s="2039"/>
      <c r="EB662" s="2039"/>
      <c r="EC662" s="2039" t="e">
        <f t="shared" si="23"/>
        <v>#VALUE!</v>
      </c>
      <c r="ED662" s="2039"/>
      <c r="EE662" s="2039"/>
      <c r="EF662" s="2039"/>
      <c r="EG662" s="2039"/>
      <c r="EH662" s="2039" t="e">
        <f t="shared" si="24"/>
        <v>#VALUE!</v>
      </c>
      <c r="EI662" s="2039"/>
      <c r="EJ662" s="2039"/>
      <c r="EK662" s="2039"/>
      <c r="EL662" s="2039"/>
      <c r="EM662" s="2039" t="e">
        <f t="shared" si="25"/>
        <v>#VALUE!</v>
      </c>
      <c r="EN662" s="2039"/>
      <c r="EO662" s="2039"/>
      <c r="EP662" s="2039"/>
      <c r="EQ662" s="2039"/>
      <c r="ER662" s="2039" t="e">
        <f t="shared" si="26"/>
        <v>#VALUE!</v>
      </c>
      <c r="ES662" s="2039"/>
      <c r="ET662" s="2039"/>
      <c r="EU662" s="2039"/>
      <c r="EV662" s="2039"/>
      <c r="EW662" s="2039" t="e">
        <f t="shared" si="27"/>
        <v>#VALUE!</v>
      </c>
      <c r="EX662" s="2039"/>
      <c r="EY662" s="2039"/>
      <c r="EZ662" s="2039"/>
      <c r="FA662" s="2039"/>
    </row>
    <row r="663" spans="1:157" ht="12.75">
      <c r="A663" s="35"/>
      <c r="B663" s="12" t="s">
        <v>615</v>
      </c>
      <c r="G663" s="2272" t="s">
        <v>2626</v>
      </c>
      <c r="H663" s="2272"/>
      <c r="I663" s="2272"/>
      <c r="J663" s="2272"/>
      <c r="K663" s="2272"/>
      <c r="L663" s="2272"/>
      <c r="M663" s="2272"/>
      <c r="N663" s="2272"/>
      <c r="O663" s="2272"/>
      <c r="P663" s="2272"/>
      <c r="Q663" s="2272"/>
      <c r="R663" s="2272"/>
      <c r="T663" s="35"/>
      <c r="U663" s="12" t="s">
        <v>615</v>
      </c>
      <c r="Z663" s="2272" t="s">
        <v>2621</v>
      </c>
      <c r="AA663" s="2272"/>
      <c r="AB663" s="2272"/>
      <c r="AC663" s="2272"/>
      <c r="AD663" s="2272"/>
      <c r="AE663" s="2272"/>
      <c r="AF663" s="2272"/>
      <c r="AG663" s="2272"/>
      <c r="AH663" s="2272"/>
      <c r="AI663" s="2272"/>
      <c r="AJ663" s="2272"/>
      <c r="AK663" s="2272"/>
      <c r="AZ663" s="61"/>
      <c r="BA663" s="61"/>
      <c r="BB663" s="61"/>
      <c r="BC663" s="61"/>
      <c r="BD663" s="61"/>
      <c r="BE663" s="61"/>
      <c r="BF663" s="61"/>
      <c r="BG663" s="61"/>
      <c r="BH663" s="61"/>
      <c r="BI663" s="61"/>
      <c r="BJ663" s="61"/>
      <c r="BK663" s="61"/>
      <c r="BL663" s="61"/>
      <c r="BM663" s="61"/>
      <c r="BN663" s="2032">
        <f>BN635+BN644+BN658</f>
        <v>1</v>
      </c>
      <c r="BO663" s="2033"/>
      <c r="BP663" s="2033"/>
      <c r="BQ663" s="2033"/>
      <c r="BR663" s="2034"/>
      <c r="BS663" s="2032">
        <f>BS635+BS644+BS658</f>
        <v>58</v>
      </c>
      <c r="BT663" s="2033"/>
      <c r="BU663" s="2033"/>
      <c r="BV663" s="2033"/>
      <c r="BW663" s="2034"/>
      <c r="BX663" s="2032">
        <f>BX635+BX644+BX658</f>
        <v>6</v>
      </c>
      <c r="BY663" s="2033"/>
      <c r="BZ663" s="2033"/>
      <c r="CA663" s="2033"/>
      <c r="CB663" s="2034"/>
      <c r="CC663" s="2032">
        <f>CC635+CC644+CC658</f>
        <v>0</v>
      </c>
      <c r="CD663" s="2033"/>
      <c r="CE663" s="2033"/>
      <c r="CF663" s="2033"/>
      <c r="CG663" s="2034"/>
      <c r="CH663" s="2032">
        <f>CH635+CH644+CH658</f>
        <v>0</v>
      </c>
      <c r="CI663" s="2033"/>
      <c r="CJ663" s="2033"/>
      <c r="CK663" s="2033"/>
      <c r="CL663" s="2034"/>
      <c r="CM663" s="2052">
        <f>CM658+CM644+CM635</f>
        <v>0</v>
      </c>
      <c r="CN663" s="2053"/>
      <c r="CO663" s="2053"/>
      <c r="CP663" s="2053"/>
      <c r="CQ663" s="2054"/>
      <c r="CR663" s="177"/>
      <c r="CS663" s="1469">
        <f>CS637+CS661</f>
        <v>69</v>
      </c>
      <c r="CT663" s="134" t="s">
        <v>2392</v>
      </c>
      <c r="CU663" s="58"/>
      <c r="CV663" s="58"/>
      <c r="CW663" s="58"/>
      <c r="CX663" s="58"/>
      <c r="CY663" s="58"/>
      <c r="CZ663" s="58"/>
      <c r="DA663" s="58"/>
      <c r="DB663" s="58"/>
      <c r="DC663" s="58"/>
      <c r="DD663" s="58"/>
      <c r="DE663" s="58"/>
      <c r="DF663" s="58"/>
      <c r="DX663" s="2039">
        <f>SUMIF(DX638:EB662,"&gt;0")</f>
        <v>1035</v>
      </c>
      <c r="DY663" s="2039"/>
      <c r="DZ663" s="2039"/>
      <c r="EA663" s="2039"/>
      <c r="EB663" s="2039"/>
      <c r="EC663" s="2039">
        <f>SUMIF(EC638:EG662,"&gt;0")</f>
        <v>1093.2586206896551</v>
      </c>
      <c r="ED663" s="2039"/>
      <c r="EE663" s="2039"/>
      <c r="EF663" s="2039"/>
      <c r="EG663" s="2039"/>
      <c r="EH663" s="2039">
        <f>SUMIF(EH638:EL662,"&gt;0")</f>
        <v>1298.5999999999999</v>
      </c>
      <c r="EI663" s="2039"/>
      <c r="EJ663" s="2039"/>
      <c r="EK663" s="2039"/>
      <c r="EL663" s="2039"/>
      <c r="EM663" s="2039">
        <f>SUMIF(EM638:EQ662,"&gt;0")</f>
        <v>0</v>
      </c>
      <c r="EN663" s="2039"/>
      <c r="EO663" s="2039"/>
      <c r="EP663" s="2039"/>
      <c r="EQ663" s="2039"/>
      <c r="ER663" s="2039">
        <f>SUMIF(ER638:EV662,"&gt;0")</f>
        <v>0</v>
      </c>
      <c r="ES663" s="2039"/>
      <c r="ET663" s="2039"/>
      <c r="EU663" s="2039"/>
      <c r="EV663" s="2039"/>
      <c r="EW663" s="2039">
        <f>SUMIF(EW638:FA662,"&gt;0")</f>
        <v>0</v>
      </c>
      <c r="EX663" s="2039"/>
      <c r="EY663" s="2039"/>
      <c r="EZ663" s="2039"/>
      <c r="FA663" s="2039"/>
    </row>
    <row r="664" spans="1:157" ht="12.75">
      <c r="A664" s="35"/>
      <c r="B664" s="12" t="s">
        <v>17</v>
      </c>
      <c r="G664" s="2272" t="s">
        <v>2646</v>
      </c>
      <c r="H664" s="2272"/>
      <c r="I664" s="2272"/>
      <c r="J664" s="2272"/>
      <c r="K664" s="2272"/>
      <c r="L664" s="2272"/>
      <c r="M664" s="2272"/>
      <c r="N664" s="2272"/>
      <c r="O664" s="2272"/>
      <c r="P664" s="2272"/>
      <c r="Q664" s="2272"/>
      <c r="R664" s="2272"/>
      <c r="T664" s="35"/>
      <c r="U664" s="12" t="s">
        <v>17</v>
      </c>
      <c r="Z664" s="2272" t="s">
        <v>2622</v>
      </c>
      <c r="AA664" s="2272"/>
      <c r="AB664" s="2272"/>
      <c r="AC664" s="2272"/>
      <c r="AD664" s="2272"/>
      <c r="AE664" s="2272"/>
      <c r="AF664" s="2272"/>
      <c r="AG664" s="2272"/>
      <c r="AH664" s="2272"/>
      <c r="AI664" s="2272"/>
      <c r="AJ664" s="2272"/>
      <c r="AK664" s="227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325</v>
      </c>
      <c r="G665" s="2271" t="s">
        <v>2647</v>
      </c>
      <c r="H665" s="2271"/>
      <c r="I665" s="2271"/>
      <c r="J665" s="2271"/>
      <c r="K665" s="2271"/>
      <c r="L665" s="2271"/>
      <c r="O665" s="137" t="s">
        <v>212</v>
      </c>
      <c r="P665" s="2088"/>
      <c r="Q665" s="2088"/>
      <c r="R665" s="2088"/>
      <c r="T665" s="35"/>
      <c r="U665" s="12" t="s">
        <v>325</v>
      </c>
      <c r="Z665" s="2271" t="s">
        <v>2623</v>
      </c>
      <c r="AA665" s="2271"/>
      <c r="AB665" s="2271"/>
      <c r="AC665" s="2271"/>
      <c r="AD665" s="2271"/>
      <c r="AE665" s="2271"/>
      <c r="AH665" s="137" t="s">
        <v>212</v>
      </c>
      <c r="AI665" s="2088"/>
      <c r="AJ665" s="2088"/>
      <c r="AK665" s="208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51" t="s">
        <v>2629</v>
      </c>
      <c r="I666" s="2051"/>
      <c r="J666" s="2051"/>
      <c r="K666" s="2051"/>
      <c r="L666" s="2051"/>
      <c r="M666" s="2051"/>
      <c r="N666" s="2051"/>
      <c r="O666" s="2051"/>
      <c r="P666" s="2051"/>
      <c r="Q666" s="2051"/>
      <c r="R666" s="2051"/>
      <c r="T666" s="35"/>
      <c r="U666" s="12" t="s">
        <v>18</v>
      </c>
      <c r="AA666" s="2051" t="s">
        <v>2624</v>
      </c>
      <c r="AB666" s="2051"/>
      <c r="AC666" s="2051"/>
      <c r="AD666" s="2051"/>
      <c r="AE666" s="2051"/>
      <c r="AF666" s="2051"/>
      <c r="AG666" s="2051"/>
      <c r="AH666" s="2051"/>
      <c r="AI666" s="2051"/>
      <c r="AJ666" s="2051"/>
      <c r="AK666" s="2051"/>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2.75">
      <c r="A667" s="35"/>
      <c r="B667" s="12" t="s">
        <v>20</v>
      </c>
      <c r="N667" s="2050" t="s">
        <v>578</v>
      </c>
      <c r="O667" s="2050"/>
      <c r="T667" s="35"/>
      <c r="U667" s="12" t="s">
        <v>20</v>
      </c>
      <c r="AG667" s="2050" t="s">
        <v>578</v>
      </c>
      <c r="AH667" s="2050"/>
      <c r="AZ667" s="58"/>
      <c r="BA667" s="58"/>
      <c r="BB667" s="58"/>
      <c r="BC667" s="58"/>
      <c r="BD667" s="58"/>
      <c r="BE667" s="58"/>
      <c r="BF667" s="58"/>
      <c r="BG667" s="58"/>
      <c r="BH667" s="58"/>
      <c r="BI667" s="58"/>
      <c r="BJ667" s="58"/>
      <c r="BK667" s="58"/>
      <c r="BL667" s="58"/>
      <c r="BM667" s="58"/>
      <c r="BN667" s="58"/>
      <c r="BO667" s="58"/>
      <c r="BP667" s="447"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40" t="str">
        <f>C641</f>
        <v>OCHFT</v>
      </c>
      <c r="H669" s="2040"/>
      <c r="I669" s="2040"/>
      <c r="J669" s="2040"/>
      <c r="K669" s="2040"/>
      <c r="L669" s="2040"/>
      <c r="M669" s="2040"/>
      <c r="N669" s="2040"/>
      <c r="O669" s="2040"/>
      <c r="P669" s="2040"/>
      <c r="Q669" s="2040"/>
      <c r="R669" s="2040"/>
      <c r="T669" s="87" t="s">
        <v>619</v>
      </c>
      <c r="U669" s="12" t="s">
        <v>496</v>
      </c>
      <c r="Z669" s="2040" t="str">
        <f>C642</f>
        <v>AHP</v>
      </c>
      <c r="AA669" s="2040"/>
      <c r="AB669" s="2040"/>
      <c r="AC669" s="2040"/>
      <c r="AD669" s="2040"/>
      <c r="AE669" s="2040"/>
      <c r="AF669" s="2040"/>
      <c r="AG669" s="2040"/>
      <c r="AH669" s="2040"/>
      <c r="AI669" s="2040"/>
      <c r="AJ669" s="2040"/>
      <c r="AK669" s="2040"/>
      <c r="AZ669" s="58"/>
      <c r="BA669" s="310" t="s">
        <v>685</v>
      </c>
      <c r="BB669" s="58"/>
      <c r="BC669" s="58"/>
      <c r="BD669" s="58"/>
      <c r="BE669" s="58"/>
      <c r="BF669" s="382"/>
      <c r="BG669" s="334" t="s">
        <v>964</v>
      </c>
      <c r="BH669" s="382"/>
      <c r="BI669" s="382"/>
      <c r="BJ669" s="58"/>
      <c r="BK669" s="58"/>
      <c r="BL669" s="58"/>
      <c r="BM669" s="58"/>
      <c r="BN669" s="58"/>
      <c r="BO669" s="58"/>
      <c r="BP669" s="538" t="s">
        <v>684</v>
      </c>
      <c r="BQ669" s="539" t="s">
        <v>333</v>
      </c>
      <c r="BR669" s="539" t="s">
        <v>334</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1" t="str">
        <f>G662</f>
        <v xml:space="preserve">1501 East St. Andrew Place											</v>
      </c>
      <c r="H670" s="2051"/>
      <c r="I670" s="2051"/>
      <c r="J670" s="2051"/>
      <c r="K670" s="2051"/>
      <c r="L670" s="2051"/>
      <c r="M670" s="2051"/>
      <c r="N670" s="2051"/>
      <c r="O670" s="2051"/>
      <c r="P670" s="2051"/>
      <c r="Q670" s="2051"/>
      <c r="R670" s="2051"/>
      <c r="T670" s="35"/>
      <c r="U670" s="12" t="s">
        <v>90</v>
      </c>
      <c r="Z670" s="2304" t="s">
        <v>2694</v>
      </c>
      <c r="AA670" s="2304"/>
      <c r="AB670" s="2304"/>
      <c r="AC670" s="2304"/>
      <c r="AD670" s="2304"/>
      <c r="AE670" s="2304"/>
      <c r="AF670" s="2304"/>
      <c r="AG670" s="2304"/>
      <c r="AH670" s="2304"/>
      <c r="AI670" s="2304"/>
      <c r="AJ670" s="2304"/>
      <c r="AK670" s="2304"/>
      <c r="AZ670" s="58"/>
      <c r="BA670" s="445">
        <f t="shared" ref="BA670:BA694" si="40">IF($G728=0,"N/A",VLOOKUP($T$189,TC_Rent,(MATCH($B728,bedrooms,FALSE))))</f>
        <v>2522</v>
      </c>
      <c r="BB670" s="58"/>
      <c r="BC670" s="58"/>
      <c r="BD670" s="58"/>
      <c r="BE670" s="58"/>
      <c r="BF670" s="382"/>
      <c r="BG670" s="453" t="s">
        <v>965</v>
      </c>
      <c r="BH670" s="458" t="s">
        <v>966</v>
      </c>
      <c r="BI670" s="457" t="s">
        <v>967</v>
      </c>
      <c r="BJ670" s="58"/>
      <c r="BK670" s="58"/>
      <c r="BL670" s="58"/>
      <c r="BM670" s="58"/>
      <c r="BN670" s="58"/>
      <c r="BO670" s="58"/>
      <c r="BP670" s="540" t="s">
        <v>509</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51" t="str">
        <f>G663</f>
        <v xml:space="preserve">Santa Ana											</v>
      </c>
      <c r="H671" s="2051"/>
      <c r="I671" s="2051"/>
      <c r="J671" s="2051"/>
      <c r="K671" s="2051"/>
      <c r="L671" s="2051"/>
      <c r="M671" s="2051"/>
      <c r="N671" s="2051"/>
      <c r="O671" s="2051"/>
      <c r="P671" s="2051"/>
      <c r="Q671" s="2051"/>
      <c r="R671" s="2051"/>
      <c r="T671" s="35"/>
      <c r="U671" s="12" t="s">
        <v>615</v>
      </c>
      <c r="Z671" s="2304" t="s">
        <v>771</v>
      </c>
      <c r="AA671" s="2304"/>
      <c r="AB671" s="2304"/>
      <c r="AC671" s="2304"/>
      <c r="AD671" s="2304"/>
      <c r="AE671" s="2304"/>
      <c r="AF671" s="2304"/>
      <c r="AG671" s="2304"/>
      <c r="AH671" s="2304"/>
      <c r="AI671" s="2304"/>
      <c r="AJ671" s="2304"/>
      <c r="AK671" s="2304"/>
      <c r="AZ671" s="58"/>
      <c r="BA671" s="445">
        <f t="shared" si="40"/>
        <v>2522</v>
      </c>
      <c r="BB671" s="58"/>
      <c r="BC671" s="58"/>
      <c r="BD671" s="58"/>
      <c r="BE671" s="58"/>
      <c r="BF671" s="382"/>
      <c r="BG671" s="455">
        <f t="shared" ref="BG671:BG695" si="41">G728</f>
        <v>21</v>
      </c>
      <c r="BH671" s="459">
        <f>BG671/$BG$696</f>
        <v>0.328125</v>
      </c>
      <c r="BI671" s="460">
        <f t="shared" ref="BI671:BI695" si="42">IF(BH671=0," ",BH671*AH728)</f>
        <v>9.8437499999999997E-2</v>
      </c>
      <c r="BJ671" s="58"/>
      <c r="BK671" s="58"/>
      <c r="BL671" s="58"/>
      <c r="BM671" s="58"/>
      <c r="BN671" s="58"/>
      <c r="BO671" s="58"/>
      <c r="BP671" s="541" t="s">
        <v>510</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1" t="s">
        <v>2627</v>
      </c>
      <c r="H672" s="2051"/>
      <c r="I672" s="2051"/>
      <c r="J672" s="2051"/>
      <c r="K672" s="2051"/>
      <c r="L672" s="2051"/>
      <c r="M672" s="2051"/>
      <c r="N672" s="2051"/>
      <c r="O672" s="2051"/>
      <c r="P672" s="2051"/>
      <c r="Q672" s="2051"/>
      <c r="R672" s="2051"/>
      <c r="T672" s="35"/>
      <c r="U672" s="12" t="s">
        <v>17</v>
      </c>
      <c r="Z672" s="2304" t="s">
        <v>2695</v>
      </c>
      <c r="AA672" s="2304"/>
      <c r="AB672" s="2304"/>
      <c r="AC672" s="2304"/>
      <c r="AD672" s="2304"/>
      <c r="AE672" s="2304"/>
      <c r="AF672" s="2304"/>
      <c r="AG672" s="2304"/>
      <c r="AH672" s="2304"/>
      <c r="AI672" s="2304"/>
      <c r="AJ672" s="2304"/>
      <c r="AK672" s="2304"/>
      <c r="AZ672" s="58"/>
      <c r="BA672" s="445">
        <f t="shared" si="40"/>
        <v>2522</v>
      </c>
      <c r="BB672" s="58"/>
      <c r="BC672" s="58"/>
      <c r="BD672" s="58"/>
      <c r="BE672" s="58"/>
      <c r="BF672" s="382"/>
      <c r="BG672" s="456">
        <f t="shared" si="41"/>
        <v>8</v>
      </c>
      <c r="BH672" s="459">
        <f t="shared" ref="BH672:BH695" si="43">BG672/$BG$696</f>
        <v>0.125</v>
      </c>
      <c r="BI672" s="460">
        <f t="shared" si="42"/>
        <v>5.6250000000000001E-2</v>
      </c>
      <c r="BJ672" s="58"/>
      <c r="BK672" s="58"/>
      <c r="BL672" s="58"/>
      <c r="BM672" s="58"/>
      <c r="BN672" s="58"/>
      <c r="BO672" s="58"/>
      <c r="BP672" s="541" t="s">
        <v>511</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271" t="s">
        <v>2648</v>
      </c>
      <c r="H673" s="2271"/>
      <c r="I673" s="2271"/>
      <c r="J673" s="2271"/>
      <c r="K673" s="2271"/>
      <c r="L673" s="2271"/>
      <c r="O673" s="137" t="s">
        <v>212</v>
      </c>
      <c r="P673" s="2088"/>
      <c r="Q673" s="2088"/>
      <c r="R673" s="2088"/>
      <c r="T673" s="35"/>
      <c r="U673" s="12" t="s">
        <v>325</v>
      </c>
      <c r="Z673" s="2305" t="s">
        <v>2696</v>
      </c>
      <c r="AA673" s="2271"/>
      <c r="AB673" s="2271"/>
      <c r="AC673" s="2271"/>
      <c r="AD673" s="2271"/>
      <c r="AE673" s="2271"/>
      <c r="AH673" s="137" t="s">
        <v>212</v>
      </c>
      <c r="AI673" s="2088"/>
      <c r="AJ673" s="2088"/>
      <c r="AK673" s="2088"/>
      <c r="AZ673" s="58"/>
      <c r="BA673" s="445">
        <f t="shared" si="40"/>
        <v>2522</v>
      </c>
      <c r="BB673" s="58"/>
      <c r="BC673" s="58"/>
      <c r="BD673" s="58"/>
      <c r="BE673" s="58"/>
      <c r="BF673" s="382"/>
      <c r="BG673" s="456">
        <f t="shared" si="41"/>
        <v>16</v>
      </c>
      <c r="BH673" s="459">
        <f t="shared" si="43"/>
        <v>0.25</v>
      </c>
      <c r="BI673" s="460">
        <f t="shared" si="42"/>
        <v>0.125</v>
      </c>
      <c r="BJ673" s="58"/>
      <c r="BK673" s="58"/>
      <c r="BL673" s="58"/>
      <c r="BM673" s="58"/>
      <c r="BN673" s="58"/>
      <c r="BO673" s="58"/>
      <c r="BP673" s="541" t="s">
        <v>512</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1" t="s">
        <v>2629</v>
      </c>
      <c r="I674" s="2051"/>
      <c r="J674" s="2051"/>
      <c r="K674" s="2051"/>
      <c r="L674" s="2051"/>
      <c r="M674" s="2051"/>
      <c r="N674" s="2051"/>
      <c r="O674" s="2051"/>
      <c r="P674" s="2051"/>
      <c r="Q674" s="2051"/>
      <c r="R674" s="2051"/>
      <c r="T674" s="35"/>
      <c r="U674" s="12" t="s">
        <v>18</v>
      </c>
      <c r="AA674" s="2051" t="s">
        <v>2692</v>
      </c>
      <c r="AB674" s="2051"/>
      <c r="AC674" s="2051"/>
      <c r="AD674" s="2051"/>
      <c r="AE674" s="2051"/>
      <c r="AF674" s="2051"/>
      <c r="AG674" s="2051"/>
      <c r="AH674" s="2051"/>
      <c r="AI674" s="2051"/>
      <c r="AJ674" s="2051"/>
      <c r="AK674" s="2051"/>
      <c r="AZ674" s="58"/>
      <c r="BA674" s="445">
        <f t="shared" si="40"/>
        <v>3026</v>
      </c>
      <c r="BB674" s="58"/>
      <c r="BC674" s="58"/>
      <c r="BD674" s="58"/>
      <c r="BE674" s="58"/>
      <c r="BF674" s="382"/>
      <c r="BG674" s="456">
        <f t="shared" si="41"/>
        <v>13</v>
      </c>
      <c r="BH674" s="459">
        <f t="shared" si="43"/>
        <v>0.203125</v>
      </c>
      <c r="BI674" s="460">
        <f t="shared" si="42"/>
        <v>0.121875</v>
      </c>
      <c r="BJ674" s="58"/>
      <c r="BK674" s="58"/>
      <c r="BL674" s="58"/>
      <c r="BM674" s="58"/>
      <c r="BN674" s="58"/>
      <c r="BO674" s="58"/>
      <c r="BP674" s="541" t="s">
        <v>513</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0" t="s">
        <v>578</v>
      </c>
      <c r="O675" s="2050"/>
      <c r="T675" s="35"/>
      <c r="U675" s="12" t="s">
        <v>20</v>
      </c>
      <c r="AG675" s="2050" t="s">
        <v>706</v>
      </c>
      <c r="AH675" s="2050"/>
      <c r="AZ675" s="58"/>
      <c r="BA675" s="445">
        <f t="shared" si="40"/>
        <v>3026</v>
      </c>
      <c r="BB675" s="58"/>
      <c r="BC675" s="58"/>
      <c r="BD675" s="58"/>
      <c r="BE675" s="58"/>
      <c r="BF675" s="382"/>
      <c r="BG675" s="456">
        <f t="shared" si="41"/>
        <v>1</v>
      </c>
      <c r="BH675" s="459">
        <f t="shared" si="43"/>
        <v>1.5625E-2</v>
      </c>
      <c r="BI675" s="460">
        <f t="shared" si="42"/>
        <v>4.6874999999999998E-3</v>
      </c>
      <c r="BJ675" s="58"/>
      <c r="BK675" s="58"/>
      <c r="BL675" s="58"/>
      <c r="BM675" s="58"/>
      <c r="BN675" s="58"/>
      <c r="BO675" s="58"/>
      <c r="BP675" s="541" t="s">
        <v>514</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5">
        <f t="shared" si="40"/>
        <v>3026</v>
      </c>
      <c r="BB676" s="58"/>
      <c r="BC676" s="58"/>
      <c r="BD676" s="58"/>
      <c r="BE676" s="58"/>
      <c r="BF676" s="382"/>
      <c r="BG676" s="456">
        <f t="shared" si="41"/>
        <v>2</v>
      </c>
      <c r="BH676" s="459">
        <f t="shared" si="43"/>
        <v>3.125E-2</v>
      </c>
      <c r="BI676" s="460">
        <f t="shared" si="42"/>
        <v>1.40625E-2</v>
      </c>
      <c r="BJ676" s="58"/>
      <c r="BK676" s="58"/>
      <c r="BL676" s="58"/>
      <c r="BM676" s="58"/>
      <c r="BN676" s="58"/>
      <c r="BO676" s="58"/>
      <c r="BP676" s="541" t="s">
        <v>515</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40">
        <f>C643</f>
        <v>0</v>
      </c>
      <c r="H677" s="2040"/>
      <c r="I677" s="2040"/>
      <c r="J677" s="2040"/>
      <c r="K677" s="2040"/>
      <c r="L677" s="2040"/>
      <c r="M677" s="2040"/>
      <c r="N677" s="2040"/>
      <c r="O677" s="2040"/>
      <c r="P677" s="2040"/>
      <c r="Q677" s="2040"/>
      <c r="R677" s="2040"/>
      <c r="T677" s="87" t="s">
        <v>488</v>
      </c>
      <c r="U677" s="12" t="s">
        <v>496</v>
      </c>
      <c r="Z677" s="2040">
        <f>C644</f>
        <v>0</v>
      </c>
      <c r="AA677" s="2040"/>
      <c r="AB677" s="2040"/>
      <c r="AC677" s="2040"/>
      <c r="AD677" s="2040"/>
      <c r="AE677" s="2040"/>
      <c r="AF677" s="2040"/>
      <c r="AG677" s="2040"/>
      <c r="AH677" s="2040"/>
      <c r="AI677" s="2040"/>
      <c r="AJ677" s="2040"/>
      <c r="AK677" s="2040"/>
      <c r="AZ677" s="58"/>
      <c r="BA677" s="445">
        <f t="shared" si="40"/>
        <v>2354</v>
      </c>
      <c r="BB677" s="58"/>
      <c r="BC677" s="58"/>
      <c r="BD677" s="58"/>
      <c r="BE677" s="58"/>
      <c r="BF677" s="382"/>
      <c r="BG677" s="456">
        <f t="shared" si="41"/>
        <v>2</v>
      </c>
      <c r="BH677" s="459">
        <f t="shared" si="43"/>
        <v>3.125E-2</v>
      </c>
      <c r="BI677" s="460">
        <f t="shared" si="42"/>
        <v>1.5625E-2</v>
      </c>
      <c r="BJ677" s="58"/>
      <c r="BK677" s="58"/>
      <c r="BL677" s="58"/>
      <c r="BM677" s="58"/>
      <c r="BN677" s="58"/>
      <c r="BO677" s="58"/>
      <c r="BP677" s="541" t="s">
        <v>516</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1"/>
      <c r="H678" s="2051"/>
      <c r="I678" s="2051"/>
      <c r="J678" s="2051"/>
      <c r="K678" s="2051"/>
      <c r="L678" s="2051"/>
      <c r="M678" s="2051"/>
      <c r="N678" s="2051"/>
      <c r="O678" s="2051"/>
      <c r="P678" s="2051"/>
      <c r="Q678" s="2051"/>
      <c r="R678" s="2051"/>
      <c r="T678" s="35"/>
      <c r="U678" s="12" t="s">
        <v>90</v>
      </c>
      <c r="Z678" s="2051"/>
      <c r="AA678" s="2051"/>
      <c r="AB678" s="2051"/>
      <c r="AC678" s="2051"/>
      <c r="AD678" s="2051"/>
      <c r="AE678" s="2051"/>
      <c r="AF678" s="2051"/>
      <c r="AG678" s="2051"/>
      <c r="AH678" s="2051"/>
      <c r="AI678" s="2051"/>
      <c r="AJ678" s="2051"/>
      <c r="AK678" s="2051"/>
      <c r="AZ678" s="58"/>
      <c r="BA678" s="445" t="str">
        <f t="shared" si="40"/>
        <v>N/A</v>
      </c>
      <c r="BB678" s="58"/>
      <c r="BC678" s="58"/>
      <c r="BD678" s="58"/>
      <c r="BE678" s="58"/>
      <c r="BF678" s="382"/>
      <c r="BG678" s="456">
        <f t="shared" si="41"/>
        <v>1</v>
      </c>
      <c r="BH678" s="459">
        <f t="shared" si="43"/>
        <v>1.5625E-2</v>
      </c>
      <c r="BI678" s="460">
        <f t="shared" si="42"/>
        <v>7.0312500000000002E-3</v>
      </c>
      <c r="BJ678" s="58"/>
      <c r="BK678" s="58"/>
      <c r="BL678" s="58"/>
      <c r="BM678" s="58"/>
      <c r="BN678" s="58"/>
      <c r="BO678" s="58"/>
      <c r="BP678" s="541" t="s">
        <v>517</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51"/>
      <c r="H679" s="2051"/>
      <c r="I679" s="2051"/>
      <c r="J679" s="2051"/>
      <c r="K679" s="2051"/>
      <c r="L679" s="2051"/>
      <c r="M679" s="2051"/>
      <c r="N679" s="2051"/>
      <c r="O679" s="2051"/>
      <c r="P679" s="2051"/>
      <c r="Q679" s="2051"/>
      <c r="R679" s="2051"/>
      <c r="T679" s="35"/>
      <c r="U679" s="12" t="s">
        <v>615</v>
      </c>
      <c r="Z679" s="2272"/>
      <c r="AA679" s="2272"/>
      <c r="AB679" s="2272"/>
      <c r="AC679" s="2272"/>
      <c r="AD679" s="2272"/>
      <c r="AE679" s="2272"/>
      <c r="AF679" s="2272"/>
      <c r="AG679" s="2272"/>
      <c r="AH679" s="2272"/>
      <c r="AI679" s="2272"/>
      <c r="AJ679" s="2272"/>
      <c r="AK679" s="2272"/>
      <c r="AZ679" s="58"/>
      <c r="BA679" s="445" t="str">
        <f t="shared" si="40"/>
        <v>N/A</v>
      </c>
      <c r="BB679" s="58"/>
      <c r="BC679" s="58"/>
      <c r="BD679" s="58"/>
      <c r="BE679" s="58"/>
      <c r="BF679" s="382"/>
      <c r="BG679" s="456">
        <f t="shared" si="41"/>
        <v>0</v>
      </c>
      <c r="BH679" s="459">
        <f t="shared" si="43"/>
        <v>0</v>
      </c>
      <c r="BI679" s="460" t="str">
        <f t="shared" si="42"/>
        <v xml:space="preserve"> </v>
      </c>
      <c r="BJ679" s="58"/>
      <c r="BK679" s="58"/>
      <c r="BL679" s="58"/>
      <c r="BM679" s="58"/>
      <c r="BN679" s="58"/>
      <c r="BO679" s="58"/>
      <c r="BP679" s="541" t="s">
        <v>518</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1"/>
      <c r="H680" s="2051"/>
      <c r="I680" s="2051"/>
      <c r="J680" s="2051"/>
      <c r="K680" s="2051"/>
      <c r="L680" s="2051"/>
      <c r="M680" s="2051"/>
      <c r="N680" s="2051"/>
      <c r="O680" s="2051"/>
      <c r="P680" s="2051"/>
      <c r="Q680" s="2051"/>
      <c r="R680" s="2051"/>
      <c r="T680" s="35"/>
      <c r="U680" s="12" t="s">
        <v>17</v>
      </c>
      <c r="Z680" s="2272"/>
      <c r="AA680" s="2272"/>
      <c r="AB680" s="2272"/>
      <c r="AC680" s="2272"/>
      <c r="AD680" s="2272"/>
      <c r="AE680" s="2272"/>
      <c r="AF680" s="2272"/>
      <c r="AG680" s="2272"/>
      <c r="AH680" s="2272"/>
      <c r="AI680" s="2272"/>
      <c r="AJ680" s="2272"/>
      <c r="AK680" s="2272"/>
      <c r="AZ680" s="58"/>
      <c r="BA680" s="445" t="str">
        <f t="shared" si="40"/>
        <v>N/A</v>
      </c>
      <c r="BB680" s="58"/>
      <c r="BC680" s="58"/>
      <c r="BD680" s="58"/>
      <c r="BE680" s="58"/>
      <c r="BF680" s="382"/>
      <c r="BG680" s="456">
        <f t="shared" si="41"/>
        <v>0</v>
      </c>
      <c r="BH680" s="459">
        <f t="shared" si="43"/>
        <v>0</v>
      </c>
      <c r="BI680" s="460" t="str">
        <f t="shared" si="42"/>
        <v xml:space="preserve"> </v>
      </c>
      <c r="BJ680" s="58"/>
      <c r="BK680" s="58"/>
      <c r="BL680" s="58"/>
      <c r="BM680" s="58"/>
      <c r="BN680" s="58"/>
      <c r="BO680" s="58"/>
      <c r="BP680" s="541" t="s">
        <v>519</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271"/>
      <c r="H681" s="2271"/>
      <c r="I681" s="2271"/>
      <c r="J681" s="2271"/>
      <c r="K681" s="2271"/>
      <c r="L681" s="2271"/>
      <c r="O681" s="137" t="s">
        <v>212</v>
      </c>
      <c r="P681" s="2088"/>
      <c r="Q681" s="2088"/>
      <c r="R681" s="2088"/>
      <c r="T681" s="35"/>
      <c r="U681" s="12" t="s">
        <v>325</v>
      </c>
      <c r="Z681" s="2271"/>
      <c r="AA681" s="2271"/>
      <c r="AB681" s="2271"/>
      <c r="AC681" s="2271"/>
      <c r="AD681" s="2271"/>
      <c r="AE681" s="2271"/>
      <c r="AH681" s="137" t="s">
        <v>212</v>
      </c>
      <c r="AI681" s="2088"/>
      <c r="AJ681" s="2088"/>
      <c r="AK681" s="2088"/>
      <c r="AZ681" s="58"/>
      <c r="BA681" s="445" t="str">
        <f t="shared" si="40"/>
        <v>N/A</v>
      </c>
      <c r="BB681" s="58"/>
      <c r="BC681" s="58"/>
      <c r="BD681" s="58"/>
      <c r="BE681" s="58"/>
      <c r="BF681" s="382"/>
      <c r="BG681" s="456">
        <f t="shared" si="41"/>
        <v>0</v>
      </c>
      <c r="BH681" s="459">
        <f t="shared" si="43"/>
        <v>0</v>
      </c>
      <c r="BI681" s="460" t="str">
        <f t="shared" si="42"/>
        <v xml:space="preserve"> </v>
      </c>
      <c r="BJ681" s="58"/>
      <c r="BK681" s="58"/>
      <c r="BL681" s="58"/>
      <c r="BM681" s="58"/>
      <c r="BN681" s="58"/>
      <c r="BO681" s="58"/>
      <c r="BP681" s="541" t="s">
        <v>520</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1"/>
      <c r="I682" s="2051"/>
      <c r="J682" s="2051"/>
      <c r="K682" s="2051"/>
      <c r="L682" s="2051"/>
      <c r="M682" s="2051"/>
      <c r="N682" s="2051"/>
      <c r="O682" s="2051"/>
      <c r="P682" s="2051"/>
      <c r="Q682" s="2051"/>
      <c r="R682" s="2051"/>
      <c r="T682" s="35"/>
      <c r="U682" s="12" t="s">
        <v>18</v>
      </c>
      <c r="AA682" s="2051"/>
      <c r="AB682" s="2051"/>
      <c r="AC682" s="2051"/>
      <c r="AD682" s="2051"/>
      <c r="AE682" s="2051"/>
      <c r="AF682" s="2051"/>
      <c r="AG682" s="2051"/>
      <c r="AH682" s="2051"/>
      <c r="AI682" s="2051"/>
      <c r="AJ682" s="2051"/>
      <c r="AK682" s="2051"/>
      <c r="AZ682" s="58"/>
      <c r="BA682" s="445" t="str">
        <f t="shared" si="40"/>
        <v>N/A</v>
      </c>
      <c r="BB682" s="58"/>
      <c r="BC682" s="58"/>
      <c r="BD682" s="58"/>
      <c r="BE682" s="58"/>
      <c r="BF682" s="382"/>
      <c r="BG682" s="456">
        <f t="shared" si="41"/>
        <v>0</v>
      </c>
      <c r="BH682" s="459">
        <f t="shared" si="43"/>
        <v>0</v>
      </c>
      <c r="BI682" s="460" t="str">
        <f t="shared" si="42"/>
        <v xml:space="preserve"> </v>
      </c>
      <c r="BJ682" s="58"/>
      <c r="BK682" s="58"/>
      <c r="BL682" s="58"/>
      <c r="BM682" s="58"/>
      <c r="BN682" s="58"/>
      <c r="BO682" s="58"/>
      <c r="BP682" s="541" t="s">
        <v>521</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0"/>
      <c r="O683" s="2050"/>
      <c r="T683" s="35"/>
      <c r="U683" s="12" t="s">
        <v>20</v>
      </c>
      <c r="AG683" s="2050" t="s">
        <v>706</v>
      </c>
      <c r="AH683" s="2050"/>
      <c r="AZ683" s="58"/>
      <c r="BA683" s="445" t="str">
        <f t="shared" si="40"/>
        <v>N/A</v>
      </c>
      <c r="BB683" s="58"/>
      <c r="BC683" s="58"/>
      <c r="BD683" s="58"/>
      <c r="BE683" s="58"/>
      <c r="BF683" s="382"/>
      <c r="BG683" s="456">
        <f t="shared" si="41"/>
        <v>0</v>
      </c>
      <c r="BH683" s="459">
        <f t="shared" si="43"/>
        <v>0</v>
      </c>
      <c r="BI683" s="460" t="str">
        <f t="shared" si="42"/>
        <v xml:space="preserve"> </v>
      </c>
      <c r="BJ683" s="58"/>
      <c r="BK683" s="58"/>
      <c r="BL683" s="58"/>
      <c r="BM683" s="58"/>
      <c r="BN683" s="58"/>
      <c r="BO683" s="58"/>
      <c r="BP683" s="541" t="s">
        <v>522</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5" t="str">
        <f t="shared" si="40"/>
        <v>N/A</v>
      </c>
      <c r="BB684" s="58"/>
      <c r="BC684" s="58"/>
      <c r="BD684" s="58"/>
      <c r="BE684" s="58"/>
      <c r="BF684" s="382"/>
      <c r="BG684" s="456">
        <f t="shared" si="41"/>
        <v>0</v>
      </c>
      <c r="BH684" s="459">
        <f t="shared" si="43"/>
        <v>0</v>
      </c>
      <c r="BI684" s="460" t="str">
        <f t="shared" si="42"/>
        <v xml:space="preserve"> </v>
      </c>
      <c r="BJ684" s="58"/>
      <c r="BK684" s="58"/>
      <c r="BL684" s="58"/>
      <c r="BM684" s="58"/>
      <c r="BN684" s="58"/>
      <c r="BO684" s="58"/>
      <c r="BP684" s="541" t="s">
        <v>523</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40">
        <f>C645</f>
        <v>0</v>
      </c>
      <c r="H685" s="2040"/>
      <c r="I685" s="2040"/>
      <c r="J685" s="2040"/>
      <c r="K685" s="2040"/>
      <c r="L685" s="2040"/>
      <c r="M685" s="2040"/>
      <c r="N685" s="2040"/>
      <c r="O685" s="2040"/>
      <c r="P685" s="2040"/>
      <c r="Q685" s="2040"/>
      <c r="R685" s="2040"/>
      <c r="T685" s="87" t="s">
        <v>681</v>
      </c>
      <c r="U685" s="12" t="s">
        <v>496</v>
      </c>
      <c r="Z685" s="2040">
        <f>C646</f>
        <v>0</v>
      </c>
      <c r="AA685" s="2040"/>
      <c r="AB685" s="2040"/>
      <c r="AC685" s="2040"/>
      <c r="AD685" s="2040"/>
      <c r="AE685" s="2040"/>
      <c r="AF685" s="2040"/>
      <c r="AG685" s="2040"/>
      <c r="AH685" s="2040"/>
      <c r="AI685" s="2040"/>
      <c r="AJ685" s="2040"/>
      <c r="AK685" s="2040"/>
      <c r="AZ685" s="58"/>
      <c r="BA685" s="445" t="str">
        <f t="shared" si="40"/>
        <v>N/A</v>
      </c>
      <c r="BB685" s="58"/>
      <c r="BC685" s="58"/>
      <c r="BD685" s="58"/>
      <c r="BE685" s="58"/>
      <c r="BF685" s="382"/>
      <c r="BG685" s="456">
        <f t="shared" si="41"/>
        <v>0</v>
      </c>
      <c r="BH685" s="459">
        <f t="shared" si="43"/>
        <v>0</v>
      </c>
      <c r="BI685" s="460" t="str">
        <f t="shared" si="42"/>
        <v xml:space="preserve"> </v>
      </c>
      <c r="BJ685" s="58"/>
      <c r="BK685" s="58"/>
      <c r="BL685" s="58"/>
      <c r="BM685" s="58"/>
      <c r="BN685" s="58"/>
      <c r="BO685" s="58"/>
      <c r="BP685" s="541" t="s">
        <v>524</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1"/>
      <c r="H686" s="2051"/>
      <c r="I686" s="2051"/>
      <c r="J686" s="2051"/>
      <c r="K686" s="2051"/>
      <c r="L686" s="2051"/>
      <c r="M686" s="2051"/>
      <c r="N686" s="2051"/>
      <c r="O686" s="2051"/>
      <c r="P686" s="2051"/>
      <c r="Q686" s="2051"/>
      <c r="R686" s="2051"/>
      <c r="T686" s="35"/>
      <c r="U686" s="12" t="s">
        <v>90</v>
      </c>
      <c r="Z686" s="2051"/>
      <c r="AA686" s="2051"/>
      <c r="AB686" s="2051"/>
      <c r="AC686" s="2051"/>
      <c r="AD686" s="2051"/>
      <c r="AE686" s="2051"/>
      <c r="AF686" s="2051"/>
      <c r="AG686" s="2051"/>
      <c r="AH686" s="2051"/>
      <c r="AI686" s="2051"/>
      <c r="AJ686" s="2051"/>
      <c r="AK686" s="2051"/>
      <c r="AZ686" s="58"/>
      <c r="BA686" s="445" t="str">
        <f t="shared" si="40"/>
        <v>N/A</v>
      </c>
      <c r="BB686" s="58"/>
      <c r="BC686" s="58"/>
      <c r="BD686" s="58"/>
      <c r="BE686" s="58"/>
      <c r="BF686" s="382"/>
      <c r="BG686" s="456">
        <f t="shared" si="41"/>
        <v>0</v>
      </c>
      <c r="BH686" s="459">
        <f t="shared" si="43"/>
        <v>0</v>
      </c>
      <c r="BI686" s="460" t="str">
        <f t="shared" si="42"/>
        <v xml:space="preserve"> </v>
      </c>
      <c r="BJ686" s="58"/>
      <c r="BK686" s="58"/>
      <c r="BL686" s="58"/>
      <c r="BM686" s="58"/>
      <c r="BN686" s="58"/>
      <c r="BO686" s="58"/>
      <c r="BP686" s="541" t="s">
        <v>525</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51"/>
      <c r="H687" s="2051"/>
      <c r="I687" s="2051"/>
      <c r="J687" s="2051"/>
      <c r="K687" s="2051"/>
      <c r="L687" s="2051"/>
      <c r="M687" s="2051"/>
      <c r="N687" s="2051"/>
      <c r="O687" s="2051"/>
      <c r="P687" s="2051"/>
      <c r="Q687" s="2051"/>
      <c r="R687" s="2051"/>
      <c r="T687" s="35"/>
      <c r="U687" s="12" t="s">
        <v>615</v>
      </c>
      <c r="Z687" s="2272"/>
      <c r="AA687" s="2272"/>
      <c r="AB687" s="2272"/>
      <c r="AC687" s="2272"/>
      <c r="AD687" s="2272"/>
      <c r="AE687" s="2272"/>
      <c r="AF687" s="2272"/>
      <c r="AG687" s="2272"/>
      <c r="AH687" s="2272"/>
      <c r="AI687" s="2272"/>
      <c r="AJ687" s="2272"/>
      <c r="AK687" s="2272"/>
      <c r="AZ687" s="58"/>
      <c r="BA687" s="445" t="str">
        <f t="shared" si="40"/>
        <v>N/A</v>
      </c>
      <c r="BB687" s="58"/>
      <c r="BC687" s="58"/>
      <c r="BD687" s="58"/>
      <c r="BE687" s="58"/>
      <c r="BF687" s="382"/>
      <c r="BG687" s="456">
        <f t="shared" si="41"/>
        <v>0</v>
      </c>
      <c r="BH687" s="459">
        <f t="shared" si="43"/>
        <v>0</v>
      </c>
      <c r="BI687" s="460" t="str">
        <f t="shared" si="42"/>
        <v xml:space="preserve"> </v>
      </c>
      <c r="BJ687" s="58"/>
      <c r="BK687" s="58"/>
      <c r="BL687" s="58"/>
      <c r="BM687" s="58"/>
      <c r="BN687" s="58"/>
      <c r="BO687" s="58"/>
      <c r="BP687" s="541" t="s">
        <v>526</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1"/>
      <c r="H688" s="2051"/>
      <c r="I688" s="2051"/>
      <c r="J688" s="2051"/>
      <c r="K688" s="2051"/>
      <c r="L688" s="2051"/>
      <c r="M688" s="2051"/>
      <c r="N688" s="2051"/>
      <c r="O688" s="2051"/>
      <c r="P688" s="2051"/>
      <c r="Q688" s="2051"/>
      <c r="R688" s="2051"/>
      <c r="T688" s="35"/>
      <c r="U688" s="12" t="s">
        <v>17</v>
      </c>
      <c r="Z688" s="2272"/>
      <c r="AA688" s="2272"/>
      <c r="AB688" s="2272"/>
      <c r="AC688" s="2272"/>
      <c r="AD688" s="2272"/>
      <c r="AE688" s="2272"/>
      <c r="AF688" s="2272"/>
      <c r="AG688" s="2272"/>
      <c r="AH688" s="2272"/>
      <c r="AI688" s="2272"/>
      <c r="AJ688" s="2272"/>
      <c r="AK688" s="2272"/>
      <c r="AZ688" s="58"/>
      <c r="BA688" s="445" t="str">
        <f t="shared" si="40"/>
        <v>N/A</v>
      </c>
      <c r="BB688" s="58"/>
      <c r="BC688" s="58"/>
      <c r="BD688" s="58"/>
      <c r="BE688" s="58"/>
      <c r="BF688" s="382"/>
      <c r="BG688" s="456">
        <f t="shared" si="41"/>
        <v>0</v>
      </c>
      <c r="BH688" s="459">
        <f t="shared" si="43"/>
        <v>0</v>
      </c>
      <c r="BI688" s="460" t="str">
        <f t="shared" si="42"/>
        <v xml:space="preserve"> </v>
      </c>
      <c r="BJ688" s="58"/>
      <c r="BK688" s="58"/>
      <c r="BL688" s="58"/>
      <c r="BM688" s="58"/>
      <c r="BN688" s="58"/>
      <c r="BO688" s="58"/>
      <c r="BP688" s="541" t="s">
        <v>527</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271"/>
      <c r="H689" s="2271"/>
      <c r="I689" s="2271"/>
      <c r="J689" s="2271"/>
      <c r="K689" s="2271"/>
      <c r="L689" s="2271"/>
      <c r="O689" s="137" t="s">
        <v>212</v>
      </c>
      <c r="P689" s="2088"/>
      <c r="Q689" s="2088"/>
      <c r="R689" s="2088"/>
      <c r="T689" s="35"/>
      <c r="U689" s="12" t="s">
        <v>325</v>
      </c>
      <c r="Z689" s="2271"/>
      <c r="AA689" s="2271"/>
      <c r="AB689" s="2271"/>
      <c r="AC689" s="2271"/>
      <c r="AD689" s="2271"/>
      <c r="AE689" s="2271"/>
      <c r="AH689" s="137" t="s">
        <v>212</v>
      </c>
      <c r="AI689" s="2088"/>
      <c r="AJ689" s="2088"/>
      <c r="AK689" s="2088"/>
      <c r="AZ689" s="58"/>
      <c r="BA689" s="445" t="str">
        <f t="shared" si="40"/>
        <v>N/A</v>
      </c>
      <c r="BB689" s="58"/>
      <c r="BC689" s="58"/>
      <c r="BD689" s="58"/>
      <c r="BE689" s="58"/>
      <c r="BF689" s="382"/>
      <c r="BG689" s="456">
        <f t="shared" si="41"/>
        <v>0</v>
      </c>
      <c r="BH689" s="459">
        <f t="shared" si="43"/>
        <v>0</v>
      </c>
      <c r="BI689" s="460" t="str">
        <f t="shared" si="42"/>
        <v xml:space="preserve"> </v>
      </c>
      <c r="BJ689" s="58"/>
      <c r="BK689" s="58"/>
      <c r="BL689" s="58"/>
      <c r="BM689" s="58"/>
      <c r="BN689" s="58"/>
      <c r="BO689" s="58"/>
      <c r="BP689" s="541" t="s">
        <v>528</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1"/>
      <c r="I690" s="2051"/>
      <c r="J690" s="2051"/>
      <c r="K690" s="2051"/>
      <c r="L690" s="2051"/>
      <c r="M690" s="2051"/>
      <c r="N690" s="2051"/>
      <c r="O690" s="2051"/>
      <c r="P690" s="2051"/>
      <c r="Q690" s="2051"/>
      <c r="R690" s="2051"/>
      <c r="T690" s="35"/>
      <c r="U690" s="12" t="s">
        <v>18</v>
      </c>
      <c r="AA690" s="2051"/>
      <c r="AB690" s="2051"/>
      <c r="AC690" s="2051"/>
      <c r="AD690" s="2051"/>
      <c r="AE690" s="2051"/>
      <c r="AF690" s="2051"/>
      <c r="AG690" s="2051"/>
      <c r="AH690" s="2051"/>
      <c r="AI690" s="2051"/>
      <c r="AJ690" s="2051"/>
      <c r="AK690" s="2051"/>
      <c r="AZ690" s="58"/>
      <c r="BA690" s="445" t="str">
        <f t="shared" si="40"/>
        <v>N/A</v>
      </c>
      <c r="BB690" s="58"/>
      <c r="BC690" s="58"/>
      <c r="BD690" s="58"/>
      <c r="BE690" s="58"/>
      <c r="BF690" s="382"/>
      <c r="BG690" s="456">
        <f t="shared" si="41"/>
        <v>0</v>
      </c>
      <c r="BH690" s="459">
        <f t="shared" si="43"/>
        <v>0</v>
      </c>
      <c r="BI690" s="460" t="str">
        <f t="shared" si="42"/>
        <v xml:space="preserve"> </v>
      </c>
      <c r="BJ690" s="58"/>
      <c r="BK690" s="58"/>
      <c r="BL690" s="58"/>
      <c r="BM690" s="58"/>
      <c r="BN690" s="58"/>
      <c r="BO690" s="58"/>
      <c r="BP690" s="541" t="s">
        <v>529</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0" t="s">
        <v>706</v>
      </c>
      <c r="O691" s="2050"/>
      <c r="T691" s="35"/>
      <c r="U691" s="12" t="s">
        <v>20</v>
      </c>
      <c r="AG691" s="2050" t="s">
        <v>706</v>
      </c>
      <c r="AH691" s="2050"/>
      <c r="AZ691" s="58"/>
      <c r="BA691" s="445" t="str">
        <f t="shared" si="40"/>
        <v>N/A</v>
      </c>
      <c r="BB691" s="58"/>
      <c r="BF691" s="382"/>
      <c r="BG691" s="456">
        <f t="shared" si="41"/>
        <v>0</v>
      </c>
      <c r="BH691" s="459">
        <f t="shared" si="43"/>
        <v>0</v>
      </c>
      <c r="BI691" s="460" t="str">
        <f t="shared" si="42"/>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5" t="str">
        <f t="shared" si="40"/>
        <v>N/A</v>
      </c>
      <c r="BB692" s="58"/>
      <c r="BF692" s="382"/>
      <c r="BG692" s="456">
        <f t="shared" si="41"/>
        <v>0</v>
      </c>
      <c r="BH692" s="459">
        <f t="shared" si="43"/>
        <v>0</v>
      </c>
      <c r="BI692" s="460" t="str">
        <f t="shared" si="42"/>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40">
        <f>C647</f>
        <v>0</v>
      </c>
      <c r="H693" s="2040"/>
      <c r="I693" s="2040"/>
      <c r="J693" s="2040"/>
      <c r="K693" s="2040"/>
      <c r="L693" s="2040"/>
      <c r="M693" s="2040"/>
      <c r="N693" s="2040"/>
      <c r="O693" s="2040"/>
      <c r="P693" s="2040"/>
      <c r="Q693" s="2040"/>
      <c r="R693" s="2040"/>
      <c r="T693" s="87" t="s">
        <v>373</v>
      </c>
      <c r="U693" s="12" t="s">
        <v>496</v>
      </c>
      <c r="Z693" s="2040">
        <f>C648</f>
        <v>0</v>
      </c>
      <c r="AA693" s="2040"/>
      <c r="AB693" s="2040"/>
      <c r="AC693" s="2040"/>
      <c r="AD693" s="2040"/>
      <c r="AE693" s="2040"/>
      <c r="AF693" s="2040"/>
      <c r="AG693" s="2040"/>
      <c r="AH693" s="2040"/>
      <c r="AI693" s="2040"/>
      <c r="AJ693" s="2040"/>
      <c r="AK693" s="2040"/>
      <c r="AZ693" s="58"/>
      <c r="BA693" s="445" t="str">
        <f t="shared" si="40"/>
        <v>N/A</v>
      </c>
      <c r="BB693" s="58"/>
      <c r="BF693" s="382"/>
      <c r="BG693" s="456">
        <f t="shared" si="41"/>
        <v>0</v>
      </c>
      <c r="BH693" s="459">
        <f t="shared" si="43"/>
        <v>0</v>
      </c>
      <c r="BI693" s="460" t="str">
        <f t="shared" si="42"/>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1"/>
      <c r="H694" s="2051"/>
      <c r="I694" s="2051"/>
      <c r="J694" s="2051"/>
      <c r="K694" s="2051"/>
      <c r="L694" s="2051"/>
      <c r="M694" s="2051"/>
      <c r="N694" s="2051"/>
      <c r="O694" s="2051"/>
      <c r="P694" s="2051"/>
      <c r="Q694" s="2051"/>
      <c r="R694" s="2051"/>
      <c r="T694" s="35"/>
      <c r="U694" s="12" t="s">
        <v>90</v>
      </c>
      <c r="Z694" s="2051"/>
      <c r="AA694" s="2051"/>
      <c r="AB694" s="2051"/>
      <c r="AC694" s="2051"/>
      <c r="AD694" s="2051"/>
      <c r="AE694" s="2051"/>
      <c r="AF694" s="2051"/>
      <c r="AG694" s="2051"/>
      <c r="AH694" s="2051"/>
      <c r="AI694" s="2051"/>
      <c r="AJ694" s="2051"/>
      <c r="AK694" s="2051"/>
      <c r="AZ694" s="58"/>
      <c r="BA694" s="445" t="str">
        <f t="shared" si="40"/>
        <v>N/A</v>
      </c>
      <c r="BB694" s="58"/>
      <c r="BF694" s="382"/>
      <c r="BG694" s="456">
        <f t="shared" si="41"/>
        <v>0</v>
      </c>
      <c r="BH694" s="459">
        <f t="shared" si="43"/>
        <v>0</v>
      </c>
      <c r="BI694" s="460" t="str">
        <f t="shared" si="42"/>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51"/>
      <c r="H695" s="2051"/>
      <c r="I695" s="2051"/>
      <c r="J695" s="2051"/>
      <c r="K695" s="2051"/>
      <c r="L695" s="2051"/>
      <c r="M695" s="2051"/>
      <c r="N695" s="2051"/>
      <c r="O695" s="2051"/>
      <c r="P695" s="2051"/>
      <c r="Q695" s="2051"/>
      <c r="R695" s="2051"/>
      <c r="U695" s="12" t="s">
        <v>615</v>
      </c>
      <c r="Z695" s="2272"/>
      <c r="AA695" s="2272"/>
      <c r="AB695" s="2272"/>
      <c r="AC695" s="2272"/>
      <c r="AD695" s="2272"/>
      <c r="AE695" s="2272"/>
      <c r="AF695" s="2272"/>
      <c r="AG695" s="2272"/>
      <c r="AH695" s="2272"/>
      <c r="AI695" s="2272"/>
      <c r="AJ695" s="2272"/>
      <c r="AK695" s="2272"/>
      <c r="AZ695" s="58"/>
      <c r="BA695" s="58"/>
      <c r="BB695" s="58"/>
      <c r="BC695" s="58"/>
      <c r="BF695" s="382"/>
      <c r="BG695" s="456">
        <f t="shared" si="41"/>
        <v>0</v>
      </c>
      <c r="BH695" s="459">
        <f t="shared" si="43"/>
        <v>0</v>
      </c>
      <c r="BI695" s="460" t="str">
        <f t="shared" si="42"/>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1"/>
      <c r="H696" s="2051"/>
      <c r="I696" s="2051"/>
      <c r="J696" s="2051"/>
      <c r="K696" s="2051"/>
      <c r="L696" s="2051"/>
      <c r="M696" s="2051"/>
      <c r="N696" s="2051"/>
      <c r="O696" s="2051"/>
      <c r="P696" s="2051"/>
      <c r="Q696" s="2051"/>
      <c r="R696" s="2051"/>
      <c r="U696" s="12" t="s">
        <v>17</v>
      </c>
      <c r="Z696" s="2272"/>
      <c r="AA696" s="2272"/>
      <c r="AB696" s="2272"/>
      <c r="AC696" s="2272"/>
      <c r="AD696" s="2272"/>
      <c r="AE696" s="2272"/>
      <c r="AF696" s="2272"/>
      <c r="AG696" s="2272"/>
      <c r="AH696" s="2272"/>
      <c r="AI696" s="2272"/>
      <c r="AJ696" s="2272"/>
      <c r="AK696" s="2272"/>
      <c r="AZ696" s="58"/>
      <c r="BA696" s="58"/>
      <c r="BB696" s="58"/>
      <c r="BC696" s="58"/>
      <c r="BD696" s="58"/>
      <c r="BF696" s="452" t="s">
        <v>968</v>
      </c>
      <c r="BG696" s="461">
        <f>SUM(BG671:BG695)</f>
        <v>64</v>
      </c>
      <c r="BH696" s="462">
        <f>SUM(BH671:BH695)</f>
        <v>1</v>
      </c>
      <c r="BI696" s="462">
        <f>SUM(BI671:BI695)</f>
        <v>0.44296874999999997</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271"/>
      <c r="H697" s="2271"/>
      <c r="I697" s="2271"/>
      <c r="J697" s="2271"/>
      <c r="K697" s="2271"/>
      <c r="L697" s="2271"/>
      <c r="O697" s="137" t="s">
        <v>212</v>
      </c>
      <c r="P697" s="2088"/>
      <c r="Q697" s="2088"/>
      <c r="R697" s="2088"/>
      <c r="U697" s="12" t="s">
        <v>325</v>
      </c>
      <c r="Z697" s="2271"/>
      <c r="AA697" s="2271"/>
      <c r="AB697" s="2271"/>
      <c r="AC697" s="2271"/>
      <c r="AD697" s="2271"/>
      <c r="AE697" s="2271"/>
      <c r="AH697" s="137" t="s">
        <v>212</v>
      </c>
      <c r="AI697" s="2088"/>
      <c r="AJ697" s="2088"/>
      <c r="AK697" s="2088"/>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1"/>
      <c r="I698" s="2051"/>
      <c r="J698" s="2051"/>
      <c r="K698" s="2051"/>
      <c r="L698" s="2051"/>
      <c r="M698" s="2051"/>
      <c r="N698" s="2051"/>
      <c r="O698" s="2051"/>
      <c r="P698" s="2051"/>
      <c r="Q698" s="2051"/>
      <c r="R698" s="2051"/>
      <c r="U698" s="12" t="s">
        <v>18</v>
      </c>
      <c r="AA698" s="2051"/>
      <c r="AB698" s="2051"/>
      <c r="AC698" s="2051"/>
      <c r="AD698" s="2051"/>
      <c r="AE698" s="2051"/>
      <c r="AF698" s="2051"/>
      <c r="AG698" s="2051"/>
      <c r="AH698" s="2051"/>
      <c r="AI698" s="2051"/>
      <c r="AJ698" s="2051"/>
      <c r="AK698" s="2051"/>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0" t="s">
        <v>706</v>
      </c>
      <c r="O699" s="2050"/>
      <c r="U699" s="12" t="s">
        <v>20</v>
      </c>
      <c r="AG699" s="2050" t="s">
        <v>706</v>
      </c>
      <c r="AH699" s="2050"/>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1935</v>
      </c>
      <c r="BH701" s="382"/>
      <c r="BI701" s="382"/>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965</v>
      </c>
      <c r="BH702" s="458" t="s">
        <v>966</v>
      </c>
      <c r="BI702" s="457" t="s">
        <v>967</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0" t="s">
        <v>578</v>
      </c>
      <c r="AF703" s="205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21</v>
      </c>
      <c r="BH703" s="459">
        <f>BG703/$BG$728</f>
        <v>0.328125</v>
      </c>
      <c r="BI703" s="460">
        <f t="shared" ref="BI703:BI727" si="45">IF(BH703=0," ",BH703*AM728)</f>
        <v>9.8385457969865198E-2</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0" t="s">
        <v>706</v>
      </c>
      <c r="AF704" s="205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8</v>
      </c>
      <c r="BH704" s="459">
        <f t="shared" ref="BH704:BH727" si="46">BG704/$BG$728</f>
        <v>0.125</v>
      </c>
      <c r="BI704" s="460">
        <f t="shared" si="45"/>
        <v>5.6264869151467091E-2</v>
      </c>
      <c r="BJ704" s="58"/>
      <c r="BK704" s="61"/>
      <c r="BL704" s="61"/>
      <c r="BM704" s="61"/>
      <c r="BN704" s="61"/>
      <c r="BO704" s="61"/>
      <c r="BP704" s="541" t="s">
        <v>768</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09"/>
      <c r="AF705" s="2309"/>
      <c r="AG705" s="2309"/>
      <c r="AH705" s="2309"/>
      <c r="AI705" s="230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16</v>
      </c>
      <c r="BH705" s="459">
        <f t="shared" si="46"/>
        <v>0.25</v>
      </c>
      <c r="BI705" s="460">
        <f t="shared" si="45"/>
        <v>0.12501982553528945</v>
      </c>
      <c r="BJ705" s="58"/>
      <c r="BK705" s="58"/>
      <c r="BL705" s="58"/>
      <c r="BM705" s="58"/>
      <c r="BN705" s="61"/>
      <c r="BO705" s="61"/>
      <c r="BP705" s="541" t="s">
        <v>769</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8"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08"/>
      <c r="AF706" s="2308"/>
      <c r="AG706" s="2308"/>
      <c r="AH706" s="2308"/>
      <c r="AI706" s="230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13</v>
      </c>
      <c r="BH706" s="459">
        <f t="shared" si="46"/>
        <v>0.203125</v>
      </c>
      <c r="BI706" s="460">
        <f t="shared" si="45"/>
        <v>0.121875</v>
      </c>
      <c r="BJ706" s="58"/>
      <c r="BK706" s="58"/>
      <c r="BL706" s="58"/>
      <c r="BM706" s="58"/>
      <c r="BN706" s="61"/>
      <c r="BO706" s="61"/>
      <c r="BP706" s="541" t="s">
        <v>770</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1</v>
      </c>
      <c r="BH707" s="459">
        <f t="shared" si="46"/>
        <v>1.5625E-2</v>
      </c>
      <c r="BI707" s="460">
        <f t="shared" si="45"/>
        <v>4.687241820885658E-3</v>
      </c>
      <c r="BJ707" s="58"/>
      <c r="BK707" s="58"/>
      <c r="BL707" s="58"/>
      <c r="BM707" s="58"/>
      <c r="BN707" s="61"/>
      <c r="BO707" s="61"/>
      <c r="BP707" s="541" t="s">
        <v>771</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439">
        <v>44593</v>
      </c>
      <c r="AF708" s="2439"/>
      <c r="AG708" s="2439"/>
      <c r="AH708" s="2439"/>
      <c r="AI708" s="243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2</v>
      </c>
      <c r="BH708" s="459">
        <f t="shared" si="46"/>
        <v>3.125E-2</v>
      </c>
      <c r="BI708" s="460">
        <f t="shared" si="45"/>
        <v>1.4063016358228684E-2</v>
      </c>
      <c r="BJ708" s="58"/>
      <c r="BK708" s="58"/>
      <c r="BL708" s="58"/>
      <c r="BM708" s="58"/>
      <c r="BN708" s="58"/>
      <c r="BO708" s="58"/>
      <c r="BP708" s="541" t="s">
        <v>772</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79">
        <v>0.52449999999999997</v>
      </c>
      <c r="AF709" s="2379"/>
      <c r="AG709" s="2379"/>
      <c r="AH709" s="2379"/>
      <c r="AI709" s="237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2</v>
      </c>
      <c r="BH709" s="459">
        <f t="shared" si="46"/>
        <v>3.125E-2</v>
      </c>
      <c r="BI709" s="460">
        <f t="shared" si="45"/>
        <v>1.5622418208856577E-2</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0" t="str">
        <f>H334</f>
        <v>CSCDA</v>
      </c>
      <c r="X710" s="2040"/>
      <c r="Y710" s="2040"/>
      <c r="Z710" s="2040"/>
      <c r="AA710" s="2040"/>
      <c r="AB710" s="2040"/>
      <c r="AC710" s="2040"/>
      <c r="AD710" s="2040"/>
      <c r="AE710" s="2040"/>
      <c r="AF710" s="2040"/>
      <c r="AG710" s="2040"/>
      <c r="AH710" s="2040"/>
      <c r="AI710" s="2040"/>
      <c r="AJ710" s="2040"/>
      <c r="AK710" s="204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1</v>
      </c>
      <c r="BH710" s="459">
        <f t="shared" si="46"/>
        <v>1.5625E-2</v>
      </c>
      <c r="BI710" s="460">
        <f t="shared" si="45"/>
        <v>7.0305862361937132E-3</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0</v>
      </c>
      <c r="BH711" s="459">
        <f t="shared" si="46"/>
        <v>0</v>
      </c>
      <c r="BI711" s="460" t="str">
        <f t="shared" si="45"/>
        <v xml:space="preserve"> </v>
      </c>
      <c r="BJ711" s="58"/>
      <c r="BK711" s="58"/>
      <c r="BL711" s="58"/>
      <c r="BM711" s="58"/>
      <c r="BN711" s="58"/>
      <c r="BO711" s="58"/>
      <c r="BP711" s="541" t="s">
        <v>197</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0" t="s">
        <v>706</v>
      </c>
      <c r="AF712" s="205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0</v>
      </c>
      <c r="BH712" s="459">
        <f t="shared" si="46"/>
        <v>0</v>
      </c>
      <c r="BI712" s="460" t="str">
        <f t="shared" si="45"/>
        <v xml:space="preserve"> </v>
      </c>
      <c r="BJ712" s="58"/>
      <c r="BK712" s="58"/>
      <c r="BL712" s="58"/>
      <c r="BM712" s="58"/>
      <c r="BN712" s="58"/>
      <c r="BO712" s="58"/>
      <c r="BP712" s="541" t="s">
        <v>198</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1"/>
      <c r="X713" s="2051"/>
      <c r="Y713" s="2051"/>
      <c r="Z713" s="2051"/>
      <c r="AA713" s="2051"/>
      <c r="AB713" s="2051"/>
      <c r="AC713" s="2051"/>
      <c r="AD713" s="2051"/>
      <c r="AE713" s="2051"/>
      <c r="AF713" s="2051"/>
      <c r="AG713" s="2051"/>
      <c r="AH713" s="2051"/>
      <c r="AI713" s="2051"/>
      <c r="AJ713" s="2051"/>
      <c r="AK713" s="205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0</v>
      </c>
      <c r="BH713" s="459">
        <f t="shared" si="46"/>
        <v>0</v>
      </c>
      <c r="BI713" s="460" t="str">
        <f t="shared" si="45"/>
        <v xml:space="preserve"> </v>
      </c>
      <c r="BJ713" s="58"/>
      <c r="BK713" s="58"/>
      <c r="BL713" s="58"/>
      <c r="BM713" s="58"/>
      <c r="BN713" s="58"/>
      <c r="BO713" s="58"/>
      <c r="BP713" s="541" t="s">
        <v>199</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1"/>
      <c r="K714" s="2051"/>
      <c r="L714" s="2051"/>
      <c r="M714" s="2051"/>
      <c r="N714" s="2051"/>
      <c r="O714" s="2051"/>
      <c r="P714" s="2051"/>
      <c r="Q714" s="2051"/>
      <c r="R714" s="2051"/>
      <c r="S714" s="2051"/>
      <c r="T714" s="2051"/>
      <c r="U714" s="2051"/>
      <c r="V714" s="2051"/>
      <c r="W714" s="2051"/>
      <c r="X714" s="205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0</v>
      </c>
      <c r="BH714" s="459">
        <f t="shared" si="46"/>
        <v>0</v>
      </c>
      <c r="BI714" s="460" t="str">
        <f t="shared" si="45"/>
        <v xml:space="preserve"> </v>
      </c>
      <c r="BJ714" s="58"/>
      <c r="BK714" s="58"/>
      <c r="BL714" s="58"/>
      <c r="BM714" s="58"/>
      <c r="BN714" s="58"/>
      <c r="BO714" s="58"/>
      <c r="BP714" s="541" t="s">
        <v>200</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271"/>
      <c r="K715" s="2271"/>
      <c r="L715" s="2271"/>
      <c r="M715" s="2271"/>
      <c r="N715" s="2271"/>
      <c r="O715" s="2271"/>
      <c r="P715" s="7" t="s">
        <v>212</v>
      </c>
      <c r="Q715" s="7"/>
      <c r="R715" s="2088"/>
      <c r="S715" s="2088"/>
      <c r="T715" s="208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41" t="s">
        <v>201</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51" t="s">
        <v>316</v>
      </c>
      <c r="X716" s="2051"/>
      <c r="Y716" s="2051"/>
      <c r="Z716" s="2051"/>
      <c r="AA716" s="2051"/>
      <c r="AB716" s="2051"/>
      <c r="AC716" s="2051"/>
      <c r="AD716" s="2051"/>
      <c r="AE716" s="2051"/>
      <c r="AF716" s="2051"/>
      <c r="AG716" s="2051"/>
      <c r="AH716" s="2051"/>
      <c r="AI716" s="2051"/>
      <c r="AJ716" s="2051"/>
      <c r="AK716" s="205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41" t="s">
        <v>202</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1" t="s">
        <v>343</v>
      </c>
      <c r="F717" s="2051"/>
      <c r="G717" s="2051"/>
      <c r="H717" s="2051"/>
      <c r="I717" s="2051"/>
      <c r="J717" s="2051"/>
      <c r="K717" s="2051"/>
      <c r="L717" s="2051"/>
      <c r="M717" s="2051"/>
      <c r="N717" s="2051"/>
      <c r="O717" s="2051"/>
      <c r="P717" s="2051"/>
      <c r="Q717" s="2051"/>
      <c r="R717" s="2051"/>
      <c r="S717" s="2051"/>
      <c r="T717" s="2051"/>
      <c r="U717" s="2051"/>
      <c r="V717" s="2051"/>
      <c r="W717" s="2051"/>
      <c r="X717" s="2051"/>
      <c r="Y717" s="2051"/>
      <c r="Z717" s="2051"/>
      <c r="AA717" s="2051"/>
      <c r="AB717" s="2051"/>
      <c r="AC717" s="2051"/>
      <c r="AD717" s="2051"/>
      <c r="AE717" s="2051"/>
      <c r="AF717" s="2051"/>
      <c r="AG717" s="2051"/>
      <c r="AH717" s="2051"/>
      <c r="AI717" s="2051"/>
      <c r="AJ717" s="2051"/>
      <c r="AK717" s="205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41" t="s">
        <v>203</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41" t="s">
        <v>179</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7" t="s">
        <v>100</v>
      </c>
      <c r="B719" s="1877"/>
      <c r="C719" s="1877"/>
      <c r="D719" s="1877"/>
      <c r="E719" s="1877"/>
      <c r="F719" s="1877"/>
      <c r="G719" s="1877"/>
      <c r="H719" s="1877"/>
      <c r="I719" s="1877"/>
      <c r="J719" s="1877"/>
      <c r="K719" s="1877"/>
      <c r="L719" s="1877"/>
      <c r="M719" s="1877"/>
      <c r="N719" s="1877"/>
      <c r="O719" s="1877"/>
      <c r="P719" s="1877"/>
      <c r="Q719" s="1877"/>
      <c r="R719" s="1877"/>
      <c r="S719" s="1877"/>
      <c r="T719" s="1877"/>
      <c r="U719" s="1877"/>
      <c r="V719" s="1877"/>
      <c r="W719" s="1877"/>
      <c r="X719" s="1877"/>
      <c r="Y719" s="1877"/>
      <c r="Z719" s="1877"/>
      <c r="AA719" s="1877"/>
      <c r="AB719" s="1877"/>
      <c r="AC719" s="1877"/>
      <c r="AD719" s="1877"/>
      <c r="AE719" s="1877"/>
      <c r="AF719" s="1877"/>
      <c r="AG719" s="1877"/>
      <c r="AH719" s="1877"/>
      <c r="AI719" s="1877"/>
      <c r="AJ719" s="1877"/>
      <c r="AK719" s="1877"/>
      <c r="AL719" s="1877"/>
      <c r="AM719" s="1877"/>
      <c r="AN719" s="1877"/>
      <c r="AO719" s="1877"/>
      <c r="AP719" s="1571"/>
      <c r="AQ719" s="1571"/>
      <c r="AR719" s="1571"/>
      <c r="AS719" s="1571"/>
      <c r="AT719" s="1571"/>
      <c r="AU719" s="1571"/>
      <c r="AV719" s="1571"/>
      <c r="AW719" s="1571"/>
      <c r="AX719" s="1571"/>
      <c r="AY719" s="1571"/>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41" t="s">
        <v>204</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7"/>
      <c r="B720" s="1877"/>
      <c r="C720" s="1877"/>
      <c r="D720" s="1877"/>
      <c r="E720" s="1877"/>
      <c r="F720" s="1877"/>
      <c r="G720" s="1877"/>
      <c r="H720" s="1877"/>
      <c r="I720" s="1877"/>
      <c r="J720" s="1877"/>
      <c r="K720" s="1877"/>
      <c r="L720" s="1877"/>
      <c r="M720" s="1877"/>
      <c r="N720" s="1877"/>
      <c r="O720" s="1877"/>
      <c r="P720" s="1877"/>
      <c r="Q720" s="1877"/>
      <c r="R720" s="1877"/>
      <c r="S720" s="1877"/>
      <c r="T720" s="1877"/>
      <c r="U720" s="1877"/>
      <c r="V720" s="1877"/>
      <c r="W720" s="1877"/>
      <c r="X720" s="1877"/>
      <c r="Y720" s="1877"/>
      <c r="Z720" s="1877"/>
      <c r="AA720" s="1877"/>
      <c r="AB720" s="1877"/>
      <c r="AC720" s="1877"/>
      <c r="AD720" s="1877"/>
      <c r="AE720" s="1877"/>
      <c r="AF720" s="1877"/>
      <c r="AG720" s="1877"/>
      <c r="AH720" s="1877"/>
      <c r="AI720" s="1877"/>
      <c r="AJ720" s="1877"/>
      <c r="AK720" s="1877"/>
      <c r="AL720" s="1877"/>
      <c r="AM720" s="1877"/>
      <c r="AN720" s="1877"/>
      <c r="AO720" s="1877"/>
      <c r="AP720" s="1571"/>
      <c r="AQ720" s="1571"/>
      <c r="AR720" s="1571"/>
      <c r="AS720" s="1571"/>
      <c r="AT720" s="1571"/>
      <c r="AU720" s="1571"/>
      <c r="AV720" s="1571"/>
      <c r="AW720" s="1571"/>
      <c r="AX720" s="1571"/>
      <c r="AY720" s="1571"/>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41" t="s">
        <v>205</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7"/>
      <c r="B721" s="1877"/>
      <c r="C721" s="1877"/>
      <c r="D721" s="1877"/>
      <c r="E721" s="1877"/>
      <c r="F721" s="1877"/>
      <c r="G721" s="1877"/>
      <c r="H721" s="1877"/>
      <c r="I721" s="1877"/>
      <c r="J721" s="1877"/>
      <c r="K721" s="1877"/>
      <c r="L721" s="1877"/>
      <c r="M721" s="1877"/>
      <c r="N721" s="1877"/>
      <c r="O721" s="1877"/>
      <c r="P721" s="1877"/>
      <c r="Q721" s="1877"/>
      <c r="R721" s="1877"/>
      <c r="S721" s="1877"/>
      <c r="T721" s="1877"/>
      <c r="U721" s="1877"/>
      <c r="V721" s="1877"/>
      <c r="W721" s="1877"/>
      <c r="X721" s="1877"/>
      <c r="Y721" s="1877"/>
      <c r="Z721" s="1877"/>
      <c r="AA721" s="1877"/>
      <c r="AB721" s="1877"/>
      <c r="AC721" s="1877"/>
      <c r="AD721" s="1877"/>
      <c r="AE721" s="1877"/>
      <c r="AF721" s="1877"/>
      <c r="AG721" s="1877"/>
      <c r="AH721" s="1877"/>
      <c r="AI721" s="1877"/>
      <c r="AJ721" s="1877"/>
      <c r="AK721" s="1877"/>
      <c r="AL721" s="1877"/>
      <c r="AM721" s="1877"/>
      <c r="AN721" s="1877"/>
      <c r="AO721" s="1877"/>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41" t="s">
        <v>206</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41" t="s">
        <v>207</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3"/>
      <c r="C723" s="50"/>
      <c r="AZ723" s="58"/>
      <c r="BA723" s="58"/>
      <c r="BB723" s="58"/>
      <c r="BC723" s="58"/>
      <c r="BD723" s="58"/>
      <c r="BE723" s="58"/>
      <c r="BF723" s="58"/>
      <c r="BG723" s="456">
        <f t="shared" si="44"/>
        <v>0</v>
      </c>
      <c r="BH723" s="459">
        <f t="shared" si="46"/>
        <v>0</v>
      </c>
      <c r="BI723" s="460" t="str">
        <f t="shared" si="45"/>
        <v xml:space="preserve"> </v>
      </c>
      <c r="BJ723" s="718"/>
      <c r="BK723" s="58"/>
      <c r="BL723" s="58"/>
      <c r="BM723" s="58"/>
      <c r="BN723" s="58"/>
      <c r="BO723" s="58"/>
      <c r="BP723" s="541" t="s">
        <v>208</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53" t="s">
        <v>407</v>
      </c>
      <c r="C724" s="2254"/>
      <c r="D724" s="2254"/>
      <c r="E724" s="2254"/>
      <c r="F724" s="2255"/>
      <c r="G724" s="2253" t="s">
        <v>291</v>
      </c>
      <c r="H724" s="2254"/>
      <c r="I724" s="2254"/>
      <c r="J724" s="2255"/>
      <c r="K724" s="2262" t="s">
        <v>2157</v>
      </c>
      <c r="L724" s="2263"/>
      <c r="M724" s="2263"/>
      <c r="N724" s="2264"/>
      <c r="O724" s="2253" t="s">
        <v>478</v>
      </c>
      <c r="P724" s="2254"/>
      <c r="Q724" s="2254"/>
      <c r="R724" s="2254"/>
      <c r="S724" s="2255"/>
      <c r="T724" s="2253" t="s">
        <v>292</v>
      </c>
      <c r="U724" s="2254"/>
      <c r="V724" s="2254"/>
      <c r="W724" s="2254"/>
      <c r="X724" s="2255"/>
      <c r="Y724" s="2253" t="s">
        <v>293</v>
      </c>
      <c r="Z724" s="2254"/>
      <c r="AA724" s="2254"/>
      <c r="AB724" s="2255"/>
      <c r="AC724" s="2253" t="s">
        <v>294</v>
      </c>
      <c r="AD724" s="2254"/>
      <c r="AE724" s="2254"/>
      <c r="AF724" s="2254"/>
      <c r="AG724" s="2255"/>
      <c r="AH724" s="2253" t="s">
        <v>408</v>
      </c>
      <c r="AI724" s="2254"/>
      <c r="AJ724" s="2254"/>
      <c r="AK724" s="2254"/>
      <c r="AL724" s="2255"/>
      <c r="AM724" s="2253" t="s">
        <v>682</v>
      </c>
      <c r="AN724" s="2254"/>
      <c r="AO724" s="2255"/>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56"/>
      <c r="C725" s="2257"/>
      <c r="D725" s="2257"/>
      <c r="E725" s="2257"/>
      <c r="F725" s="2258"/>
      <c r="G725" s="2256"/>
      <c r="H725" s="2257"/>
      <c r="I725" s="2257"/>
      <c r="J725" s="2258"/>
      <c r="K725" s="2265"/>
      <c r="L725" s="2266"/>
      <c r="M725" s="2266"/>
      <c r="N725" s="2267"/>
      <c r="O725" s="2256"/>
      <c r="P725" s="2257"/>
      <c r="Q725" s="2257"/>
      <c r="R725" s="2257"/>
      <c r="S725" s="2258"/>
      <c r="T725" s="2256"/>
      <c r="U725" s="2257"/>
      <c r="V725" s="2257"/>
      <c r="W725" s="2257"/>
      <c r="X725" s="2258"/>
      <c r="Y725" s="2256"/>
      <c r="Z725" s="2257"/>
      <c r="AA725" s="2257"/>
      <c r="AB725" s="2258"/>
      <c r="AC725" s="2256"/>
      <c r="AD725" s="2257"/>
      <c r="AE725" s="2257"/>
      <c r="AF725" s="2257"/>
      <c r="AG725" s="2258"/>
      <c r="AH725" s="2256"/>
      <c r="AI725" s="2257"/>
      <c r="AJ725" s="2257"/>
      <c r="AK725" s="2257"/>
      <c r="AL725" s="2258"/>
      <c r="AM725" s="2256"/>
      <c r="AN725" s="2257"/>
      <c r="AO725" s="2258"/>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8"/>
      <c r="BK725" s="58"/>
      <c r="BL725" s="58"/>
      <c r="BM725" s="58"/>
      <c r="BN725" s="58"/>
      <c r="BO725" s="58"/>
      <c r="BP725" s="541" t="s">
        <v>209</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56"/>
      <c r="C726" s="2257"/>
      <c r="D726" s="2257"/>
      <c r="E726" s="2257"/>
      <c r="F726" s="2258"/>
      <c r="G726" s="2256"/>
      <c r="H726" s="2257"/>
      <c r="I726" s="2257"/>
      <c r="J726" s="2258"/>
      <c r="K726" s="2265"/>
      <c r="L726" s="2266"/>
      <c r="M726" s="2266"/>
      <c r="N726" s="2267"/>
      <c r="O726" s="2256"/>
      <c r="P726" s="2257"/>
      <c r="Q726" s="2257"/>
      <c r="R726" s="2257"/>
      <c r="S726" s="2258"/>
      <c r="T726" s="2256"/>
      <c r="U726" s="2257"/>
      <c r="V726" s="2257"/>
      <c r="W726" s="2257"/>
      <c r="X726" s="2258"/>
      <c r="Y726" s="2256"/>
      <c r="Z726" s="2257"/>
      <c r="AA726" s="2257"/>
      <c r="AB726" s="2258"/>
      <c r="AC726" s="2256"/>
      <c r="AD726" s="2257"/>
      <c r="AE726" s="2257"/>
      <c r="AF726" s="2257"/>
      <c r="AG726" s="2258"/>
      <c r="AH726" s="2256"/>
      <c r="AI726" s="2257"/>
      <c r="AJ726" s="2257"/>
      <c r="AK726" s="2257"/>
      <c r="AL726" s="2258"/>
      <c r="AM726" s="2256"/>
      <c r="AN726" s="2257"/>
      <c r="AO726" s="2258"/>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8"/>
      <c r="BK726" s="58"/>
      <c r="BL726" s="58"/>
      <c r="BM726" s="58"/>
      <c r="BN726" s="58"/>
      <c r="BO726" s="58"/>
      <c r="BP726" s="541" t="s">
        <v>210</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59"/>
      <c r="C727" s="2260"/>
      <c r="D727" s="2260"/>
      <c r="E727" s="2260"/>
      <c r="F727" s="2261"/>
      <c r="G727" s="2259"/>
      <c r="H727" s="2260"/>
      <c r="I727" s="2260"/>
      <c r="J727" s="2261"/>
      <c r="K727" s="2265"/>
      <c r="L727" s="2266"/>
      <c r="M727" s="2266"/>
      <c r="N727" s="2267"/>
      <c r="O727" s="2259"/>
      <c r="P727" s="2260"/>
      <c r="Q727" s="2260"/>
      <c r="R727" s="2260"/>
      <c r="S727" s="2261"/>
      <c r="T727" s="2259"/>
      <c r="U727" s="2260"/>
      <c r="V727" s="2260"/>
      <c r="W727" s="2260"/>
      <c r="X727" s="2261"/>
      <c r="Y727" s="2259"/>
      <c r="Z727" s="2260"/>
      <c r="AA727" s="2260"/>
      <c r="AB727" s="2261"/>
      <c r="AC727" s="2259"/>
      <c r="AD727" s="2260"/>
      <c r="AE727" s="2260"/>
      <c r="AF727" s="2260"/>
      <c r="AG727" s="2261"/>
      <c r="AH727" s="2259"/>
      <c r="AI727" s="2260"/>
      <c r="AJ727" s="2260"/>
      <c r="AK727" s="2260"/>
      <c r="AL727" s="2261"/>
      <c r="AM727" s="2259"/>
      <c r="AN727" s="2260"/>
      <c r="AO727" s="2261"/>
      <c r="AP727" s="239"/>
      <c r="AQ727" s="239"/>
      <c r="AR727" s="239"/>
      <c r="AS727" s="239"/>
      <c r="AT727" s="239"/>
      <c r="AU727" s="239"/>
      <c r="AV727" s="239"/>
      <c r="AW727" s="239"/>
      <c r="AX727" s="239"/>
      <c r="AY727" s="239"/>
      <c r="AZ727" s="58"/>
      <c r="BA727" s="58"/>
      <c r="BB727" s="58"/>
      <c r="BC727" s="58"/>
      <c r="BD727" s="58"/>
      <c r="BE727" s="58"/>
      <c r="BF727" s="58"/>
      <c r="BG727" s="1420">
        <f t="shared" si="44"/>
        <v>0</v>
      </c>
      <c r="BH727" s="459">
        <f t="shared" si="46"/>
        <v>0</v>
      </c>
      <c r="BI727" s="460" t="str">
        <f t="shared" si="45"/>
        <v xml:space="preserve"> </v>
      </c>
      <c r="BJ727" s="718"/>
      <c r="BK727" s="58"/>
      <c r="BL727" s="58"/>
      <c r="BM727" s="58"/>
      <c r="BN727" s="58"/>
      <c r="BO727" s="58"/>
      <c r="BP727" s="541" t="s">
        <v>211</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30" t="s">
        <v>334</v>
      </c>
      <c r="C728" s="2231"/>
      <c r="D728" s="2231"/>
      <c r="E728" s="2231"/>
      <c r="F728" s="2232"/>
      <c r="G728" s="2273">
        <v>21</v>
      </c>
      <c r="H728" s="2274"/>
      <c r="I728" s="2274"/>
      <c r="J728" s="2275"/>
      <c r="K728" s="2224">
        <v>569</v>
      </c>
      <c r="L728" s="2225"/>
      <c r="M728" s="2225"/>
      <c r="N728" s="2226"/>
      <c r="O728" s="2221">
        <v>732</v>
      </c>
      <c r="P728" s="2222"/>
      <c r="Q728" s="2222"/>
      <c r="R728" s="2222"/>
      <c r="S728" s="2223"/>
      <c r="T728" s="2044">
        <f t="shared" ref="T728:T752" si="47">G728*O728</f>
        <v>15372</v>
      </c>
      <c r="U728" s="2045"/>
      <c r="V728" s="2045"/>
      <c r="W728" s="2045"/>
      <c r="X728" s="2046"/>
      <c r="Y728" s="2221">
        <v>24.2</v>
      </c>
      <c r="Z728" s="2222"/>
      <c r="AA728" s="2222"/>
      <c r="AB728" s="2223"/>
      <c r="AC728" s="2044">
        <f t="shared" ref="AC728:AC752" si="48">O728+Y728</f>
        <v>756.2</v>
      </c>
      <c r="AD728" s="2045"/>
      <c r="AE728" s="2045"/>
      <c r="AF728" s="2045"/>
      <c r="AG728" s="2046"/>
      <c r="AH728" s="2047">
        <v>0.3</v>
      </c>
      <c r="AI728" s="2048"/>
      <c r="AJ728" s="2048"/>
      <c r="AK728" s="2048"/>
      <c r="AL728" s="2049"/>
      <c r="AM728" s="2026">
        <f t="shared" ref="AM728:AM752" si="49">IF($AH728&gt;0,($AC728/$BA670), " ")</f>
        <v>0.29984139571768442</v>
      </c>
      <c r="AN728" s="2027"/>
      <c r="AO728" s="2028"/>
      <c r="AP728" s="239"/>
      <c r="AQ728" s="239"/>
      <c r="AR728" s="239"/>
      <c r="AS728" s="239"/>
      <c r="AT728" s="239"/>
      <c r="AU728" s="239"/>
      <c r="AV728" s="239"/>
      <c r="AW728" s="239"/>
      <c r="AX728" s="239"/>
      <c r="AY728" s="239"/>
      <c r="AZ728" s="58"/>
      <c r="BA728" s="58"/>
      <c r="BB728" s="58"/>
      <c r="BC728" s="58"/>
      <c r="BD728" s="58"/>
      <c r="BE728" s="58"/>
      <c r="BF728" s="58"/>
      <c r="BG728" s="1419">
        <f>SUM(BG703:BG727)</f>
        <v>64</v>
      </c>
      <c r="BH728" s="462">
        <f>SUM(BH703:BH727)</f>
        <v>1</v>
      </c>
      <c r="BI728" s="462">
        <f>SUM(BI703:BI727)</f>
        <v>0.44294841528078643</v>
      </c>
      <c r="BJ728" s="718"/>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30" t="s">
        <v>334</v>
      </c>
      <c r="C729" s="2231"/>
      <c r="D729" s="2231"/>
      <c r="E729" s="2231"/>
      <c r="F729" s="2232"/>
      <c r="G729" s="2273">
        <v>8</v>
      </c>
      <c r="H729" s="2274"/>
      <c r="I729" s="2274"/>
      <c r="J729" s="2275"/>
      <c r="K729" s="2224">
        <v>569</v>
      </c>
      <c r="L729" s="2225"/>
      <c r="M729" s="2225"/>
      <c r="N729" s="2226"/>
      <c r="O729" s="2221">
        <v>1111</v>
      </c>
      <c r="P729" s="2222"/>
      <c r="Q729" s="2222"/>
      <c r="R729" s="2222"/>
      <c r="S729" s="2223"/>
      <c r="T729" s="2044">
        <f t="shared" si="47"/>
        <v>8888</v>
      </c>
      <c r="U729" s="2045"/>
      <c r="V729" s="2045"/>
      <c r="W729" s="2045"/>
      <c r="X729" s="2046"/>
      <c r="Y729" s="2221">
        <v>24.2</v>
      </c>
      <c r="Z729" s="2222"/>
      <c r="AA729" s="2222"/>
      <c r="AB729" s="2223"/>
      <c r="AC729" s="2044">
        <f t="shared" si="48"/>
        <v>1135.2</v>
      </c>
      <c r="AD729" s="2045"/>
      <c r="AE729" s="2045"/>
      <c r="AF729" s="2045"/>
      <c r="AG729" s="2046"/>
      <c r="AH729" s="2047">
        <v>0.45</v>
      </c>
      <c r="AI729" s="2048"/>
      <c r="AJ729" s="2048"/>
      <c r="AK729" s="2048"/>
      <c r="AL729" s="2049"/>
      <c r="AM729" s="2026">
        <f t="shared" si="49"/>
        <v>0.45011895321173673</v>
      </c>
      <c r="AN729" s="2027"/>
      <c r="AO729" s="2028"/>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30" t="s">
        <v>334</v>
      </c>
      <c r="C730" s="2231"/>
      <c r="D730" s="2231"/>
      <c r="E730" s="2231"/>
      <c r="F730" s="2232"/>
      <c r="G730" s="2273">
        <v>16</v>
      </c>
      <c r="H730" s="2274"/>
      <c r="I730" s="2274"/>
      <c r="J730" s="2275"/>
      <c r="K730" s="2224">
        <v>569</v>
      </c>
      <c r="L730" s="2225"/>
      <c r="M730" s="2225"/>
      <c r="N730" s="2226"/>
      <c r="O730" s="2221">
        <v>1237</v>
      </c>
      <c r="P730" s="2222"/>
      <c r="Q730" s="2222"/>
      <c r="R730" s="2222"/>
      <c r="S730" s="2223"/>
      <c r="T730" s="2044">
        <f t="shared" si="47"/>
        <v>19792</v>
      </c>
      <c r="U730" s="2045"/>
      <c r="V730" s="2045"/>
      <c r="W730" s="2045"/>
      <c r="X730" s="2046"/>
      <c r="Y730" s="2221">
        <v>24.2</v>
      </c>
      <c r="Z730" s="2222"/>
      <c r="AA730" s="2222"/>
      <c r="AB730" s="2223"/>
      <c r="AC730" s="2044">
        <f t="shared" si="48"/>
        <v>1261.2</v>
      </c>
      <c r="AD730" s="2045"/>
      <c r="AE730" s="2045"/>
      <c r="AF730" s="2045"/>
      <c r="AG730" s="2046"/>
      <c r="AH730" s="2047">
        <v>0.5</v>
      </c>
      <c r="AI730" s="2048"/>
      <c r="AJ730" s="2048"/>
      <c r="AK730" s="2048"/>
      <c r="AL730" s="2049"/>
      <c r="AM730" s="2026">
        <f t="shared" si="49"/>
        <v>0.50007930214115781</v>
      </c>
      <c r="AN730" s="2027"/>
      <c r="AO730" s="2028"/>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30" t="s">
        <v>334</v>
      </c>
      <c r="C731" s="2231"/>
      <c r="D731" s="2231"/>
      <c r="E731" s="2231"/>
      <c r="F731" s="2232"/>
      <c r="G731" s="2273">
        <v>13</v>
      </c>
      <c r="H731" s="2274"/>
      <c r="I731" s="2274"/>
      <c r="J731" s="2275"/>
      <c r="K731" s="2224">
        <v>569</v>
      </c>
      <c r="L731" s="2225"/>
      <c r="M731" s="2225"/>
      <c r="N731" s="2226"/>
      <c r="O731" s="2221">
        <v>1489</v>
      </c>
      <c r="P731" s="2222"/>
      <c r="Q731" s="2222"/>
      <c r="R731" s="2222"/>
      <c r="S731" s="2223"/>
      <c r="T731" s="2044">
        <f t="shared" si="47"/>
        <v>19357</v>
      </c>
      <c r="U731" s="2045"/>
      <c r="V731" s="2045"/>
      <c r="W731" s="2045"/>
      <c r="X731" s="2046"/>
      <c r="Y731" s="2221">
        <v>24.2</v>
      </c>
      <c r="Z731" s="2222"/>
      <c r="AA731" s="2222"/>
      <c r="AB731" s="2223"/>
      <c r="AC731" s="2044">
        <f t="shared" si="48"/>
        <v>1513.2</v>
      </c>
      <c r="AD731" s="2045"/>
      <c r="AE731" s="2045"/>
      <c r="AF731" s="2045"/>
      <c r="AG731" s="2046"/>
      <c r="AH731" s="2047">
        <v>0.6</v>
      </c>
      <c r="AI731" s="2048"/>
      <c r="AJ731" s="2048"/>
      <c r="AK731" s="2048"/>
      <c r="AL731" s="2049"/>
      <c r="AM731" s="2026">
        <f t="shared" si="49"/>
        <v>0.6</v>
      </c>
      <c r="AN731" s="2027"/>
      <c r="AO731" s="2028"/>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30" t="s">
        <v>168</v>
      </c>
      <c r="C732" s="2231"/>
      <c r="D732" s="2231"/>
      <c r="E732" s="2231"/>
      <c r="F732" s="2232"/>
      <c r="G732" s="2273">
        <v>1</v>
      </c>
      <c r="H732" s="2274"/>
      <c r="I732" s="2274"/>
      <c r="J732" s="2275"/>
      <c r="K732" s="2224">
        <v>810</v>
      </c>
      <c r="L732" s="2225"/>
      <c r="M732" s="2225"/>
      <c r="N732" s="2226"/>
      <c r="O732" s="2221">
        <v>875</v>
      </c>
      <c r="P732" s="2222"/>
      <c r="Q732" s="2222"/>
      <c r="R732" s="2222"/>
      <c r="S732" s="2223"/>
      <c r="T732" s="2044">
        <f t="shared" si="47"/>
        <v>875</v>
      </c>
      <c r="U732" s="2045"/>
      <c r="V732" s="2045"/>
      <c r="W732" s="2045"/>
      <c r="X732" s="2046"/>
      <c r="Y732" s="2221">
        <v>32.75</v>
      </c>
      <c r="Z732" s="2222"/>
      <c r="AA732" s="2222"/>
      <c r="AB732" s="2223"/>
      <c r="AC732" s="2044">
        <f t="shared" si="48"/>
        <v>907.75</v>
      </c>
      <c r="AD732" s="2045"/>
      <c r="AE732" s="2045"/>
      <c r="AF732" s="2045"/>
      <c r="AG732" s="2046"/>
      <c r="AH732" s="2047">
        <v>0.3</v>
      </c>
      <c r="AI732" s="2048"/>
      <c r="AJ732" s="2048"/>
      <c r="AK732" s="2048"/>
      <c r="AL732" s="2049"/>
      <c r="AM732" s="2026">
        <f t="shared" si="49"/>
        <v>0.29998347653668211</v>
      </c>
      <c r="AN732" s="2027"/>
      <c r="AO732" s="2028"/>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30" t="s">
        <v>168</v>
      </c>
      <c r="C733" s="2231"/>
      <c r="D733" s="2231"/>
      <c r="E733" s="2231"/>
      <c r="F733" s="2232"/>
      <c r="G733" s="2273">
        <v>2</v>
      </c>
      <c r="H733" s="2274"/>
      <c r="I733" s="2274"/>
      <c r="J733" s="2275"/>
      <c r="K733" s="2224">
        <v>810</v>
      </c>
      <c r="L733" s="2225"/>
      <c r="M733" s="2225"/>
      <c r="N733" s="2226"/>
      <c r="O733" s="2221">
        <v>1329</v>
      </c>
      <c r="P733" s="2222"/>
      <c r="Q733" s="2222"/>
      <c r="R733" s="2222"/>
      <c r="S733" s="2223"/>
      <c r="T733" s="2044">
        <f t="shared" si="47"/>
        <v>2658</v>
      </c>
      <c r="U733" s="2045"/>
      <c r="V733" s="2045"/>
      <c r="W733" s="2045"/>
      <c r="X733" s="2046"/>
      <c r="Y733" s="2221">
        <v>32.75</v>
      </c>
      <c r="Z733" s="2222"/>
      <c r="AA733" s="2222"/>
      <c r="AB733" s="2223"/>
      <c r="AC733" s="2044">
        <f t="shared" si="48"/>
        <v>1361.75</v>
      </c>
      <c r="AD733" s="2045"/>
      <c r="AE733" s="2045"/>
      <c r="AF733" s="2045"/>
      <c r="AG733" s="2046"/>
      <c r="AH733" s="2047">
        <v>0.45</v>
      </c>
      <c r="AI733" s="2048"/>
      <c r="AJ733" s="2048"/>
      <c r="AK733" s="2048"/>
      <c r="AL733" s="2049"/>
      <c r="AM733" s="2026">
        <f t="shared" si="49"/>
        <v>0.45001652346331789</v>
      </c>
      <c r="AN733" s="2027"/>
      <c r="AO733" s="2028"/>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30" t="s">
        <v>168</v>
      </c>
      <c r="C734" s="2231"/>
      <c r="D734" s="2231"/>
      <c r="E734" s="2231"/>
      <c r="F734" s="2232"/>
      <c r="G734" s="2273">
        <v>2</v>
      </c>
      <c r="H734" s="2274"/>
      <c r="I734" s="2274"/>
      <c r="J734" s="2275"/>
      <c r="K734" s="2224">
        <v>810</v>
      </c>
      <c r="L734" s="2225"/>
      <c r="M734" s="2225"/>
      <c r="N734" s="2226"/>
      <c r="O734" s="2221">
        <v>1480</v>
      </c>
      <c r="P734" s="2222"/>
      <c r="Q734" s="2222"/>
      <c r="R734" s="2222"/>
      <c r="S734" s="2223"/>
      <c r="T734" s="2044">
        <f t="shared" si="47"/>
        <v>2960</v>
      </c>
      <c r="U734" s="2045"/>
      <c r="V734" s="2045"/>
      <c r="W734" s="2045"/>
      <c r="X734" s="2046"/>
      <c r="Y734" s="2221">
        <v>32.75</v>
      </c>
      <c r="Z734" s="2222"/>
      <c r="AA734" s="2222"/>
      <c r="AB734" s="2223"/>
      <c r="AC734" s="2044">
        <f t="shared" si="48"/>
        <v>1512.75</v>
      </c>
      <c r="AD734" s="2045"/>
      <c r="AE734" s="2045"/>
      <c r="AF734" s="2045"/>
      <c r="AG734" s="2046"/>
      <c r="AH734" s="2047">
        <v>0.5</v>
      </c>
      <c r="AI734" s="2048"/>
      <c r="AJ734" s="2048"/>
      <c r="AK734" s="2048"/>
      <c r="AL734" s="2049"/>
      <c r="AM734" s="2026">
        <f t="shared" si="49"/>
        <v>0.49991738268341046</v>
      </c>
      <c r="AN734" s="2027"/>
      <c r="AO734" s="2028"/>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30" t="s">
        <v>333</v>
      </c>
      <c r="C735" s="2231"/>
      <c r="D735" s="2231"/>
      <c r="E735" s="2231"/>
      <c r="F735" s="2232"/>
      <c r="G735" s="2273">
        <v>1</v>
      </c>
      <c r="H735" s="2274"/>
      <c r="I735" s="2274"/>
      <c r="J735" s="2275"/>
      <c r="K735" s="2224">
        <v>467</v>
      </c>
      <c r="L735" s="2225"/>
      <c r="M735" s="2225"/>
      <c r="N735" s="2226"/>
      <c r="O735" s="2221">
        <v>1035</v>
      </c>
      <c r="P735" s="2222"/>
      <c r="Q735" s="2222"/>
      <c r="R735" s="2222"/>
      <c r="S735" s="2223"/>
      <c r="T735" s="2044">
        <f t="shared" si="47"/>
        <v>1035</v>
      </c>
      <c r="U735" s="2045"/>
      <c r="V735" s="2045"/>
      <c r="W735" s="2045"/>
      <c r="X735" s="2046"/>
      <c r="Y735" s="2221">
        <v>24.2</v>
      </c>
      <c r="Z735" s="2222"/>
      <c r="AA735" s="2222"/>
      <c r="AB735" s="2223"/>
      <c r="AC735" s="2044">
        <f t="shared" si="48"/>
        <v>1059.2</v>
      </c>
      <c r="AD735" s="2045"/>
      <c r="AE735" s="2045"/>
      <c r="AF735" s="2045"/>
      <c r="AG735" s="2046"/>
      <c r="AH735" s="2047">
        <v>0.45</v>
      </c>
      <c r="AI735" s="2048"/>
      <c r="AJ735" s="2048"/>
      <c r="AK735" s="2048"/>
      <c r="AL735" s="2049"/>
      <c r="AM735" s="2026">
        <f t="shared" si="49"/>
        <v>0.44995751911639764</v>
      </c>
      <c r="AN735" s="2027"/>
      <c r="AO735" s="2028"/>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30"/>
      <c r="C736" s="2231"/>
      <c r="D736" s="2231"/>
      <c r="E736" s="2231"/>
      <c r="F736" s="2232"/>
      <c r="G736" s="2273"/>
      <c r="H736" s="2274"/>
      <c r="I736" s="2274"/>
      <c r="J736" s="2275"/>
      <c r="K736" s="2224"/>
      <c r="L736" s="2225"/>
      <c r="M736" s="2225"/>
      <c r="N736" s="2226"/>
      <c r="O736" s="2221"/>
      <c r="P736" s="2222"/>
      <c r="Q736" s="2222"/>
      <c r="R736" s="2222"/>
      <c r="S736" s="2223"/>
      <c r="T736" s="2044">
        <f t="shared" si="47"/>
        <v>0</v>
      </c>
      <c r="U736" s="2045"/>
      <c r="V736" s="2045"/>
      <c r="W736" s="2045"/>
      <c r="X736" s="2046"/>
      <c r="Y736" s="2221"/>
      <c r="Z736" s="2222"/>
      <c r="AA736" s="2222"/>
      <c r="AB736" s="2223"/>
      <c r="AC736" s="2044">
        <f t="shared" si="48"/>
        <v>0</v>
      </c>
      <c r="AD736" s="2045"/>
      <c r="AE736" s="2045"/>
      <c r="AF736" s="2045"/>
      <c r="AG736" s="2046"/>
      <c r="AH736" s="2047"/>
      <c r="AI736" s="2048"/>
      <c r="AJ736" s="2048"/>
      <c r="AK736" s="2048"/>
      <c r="AL736" s="2049"/>
      <c r="AM736" s="2026" t="str">
        <f t="shared" si="49"/>
        <v xml:space="preserve"> </v>
      </c>
      <c r="AN736" s="2027"/>
      <c r="AO736" s="2028"/>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30"/>
      <c r="C737" s="2231"/>
      <c r="D737" s="2231"/>
      <c r="E737" s="2231"/>
      <c r="F737" s="2232"/>
      <c r="G737" s="2273"/>
      <c r="H737" s="2274"/>
      <c r="I737" s="2274"/>
      <c r="J737" s="2275"/>
      <c r="K737" s="2224"/>
      <c r="L737" s="2225"/>
      <c r="M737" s="2225"/>
      <c r="N737" s="2226"/>
      <c r="O737" s="2221"/>
      <c r="P737" s="2222"/>
      <c r="Q737" s="2222"/>
      <c r="R737" s="2222"/>
      <c r="S737" s="2223"/>
      <c r="T737" s="2044">
        <f t="shared" si="47"/>
        <v>0</v>
      </c>
      <c r="U737" s="2045"/>
      <c r="V737" s="2045"/>
      <c r="W737" s="2045"/>
      <c r="X737" s="2046"/>
      <c r="Y737" s="2221"/>
      <c r="Z737" s="2222"/>
      <c r="AA737" s="2222"/>
      <c r="AB737" s="2223"/>
      <c r="AC737" s="2044">
        <f t="shared" si="48"/>
        <v>0</v>
      </c>
      <c r="AD737" s="2045"/>
      <c r="AE737" s="2045"/>
      <c r="AF737" s="2045"/>
      <c r="AG737" s="2046"/>
      <c r="AH737" s="2047"/>
      <c r="AI737" s="2048"/>
      <c r="AJ737" s="2048"/>
      <c r="AK737" s="2048"/>
      <c r="AL737" s="2049"/>
      <c r="AM737" s="2026" t="str">
        <f t="shared" si="49"/>
        <v xml:space="preserve"> </v>
      </c>
      <c r="AN737" s="2027"/>
      <c r="AO737" s="2028"/>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30"/>
      <c r="C738" s="2231"/>
      <c r="D738" s="2231"/>
      <c r="E738" s="2231"/>
      <c r="F738" s="2232"/>
      <c r="G738" s="2273"/>
      <c r="H738" s="2274"/>
      <c r="I738" s="2274"/>
      <c r="J738" s="2275"/>
      <c r="K738" s="2224"/>
      <c r="L738" s="2225"/>
      <c r="M738" s="2225"/>
      <c r="N738" s="2226"/>
      <c r="O738" s="2221"/>
      <c r="P738" s="2222"/>
      <c r="Q738" s="2222"/>
      <c r="R738" s="2222"/>
      <c r="S738" s="2223"/>
      <c r="T738" s="2044">
        <f t="shared" si="47"/>
        <v>0</v>
      </c>
      <c r="U738" s="2045"/>
      <c r="V738" s="2045"/>
      <c r="W738" s="2045"/>
      <c r="X738" s="2046"/>
      <c r="Y738" s="2221"/>
      <c r="Z738" s="2222"/>
      <c r="AA738" s="2222"/>
      <c r="AB738" s="2223"/>
      <c r="AC738" s="2044">
        <f t="shared" si="48"/>
        <v>0</v>
      </c>
      <c r="AD738" s="2045"/>
      <c r="AE738" s="2045"/>
      <c r="AF738" s="2045"/>
      <c r="AG738" s="2046"/>
      <c r="AH738" s="2047"/>
      <c r="AI738" s="2048"/>
      <c r="AJ738" s="2048"/>
      <c r="AK738" s="2048"/>
      <c r="AL738" s="2049"/>
      <c r="AM738" s="2026" t="str">
        <f t="shared" si="49"/>
        <v xml:space="preserve"> </v>
      </c>
      <c r="AN738" s="2027"/>
      <c r="AO738" s="2028"/>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30"/>
      <c r="C739" s="2231"/>
      <c r="D739" s="2231"/>
      <c r="E739" s="2231"/>
      <c r="F739" s="2232"/>
      <c r="G739" s="2273"/>
      <c r="H739" s="2274"/>
      <c r="I739" s="2274"/>
      <c r="J739" s="2275"/>
      <c r="K739" s="2224"/>
      <c r="L739" s="2225"/>
      <c r="M739" s="2225"/>
      <c r="N739" s="2226"/>
      <c r="O739" s="2221"/>
      <c r="P739" s="2222"/>
      <c r="Q739" s="2222"/>
      <c r="R739" s="2222"/>
      <c r="S739" s="2223"/>
      <c r="T739" s="2044">
        <f t="shared" si="47"/>
        <v>0</v>
      </c>
      <c r="U739" s="2045"/>
      <c r="V739" s="2045"/>
      <c r="W739" s="2045"/>
      <c r="X739" s="2046"/>
      <c r="Y739" s="2221">
        <v>0</v>
      </c>
      <c r="Z739" s="2222"/>
      <c r="AA739" s="2222"/>
      <c r="AB739" s="2223"/>
      <c r="AC739" s="2044">
        <f t="shared" si="48"/>
        <v>0</v>
      </c>
      <c r="AD739" s="2045"/>
      <c r="AE739" s="2045"/>
      <c r="AF739" s="2045"/>
      <c r="AG739" s="2046"/>
      <c r="AH739" s="2047">
        <v>0</v>
      </c>
      <c r="AI739" s="2048"/>
      <c r="AJ739" s="2048"/>
      <c r="AK739" s="2048"/>
      <c r="AL739" s="2049"/>
      <c r="AM739" s="2026" t="str">
        <f t="shared" si="49"/>
        <v xml:space="preserve"> </v>
      </c>
      <c r="AN739" s="2027"/>
      <c r="AO739" s="2028"/>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30"/>
      <c r="C740" s="2231"/>
      <c r="D740" s="2231"/>
      <c r="E740" s="2231"/>
      <c r="F740" s="2232"/>
      <c r="G740" s="2273"/>
      <c r="H740" s="2274"/>
      <c r="I740" s="2274"/>
      <c r="J740" s="2275"/>
      <c r="K740" s="2224"/>
      <c r="L740" s="2225"/>
      <c r="M740" s="2225"/>
      <c r="N740" s="2226"/>
      <c r="O740" s="2221"/>
      <c r="P740" s="2222"/>
      <c r="Q740" s="2222"/>
      <c r="R740" s="2222"/>
      <c r="S740" s="2223"/>
      <c r="T740" s="2044">
        <f t="shared" si="47"/>
        <v>0</v>
      </c>
      <c r="U740" s="2045"/>
      <c r="V740" s="2045"/>
      <c r="W740" s="2045"/>
      <c r="X740" s="2046"/>
      <c r="Y740" s="2221">
        <v>0</v>
      </c>
      <c r="Z740" s="2222"/>
      <c r="AA740" s="2222"/>
      <c r="AB740" s="2223"/>
      <c r="AC740" s="2044">
        <f t="shared" si="48"/>
        <v>0</v>
      </c>
      <c r="AD740" s="2045"/>
      <c r="AE740" s="2045"/>
      <c r="AF740" s="2045"/>
      <c r="AG740" s="2046"/>
      <c r="AH740" s="2047">
        <v>0</v>
      </c>
      <c r="AI740" s="2048"/>
      <c r="AJ740" s="2048"/>
      <c r="AK740" s="2048"/>
      <c r="AL740" s="2049"/>
      <c r="AM740" s="2026" t="str">
        <f t="shared" si="49"/>
        <v xml:space="preserve"> </v>
      </c>
      <c r="AN740" s="2027"/>
      <c r="AO740" s="2028"/>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30"/>
      <c r="C741" s="2231"/>
      <c r="D741" s="2231"/>
      <c r="E741" s="2231"/>
      <c r="F741" s="2232"/>
      <c r="G741" s="2273"/>
      <c r="H741" s="2274"/>
      <c r="I741" s="2274"/>
      <c r="J741" s="2275"/>
      <c r="K741" s="2224"/>
      <c r="L741" s="2225"/>
      <c r="M741" s="2225"/>
      <c r="N741" s="2226"/>
      <c r="O741" s="2221"/>
      <c r="P741" s="2222"/>
      <c r="Q741" s="2222"/>
      <c r="R741" s="2222"/>
      <c r="S741" s="2223"/>
      <c r="T741" s="2044">
        <f t="shared" si="47"/>
        <v>0</v>
      </c>
      <c r="U741" s="2045"/>
      <c r="V741" s="2045"/>
      <c r="W741" s="2045"/>
      <c r="X741" s="2046"/>
      <c r="Y741" s="2221">
        <v>0</v>
      </c>
      <c r="Z741" s="2222"/>
      <c r="AA741" s="2222"/>
      <c r="AB741" s="2223"/>
      <c r="AC741" s="2044">
        <f t="shared" si="48"/>
        <v>0</v>
      </c>
      <c r="AD741" s="2045"/>
      <c r="AE741" s="2045"/>
      <c r="AF741" s="2045"/>
      <c r="AG741" s="2046"/>
      <c r="AH741" s="2047">
        <v>0</v>
      </c>
      <c r="AI741" s="2048"/>
      <c r="AJ741" s="2048"/>
      <c r="AK741" s="2048"/>
      <c r="AL741" s="2049"/>
      <c r="AM741" s="2026" t="str">
        <f t="shared" si="49"/>
        <v xml:space="preserve"> </v>
      </c>
      <c r="AN741" s="2027"/>
      <c r="AO741" s="2028"/>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30"/>
      <c r="C742" s="2231"/>
      <c r="D742" s="2231"/>
      <c r="E742" s="2231"/>
      <c r="F742" s="2232"/>
      <c r="G742" s="2273"/>
      <c r="H742" s="2274"/>
      <c r="I742" s="2274"/>
      <c r="J742" s="2275"/>
      <c r="K742" s="2224"/>
      <c r="L742" s="2225"/>
      <c r="M742" s="2225"/>
      <c r="N742" s="2226"/>
      <c r="O742" s="2221"/>
      <c r="P742" s="2222"/>
      <c r="Q742" s="2222"/>
      <c r="R742" s="2222"/>
      <c r="S742" s="2223"/>
      <c r="T742" s="2044">
        <f t="shared" si="47"/>
        <v>0</v>
      </c>
      <c r="U742" s="2045"/>
      <c r="V742" s="2045"/>
      <c r="W742" s="2045"/>
      <c r="X742" s="2046"/>
      <c r="Y742" s="2221">
        <v>0</v>
      </c>
      <c r="Z742" s="2222"/>
      <c r="AA742" s="2222"/>
      <c r="AB742" s="2223"/>
      <c r="AC742" s="2044">
        <f t="shared" si="48"/>
        <v>0</v>
      </c>
      <c r="AD742" s="2045"/>
      <c r="AE742" s="2045"/>
      <c r="AF742" s="2045"/>
      <c r="AG742" s="2046"/>
      <c r="AH742" s="2047">
        <v>0</v>
      </c>
      <c r="AI742" s="2048"/>
      <c r="AJ742" s="2048"/>
      <c r="AK742" s="2048"/>
      <c r="AL742" s="2049"/>
      <c r="AM742" s="2026" t="str">
        <f t="shared" si="49"/>
        <v xml:space="preserve"> </v>
      </c>
      <c r="AN742" s="2027"/>
      <c r="AO742" s="2028"/>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30"/>
      <c r="C743" s="2231"/>
      <c r="D743" s="2231"/>
      <c r="E743" s="2231"/>
      <c r="F743" s="2232"/>
      <c r="G743" s="2273"/>
      <c r="H743" s="2274"/>
      <c r="I743" s="2274"/>
      <c r="J743" s="2275"/>
      <c r="K743" s="2224"/>
      <c r="L743" s="2225"/>
      <c r="M743" s="2225"/>
      <c r="N743" s="2226"/>
      <c r="O743" s="2221"/>
      <c r="P743" s="2222"/>
      <c r="Q743" s="2222"/>
      <c r="R743" s="2222"/>
      <c r="S743" s="2223"/>
      <c r="T743" s="2044">
        <f t="shared" si="47"/>
        <v>0</v>
      </c>
      <c r="U743" s="2045"/>
      <c r="V743" s="2045"/>
      <c r="W743" s="2045"/>
      <c r="X743" s="2046"/>
      <c r="Y743" s="2221">
        <v>0</v>
      </c>
      <c r="Z743" s="2222"/>
      <c r="AA743" s="2222"/>
      <c r="AB743" s="2223"/>
      <c r="AC743" s="2044">
        <f t="shared" si="48"/>
        <v>0</v>
      </c>
      <c r="AD743" s="2045"/>
      <c r="AE743" s="2045"/>
      <c r="AF743" s="2045"/>
      <c r="AG743" s="2046"/>
      <c r="AH743" s="2047">
        <v>0</v>
      </c>
      <c r="AI743" s="2048"/>
      <c r="AJ743" s="2048"/>
      <c r="AK743" s="2048"/>
      <c r="AL743" s="2049"/>
      <c r="AM743" s="2026" t="str">
        <f t="shared" si="49"/>
        <v xml:space="preserve"> </v>
      </c>
      <c r="AN743" s="2027"/>
      <c r="AO743" s="2028"/>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30"/>
      <c r="C744" s="2231"/>
      <c r="D744" s="2231"/>
      <c r="E744" s="2231"/>
      <c r="F744" s="2232"/>
      <c r="G744" s="2273"/>
      <c r="H744" s="2274"/>
      <c r="I744" s="2274"/>
      <c r="J744" s="2275"/>
      <c r="K744" s="2224"/>
      <c r="L744" s="2225"/>
      <c r="M744" s="2225"/>
      <c r="N744" s="2226"/>
      <c r="O744" s="2221"/>
      <c r="P744" s="2222"/>
      <c r="Q744" s="2222"/>
      <c r="R744" s="2222"/>
      <c r="S744" s="2223"/>
      <c r="T744" s="2044">
        <f t="shared" si="47"/>
        <v>0</v>
      </c>
      <c r="U744" s="2045"/>
      <c r="V744" s="2045"/>
      <c r="W744" s="2045"/>
      <c r="X744" s="2046"/>
      <c r="Y744" s="2221">
        <v>0</v>
      </c>
      <c r="Z744" s="2222"/>
      <c r="AA744" s="2222"/>
      <c r="AB744" s="2223"/>
      <c r="AC744" s="2044">
        <f t="shared" si="48"/>
        <v>0</v>
      </c>
      <c r="AD744" s="2045"/>
      <c r="AE744" s="2045"/>
      <c r="AF744" s="2045"/>
      <c r="AG744" s="2046"/>
      <c r="AH744" s="2047">
        <v>0</v>
      </c>
      <c r="AI744" s="2048"/>
      <c r="AJ744" s="2048"/>
      <c r="AK744" s="2048"/>
      <c r="AL744" s="2049"/>
      <c r="AM744" s="2026" t="str">
        <f t="shared" si="49"/>
        <v xml:space="preserve"> </v>
      </c>
      <c r="AN744" s="2027"/>
      <c r="AO744" s="2028"/>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30"/>
      <c r="C745" s="2231"/>
      <c r="D745" s="2231"/>
      <c r="E745" s="2231"/>
      <c r="F745" s="2232"/>
      <c r="G745" s="2273"/>
      <c r="H745" s="2274"/>
      <c r="I745" s="2274"/>
      <c r="J745" s="2275"/>
      <c r="K745" s="2224"/>
      <c r="L745" s="2225"/>
      <c r="M745" s="2225"/>
      <c r="N745" s="2226"/>
      <c r="O745" s="2221"/>
      <c r="P745" s="2222"/>
      <c r="Q745" s="2222"/>
      <c r="R745" s="2222"/>
      <c r="S745" s="2223"/>
      <c r="T745" s="2044">
        <f t="shared" si="47"/>
        <v>0</v>
      </c>
      <c r="U745" s="2045"/>
      <c r="V745" s="2045"/>
      <c r="W745" s="2045"/>
      <c r="X745" s="2046"/>
      <c r="Y745" s="2221">
        <v>0</v>
      </c>
      <c r="Z745" s="2222"/>
      <c r="AA745" s="2222"/>
      <c r="AB745" s="2223"/>
      <c r="AC745" s="2044">
        <f t="shared" si="48"/>
        <v>0</v>
      </c>
      <c r="AD745" s="2045"/>
      <c r="AE745" s="2045"/>
      <c r="AF745" s="2045"/>
      <c r="AG745" s="2046"/>
      <c r="AH745" s="2047">
        <v>0</v>
      </c>
      <c r="AI745" s="2048"/>
      <c r="AJ745" s="2048"/>
      <c r="AK745" s="2048"/>
      <c r="AL745" s="2049"/>
      <c r="AM745" s="2026" t="str">
        <f t="shared" si="49"/>
        <v xml:space="preserve"> </v>
      </c>
      <c r="AN745" s="2027"/>
      <c r="AO745" s="2028"/>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30"/>
      <c r="C746" s="2231"/>
      <c r="D746" s="2231"/>
      <c r="E746" s="2231"/>
      <c r="F746" s="2232"/>
      <c r="G746" s="2273"/>
      <c r="H746" s="2274"/>
      <c r="I746" s="2274"/>
      <c r="J746" s="2275"/>
      <c r="K746" s="2224"/>
      <c r="L746" s="2225"/>
      <c r="M746" s="2225"/>
      <c r="N746" s="2226"/>
      <c r="O746" s="2221"/>
      <c r="P746" s="2222"/>
      <c r="Q746" s="2222"/>
      <c r="R746" s="2222"/>
      <c r="S746" s="2223"/>
      <c r="T746" s="2044">
        <f t="shared" si="47"/>
        <v>0</v>
      </c>
      <c r="U746" s="2045"/>
      <c r="V746" s="2045"/>
      <c r="W746" s="2045"/>
      <c r="X746" s="2046"/>
      <c r="Y746" s="2221">
        <v>0</v>
      </c>
      <c r="Z746" s="2222"/>
      <c r="AA746" s="2222"/>
      <c r="AB746" s="2223"/>
      <c r="AC746" s="2044">
        <f t="shared" si="48"/>
        <v>0</v>
      </c>
      <c r="AD746" s="2045"/>
      <c r="AE746" s="2045"/>
      <c r="AF746" s="2045"/>
      <c r="AG746" s="2046"/>
      <c r="AH746" s="2047">
        <v>0</v>
      </c>
      <c r="AI746" s="2048"/>
      <c r="AJ746" s="2048"/>
      <c r="AK746" s="2048"/>
      <c r="AL746" s="2049"/>
      <c r="AM746" s="2026" t="str">
        <f t="shared" si="49"/>
        <v xml:space="preserve"> </v>
      </c>
      <c r="AN746" s="2027"/>
      <c r="AO746" s="2028"/>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30"/>
      <c r="C747" s="2231"/>
      <c r="D747" s="2231"/>
      <c r="E747" s="2231"/>
      <c r="F747" s="2232"/>
      <c r="G747" s="2273"/>
      <c r="H747" s="2274"/>
      <c r="I747" s="2274"/>
      <c r="J747" s="2275"/>
      <c r="K747" s="2224"/>
      <c r="L747" s="2225"/>
      <c r="M747" s="2225"/>
      <c r="N747" s="2226"/>
      <c r="O747" s="2221"/>
      <c r="P747" s="2222"/>
      <c r="Q747" s="2222"/>
      <c r="R747" s="2222"/>
      <c r="S747" s="2223"/>
      <c r="T747" s="2044">
        <f t="shared" si="47"/>
        <v>0</v>
      </c>
      <c r="U747" s="2045"/>
      <c r="V747" s="2045"/>
      <c r="W747" s="2045"/>
      <c r="X747" s="2046"/>
      <c r="Y747" s="2221">
        <v>0</v>
      </c>
      <c r="Z747" s="2222"/>
      <c r="AA747" s="2222"/>
      <c r="AB747" s="2223"/>
      <c r="AC747" s="2044">
        <f t="shared" si="48"/>
        <v>0</v>
      </c>
      <c r="AD747" s="2045"/>
      <c r="AE747" s="2045"/>
      <c r="AF747" s="2045"/>
      <c r="AG747" s="2046"/>
      <c r="AH747" s="2047">
        <v>0</v>
      </c>
      <c r="AI747" s="2048"/>
      <c r="AJ747" s="2048"/>
      <c r="AK747" s="2048"/>
      <c r="AL747" s="2049"/>
      <c r="AM747" s="2026" t="str">
        <f t="shared" si="49"/>
        <v xml:space="preserve"> </v>
      </c>
      <c r="AN747" s="2027"/>
      <c r="AO747" s="2028"/>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30"/>
      <c r="C748" s="2231"/>
      <c r="D748" s="2231"/>
      <c r="E748" s="2231"/>
      <c r="F748" s="2232"/>
      <c r="G748" s="2273"/>
      <c r="H748" s="2274"/>
      <c r="I748" s="2274"/>
      <c r="J748" s="2275"/>
      <c r="K748" s="2224"/>
      <c r="L748" s="2225"/>
      <c r="M748" s="2225"/>
      <c r="N748" s="2226"/>
      <c r="O748" s="2221"/>
      <c r="P748" s="2222"/>
      <c r="Q748" s="2222"/>
      <c r="R748" s="2222"/>
      <c r="S748" s="2223"/>
      <c r="T748" s="2044">
        <f t="shared" si="47"/>
        <v>0</v>
      </c>
      <c r="U748" s="2045"/>
      <c r="V748" s="2045"/>
      <c r="W748" s="2045"/>
      <c r="X748" s="2046"/>
      <c r="Y748" s="2221">
        <v>0</v>
      </c>
      <c r="Z748" s="2222"/>
      <c r="AA748" s="2222"/>
      <c r="AB748" s="2223"/>
      <c r="AC748" s="2044">
        <f t="shared" si="48"/>
        <v>0</v>
      </c>
      <c r="AD748" s="2045"/>
      <c r="AE748" s="2045"/>
      <c r="AF748" s="2045"/>
      <c r="AG748" s="2046"/>
      <c r="AH748" s="2047">
        <v>0</v>
      </c>
      <c r="AI748" s="2048"/>
      <c r="AJ748" s="2048"/>
      <c r="AK748" s="2048"/>
      <c r="AL748" s="2049"/>
      <c r="AM748" s="2026" t="str">
        <f t="shared" si="49"/>
        <v xml:space="preserve"> </v>
      </c>
      <c r="AN748" s="2027"/>
      <c r="AO748" s="2028"/>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30"/>
      <c r="C749" s="2231"/>
      <c r="D749" s="2231"/>
      <c r="E749" s="2231"/>
      <c r="F749" s="2232"/>
      <c r="G749" s="2273"/>
      <c r="H749" s="2274"/>
      <c r="I749" s="2274"/>
      <c r="J749" s="2275"/>
      <c r="K749" s="2224"/>
      <c r="L749" s="2225"/>
      <c r="M749" s="2225"/>
      <c r="N749" s="2226"/>
      <c r="O749" s="2221"/>
      <c r="P749" s="2222"/>
      <c r="Q749" s="2222"/>
      <c r="R749" s="2222"/>
      <c r="S749" s="2223"/>
      <c r="T749" s="2044">
        <f t="shared" si="47"/>
        <v>0</v>
      </c>
      <c r="U749" s="2045"/>
      <c r="V749" s="2045"/>
      <c r="W749" s="2045"/>
      <c r="X749" s="2046"/>
      <c r="Y749" s="2221">
        <v>0</v>
      </c>
      <c r="Z749" s="2222"/>
      <c r="AA749" s="2222"/>
      <c r="AB749" s="2223"/>
      <c r="AC749" s="2044">
        <f t="shared" si="48"/>
        <v>0</v>
      </c>
      <c r="AD749" s="2045"/>
      <c r="AE749" s="2045"/>
      <c r="AF749" s="2045"/>
      <c r="AG749" s="2046"/>
      <c r="AH749" s="2047">
        <v>0</v>
      </c>
      <c r="AI749" s="2048"/>
      <c r="AJ749" s="2048"/>
      <c r="AK749" s="2048"/>
      <c r="AL749" s="2049"/>
      <c r="AM749" s="2026" t="str">
        <f t="shared" si="49"/>
        <v xml:space="preserve"> </v>
      </c>
      <c r="AN749" s="2027"/>
      <c r="AO749" s="2028"/>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30"/>
      <c r="C750" s="2231"/>
      <c r="D750" s="2231"/>
      <c r="E750" s="2231"/>
      <c r="F750" s="2232"/>
      <c r="G750" s="2273"/>
      <c r="H750" s="2274"/>
      <c r="I750" s="2274"/>
      <c r="J750" s="2275"/>
      <c r="K750" s="2224"/>
      <c r="L750" s="2225"/>
      <c r="M750" s="2225"/>
      <c r="N750" s="2226"/>
      <c r="O750" s="2221"/>
      <c r="P750" s="2222"/>
      <c r="Q750" s="2222"/>
      <c r="R750" s="2222"/>
      <c r="S750" s="2223"/>
      <c r="T750" s="2044">
        <f t="shared" si="47"/>
        <v>0</v>
      </c>
      <c r="U750" s="2045"/>
      <c r="V750" s="2045"/>
      <c r="W750" s="2045"/>
      <c r="X750" s="2046"/>
      <c r="Y750" s="2221">
        <v>0</v>
      </c>
      <c r="Z750" s="2222"/>
      <c r="AA750" s="2222"/>
      <c r="AB750" s="2223"/>
      <c r="AC750" s="2044">
        <f t="shared" si="48"/>
        <v>0</v>
      </c>
      <c r="AD750" s="2045"/>
      <c r="AE750" s="2045"/>
      <c r="AF750" s="2045"/>
      <c r="AG750" s="2046"/>
      <c r="AH750" s="2047">
        <v>0</v>
      </c>
      <c r="AI750" s="2048"/>
      <c r="AJ750" s="2048"/>
      <c r="AK750" s="2048"/>
      <c r="AL750" s="2049"/>
      <c r="AM750" s="2026" t="str">
        <f t="shared" si="49"/>
        <v xml:space="preserve"> </v>
      </c>
      <c r="AN750" s="2027"/>
      <c r="AO750" s="2028"/>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30"/>
      <c r="C751" s="2231"/>
      <c r="D751" s="2231"/>
      <c r="E751" s="2231"/>
      <c r="F751" s="2232"/>
      <c r="G751" s="2273"/>
      <c r="H751" s="2274"/>
      <c r="I751" s="2274"/>
      <c r="J751" s="2275"/>
      <c r="K751" s="2224"/>
      <c r="L751" s="2225"/>
      <c r="M751" s="2225"/>
      <c r="N751" s="2226"/>
      <c r="O751" s="2221"/>
      <c r="P751" s="2222"/>
      <c r="Q751" s="2222"/>
      <c r="R751" s="2222"/>
      <c r="S751" s="2223"/>
      <c r="T751" s="2044">
        <f t="shared" si="47"/>
        <v>0</v>
      </c>
      <c r="U751" s="2045"/>
      <c r="V751" s="2045"/>
      <c r="W751" s="2045"/>
      <c r="X751" s="2046"/>
      <c r="Y751" s="2221">
        <v>0</v>
      </c>
      <c r="Z751" s="2222"/>
      <c r="AA751" s="2222"/>
      <c r="AB751" s="2223"/>
      <c r="AC751" s="2044">
        <f t="shared" si="48"/>
        <v>0</v>
      </c>
      <c r="AD751" s="2045"/>
      <c r="AE751" s="2045"/>
      <c r="AF751" s="2045"/>
      <c r="AG751" s="2046"/>
      <c r="AH751" s="2047">
        <v>0</v>
      </c>
      <c r="AI751" s="2048"/>
      <c r="AJ751" s="2048"/>
      <c r="AK751" s="2048"/>
      <c r="AL751" s="2049"/>
      <c r="AM751" s="2026" t="str">
        <f t="shared" si="49"/>
        <v xml:space="preserve"> </v>
      </c>
      <c r="AN751" s="2027"/>
      <c r="AO751" s="2028"/>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30"/>
      <c r="C752" s="2231"/>
      <c r="D752" s="2231"/>
      <c r="E752" s="2231"/>
      <c r="F752" s="2232"/>
      <c r="G752" s="2273"/>
      <c r="H752" s="2274"/>
      <c r="I752" s="2274"/>
      <c r="J752" s="2275"/>
      <c r="K752" s="2224"/>
      <c r="L752" s="2225"/>
      <c r="M752" s="2225"/>
      <c r="N752" s="2226"/>
      <c r="O752" s="2221"/>
      <c r="P752" s="2222"/>
      <c r="Q752" s="2222"/>
      <c r="R752" s="2222"/>
      <c r="S752" s="2223"/>
      <c r="T752" s="2044">
        <f t="shared" si="47"/>
        <v>0</v>
      </c>
      <c r="U752" s="2045"/>
      <c r="V752" s="2045"/>
      <c r="W752" s="2045"/>
      <c r="X752" s="2046"/>
      <c r="Y752" s="2221">
        <v>0</v>
      </c>
      <c r="Z752" s="2222"/>
      <c r="AA752" s="2222"/>
      <c r="AB752" s="2223"/>
      <c r="AC752" s="2044">
        <f t="shared" si="48"/>
        <v>0</v>
      </c>
      <c r="AD752" s="2045"/>
      <c r="AE752" s="2045"/>
      <c r="AF752" s="2045"/>
      <c r="AG752" s="2046"/>
      <c r="AH752" s="2047">
        <v>0</v>
      </c>
      <c r="AI752" s="2048"/>
      <c r="AJ752" s="2048"/>
      <c r="AK752" s="2048"/>
      <c r="AL752" s="2049"/>
      <c r="AM752" s="2026" t="str">
        <f t="shared" si="49"/>
        <v xml:space="preserve"> </v>
      </c>
      <c r="AN752" s="2027"/>
      <c r="AO752" s="2028"/>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28" t="s">
        <v>130</v>
      </c>
      <c r="C753" s="2329"/>
      <c r="D753" s="2329"/>
      <c r="E753" s="2329"/>
      <c r="F753" s="2330"/>
      <c r="G753" s="2435">
        <f>SUM(G728:J752)</f>
        <v>64</v>
      </c>
      <c r="H753" s="2436"/>
      <c r="I753" s="2436"/>
      <c r="J753" s="2437"/>
      <c r="O753" s="1584" t="s">
        <v>129</v>
      </c>
      <c r="P753" s="1585"/>
      <c r="Q753" s="1585"/>
      <c r="R753" s="1585"/>
      <c r="S753" s="1586"/>
      <c r="T753" s="2044">
        <f>SUM(T728:X752)</f>
        <v>70937</v>
      </c>
      <c r="U753" s="2045"/>
      <c r="V753" s="2045"/>
      <c r="W753" s="2045"/>
      <c r="X753" s="2046"/>
      <c r="AC753" s="1588" t="s">
        <v>969</v>
      </c>
      <c r="AD753" s="1587"/>
      <c r="AE753" s="1587"/>
      <c r="AF753" s="1587"/>
      <c r="AG753" s="1589"/>
      <c r="AH753" s="2310">
        <f>BI696</f>
        <v>0.44296874999999997</v>
      </c>
      <c r="AI753" s="2311"/>
      <c r="AJ753" s="2311"/>
      <c r="AK753" s="2311"/>
      <c r="AL753" s="2312"/>
      <c r="AM753" s="2310">
        <f>BI728</f>
        <v>0.44294841528078643</v>
      </c>
      <c r="AN753" s="2311"/>
      <c r="AO753" s="2312"/>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324" t="s">
        <v>626</v>
      </c>
      <c r="AG755" s="2324"/>
      <c r="AH755" s="2324"/>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53" t="s">
        <v>407</v>
      </c>
      <c r="K768" s="2254"/>
      <c r="L768" s="2254"/>
      <c r="M768" s="2254"/>
      <c r="N768" s="2255"/>
      <c r="O768" s="2374" t="s">
        <v>291</v>
      </c>
      <c r="P768" s="2374"/>
      <c r="Q768" s="2374"/>
      <c r="R768" s="2374"/>
      <c r="S768" s="2374"/>
      <c r="T768" s="2262" t="s">
        <v>2157</v>
      </c>
      <c r="U768" s="2263"/>
      <c r="V768" s="2263"/>
      <c r="W768" s="2264"/>
      <c r="X768" s="2253" t="s">
        <v>478</v>
      </c>
      <c r="Y768" s="2254"/>
      <c r="Z768" s="2254"/>
      <c r="AA768" s="2254"/>
      <c r="AB768" s="2255"/>
      <c r="AC768" s="2253" t="s">
        <v>292</v>
      </c>
      <c r="AD768" s="2254"/>
      <c r="AE768" s="2254"/>
      <c r="AF768" s="2254"/>
      <c r="AG768" s="2255"/>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56"/>
      <c r="K769" s="2257"/>
      <c r="L769" s="2257"/>
      <c r="M769" s="2257"/>
      <c r="N769" s="2258"/>
      <c r="O769" s="2374"/>
      <c r="P769" s="2374"/>
      <c r="Q769" s="2374"/>
      <c r="R769" s="2374"/>
      <c r="S769" s="2374"/>
      <c r="T769" s="2265"/>
      <c r="U769" s="2266"/>
      <c r="V769" s="2266"/>
      <c r="W769" s="2267"/>
      <c r="X769" s="2256"/>
      <c r="Y769" s="2257"/>
      <c r="Z769" s="2257"/>
      <c r="AA769" s="2257"/>
      <c r="AB769" s="2258"/>
      <c r="AC769" s="2256"/>
      <c r="AD769" s="2257"/>
      <c r="AE769" s="2257"/>
      <c r="AF769" s="2257"/>
      <c r="AG769" s="2258"/>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56"/>
      <c r="K770" s="2257"/>
      <c r="L770" s="2257"/>
      <c r="M770" s="2257"/>
      <c r="N770" s="2258"/>
      <c r="O770" s="2374"/>
      <c r="P770" s="2374"/>
      <c r="Q770" s="2374"/>
      <c r="R770" s="2374"/>
      <c r="S770" s="2374"/>
      <c r="T770" s="2265"/>
      <c r="U770" s="2266"/>
      <c r="V770" s="2266"/>
      <c r="W770" s="2267"/>
      <c r="X770" s="2256"/>
      <c r="Y770" s="2257"/>
      <c r="Z770" s="2257"/>
      <c r="AA770" s="2257"/>
      <c r="AB770" s="2258"/>
      <c r="AC770" s="2256"/>
      <c r="AD770" s="2257"/>
      <c r="AE770" s="2257"/>
      <c r="AF770" s="2257"/>
      <c r="AG770" s="2258"/>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59"/>
      <c r="K771" s="2260"/>
      <c r="L771" s="2260"/>
      <c r="M771" s="2260"/>
      <c r="N771" s="2261"/>
      <c r="O771" s="2374"/>
      <c r="P771" s="2374"/>
      <c r="Q771" s="2374"/>
      <c r="R771" s="2374"/>
      <c r="S771" s="2374"/>
      <c r="T771" s="2268"/>
      <c r="U771" s="2269"/>
      <c r="V771" s="2269"/>
      <c r="W771" s="2270"/>
      <c r="X771" s="2259"/>
      <c r="Y771" s="2260"/>
      <c r="Z771" s="2260"/>
      <c r="AA771" s="2260"/>
      <c r="AB771" s="2261"/>
      <c r="AC771" s="2259"/>
      <c r="AD771" s="2260"/>
      <c r="AE771" s="2260"/>
      <c r="AF771" s="2260"/>
      <c r="AG771" s="2261"/>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30" t="s">
        <v>168</v>
      </c>
      <c r="K772" s="2231"/>
      <c r="L772" s="2231"/>
      <c r="M772" s="2231"/>
      <c r="N772" s="2232"/>
      <c r="O772" s="2233">
        <v>1</v>
      </c>
      <c r="P772" s="2233"/>
      <c r="Q772" s="2233"/>
      <c r="R772" s="2233"/>
      <c r="S772" s="2233"/>
      <c r="T772" s="2224">
        <v>831</v>
      </c>
      <c r="U772" s="2225"/>
      <c r="V772" s="2225"/>
      <c r="W772" s="2226"/>
      <c r="X772" s="2221"/>
      <c r="Y772" s="2222"/>
      <c r="Z772" s="2222"/>
      <c r="AA772" s="2222"/>
      <c r="AB772" s="2223"/>
      <c r="AC772" s="2044">
        <f>X772*O772</f>
        <v>0</v>
      </c>
      <c r="AD772" s="2045"/>
      <c r="AE772" s="2045"/>
      <c r="AF772" s="2045"/>
      <c r="AG772" s="2046"/>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30"/>
      <c r="K773" s="2231"/>
      <c r="L773" s="2231"/>
      <c r="M773" s="2231"/>
      <c r="N773" s="2232"/>
      <c r="O773" s="2233"/>
      <c r="P773" s="2233"/>
      <c r="Q773" s="2233"/>
      <c r="R773" s="2233"/>
      <c r="S773" s="2233"/>
      <c r="T773" s="2224"/>
      <c r="U773" s="2225"/>
      <c r="V773" s="2225"/>
      <c r="W773" s="2226"/>
      <c r="X773" s="2221"/>
      <c r="Y773" s="2222"/>
      <c r="Z773" s="2222"/>
      <c r="AA773" s="2222"/>
      <c r="AB773" s="2223"/>
      <c r="AC773" s="2044">
        <f>X773*O773</f>
        <v>0</v>
      </c>
      <c r="AD773" s="2045"/>
      <c r="AE773" s="2045"/>
      <c r="AF773" s="2045"/>
      <c r="AG773" s="2046"/>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30"/>
      <c r="K774" s="2231"/>
      <c r="L774" s="2231"/>
      <c r="M774" s="2231"/>
      <c r="N774" s="2232"/>
      <c r="O774" s="2233"/>
      <c r="P774" s="2233"/>
      <c r="Q774" s="2233"/>
      <c r="R774" s="2233"/>
      <c r="S774" s="2233"/>
      <c r="T774" s="2224"/>
      <c r="U774" s="2225"/>
      <c r="V774" s="2225"/>
      <c r="W774" s="2226"/>
      <c r="X774" s="2221"/>
      <c r="Y774" s="2222"/>
      <c r="Z774" s="2222"/>
      <c r="AA774" s="2222"/>
      <c r="AB774" s="2223"/>
      <c r="AC774" s="2044">
        <f>X774*O774</f>
        <v>0</v>
      </c>
      <c r="AD774" s="2045"/>
      <c r="AE774" s="2045"/>
      <c r="AF774" s="2045"/>
      <c r="AG774" s="2046"/>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30"/>
      <c r="K775" s="2231"/>
      <c r="L775" s="2231"/>
      <c r="M775" s="2231"/>
      <c r="N775" s="2232"/>
      <c r="O775" s="2233"/>
      <c r="P775" s="2233"/>
      <c r="Q775" s="2233"/>
      <c r="R775" s="2233"/>
      <c r="S775" s="2233"/>
      <c r="T775" s="2224"/>
      <c r="U775" s="2225"/>
      <c r="V775" s="2225"/>
      <c r="W775" s="2226"/>
      <c r="X775" s="2221"/>
      <c r="Y775" s="2222"/>
      <c r="Z775" s="2222"/>
      <c r="AA775" s="2222"/>
      <c r="AB775" s="2223"/>
      <c r="AC775" s="2044">
        <f>X775*O775</f>
        <v>0</v>
      </c>
      <c r="AD775" s="2045"/>
      <c r="AE775" s="2045"/>
      <c r="AF775" s="2045"/>
      <c r="AG775" s="2046"/>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28" t="s">
        <v>130</v>
      </c>
      <c r="K776" s="2329"/>
      <c r="L776" s="2329"/>
      <c r="M776" s="2329"/>
      <c r="N776" s="2330"/>
      <c r="O776" s="2313">
        <f>SUM(O772:S775)</f>
        <v>1</v>
      </c>
      <c r="P776" s="2314"/>
      <c r="Q776" s="2314"/>
      <c r="R776" s="2314"/>
      <c r="S776" s="2315"/>
      <c r="X776" s="2250" t="s">
        <v>129</v>
      </c>
      <c r="Y776" s="2251"/>
      <c r="Z776" s="2251"/>
      <c r="AA776" s="2251"/>
      <c r="AB776" s="2252"/>
      <c r="AC776" s="2044">
        <f>SUM(AC772:AG775)</f>
        <v>0</v>
      </c>
      <c r="AD776" s="2045"/>
      <c r="AE776" s="2045"/>
      <c r="AF776" s="2045"/>
      <c r="AG776" s="2046"/>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3" t="s">
        <v>706</v>
      </c>
      <c r="K778" s="2343"/>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53" t="s">
        <v>407</v>
      </c>
      <c r="K782" s="2254"/>
      <c r="L782" s="2254"/>
      <c r="M782" s="2254"/>
      <c r="N782" s="2255"/>
      <c r="O782" s="2374" t="s">
        <v>291</v>
      </c>
      <c r="P782" s="2374"/>
      <c r="Q782" s="2374"/>
      <c r="R782" s="2374"/>
      <c r="S782" s="2374"/>
      <c r="T782" s="2262" t="s">
        <v>2157</v>
      </c>
      <c r="U782" s="2263"/>
      <c r="V782" s="2263"/>
      <c r="W782" s="2264"/>
      <c r="X782" s="2253" t="s">
        <v>478</v>
      </c>
      <c r="Y782" s="2254"/>
      <c r="Z782" s="2254"/>
      <c r="AA782" s="2254"/>
      <c r="AB782" s="2255"/>
      <c r="AC782" s="2253" t="s">
        <v>292</v>
      </c>
      <c r="AD782" s="2254"/>
      <c r="AE782" s="2254"/>
      <c r="AF782" s="2254"/>
      <c r="AG782" s="2255"/>
      <c r="AH782" s="2429" t="s">
        <v>2397</v>
      </c>
      <c r="AI782" s="2254"/>
      <c r="AJ782" s="2254"/>
      <c r="AK782" s="2254"/>
      <c r="AL782" s="225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56"/>
      <c r="K783" s="2257"/>
      <c r="L783" s="2257"/>
      <c r="M783" s="2257"/>
      <c r="N783" s="2258"/>
      <c r="O783" s="2374"/>
      <c r="P783" s="2374"/>
      <c r="Q783" s="2374"/>
      <c r="R783" s="2374"/>
      <c r="S783" s="2374"/>
      <c r="T783" s="2265"/>
      <c r="U783" s="2266"/>
      <c r="V783" s="2266"/>
      <c r="W783" s="2267"/>
      <c r="X783" s="2256"/>
      <c r="Y783" s="2257"/>
      <c r="Z783" s="2257"/>
      <c r="AA783" s="2257"/>
      <c r="AB783" s="2258"/>
      <c r="AC783" s="2256"/>
      <c r="AD783" s="2257"/>
      <c r="AE783" s="2257"/>
      <c r="AF783" s="2257"/>
      <c r="AG783" s="2258"/>
      <c r="AH783" s="2256"/>
      <c r="AI783" s="2257"/>
      <c r="AJ783" s="2257"/>
      <c r="AK783" s="2257"/>
      <c r="AL783" s="225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56"/>
      <c r="K784" s="2257"/>
      <c r="L784" s="2257"/>
      <c r="M784" s="2257"/>
      <c r="N784" s="2258"/>
      <c r="O784" s="2374"/>
      <c r="P784" s="2374"/>
      <c r="Q784" s="2374"/>
      <c r="R784" s="2374"/>
      <c r="S784" s="2374"/>
      <c r="T784" s="2265"/>
      <c r="U784" s="2266"/>
      <c r="V784" s="2266"/>
      <c r="W784" s="2267"/>
      <c r="X784" s="2256"/>
      <c r="Y784" s="2257"/>
      <c r="Z784" s="2257"/>
      <c r="AA784" s="2257"/>
      <c r="AB784" s="2258"/>
      <c r="AC784" s="2256"/>
      <c r="AD784" s="2257"/>
      <c r="AE784" s="2257"/>
      <c r="AF784" s="2257"/>
      <c r="AG784" s="2258"/>
      <c r="AH784" s="2256"/>
      <c r="AI784" s="2257"/>
      <c r="AJ784" s="2257"/>
      <c r="AK784" s="2257"/>
      <c r="AL784" s="225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59"/>
      <c r="K785" s="2260"/>
      <c r="L785" s="2260"/>
      <c r="M785" s="2260"/>
      <c r="N785" s="2261"/>
      <c r="O785" s="2374"/>
      <c r="P785" s="2374"/>
      <c r="Q785" s="2374"/>
      <c r="R785" s="2374"/>
      <c r="S785" s="2374"/>
      <c r="T785" s="2268"/>
      <c r="U785" s="2269"/>
      <c r="V785" s="2269"/>
      <c r="W785" s="2270"/>
      <c r="X785" s="2259"/>
      <c r="Y785" s="2260"/>
      <c r="Z785" s="2260"/>
      <c r="AA785" s="2260"/>
      <c r="AB785" s="2261"/>
      <c r="AC785" s="2259"/>
      <c r="AD785" s="2260"/>
      <c r="AE785" s="2260"/>
      <c r="AF785" s="2260"/>
      <c r="AG785" s="2261"/>
      <c r="AH785" s="2259"/>
      <c r="AI785" s="2260"/>
      <c r="AJ785" s="2260"/>
      <c r="AK785" s="2260"/>
      <c r="AL785" s="226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30"/>
      <c r="K786" s="2231"/>
      <c r="L786" s="2231"/>
      <c r="M786" s="2231"/>
      <c r="N786" s="2232"/>
      <c r="O786" s="2233"/>
      <c r="P786" s="2233"/>
      <c r="Q786" s="2233"/>
      <c r="R786" s="2233"/>
      <c r="S786" s="2233"/>
      <c r="T786" s="2224"/>
      <c r="U786" s="2225"/>
      <c r="V786" s="2225"/>
      <c r="W786" s="2226"/>
      <c r="X786" s="2221"/>
      <c r="Y786" s="2222"/>
      <c r="Z786" s="2222"/>
      <c r="AA786" s="2222"/>
      <c r="AB786" s="2223"/>
      <c r="AC786" s="2044">
        <f t="shared" ref="AC786:AC795" si="50">X786*O786</f>
        <v>0</v>
      </c>
      <c r="AD786" s="2045"/>
      <c r="AE786" s="2045"/>
      <c r="AF786" s="2045"/>
      <c r="AG786" s="2046"/>
      <c r="AH786" s="2047"/>
      <c r="AI786" s="2048"/>
      <c r="AJ786" s="2048"/>
      <c r="AK786" s="2048"/>
      <c r="AL786" s="204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30"/>
      <c r="K787" s="2231"/>
      <c r="L787" s="2231"/>
      <c r="M787" s="2231"/>
      <c r="N787" s="2232"/>
      <c r="O787" s="2233"/>
      <c r="P787" s="2233"/>
      <c r="Q787" s="2233"/>
      <c r="R787" s="2233"/>
      <c r="S787" s="2233"/>
      <c r="T787" s="2224"/>
      <c r="U787" s="2225"/>
      <c r="V787" s="2225"/>
      <c r="W787" s="2226"/>
      <c r="X787" s="2221"/>
      <c r="Y787" s="2222"/>
      <c r="Z787" s="2222"/>
      <c r="AA787" s="2222"/>
      <c r="AB787" s="2223"/>
      <c r="AC787" s="2044">
        <f t="shared" si="50"/>
        <v>0</v>
      </c>
      <c r="AD787" s="2045"/>
      <c r="AE787" s="2045"/>
      <c r="AF787" s="2045"/>
      <c r="AG787" s="2046"/>
      <c r="AH787" s="2047"/>
      <c r="AI787" s="2048"/>
      <c r="AJ787" s="2048"/>
      <c r="AK787" s="2048"/>
      <c r="AL787" s="204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30"/>
      <c r="K788" s="2231"/>
      <c r="L788" s="2231"/>
      <c r="M788" s="2231"/>
      <c r="N788" s="2232"/>
      <c r="O788" s="2233"/>
      <c r="P788" s="2233"/>
      <c r="Q788" s="2233"/>
      <c r="R788" s="2233"/>
      <c r="S788" s="2233"/>
      <c r="T788" s="2224"/>
      <c r="U788" s="2225"/>
      <c r="V788" s="2225"/>
      <c r="W788" s="2226"/>
      <c r="X788" s="2221"/>
      <c r="Y788" s="2222"/>
      <c r="Z788" s="2222"/>
      <c r="AA788" s="2222"/>
      <c r="AB788" s="2223"/>
      <c r="AC788" s="2044">
        <f t="shared" si="50"/>
        <v>0</v>
      </c>
      <c r="AD788" s="2045"/>
      <c r="AE788" s="2045"/>
      <c r="AF788" s="2045"/>
      <c r="AG788" s="2046"/>
      <c r="AH788" s="2047"/>
      <c r="AI788" s="2048"/>
      <c r="AJ788" s="2048"/>
      <c r="AK788" s="2048"/>
      <c r="AL788" s="204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30"/>
      <c r="K789" s="2231"/>
      <c r="L789" s="2231"/>
      <c r="M789" s="2231"/>
      <c r="N789" s="2232"/>
      <c r="O789" s="2233"/>
      <c r="P789" s="2233"/>
      <c r="Q789" s="2233"/>
      <c r="R789" s="2233"/>
      <c r="S789" s="2233"/>
      <c r="T789" s="2224"/>
      <c r="U789" s="2225"/>
      <c r="V789" s="2225"/>
      <c r="W789" s="2226"/>
      <c r="X789" s="2221"/>
      <c r="Y789" s="2222"/>
      <c r="Z789" s="2222"/>
      <c r="AA789" s="2222"/>
      <c r="AB789" s="2223"/>
      <c r="AC789" s="2044">
        <f t="shared" si="50"/>
        <v>0</v>
      </c>
      <c r="AD789" s="2045"/>
      <c r="AE789" s="2045"/>
      <c r="AF789" s="2045"/>
      <c r="AG789" s="2046"/>
      <c r="AH789" s="2047"/>
      <c r="AI789" s="2048"/>
      <c r="AJ789" s="2048"/>
      <c r="AK789" s="2048"/>
      <c r="AL789" s="204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30"/>
      <c r="K790" s="2231"/>
      <c r="L790" s="2231"/>
      <c r="M790" s="2231"/>
      <c r="N790" s="2232"/>
      <c r="O790" s="2233"/>
      <c r="P790" s="2233"/>
      <c r="Q790" s="2233"/>
      <c r="R790" s="2233"/>
      <c r="S790" s="2233"/>
      <c r="T790" s="2224"/>
      <c r="U790" s="2225"/>
      <c r="V790" s="2225"/>
      <c r="W790" s="2226"/>
      <c r="X790" s="2221"/>
      <c r="Y790" s="2222"/>
      <c r="Z790" s="2222"/>
      <c r="AA790" s="2222"/>
      <c r="AB790" s="2223"/>
      <c r="AC790" s="2044">
        <f t="shared" si="50"/>
        <v>0</v>
      </c>
      <c r="AD790" s="2045"/>
      <c r="AE790" s="2045"/>
      <c r="AF790" s="2045"/>
      <c r="AG790" s="2046"/>
      <c r="AH790" s="2047"/>
      <c r="AI790" s="2048"/>
      <c r="AJ790" s="2048"/>
      <c r="AK790" s="2048"/>
      <c r="AL790" s="204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30"/>
      <c r="K791" s="2231"/>
      <c r="L791" s="2231"/>
      <c r="M791" s="2231"/>
      <c r="N791" s="2232"/>
      <c r="O791" s="2233"/>
      <c r="P791" s="2233"/>
      <c r="Q791" s="2233"/>
      <c r="R791" s="2233"/>
      <c r="S791" s="2233"/>
      <c r="T791" s="2224"/>
      <c r="U791" s="2225"/>
      <c r="V791" s="2225"/>
      <c r="W791" s="2226"/>
      <c r="X791" s="2221"/>
      <c r="Y791" s="2222"/>
      <c r="Z791" s="2222"/>
      <c r="AA791" s="2222"/>
      <c r="AB791" s="2223"/>
      <c r="AC791" s="2044">
        <f t="shared" si="50"/>
        <v>0</v>
      </c>
      <c r="AD791" s="2045"/>
      <c r="AE791" s="2045"/>
      <c r="AF791" s="2045"/>
      <c r="AG791" s="2046"/>
      <c r="AH791" s="2047"/>
      <c r="AI791" s="2048"/>
      <c r="AJ791" s="2048"/>
      <c r="AK791" s="2048"/>
      <c r="AL791" s="204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30"/>
      <c r="K792" s="2231"/>
      <c r="L792" s="2231"/>
      <c r="M792" s="2231"/>
      <c r="N792" s="2232"/>
      <c r="O792" s="2233"/>
      <c r="P792" s="2233"/>
      <c r="Q792" s="2233"/>
      <c r="R792" s="2233"/>
      <c r="S792" s="2233"/>
      <c r="T792" s="2224"/>
      <c r="U792" s="2225"/>
      <c r="V792" s="2225"/>
      <c r="W792" s="2226"/>
      <c r="X792" s="2221"/>
      <c r="Y792" s="2222"/>
      <c r="Z792" s="2222"/>
      <c r="AA792" s="2222"/>
      <c r="AB792" s="2223"/>
      <c r="AC792" s="2044">
        <f t="shared" si="50"/>
        <v>0</v>
      </c>
      <c r="AD792" s="2045"/>
      <c r="AE792" s="2045"/>
      <c r="AF792" s="2045"/>
      <c r="AG792" s="2046"/>
      <c r="AH792" s="2047"/>
      <c r="AI792" s="2048"/>
      <c r="AJ792" s="2048"/>
      <c r="AK792" s="2048"/>
      <c r="AL792" s="204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30"/>
      <c r="K793" s="2231"/>
      <c r="L793" s="2231"/>
      <c r="M793" s="2231"/>
      <c r="N793" s="2232"/>
      <c r="O793" s="2233"/>
      <c r="P793" s="2233"/>
      <c r="Q793" s="2233"/>
      <c r="R793" s="2233"/>
      <c r="S793" s="2233"/>
      <c r="T793" s="2224"/>
      <c r="U793" s="2225"/>
      <c r="V793" s="2225"/>
      <c r="W793" s="2226"/>
      <c r="X793" s="2221"/>
      <c r="Y793" s="2222"/>
      <c r="Z793" s="2222"/>
      <c r="AA793" s="2222"/>
      <c r="AB793" s="2223"/>
      <c r="AC793" s="2044">
        <f t="shared" si="50"/>
        <v>0</v>
      </c>
      <c r="AD793" s="2045"/>
      <c r="AE793" s="2045"/>
      <c r="AF793" s="2045"/>
      <c r="AG793" s="2046"/>
      <c r="AH793" s="2047"/>
      <c r="AI793" s="2048"/>
      <c r="AJ793" s="2048"/>
      <c r="AK793" s="2048"/>
      <c r="AL793" s="204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30"/>
      <c r="K794" s="2231"/>
      <c r="L794" s="2231"/>
      <c r="M794" s="2231"/>
      <c r="N794" s="2232"/>
      <c r="O794" s="2233"/>
      <c r="P794" s="2233"/>
      <c r="Q794" s="2233"/>
      <c r="R794" s="2233"/>
      <c r="S794" s="2233"/>
      <c r="T794" s="2224"/>
      <c r="U794" s="2225"/>
      <c r="V794" s="2225"/>
      <c r="W794" s="2226"/>
      <c r="X794" s="2221"/>
      <c r="Y794" s="2222"/>
      <c r="Z794" s="2222"/>
      <c r="AA794" s="2222"/>
      <c r="AB794" s="2223"/>
      <c r="AC794" s="2044">
        <f t="shared" si="50"/>
        <v>0</v>
      </c>
      <c r="AD794" s="2045"/>
      <c r="AE794" s="2045"/>
      <c r="AF794" s="2045"/>
      <c r="AG794" s="2046"/>
      <c r="AH794" s="2047"/>
      <c r="AI794" s="2048"/>
      <c r="AJ794" s="2048"/>
      <c r="AK794" s="2048"/>
      <c r="AL794" s="204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30"/>
      <c r="K795" s="2231"/>
      <c r="L795" s="2231"/>
      <c r="M795" s="2231"/>
      <c r="N795" s="2232"/>
      <c r="O795" s="2233"/>
      <c r="P795" s="2233"/>
      <c r="Q795" s="2233"/>
      <c r="R795" s="2233"/>
      <c r="S795" s="2233"/>
      <c r="T795" s="2224"/>
      <c r="U795" s="2225"/>
      <c r="V795" s="2225"/>
      <c r="W795" s="2226"/>
      <c r="X795" s="2221"/>
      <c r="Y795" s="2222"/>
      <c r="Z795" s="2222"/>
      <c r="AA795" s="2222"/>
      <c r="AB795" s="2223"/>
      <c r="AC795" s="2044">
        <f t="shared" si="50"/>
        <v>0</v>
      </c>
      <c r="AD795" s="2045"/>
      <c r="AE795" s="2045"/>
      <c r="AF795" s="2045"/>
      <c r="AG795" s="2046"/>
      <c r="AH795" s="2047"/>
      <c r="AI795" s="2048"/>
      <c r="AJ795" s="2048"/>
      <c r="AK795" s="2048"/>
      <c r="AL795" s="204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28" t="s">
        <v>130</v>
      </c>
      <c r="K796" s="2329"/>
      <c r="L796" s="2329"/>
      <c r="M796" s="2329"/>
      <c r="N796" s="2330"/>
      <c r="O796" s="2438">
        <f>SUM(O786:S795)</f>
        <v>0</v>
      </c>
      <c r="P796" s="2438"/>
      <c r="Q796" s="2438"/>
      <c r="R796" s="2438"/>
      <c r="S796" s="2438"/>
      <c r="X796" s="1601" t="s">
        <v>129</v>
      </c>
      <c r="Y796" s="1602"/>
      <c r="Z796" s="1602"/>
      <c r="AA796" s="1602"/>
      <c r="AB796" s="1603"/>
      <c r="AC796" s="2044">
        <f>SUM(AC786:AG795)</f>
        <v>0</v>
      </c>
      <c r="AD796" s="2045"/>
      <c r="AE796" s="2045"/>
      <c r="AF796" s="2045"/>
      <c r="AG796" s="204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36">
        <f>T753+AC776+AC796</f>
        <v>70937</v>
      </c>
      <c r="Z798" s="2336"/>
      <c r="AA798" s="2336"/>
      <c r="AB798" s="2336"/>
      <c r="AC798" s="233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36">
        <f>(T753+AC776+AC796)*12</f>
        <v>851244</v>
      </c>
      <c r="Z799" s="2336"/>
      <c r="AA799" s="2336"/>
      <c r="AB799" s="2336"/>
      <c r="AC799" s="2336"/>
      <c r="AZ799" s="58"/>
      <c r="BA799" s="51" t="s">
        <v>667</v>
      </c>
      <c r="BB799" s="51"/>
      <c r="BC799" s="51"/>
      <c r="BD799" s="51"/>
      <c r="BE799" s="51"/>
      <c r="BF799" s="51"/>
      <c r="BG799" s="51"/>
      <c r="BH799" s="51"/>
      <c r="BI799" s="51"/>
      <c r="BJ799" s="51"/>
      <c r="BK799" s="51"/>
      <c r="BL799" s="51"/>
      <c r="BM799" s="51"/>
      <c r="BN799" s="2372" t="s">
        <v>502</v>
      </c>
      <c r="BO799" s="2373"/>
      <c r="BP799" s="58"/>
      <c r="BQ799" s="58"/>
      <c r="BR799" s="58"/>
      <c r="BS799" s="51" t="s">
        <v>669</v>
      </c>
      <c r="BT799" s="51"/>
      <c r="BU799" s="51"/>
      <c r="BV799" s="51"/>
      <c r="BW799" s="51"/>
      <c r="BX799" s="51"/>
      <c r="BY799" s="51"/>
      <c r="BZ799" s="51"/>
      <c r="CA799" s="51"/>
      <c r="CB799" s="2369" t="str">
        <f>T189</f>
        <v>Orange</v>
      </c>
      <c r="CC799" s="2370"/>
      <c r="CD799" s="2370"/>
      <c r="CE799" s="2370"/>
      <c r="CF799" s="2370"/>
      <c r="CG799" s="2370"/>
      <c r="CH799" s="237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17">
        <v>21</v>
      </c>
      <c r="AA804" s="2318"/>
      <c r="AB804" s="2318"/>
      <c r="AC804" s="2318"/>
      <c r="AD804" s="2318"/>
      <c r="AE804" s="231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20">
        <v>20</v>
      </c>
      <c r="AA805" s="2318"/>
      <c r="AB805" s="2318"/>
      <c r="AC805" s="2318"/>
      <c r="AD805" s="2318"/>
      <c r="AE805" s="231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34">
        <v>51167</v>
      </c>
      <c r="AA806" s="2337"/>
      <c r="AB806" s="2337"/>
      <c r="AC806" s="2337"/>
      <c r="AD806" s="2337"/>
      <c r="AE806" s="238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36">
        <f>'Subsidy Contract Calculation'!I30</f>
        <v>208908</v>
      </c>
      <c r="AA807" s="2037"/>
      <c r="AB807" s="2037"/>
      <c r="AC807" s="2037"/>
      <c r="AD807" s="2037"/>
      <c r="AE807" s="203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1">
        <v>365252</v>
      </c>
      <c r="BQ809" s="511">
        <v>421132</v>
      </c>
      <c r="BR809" s="511">
        <v>508000</v>
      </c>
      <c r="BS809" s="511">
        <v>650240</v>
      </c>
      <c r="BT809" s="511">
        <v>724408</v>
      </c>
      <c r="BU809" s="56"/>
      <c r="BV809" s="36" t="s">
        <v>671</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9">
        <v>262291</v>
      </c>
      <c r="BQ810" s="509">
        <v>302419</v>
      </c>
      <c r="BR810" s="509">
        <v>364800</v>
      </c>
      <c r="BS810" s="509">
        <v>466944</v>
      </c>
      <c r="BT810" s="509">
        <v>520205</v>
      </c>
      <c r="BU810" s="56"/>
      <c r="BV810" s="36" t="s">
        <v>672</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1">
        <v>5460</v>
      </c>
      <c r="AA811" s="2042"/>
      <c r="AB811" s="2042"/>
      <c r="AC811" s="2042"/>
      <c r="AD811" s="2042"/>
      <c r="AE811" s="204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1">
        <v>262291</v>
      </c>
      <c r="BQ811" s="511">
        <v>302419</v>
      </c>
      <c r="BR811" s="511">
        <v>364800</v>
      </c>
      <c r="BS811" s="511">
        <v>466944</v>
      </c>
      <c r="BT811" s="511">
        <v>520205</v>
      </c>
      <c r="BU811" s="56"/>
      <c r="BV811" s="36" t="s">
        <v>349</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1"/>
      <c r="AA812" s="2042"/>
      <c r="AB812" s="2042"/>
      <c r="AC812" s="2042"/>
      <c r="AD812" s="2042"/>
      <c r="AE812" s="204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9">
        <v>230655</v>
      </c>
      <c r="BQ812" s="509">
        <v>265943</v>
      </c>
      <c r="BR812" s="509">
        <v>320800</v>
      </c>
      <c r="BS812" s="509">
        <v>410624</v>
      </c>
      <c r="BT812" s="509">
        <v>457461</v>
      </c>
      <c r="BU812" s="56"/>
      <c r="BV812" s="36" t="s">
        <v>697</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1"/>
      <c r="AA813" s="2042"/>
      <c r="AB813" s="2042"/>
      <c r="AC813" s="2042"/>
      <c r="AD813" s="2042"/>
      <c r="AE813" s="204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1">
        <v>262291</v>
      </c>
      <c r="BQ813" s="511">
        <v>302419</v>
      </c>
      <c r="BR813" s="511">
        <v>364800</v>
      </c>
      <c r="BS813" s="511">
        <v>466944</v>
      </c>
      <c r="BT813" s="511">
        <v>520205</v>
      </c>
      <c r="BU813" s="56"/>
      <c r="BV813" s="36" t="s">
        <v>698</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23" t="s">
        <v>343</v>
      </c>
      <c r="Q814" s="2399"/>
      <c r="R814" s="2399"/>
      <c r="S814" s="2399"/>
      <c r="T814" s="2399"/>
      <c r="U814" s="2399"/>
      <c r="V814" s="2399"/>
      <c r="W814" s="2399"/>
      <c r="X814" s="2399"/>
      <c r="Y814" s="2400"/>
      <c r="Z814" s="2041"/>
      <c r="AA814" s="2042"/>
      <c r="AB814" s="2042"/>
      <c r="AC814" s="2042"/>
      <c r="AD814" s="2042"/>
      <c r="AE814" s="204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9">
        <v>262291</v>
      </c>
      <c r="BQ814" s="509">
        <v>302419</v>
      </c>
      <c r="BR814" s="509">
        <v>364800</v>
      </c>
      <c r="BS814" s="509">
        <v>466944</v>
      </c>
      <c r="BT814" s="509">
        <v>520205</v>
      </c>
      <c r="BU814" s="56"/>
      <c r="BV814" s="36" t="s">
        <v>699</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36">
        <f>SUM(Z811:AE814)</f>
        <v>5460</v>
      </c>
      <c r="AA815" s="2037"/>
      <c r="AB815" s="2037"/>
      <c r="AC815" s="2037"/>
      <c r="AD815" s="2037"/>
      <c r="AE815" s="203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1">
        <v>365252</v>
      </c>
      <c r="BQ815" s="511">
        <v>421132</v>
      </c>
      <c r="BR815" s="511">
        <v>508000</v>
      </c>
      <c r="BS815" s="511">
        <v>650240</v>
      </c>
      <c r="BT815" s="511">
        <v>724408</v>
      </c>
      <c r="BU815" s="56"/>
      <c r="BV815" s="36" t="s">
        <v>700</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036">
        <f>Z815+Y799+Z807</f>
        <v>1065612</v>
      </c>
      <c r="AA816" s="2037"/>
      <c r="AB816" s="2037"/>
      <c r="AC816" s="2037"/>
      <c r="AD816" s="2037"/>
      <c r="AE816" s="203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9">
        <v>262291</v>
      </c>
      <c r="BQ816" s="509">
        <v>302419</v>
      </c>
      <c r="BR816" s="509">
        <v>364800</v>
      </c>
      <c r="BS816" s="509">
        <v>466944</v>
      </c>
      <c r="BT816" s="509">
        <v>520205</v>
      </c>
      <c r="BU816" s="56"/>
      <c r="BV816" s="36" t="s">
        <v>701</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1">
        <v>278397</v>
      </c>
      <c r="BQ817" s="511">
        <v>320989</v>
      </c>
      <c r="BR817" s="511">
        <v>387200</v>
      </c>
      <c r="BS817" s="511">
        <v>495616</v>
      </c>
      <c r="BT817" s="511">
        <v>552147</v>
      </c>
      <c r="BU817" s="56"/>
      <c r="BV817" s="36" t="s">
        <v>702</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9">
        <v>238133</v>
      </c>
      <c r="BQ818" s="509">
        <v>274565</v>
      </c>
      <c r="BR818" s="509">
        <v>331200</v>
      </c>
      <c r="BS818" s="509">
        <v>423936</v>
      </c>
      <c r="BT818" s="509">
        <v>472291</v>
      </c>
      <c r="BU818" s="56"/>
      <c r="BV818" s="36" t="s">
        <v>704</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1">
        <v>262291</v>
      </c>
      <c r="BQ819" s="511">
        <v>302419</v>
      </c>
      <c r="BR819" s="511">
        <v>364800</v>
      </c>
      <c r="BS819" s="511">
        <v>466944</v>
      </c>
      <c r="BT819" s="511">
        <v>520205</v>
      </c>
      <c r="BU819" s="56"/>
      <c r="BV819" s="36" t="s">
        <v>707</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9">
        <v>262291</v>
      </c>
      <c r="BQ820" s="509">
        <v>302419</v>
      </c>
      <c r="BR820" s="509">
        <v>364800</v>
      </c>
      <c r="BS820" s="509">
        <v>466944</v>
      </c>
      <c r="BT820" s="509">
        <v>520205</v>
      </c>
      <c r="BU820" s="56"/>
      <c r="BV820" s="36" t="s">
        <v>708</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30" t="s">
        <v>131</v>
      </c>
      <c r="N821" s="2430"/>
      <c r="O821" s="2430"/>
      <c r="P821" s="2431"/>
      <c r="Q821" s="2307" t="s">
        <v>298</v>
      </c>
      <c r="R821" s="2307"/>
      <c r="S821" s="2307"/>
      <c r="T821" s="2307"/>
      <c r="U821" s="2307" t="s">
        <v>299</v>
      </c>
      <c r="V821" s="2307"/>
      <c r="W821" s="2307"/>
      <c r="X821" s="2307"/>
      <c r="Y821" s="2307" t="s">
        <v>300</v>
      </c>
      <c r="Z821" s="2307"/>
      <c r="AA821" s="2307"/>
      <c r="AB821" s="2307"/>
      <c r="AC821" s="2307" t="s">
        <v>371</v>
      </c>
      <c r="AD821" s="2307"/>
      <c r="AE821" s="2307"/>
      <c r="AF821" s="2307"/>
      <c r="AG821" s="2377" t="s">
        <v>344</v>
      </c>
      <c r="AH821" s="2377"/>
      <c r="AI821" s="2377"/>
      <c r="AJ821" s="237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1">
        <v>228930</v>
      </c>
      <c r="BQ821" s="511">
        <v>263954</v>
      </c>
      <c r="BR821" s="511">
        <v>318400</v>
      </c>
      <c r="BS821" s="511">
        <v>407552</v>
      </c>
      <c r="BT821" s="511">
        <v>454038</v>
      </c>
      <c r="BU821" s="56"/>
      <c r="BV821" s="36" t="s">
        <v>710</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32"/>
      <c r="N822" s="2432"/>
      <c r="O822" s="2432"/>
      <c r="P822" s="2433"/>
      <c r="Q822" s="2307"/>
      <c r="R822" s="2307"/>
      <c r="S822" s="2307"/>
      <c r="T822" s="2307"/>
      <c r="U822" s="2307"/>
      <c r="V822" s="2307"/>
      <c r="W822" s="2307"/>
      <c r="X822" s="2307"/>
      <c r="Y822" s="2307"/>
      <c r="Z822" s="2307"/>
      <c r="AA822" s="2307"/>
      <c r="AB822" s="2307"/>
      <c r="AC822" s="2307"/>
      <c r="AD822" s="2307"/>
      <c r="AE822" s="2307"/>
      <c r="AF822" s="2307"/>
      <c r="AG822" s="2377"/>
      <c r="AH822" s="2377"/>
      <c r="AI822" s="2377"/>
      <c r="AJ822" s="237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9">
        <v>262291</v>
      </c>
      <c r="BQ822" s="509">
        <v>302419</v>
      </c>
      <c r="BR822" s="509">
        <v>364800</v>
      </c>
      <c r="BS822" s="509">
        <v>466944</v>
      </c>
      <c r="BT822" s="509">
        <v>520205</v>
      </c>
      <c r="BU822" s="56"/>
      <c r="BV822" s="36" t="s">
        <v>711</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246" t="s">
        <v>43</v>
      </c>
      <c r="D823" s="2247"/>
      <c r="E823" s="2247"/>
      <c r="F823" s="2247"/>
      <c r="G823" s="2247"/>
      <c r="H823" s="2247"/>
      <c r="I823" s="80"/>
      <c r="J823" s="80"/>
      <c r="K823" s="80"/>
      <c r="L823" s="81"/>
      <c r="M823" s="2240"/>
      <c r="N823" s="2240"/>
      <c r="O823" s="2240"/>
      <c r="P823" s="2240"/>
      <c r="Q823" s="2240">
        <v>1.24</v>
      </c>
      <c r="R823" s="2240"/>
      <c r="S823" s="2240"/>
      <c r="T823" s="2240"/>
      <c r="U823" s="2240">
        <v>3.36</v>
      </c>
      <c r="V823" s="2240"/>
      <c r="W823" s="2240"/>
      <c r="X823" s="2240"/>
      <c r="Y823" s="2240"/>
      <c r="Z823" s="2240"/>
      <c r="AA823" s="2240"/>
      <c r="AB823" s="2240"/>
      <c r="AC823" s="2076"/>
      <c r="AD823" s="2077"/>
      <c r="AE823" s="2077"/>
      <c r="AF823" s="2078"/>
      <c r="AG823" s="2076"/>
      <c r="AH823" s="2077"/>
      <c r="AI823" s="2077"/>
      <c r="AJ823" s="207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1">
        <v>238133</v>
      </c>
      <c r="BQ823" s="511">
        <v>274565</v>
      </c>
      <c r="BR823" s="511">
        <v>331200</v>
      </c>
      <c r="BS823" s="511">
        <v>423936</v>
      </c>
      <c r="BT823" s="511">
        <v>472291</v>
      </c>
      <c r="BU823" s="56"/>
      <c r="BV823" s="36" t="s">
        <v>217</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248" t="s">
        <v>44</v>
      </c>
      <c r="D824" s="2249"/>
      <c r="E824" s="2249"/>
      <c r="F824" s="2249"/>
      <c r="G824" s="2249"/>
      <c r="H824" s="2249"/>
      <c r="I824" s="77"/>
      <c r="J824" s="77"/>
      <c r="K824" s="77"/>
      <c r="L824" s="78"/>
      <c r="M824" s="2240"/>
      <c r="N824" s="2240"/>
      <c r="O824" s="2240"/>
      <c r="P824" s="2240"/>
      <c r="Q824" s="2240"/>
      <c r="R824" s="2240"/>
      <c r="S824" s="2240"/>
      <c r="T824" s="2240"/>
      <c r="U824" s="2240"/>
      <c r="V824" s="2240"/>
      <c r="W824" s="2240"/>
      <c r="X824" s="2240"/>
      <c r="Y824" s="2240"/>
      <c r="Z824" s="2240"/>
      <c r="AA824" s="2240"/>
      <c r="AB824" s="2240"/>
      <c r="AC824" s="2076"/>
      <c r="AD824" s="2077"/>
      <c r="AE824" s="2077"/>
      <c r="AF824" s="2078"/>
      <c r="AG824" s="2076"/>
      <c r="AH824" s="2077"/>
      <c r="AI824" s="2077"/>
      <c r="AJ824" s="207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9">
        <v>238133</v>
      </c>
      <c r="BQ824" s="509">
        <v>274565</v>
      </c>
      <c r="BR824" s="509">
        <v>331200</v>
      </c>
      <c r="BS824" s="509">
        <v>423936</v>
      </c>
      <c r="BT824" s="509">
        <v>472291</v>
      </c>
      <c r="BU824" s="56"/>
      <c r="BV824" s="36" t="s">
        <v>219</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248" t="s">
        <v>45</v>
      </c>
      <c r="D825" s="2249"/>
      <c r="E825" s="2249"/>
      <c r="F825" s="2249"/>
      <c r="G825" s="2249"/>
      <c r="H825" s="2249"/>
      <c r="I825" s="96"/>
      <c r="J825" s="96"/>
      <c r="K825" s="96"/>
      <c r="L825" s="97"/>
      <c r="M825" s="2240"/>
      <c r="N825" s="2240"/>
      <c r="O825" s="2240"/>
      <c r="P825" s="2240"/>
      <c r="Q825" s="2240">
        <v>4.99</v>
      </c>
      <c r="R825" s="2240"/>
      <c r="S825" s="2240"/>
      <c r="T825" s="2240"/>
      <c r="U825" s="2240">
        <v>6.34</v>
      </c>
      <c r="V825" s="2240"/>
      <c r="W825" s="2240"/>
      <c r="X825" s="2240"/>
      <c r="Y825" s="2240"/>
      <c r="Z825" s="2240"/>
      <c r="AA825" s="2240"/>
      <c r="AB825" s="2240"/>
      <c r="AC825" s="2076"/>
      <c r="AD825" s="2077"/>
      <c r="AE825" s="2077"/>
      <c r="AF825" s="2078"/>
      <c r="AG825" s="2076"/>
      <c r="AH825" s="2077"/>
      <c r="AI825" s="2077"/>
      <c r="AJ825" s="207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1">
        <v>262291</v>
      </c>
      <c r="BQ825" s="511">
        <v>302419</v>
      </c>
      <c r="BR825" s="511">
        <v>364800</v>
      </c>
      <c r="BS825" s="511">
        <v>466944</v>
      </c>
      <c r="BT825" s="511">
        <v>520205</v>
      </c>
      <c r="BU825" s="56"/>
      <c r="BV825" s="36" t="s">
        <v>220</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248" t="s">
        <v>820</v>
      </c>
      <c r="D826" s="2249"/>
      <c r="E826" s="2249"/>
      <c r="F826" s="2249"/>
      <c r="G826" s="2249"/>
      <c r="H826" s="2249"/>
      <c r="I826" s="96"/>
      <c r="J826" s="96"/>
      <c r="K826" s="96"/>
      <c r="L826" s="97"/>
      <c r="M826" s="2240"/>
      <c r="N826" s="2240"/>
      <c r="O826" s="2240"/>
      <c r="P826" s="2240"/>
      <c r="Q826" s="2240">
        <v>3.41</v>
      </c>
      <c r="R826" s="2240"/>
      <c r="S826" s="2240"/>
      <c r="T826" s="2240"/>
      <c r="U826" s="2240">
        <v>4.43</v>
      </c>
      <c r="V826" s="2240"/>
      <c r="W826" s="2240"/>
      <c r="X826" s="2240"/>
      <c r="Y826" s="2240"/>
      <c r="Z826" s="2240"/>
      <c r="AA826" s="2240"/>
      <c r="AB826" s="2240"/>
      <c r="AC826" s="2076"/>
      <c r="AD826" s="2077"/>
      <c r="AE826" s="2077"/>
      <c r="AF826" s="2078"/>
      <c r="AG826" s="2076"/>
      <c r="AH826" s="2077"/>
      <c r="AI826" s="2077"/>
      <c r="AJ826" s="207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9">
        <v>262291</v>
      </c>
      <c r="BQ826" s="509">
        <v>302419</v>
      </c>
      <c r="BR826" s="509">
        <v>364800</v>
      </c>
      <c r="BS826" s="509">
        <v>466944</v>
      </c>
      <c r="BT826" s="509">
        <v>520205</v>
      </c>
      <c r="BU826" s="56"/>
      <c r="BV826" s="36" t="s">
        <v>222</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248" t="s">
        <v>492</v>
      </c>
      <c r="D827" s="2249"/>
      <c r="E827" s="2249"/>
      <c r="F827" s="2249"/>
      <c r="G827" s="2249"/>
      <c r="H827" s="2249"/>
      <c r="I827" s="96"/>
      <c r="J827" s="96"/>
      <c r="K827" s="96"/>
      <c r="L827" s="97"/>
      <c r="M827" s="2240"/>
      <c r="N827" s="2240"/>
      <c r="O827" s="2240"/>
      <c r="P827" s="2240"/>
      <c r="Q827" s="2240">
        <v>12.76</v>
      </c>
      <c r="R827" s="2240"/>
      <c r="S827" s="2240"/>
      <c r="T827" s="2240"/>
      <c r="U827" s="2240">
        <v>16.25</v>
      </c>
      <c r="V827" s="2240"/>
      <c r="W827" s="2240"/>
      <c r="X827" s="2240"/>
      <c r="Y827" s="2240"/>
      <c r="Z827" s="2240"/>
      <c r="AA827" s="2240"/>
      <c r="AB827" s="2240"/>
      <c r="AC827" s="2076"/>
      <c r="AD827" s="2077"/>
      <c r="AE827" s="2077"/>
      <c r="AF827" s="2078"/>
      <c r="AG827" s="2076"/>
      <c r="AH827" s="2077"/>
      <c r="AI827" s="2077"/>
      <c r="AJ827" s="207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1">
        <v>327289</v>
      </c>
      <c r="BQ827" s="511">
        <v>377361</v>
      </c>
      <c r="BR827" s="511">
        <v>455200</v>
      </c>
      <c r="BS827" s="511">
        <v>582656</v>
      </c>
      <c r="BT827" s="511">
        <v>649115</v>
      </c>
      <c r="BU827" s="56"/>
      <c r="BV827" s="36" t="s">
        <v>223</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426" t="s">
        <v>841</v>
      </c>
      <c r="D828" s="2249"/>
      <c r="E828" s="2249"/>
      <c r="F828" s="2249"/>
      <c r="G828" s="2249"/>
      <c r="H828" s="2249"/>
      <c r="I828" s="96"/>
      <c r="J828" s="96"/>
      <c r="K828" s="96"/>
      <c r="L828" s="97"/>
      <c r="M828" s="2240"/>
      <c r="N828" s="2240"/>
      <c r="O828" s="2240"/>
      <c r="P828" s="2240"/>
      <c r="Q828" s="2240"/>
      <c r="R828" s="2240"/>
      <c r="S828" s="2240"/>
      <c r="T828" s="2240"/>
      <c r="U828" s="2240"/>
      <c r="V828" s="2240"/>
      <c r="W828" s="2240"/>
      <c r="X828" s="2240"/>
      <c r="Y828" s="2240"/>
      <c r="Z828" s="2240"/>
      <c r="AA828" s="2240"/>
      <c r="AB828" s="2240"/>
      <c r="AC828" s="2076"/>
      <c r="AD828" s="2077"/>
      <c r="AE828" s="2077"/>
      <c r="AF828" s="2078"/>
      <c r="AG828" s="2076"/>
      <c r="AH828" s="2077"/>
      <c r="AI828" s="2077"/>
      <c r="AJ828" s="207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9">
        <v>238133</v>
      </c>
      <c r="BQ828" s="509">
        <v>274565</v>
      </c>
      <c r="BR828" s="509">
        <v>331200</v>
      </c>
      <c r="BS828" s="509">
        <v>423936</v>
      </c>
      <c r="BT828" s="509">
        <v>472291</v>
      </c>
      <c r="BU828" s="56"/>
      <c r="BV828" s="36" t="s">
        <v>225</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60" t="s">
        <v>2649</v>
      </c>
      <c r="G829" s="2325"/>
      <c r="H829" s="2325"/>
      <c r="I829" s="2325"/>
      <c r="J829" s="2325"/>
      <c r="K829" s="2325"/>
      <c r="L829" s="2326"/>
      <c r="M829" s="2240"/>
      <c r="N829" s="2240"/>
      <c r="O829" s="2240"/>
      <c r="P829" s="2240"/>
      <c r="Q829" s="2240">
        <v>1.81</v>
      </c>
      <c r="R829" s="2240"/>
      <c r="S829" s="2240"/>
      <c r="T829" s="2240"/>
      <c r="U829" s="2240">
        <v>2.37</v>
      </c>
      <c r="V829" s="2240"/>
      <c r="W829" s="2240"/>
      <c r="X829" s="2240"/>
      <c r="Y829" s="2240"/>
      <c r="Z829" s="2240"/>
      <c r="AA829" s="2240"/>
      <c r="AB829" s="2240"/>
      <c r="AC829" s="2076"/>
      <c r="AD829" s="2077"/>
      <c r="AE829" s="2077"/>
      <c r="AF829" s="2078"/>
      <c r="AG829" s="2076"/>
      <c r="AH829" s="2077"/>
      <c r="AI829" s="2077"/>
      <c r="AJ829" s="207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1">
        <v>299104</v>
      </c>
      <c r="BQ829" s="511">
        <v>344864</v>
      </c>
      <c r="BR829" s="511">
        <v>416000</v>
      </c>
      <c r="BS829" s="511">
        <v>532480</v>
      </c>
      <c r="BT829" s="511">
        <v>593216</v>
      </c>
      <c r="BU829" s="56"/>
      <c r="BV829" s="36" t="s">
        <v>226</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328" t="s">
        <v>129</v>
      </c>
      <c r="D830" s="2329"/>
      <c r="E830" s="2329"/>
      <c r="F830" s="2329"/>
      <c r="G830" s="2329"/>
      <c r="H830" s="2329"/>
      <c r="I830" s="2329"/>
      <c r="J830" s="2329"/>
      <c r="K830" s="2329"/>
      <c r="L830" s="2330"/>
      <c r="M830" s="2316">
        <f>SUM(M823:P829)</f>
        <v>0</v>
      </c>
      <c r="N830" s="2316"/>
      <c r="O830" s="2316"/>
      <c r="P830" s="2316"/>
      <c r="Q830" s="2316">
        <f>SUM(Q823:T829)</f>
        <v>24.209999999999997</v>
      </c>
      <c r="R830" s="2316"/>
      <c r="S830" s="2316"/>
      <c r="T830" s="2316"/>
      <c r="U830" s="2316">
        <f>SUM(U823:X829)</f>
        <v>32.75</v>
      </c>
      <c r="V830" s="2316"/>
      <c r="W830" s="2316"/>
      <c r="X830" s="2316"/>
      <c r="Y830" s="2316">
        <f>SUM(Y823:AB829)</f>
        <v>0</v>
      </c>
      <c r="Z830" s="2316"/>
      <c r="AA830" s="2316"/>
      <c r="AB830" s="2316"/>
      <c r="AC830" s="2316">
        <f>SUM(AC823:AF829)</f>
        <v>0</v>
      </c>
      <c r="AD830" s="2316"/>
      <c r="AE830" s="2316"/>
      <c r="AF830" s="2316"/>
      <c r="AG830" s="2316">
        <f>SUM(AG823:AJ829)</f>
        <v>0</v>
      </c>
      <c r="AH830" s="2316"/>
      <c r="AI830" s="2316"/>
      <c r="AJ830" s="231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9">
        <v>262291</v>
      </c>
      <c r="BQ830" s="509">
        <v>302419</v>
      </c>
      <c r="BR830" s="509">
        <v>364800</v>
      </c>
      <c r="BS830" s="509">
        <v>466944</v>
      </c>
      <c r="BT830" s="509">
        <v>520205</v>
      </c>
      <c r="BU830" s="56"/>
      <c r="BV830" s="36" t="s">
        <v>227</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1">
        <v>262291</v>
      </c>
      <c r="BQ831" s="511">
        <v>302419</v>
      </c>
      <c r="BR831" s="511">
        <v>364800</v>
      </c>
      <c r="BS831" s="511">
        <v>466944</v>
      </c>
      <c r="BT831" s="511">
        <v>520205</v>
      </c>
      <c r="BU831" s="56"/>
      <c r="BV831" s="36" t="s">
        <v>228</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9">
        <v>238133</v>
      </c>
      <c r="BQ832" s="509">
        <v>274565</v>
      </c>
      <c r="BR832" s="509">
        <v>331200</v>
      </c>
      <c r="BS832" s="509">
        <v>423936</v>
      </c>
      <c r="BT832" s="509">
        <v>472291</v>
      </c>
      <c r="BU832" s="56"/>
      <c r="BV832" s="36" t="s">
        <v>230</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1">
        <v>262291</v>
      </c>
      <c r="BQ833" s="511">
        <v>302419</v>
      </c>
      <c r="BR833" s="511">
        <v>364800</v>
      </c>
      <c r="BS833" s="511">
        <v>466944</v>
      </c>
      <c r="BT833" s="511">
        <v>520205</v>
      </c>
      <c r="BU833" s="56"/>
      <c r="BV833" s="36" t="s">
        <v>231</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9">
        <v>262291</v>
      </c>
      <c r="BQ834" s="509">
        <v>302419</v>
      </c>
      <c r="BR834" s="509">
        <v>364800</v>
      </c>
      <c r="BS834" s="509">
        <v>466944</v>
      </c>
      <c r="BT834" s="509">
        <v>520205</v>
      </c>
      <c r="BU834" s="56"/>
      <c r="BV834" s="36" t="s">
        <v>232</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241" t="s">
        <v>2682</v>
      </c>
      <c r="D835" s="2242"/>
      <c r="E835" s="2242"/>
      <c r="F835" s="2242"/>
      <c r="G835" s="2242"/>
      <c r="H835" s="2242"/>
      <c r="I835" s="2242"/>
      <c r="J835" s="2242"/>
      <c r="K835" s="2242"/>
      <c r="L835" s="2242"/>
      <c r="M835" s="2242"/>
      <c r="N835" s="2242"/>
      <c r="O835" s="2242"/>
      <c r="P835" s="2242"/>
      <c r="Q835" s="2242"/>
      <c r="R835" s="2242"/>
      <c r="S835" s="2242"/>
      <c r="T835" s="2242"/>
      <c r="U835" s="2242"/>
      <c r="V835" s="2242"/>
      <c r="W835" s="2242"/>
      <c r="X835" s="2242"/>
      <c r="Y835" s="2242"/>
      <c r="Z835" s="2242"/>
      <c r="AA835" s="2242"/>
      <c r="AB835" s="2242"/>
      <c r="AC835" s="2242"/>
      <c r="AD835" s="2242"/>
      <c r="AE835" s="2242"/>
      <c r="AF835" s="2242"/>
      <c r="AG835" s="2242"/>
      <c r="AH835" s="2242"/>
      <c r="AI835" s="2242"/>
      <c r="AJ835" s="224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1">
        <v>303706</v>
      </c>
      <c r="BQ835" s="511">
        <v>350170</v>
      </c>
      <c r="BR835" s="511">
        <v>422400</v>
      </c>
      <c r="BS835" s="511">
        <v>540672</v>
      </c>
      <c r="BT835" s="511">
        <v>602342</v>
      </c>
      <c r="BU835" s="56"/>
      <c r="BV835" s="36" t="s">
        <v>234</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9">
        <v>299104</v>
      </c>
      <c r="BQ836" s="509">
        <v>344864</v>
      </c>
      <c r="BR836" s="509">
        <v>416000</v>
      </c>
      <c r="BS836" s="509">
        <v>532480</v>
      </c>
      <c r="BT836" s="509">
        <v>593216</v>
      </c>
      <c r="BU836" s="56"/>
      <c r="BV836" s="36" t="s">
        <v>236</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1">
        <v>262291</v>
      </c>
      <c r="BQ837" s="511">
        <v>302419</v>
      </c>
      <c r="BR837" s="511">
        <v>364800</v>
      </c>
      <c r="BS837" s="511">
        <v>466944</v>
      </c>
      <c r="BT837" s="511">
        <v>520205</v>
      </c>
      <c r="BU837" s="56"/>
      <c r="BV837" s="36" t="s">
        <v>237</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9">
        <v>279547</v>
      </c>
      <c r="BQ838" s="509">
        <v>322315</v>
      </c>
      <c r="BR838" s="509">
        <v>388800</v>
      </c>
      <c r="BS838" s="509">
        <v>497664</v>
      </c>
      <c r="BT838" s="509">
        <v>554429</v>
      </c>
      <c r="BU838" s="56"/>
      <c r="BV838" s="36" t="s">
        <v>238</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1">
        <v>278397</v>
      </c>
      <c r="BQ839" s="511">
        <v>320989</v>
      </c>
      <c r="BR839" s="511">
        <v>387200</v>
      </c>
      <c r="BS839" s="511">
        <v>495616</v>
      </c>
      <c r="BT839" s="511">
        <v>552147</v>
      </c>
      <c r="BU839" s="56"/>
      <c r="BV839" s="36" t="s">
        <v>239</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75">
        <v>2500</v>
      </c>
      <c r="X840" s="2075"/>
      <c r="Y840" s="2075"/>
      <c r="Z840" s="2075"/>
      <c r="AA840" s="2075"/>
      <c r="AB840" s="2075"/>
      <c r="AC840" s="207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9">
        <v>262291</v>
      </c>
      <c r="BQ840" s="509">
        <v>302419</v>
      </c>
      <c r="BR840" s="509">
        <v>364800</v>
      </c>
      <c r="BS840" s="509">
        <v>466944</v>
      </c>
      <c r="BT840" s="509">
        <v>520205</v>
      </c>
      <c r="BU840" s="56"/>
      <c r="BV840" s="36" t="s">
        <v>241</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75">
        <v>2500</v>
      </c>
      <c r="X841" s="2075"/>
      <c r="Y841" s="2075"/>
      <c r="Z841" s="2075"/>
      <c r="AA841" s="2075"/>
      <c r="AB841" s="2075"/>
      <c r="AC841" s="207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1">
        <v>228930</v>
      </c>
      <c r="BQ841" s="511">
        <v>263954</v>
      </c>
      <c r="BR841" s="511">
        <v>318400</v>
      </c>
      <c r="BS841" s="511">
        <v>407552</v>
      </c>
      <c r="BT841" s="511">
        <v>454038</v>
      </c>
      <c r="BU841" s="56"/>
      <c r="BV841" s="36" t="s">
        <v>242</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75">
        <v>16000</v>
      </c>
      <c r="X842" s="2075"/>
      <c r="Y842" s="2075"/>
      <c r="Z842" s="2075"/>
      <c r="AA842" s="2075"/>
      <c r="AB842" s="2075"/>
      <c r="AC842" s="207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9">
        <v>278397</v>
      </c>
      <c r="BQ842" s="509">
        <v>320989</v>
      </c>
      <c r="BR842" s="509">
        <v>387200</v>
      </c>
      <c r="BS842" s="509">
        <v>495616</v>
      </c>
      <c r="BT842" s="509">
        <v>552147</v>
      </c>
      <c r="BU842" s="56"/>
      <c r="BV842" s="36" t="s">
        <v>670</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75">
        <v>10000</v>
      </c>
      <c r="X843" s="2075"/>
      <c r="Y843" s="2075"/>
      <c r="Z843" s="2075"/>
      <c r="AA843" s="2075"/>
      <c r="AB843" s="2075"/>
      <c r="AC843" s="207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1">
        <v>262291</v>
      </c>
      <c r="BQ843" s="511">
        <v>302419</v>
      </c>
      <c r="BR843" s="511">
        <v>364800</v>
      </c>
      <c r="BS843" s="511">
        <v>466944</v>
      </c>
      <c r="BT843" s="511">
        <v>520205</v>
      </c>
      <c r="BU843" s="56"/>
      <c r="BV843" s="36" t="s">
        <v>726</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60" t="s">
        <v>2650</v>
      </c>
      <c r="N844" s="2325"/>
      <c r="O844" s="2325"/>
      <c r="P844" s="2325"/>
      <c r="Q844" s="2325"/>
      <c r="R844" s="2325"/>
      <c r="S844" s="2325"/>
      <c r="T844" s="2325"/>
      <c r="U844" s="2325"/>
      <c r="V844" s="2326"/>
      <c r="W844" s="2075">
        <v>20000</v>
      </c>
      <c r="X844" s="2075"/>
      <c r="Y844" s="2075"/>
      <c r="Z844" s="2075"/>
      <c r="AA844" s="2075"/>
      <c r="AB844" s="2075"/>
      <c r="AC844" s="207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06">
        <f>ROUNDDOWN(BC932*2,2)</f>
        <v>0</v>
      </c>
      <c r="BJ844" s="2306"/>
      <c r="BK844" s="2306"/>
      <c r="BL844" s="2306"/>
      <c r="BM844" s="56"/>
      <c r="BN844" s="56"/>
      <c r="BO844" s="36" t="s">
        <v>727</v>
      </c>
      <c r="BP844" s="509">
        <v>228930</v>
      </c>
      <c r="BQ844" s="509">
        <v>263954</v>
      </c>
      <c r="BR844" s="509">
        <v>318400</v>
      </c>
      <c r="BS844" s="509">
        <v>407552</v>
      </c>
      <c r="BT844" s="509">
        <v>454038</v>
      </c>
      <c r="BU844" s="56"/>
      <c r="BV844" s="36" t="s">
        <v>727</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036">
        <f>SUM(W840:AC844)</f>
        <v>51000</v>
      </c>
      <c r="X845" s="2037"/>
      <c r="Y845" s="2037"/>
      <c r="Z845" s="2037"/>
      <c r="AA845" s="2037"/>
      <c r="AB845" s="2037"/>
      <c r="AC845" s="203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1">
        <v>260566</v>
      </c>
      <c r="BQ845" s="511">
        <v>300430</v>
      </c>
      <c r="BR845" s="511">
        <v>362400</v>
      </c>
      <c r="BS845" s="511">
        <v>463872</v>
      </c>
      <c r="BT845" s="511">
        <v>516782</v>
      </c>
      <c r="BU845" s="56"/>
      <c r="BV845" s="36" t="s">
        <v>728</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9">
        <v>511928</v>
      </c>
      <c r="BQ846" s="509">
        <v>590248</v>
      </c>
      <c r="BR846" s="509">
        <v>712000</v>
      </c>
      <c r="BS846" s="509">
        <v>911360</v>
      </c>
      <c r="BT846" s="509">
        <v>1015312</v>
      </c>
      <c r="BU846" s="56"/>
      <c r="BV846" s="36" t="s">
        <v>729</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28" t="s">
        <v>355</v>
      </c>
      <c r="K847" s="2329"/>
      <c r="L847" s="2329"/>
      <c r="M847" s="2329"/>
      <c r="N847" s="2329"/>
      <c r="O847" s="2329"/>
      <c r="P847" s="2329"/>
      <c r="Q847" s="2329"/>
      <c r="R847" s="2329"/>
      <c r="S847" s="2329"/>
      <c r="T847" s="2329"/>
      <c r="U847" s="2329"/>
      <c r="V847" s="2330"/>
      <c r="W847" s="2041">
        <v>54600</v>
      </c>
      <c r="X847" s="2042"/>
      <c r="Y847" s="2042"/>
      <c r="Z847" s="2042"/>
      <c r="AA847" s="2042"/>
      <c r="AB847" s="2042"/>
      <c r="AC847" s="2043"/>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1">
        <v>238133</v>
      </c>
      <c r="BQ847" s="511">
        <v>274565</v>
      </c>
      <c r="BR847" s="511">
        <v>331200</v>
      </c>
      <c r="BS847" s="511">
        <v>423936</v>
      </c>
      <c r="BT847" s="511">
        <v>472291</v>
      </c>
      <c r="BU847" s="56"/>
      <c r="BV847" s="36" t="s">
        <v>248</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9">
        <v>303706</v>
      </c>
      <c r="BQ848" s="509">
        <v>350170</v>
      </c>
      <c r="BR848" s="509">
        <v>422400</v>
      </c>
      <c r="BS848" s="509">
        <v>540672</v>
      </c>
      <c r="BT848" s="509">
        <v>602342</v>
      </c>
      <c r="BU848" s="56"/>
      <c r="BV848" s="36" t="s">
        <v>249</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78"/>
      <c r="X849" s="2378"/>
      <c r="Y849" s="2378"/>
      <c r="Z849" s="2378"/>
      <c r="AA849" s="2378"/>
      <c r="AB849" s="2378"/>
      <c r="AC849" s="237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0">
        <v>440028</v>
      </c>
      <c r="BQ849" s="510">
        <v>507348</v>
      </c>
      <c r="BR849" s="511">
        <v>612000</v>
      </c>
      <c r="BS849" s="510">
        <v>783360</v>
      </c>
      <c r="BT849" s="510">
        <v>872712</v>
      </c>
      <c r="BU849" s="56"/>
      <c r="BV849" s="36" t="s">
        <v>250</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78">
        <v>6000</v>
      </c>
      <c r="X850" s="2378"/>
      <c r="Y850" s="2378"/>
      <c r="Z850" s="2378"/>
      <c r="AA850" s="2378"/>
      <c r="AB850" s="2378"/>
      <c r="AC850" s="237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9">
        <v>303706</v>
      </c>
      <c r="BQ850" s="509">
        <v>350170</v>
      </c>
      <c r="BR850" s="509">
        <v>422400</v>
      </c>
      <c r="BS850" s="509">
        <v>540672</v>
      </c>
      <c r="BT850" s="509">
        <v>602342</v>
      </c>
      <c r="BU850" s="56"/>
      <c r="BV850" s="36" t="s">
        <v>736</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78">
        <v>20000</v>
      </c>
      <c r="X851" s="2378"/>
      <c r="Y851" s="2378"/>
      <c r="Z851" s="2378"/>
      <c r="AA851" s="2378"/>
      <c r="AB851" s="2378"/>
      <c r="AC851" s="237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7"/>
      <c r="BH851" s="2327"/>
      <c r="BI851" s="2327"/>
      <c r="BJ851" s="2327"/>
      <c r="BK851" s="2327"/>
      <c r="BL851" s="2327"/>
      <c r="BM851" s="56"/>
      <c r="BN851" s="56"/>
      <c r="BO851" s="36" t="s">
        <v>737</v>
      </c>
      <c r="BP851" s="510">
        <v>440028</v>
      </c>
      <c r="BQ851" s="510">
        <v>507348</v>
      </c>
      <c r="BR851" s="510">
        <v>612000</v>
      </c>
      <c r="BS851" s="510">
        <v>783360</v>
      </c>
      <c r="BT851" s="510">
        <v>872712</v>
      </c>
      <c r="BU851" s="56"/>
      <c r="BV851" s="36" t="s">
        <v>737</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78">
        <v>35000</v>
      </c>
      <c r="X852" s="2378"/>
      <c r="Y852" s="2378"/>
      <c r="Z852" s="2378"/>
      <c r="AA852" s="2378"/>
      <c r="AB852" s="2378"/>
      <c r="AC852" s="237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9">
        <v>303706</v>
      </c>
      <c r="BQ852" s="509">
        <v>350170</v>
      </c>
      <c r="BR852" s="509">
        <v>422400</v>
      </c>
      <c r="BS852" s="509">
        <v>540672</v>
      </c>
      <c r="BT852" s="509">
        <v>602342</v>
      </c>
      <c r="BU852" s="56"/>
      <c r="BV852" s="36" t="s">
        <v>738</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27">
        <f>SUM(W849:AC852)</f>
        <v>61000</v>
      </c>
      <c r="X853" s="2427"/>
      <c r="Y853" s="2427"/>
      <c r="Z853" s="2427"/>
      <c r="AA853" s="2427"/>
      <c r="AB853" s="2427"/>
      <c r="AC853" s="242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1">
        <v>230655</v>
      </c>
      <c r="BQ853" s="511">
        <v>265943</v>
      </c>
      <c r="BR853" s="511">
        <v>320800</v>
      </c>
      <c r="BS853" s="511">
        <v>410624</v>
      </c>
      <c r="BT853" s="511">
        <v>457461</v>
      </c>
      <c r="BU853" s="56"/>
      <c r="BV853" s="36" t="s">
        <v>739</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25">
        <f>SUM(AZ821:AZ849)</f>
        <v>7.5000000000000011E-2</v>
      </c>
      <c r="BA854" s="2425"/>
      <c r="BB854" s="21"/>
      <c r="BC854" s="21"/>
      <c r="BD854" s="21"/>
      <c r="BO854" s="36" t="s">
        <v>740</v>
      </c>
      <c r="BP854" s="509">
        <v>262291</v>
      </c>
      <c r="BQ854" s="509">
        <v>302419</v>
      </c>
      <c r="BR854" s="509">
        <v>364800</v>
      </c>
      <c r="BS854" s="509">
        <v>466944</v>
      </c>
      <c r="BT854" s="509">
        <v>520205</v>
      </c>
      <c r="BU854" s="56"/>
      <c r="BV854" s="36" t="s">
        <v>740</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403">
        <v>55000</v>
      </c>
      <c r="X855" s="2404"/>
      <c r="Y855" s="2404"/>
      <c r="Z855" s="2404"/>
      <c r="AA855" s="2404"/>
      <c r="AB855" s="2404"/>
      <c r="AC855" s="2405"/>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1">
        <v>262291</v>
      </c>
      <c r="BQ855" s="511">
        <v>302419</v>
      </c>
      <c r="BR855" s="511">
        <v>364800</v>
      </c>
      <c r="BS855" s="511">
        <v>466944</v>
      </c>
      <c r="BT855" s="511">
        <v>520205</v>
      </c>
      <c r="BU855" s="56"/>
      <c r="BV855" s="36" t="s">
        <v>741</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357</v>
      </c>
      <c r="D856" s="718"/>
      <c r="E856" s="718"/>
      <c r="F856" s="718"/>
      <c r="G856" s="718"/>
      <c r="H856" s="718"/>
      <c r="I856" s="718"/>
      <c r="J856" s="185" t="s">
        <v>2009</v>
      </c>
      <c r="K856" s="77"/>
      <c r="L856" s="77"/>
      <c r="M856" s="77"/>
      <c r="N856" s="77"/>
      <c r="O856" s="77"/>
      <c r="P856" s="77"/>
      <c r="Q856" s="77"/>
      <c r="R856" s="77"/>
      <c r="S856" s="77"/>
      <c r="T856" s="2420">
        <v>2</v>
      </c>
      <c r="U856" s="2421"/>
      <c r="V856" s="2422"/>
      <c r="W856" s="1491"/>
      <c r="X856" s="1492"/>
      <c r="Y856" s="1492"/>
      <c r="Z856" s="1492"/>
      <c r="AA856" s="1492"/>
      <c r="AB856" s="1492"/>
      <c r="AC856" s="1493"/>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9">
        <v>299104</v>
      </c>
      <c r="BQ856" s="509">
        <v>344864</v>
      </c>
      <c r="BR856" s="509">
        <v>416000</v>
      </c>
      <c r="BS856" s="509">
        <v>532480</v>
      </c>
      <c r="BT856" s="509">
        <v>593216</v>
      </c>
      <c r="BU856" s="56"/>
      <c r="BV856" s="36" t="s">
        <v>742</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403">
        <v>45000</v>
      </c>
      <c r="X857" s="2404"/>
      <c r="Y857" s="2404"/>
      <c r="Z857" s="2404"/>
      <c r="AA857" s="2404"/>
      <c r="AB857" s="2404"/>
      <c r="AC857" s="2405"/>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8" customFormat="1" ht="12.75" customHeight="1">
      <c r="C858" s="50"/>
      <c r="J858" s="185" t="s">
        <v>2010</v>
      </c>
      <c r="K858" s="77"/>
      <c r="L858" s="77"/>
      <c r="M858" s="77"/>
      <c r="N858" s="77"/>
      <c r="O858" s="77"/>
      <c r="P858" s="77"/>
      <c r="Q858" s="77"/>
      <c r="R858" s="77"/>
      <c r="S858" s="77"/>
      <c r="T858" s="2420">
        <v>1</v>
      </c>
      <c r="U858" s="2421"/>
      <c r="V858" s="2422"/>
      <c r="W858" s="1491"/>
      <c r="X858" s="1492"/>
      <c r="Y858" s="1492"/>
      <c r="Z858" s="1492"/>
      <c r="AA858" s="1492"/>
      <c r="AB858" s="1492"/>
      <c r="AC858" s="1493"/>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60" t="s">
        <v>2651</v>
      </c>
      <c r="N859" s="2325"/>
      <c r="O859" s="2325"/>
      <c r="P859" s="2325"/>
      <c r="Q859" s="2325"/>
      <c r="R859" s="2325"/>
      <c r="S859" s="2325"/>
      <c r="T859" s="2325"/>
      <c r="U859" s="2325"/>
      <c r="V859" s="2326"/>
      <c r="W859" s="2403">
        <v>35000</v>
      </c>
      <c r="X859" s="2404"/>
      <c r="Y859" s="2404"/>
      <c r="Z859" s="2404"/>
      <c r="AA859" s="2404"/>
      <c r="AB859" s="2404"/>
      <c r="AC859" s="2405"/>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21">
        <f>SUM(W855:AC859)</f>
        <v>135000</v>
      </c>
      <c r="X860" s="2322"/>
      <c r="Y860" s="2322"/>
      <c r="Z860" s="2322"/>
      <c r="AA860" s="2322"/>
      <c r="AB860" s="2322"/>
      <c r="AC860" s="2323"/>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403">
        <v>22750</v>
      </c>
      <c r="X861" s="2404"/>
      <c r="Y861" s="2404"/>
      <c r="Z861" s="2404"/>
      <c r="AA861" s="2404"/>
      <c r="AB861" s="2404"/>
      <c r="AC861" s="2405"/>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75">
        <v>0</v>
      </c>
      <c r="X863" s="2075"/>
      <c r="Y863" s="2075"/>
      <c r="Z863" s="2075"/>
      <c r="AA863" s="2075"/>
      <c r="AB863" s="2075"/>
      <c r="AC863" s="2075"/>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75">
        <v>12000</v>
      </c>
      <c r="X864" s="2075"/>
      <c r="Y864" s="2075"/>
      <c r="Z864" s="2075"/>
      <c r="AA864" s="2075"/>
      <c r="AB864" s="2075"/>
      <c r="AC864" s="2075"/>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75">
        <v>10600</v>
      </c>
      <c r="X865" s="2075"/>
      <c r="Y865" s="2075"/>
      <c r="Z865" s="2075"/>
      <c r="AA865" s="2075"/>
      <c r="AB865" s="2075"/>
      <c r="AC865" s="2075"/>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75">
        <v>3000</v>
      </c>
      <c r="X866" s="2075"/>
      <c r="Y866" s="2075"/>
      <c r="Z866" s="2075"/>
      <c r="AA866" s="2075"/>
      <c r="AB866" s="2075"/>
      <c r="AC866" s="2075"/>
      <c r="AZ866" s="61"/>
      <c r="BA866" s="61"/>
      <c r="BB866" s="61"/>
      <c r="BC866" s="61"/>
      <c r="BD866" s="61"/>
      <c r="BE866" s="61"/>
      <c r="BF866" s="61"/>
      <c r="BG866" s="61"/>
      <c r="BH866" s="61"/>
      <c r="BI866" s="61"/>
      <c r="BJ866" s="61"/>
      <c r="BK866" s="61"/>
      <c r="BL866" s="61"/>
      <c r="BM866" s="61"/>
      <c r="BN866" s="61"/>
      <c r="BO866" s="36" t="s">
        <v>335</v>
      </c>
      <c r="BP866" s="509">
        <v>278397</v>
      </c>
      <c r="BQ866" s="509">
        <v>320989</v>
      </c>
      <c r="BR866" s="509">
        <v>387200</v>
      </c>
      <c r="BS866" s="509">
        <v>495616</v>
      </c>
      <c r="BT866" s="509">
        <v>552147</v>
      </c>
      <c r="BU866" s="56"/>
      <c r="BV866" s="36" t="s">
        <v>335</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75">
        <v>14400</v>
      </c>
      <c r="X867" s="2075"/>
      <c r="Y867" s="2075"/>
      <c r="Z867" s="2075"/>
      <c r="AA867" s="2075"/>
      <c r="AB867" s="2075"/>
      <c r="AC867" s="207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75">
        <v>12000</v>
      </c>
      <c r="X868" s="2075"/>
      <c r="Y868" s="2075"/>
      <c r="Z868" s="2075"/>
      <c r="AA868" s="2075"/>
      <c r="AB868" s="2075"/>
      <c r="AC868" s="207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60" t="s">
        <v>2652</v>
      </c>
      <c r="N869" s="2325"/>
      <c r="O869" s="2325"/>
      <c r="P869" s="2325"/>
      <c r="Q869" s="2325"/>
      <c r="R869" s="2325"/>
      <c r="S869" s="2325"/>
      <c r="T869" s="2325"/>
      <c r="U869" s="2325"/>
      <c r="V869" s="2326"/>
      <c r="W869" s="2075">
        <v>6000</v>
      </c>
      <c r="X869" s="2075"/>
      <c r="Y869" s="2075"/>
      <c r="Z869" s="2075"/>
      <c r="AA869" s="2075"/>
      <c r="AB869" s="2075"/>
      <c r="AC869" s="2075"/>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36">
        <f>SUM(W863:AC869)</f>
        <v>58000</v>
      </c>
      <c r="X870" s="2336"/>
      <c r="Y870" s="2336"/>
      <c r="Z870" s="2336"/>
      <c r="AA870" s="2336"/>
      <c r="AB870" s="2336"/>
      <c r="AC870" s="233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060" t="s">
        <v>2653</v>
      </c>
      <c r="N872" s="2325"/>
      <c r="O872" s="2325"/>
      <c r="P872" s="2325"/>
      <c r="Q872" s="2325"/>
      <c r="R872" s="2325"/>
      <c r="S872" s="2325"/>
      <c r="T872" s="2325"/>
      <c r="U872" s="2325"/>
      <c r="V872" s="2326"/>
      <c r="W872" s="2041">
        <v>9000</v>
      </c>
      <c r="X872" s="2042"/>
      <c r="Y872" s="2042"/>
      <c r="Z872" s="2042"/>
      <c r="AA872" s="2042"/>
      <c r="AB872" s="2042"/>
      <c r="AC872" s="2043"/>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060" t="s">
        <v>2677</v>
      </c>
      <c r="N873" s="2325"/>
      <c r="O873" s="2325"/>
      <c r="P873" s="2325"/>
      <c r="Q873" s="2325"/>
      <c r="R873" s="2325"/>
      <c r="S873" s="2325"/>
      <c r="T873" s="2325"/>
      <c r="U873" s="2325"/>
      <c r="V873" s="2326"/>
      <c r="W873" s="2041">
        <v>29405</v>
      </c>
      <c r="X873" s="2042"/>
      <c r="Y873" s="2042"/>
      <c r="Z873" s="2042"/>
      <c r="AA873" s="2042"/>
      <c r="AB873" s="2042"/>
      <c r="AC873" s="2043"/>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83" t="s">
        <v>343</v>
      </c>
      <c r="N874" s="2325"/>
      <c r="O874" s="2325"/>
      <c r="P874" s="2325"/>
      <c r="Q874" s="2325"/>
      <c r="R874" s="2325"/>
      <c r="S874" s="2325"/>
      <c r="T874" s="2325"/>
      <c r="U874" s="2325"/>
      <c r="V874" s="2326"/>
      <c r="W874" s="2041"/>
      <c r="X874" s="2042"/>
      <c r="Y874" s="2042"/>
      <c r="Z874" s="2042"/>
      <c r="AA874" s="2042"/>
      <c r="AB874" s="2042"/>
      <c r="AC874" s="204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83" t="s">
        <v>343</v>
      </c>
      <c r="N875" s="2325"/>
      <c r="O875" s="2325"/>
      <c r="P875" s="2325"/>
      <c r="Q875" s="2325"/>
      <c r="R875" s="2325"/>
      <c r="S875" s="2325"/>
      <c r="T875" s="2325"/>
      <c r="U875" s="2325"/>
      <c r="V875" s="2326"/>
      <c r="W875" s="2041"/>
      <c r="X875" s="2042"/>
      <c r="Y875" s="2042"/>
      <c r="Z875" s="2042"/>
      <c r="AA875" s="2042"/>
      <c r="AB875" s="2042"/>
      <c r="AC875" s="204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83" t="s">
        <v>343</v>
      </c>
      <c r="N876" s="2325"/>
      <c r="O876" s="2325"/>
      <c r="P876" s="2325"/>
      <c r="Q876" s="2325"/>
      <c r="R876" s="2325"/>
      <c r="S876" s="2325"/>
      <c r="T876" s="2325"/>
      <c r="U876" s="2325"/>
      <c r="V876" s="2326"/>
      <c r="W876" s="2041"/>
      <c r="X876" s="2042"/>
      <c r="Y876" s="2042"/>
      <c r="Z876" s="2042"/>
      <c r="AA876" s="2042"/>
      <c r="AB876" s="2042"/>
      <c r="AC876" s="204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036">
        <f>SUM(W872:AC876)</f>
        <v>38405</v>
      </c>
      <c r="X877" s="2037"/>
      <c r="Y877" s="2037"/>
      <c r="Z877" s="2037"/>
      <c r="AA877" s="2037"/>
      <c r="AB877" s="2037"/>
      <c r="AC877" s="203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037">
        <f>W845+W853+W860+W861+W870+W877+W847</f>
        <v>420755</v>
      </c>
      <c r="AD881" s="2037"/>
      <c r="AE881" s="2037"/>
      <c r="AF881" s="2037"/>
      <c r="AG881" s="2037"/>
      <c r="AH881" s="203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544</v>
      </c>
      <c r="AC882" s="2418">
        <f>O796+O776+G753</f>
        <v>65</v>
      </c>
      <c r="AD882" s="2418"/>
      <c r="AE882" s="2418"/>
      <c r="AF882" s="2418"/>
      <c r="AG882" s="2418"/>
      <c r="AH882" s="241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244" t="s">
        <v>33</v>
      </c>
      <c r="F883" s="2244"/>
      <c r="G883" s="2244"/>
      <c r="H883" s="2244"/>
      <c r="I883" s="2244"/>
      <c r="J883" s="2244"/>
      <c r="K883" s="2244"/>
      <c r="L883" s="2244"/>
      <c r="M883" s="2244"/>
      <c r="N883" s="2244"/>
      <c r="O883" s="2244"/>
      <c r="P883" s="2244"/>
      <c r="Q883" s="2244"/>
      <c r="R883" s="2244"/>
      <c r="S883" s="2244"/>
      <c r="T883" s="2244"/>
      <c r="U883" s="2244"/>
      <c r="V883" s="2244"/>
      <c r="W883" s="2244"/>
      <c r="X883" s="2244"/>
      <c r="Y883" s="2244"/>
      <c r="Z883" s="2244"/>
      <c r="AA883" s="2244"/>
      <c r="AB883" s="2245"/>
      <c r="AC883" s="2336">
        <f>IF(ISERROR((ROUNDDOWN(AC881/AC882,0))),0,(ROUNDDOWN(AC881/AC882,0)))</f>
        <v>6473</v>
      </c>
      <c r="AD883" s="2336"/>
      <c r="AE883" s="2336"/>
      <c r="AF883" s="2336"/>
      <c r="AG883" s="2336"/>
      <c r="AH883" s="233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819</v>
      </c>
      <c r="AC884" s="2042">
        <v>233599</v>
      </c>
      <c r="AD884" s="2042"/>
      <c r="AE884" s="2042"/>
      <c r="AF884" s="2042"/>
      <c r="AG884" s="2042"/>
      <c r="AH884" s="204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1355</v>
      </c>
      <c r="AC885" s="2043"/>
      <c r="AD885" s="2075"/>
      <c r="AE885" s="2075"/>
      <c r="AF885" s="2075"/>
      <c r="AG885" s="2075"/>
      <c r="AH885" s="207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543</v>
      </c>
      <c r="AC886" s="2042">
        <v>23400</v>
      </c>
      <c r="AD886" s="2042"/>
      <c r="AE886" s="2042"/>
      <c r="AF886" s="2042"/>
      <c r="AG886" s="2042"/>
      <c r="AH886" s="204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42">
        <v>32500</v>
      </c>
      <c r="AD887" s="2042"/>
      <c r="AE887" s="2042"/>
      <c r="AF887" s="2042"/>
      <c r="AG887" s="2042"/>
      <c r="AH887" s="204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2156</v>
      </c>
      <c r="AC888" s="2042">
        <v>10860</v>
      </c>
      <c r="AD888" s="2042"/>
      <c r="AE888" s="2042"/>
      <c r="AF888" s="2042"/>
      <c r="AG888" s="2042"/>
      <c r="AH888" s="204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42">
        <v>2500</v>
      </c>
      <c r="AD889" s="2042"/>
      <c r="AE889" s="2042"/>
      <c r="AF889" s="2042"/>
      <c r="AG889" s="2042"/>
      <c r="AH889" s="2043"/>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2011</v>
      </c>
      <c r="AC890" s="2042"/>
      <c r="AD890" s="2042"/>
      <c r="AE890" s="2042"/>
      <c r="AF890" s="2042"/>
      <c r="AG890" s="2042"/>
      <c r="AH890" s="204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568" t="s">
        <v>1035</v>
      </c>
      <c r="D891" s="2569"/>
      <c r="E891" s="2569"/>
      <c r="F891" s="2569"/>
      <c r="G891" s="2569"/>
      <c r="H891" s="2569"/>
      <c r="I891" s="2569"/>
      <c r="J891" s="2569"/>
      <c r="K891" s="2569"/>
      <c r="L891" s="2569"/>
      <c r="M891" s="2569"/>
      <c r="N891" s="2569"/>
      <c r="O891" s="2569"/>
      <c r="P891" s="2569"/>
      <c r="Q891" s="2569"/>
      <c r="R891" s="2569"/>
      <c r="S891" s="2569"/>
      <c r="T891" s="2569"/>
      <c r="U891" s="2569"/>
      <c r="V891" s="2569"/>
      <c r="W891" s="2569"/>
      <c r="X891" s="2569"/>
      <c r="Y891" s="2569"/>
      <c r="Z891" s="2569"/>
      <c r="AA891" s="2569"/>
      <c r="AB891" s="2570"/>
      <c r="AC891" s="2075"/>
      <c r="AD891" s="2075"/>
      <c r="AE891" s="2075"/>
      <c r="AF891" s="2075"/>
      <c r="AG891" s="2075"/>
      <c r="AH891" s="207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568" t="s">
        <v>1035</v>
      </c>
      <c r="D892" s="2569"/>
      <c r="E892" s="2569"/>
      <c r="F892" s="2569"/>
      <c r="G892" s="2569"/>
      <c r="H892" s="2569"/>
      <c r="I892" s="2569"/>
      <c r="J892" s="2569"/>
      <c r="K892" s="2569"/>
      <c r="L892" s="2569"/>
      <c r="M892" s="2569"/>
      <c r="N892" s="2569"/>
      <c r="O892" s="2569"/>
      <c r="P892" s="2569"/>
      <c r="Q892" s="2569"/>
      <c r="R892" s="2569"/>
      <c r="S892" s="2569"/>
      <c r="T892" s="2569"/>
      <c r="U892" s="2569"/>
      <c r="V892" s="2569"/>
      <c r="W892" s="2569"/>
      <c r="X892" s="2569"/>
      <c r="Y892" s="2569"/>
      <c r="Z892" s="2569"/>
      <c r="AA892" s="2569"/>
      <c r="AB892" s="2570"/>
      <c r="AC892" s="2075"/>
      <c r="AD892" s="2075"/>
      <c r="AE892" s="2075"/>
      <c r="AF892" s="2075"/>
      <c r="AG892" s="2075"/>
      <c r="AH892" s="207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41"/>
      <c r="AA896" s="2042"/>
      <c r="AB896" s="2042"/>
      <c r="AC896" s="2042"/>
      <c r="AD896" s="2042"/>
      <c r="AE896" s="2043"/>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41"/>
      <c r="AA897" s="2042"/>
      <c r="AB897" s="2042"/>
      <c r="AC897" s="2042"/>
      <c r="AD897" s="2042"/>
      <c r="AE897" s="204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41"/>
      <c r="AA898" s="2042"/>
      <c r="AB898" s="2042"/>
      <c r="AC898" s="2042"/>
      <c r="AD898" s="2042"/>
      <c r="AE898" s="204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036">
        <f>Z896-(Z897+Z898)</f>
        <v>0</v>
      </c>
      <c r="AA899" s="2037"/>
      <c r="AB899" s="2037"/>
      <c r="AC899" s="2037"/>
      <c r="AD899" s="2037"/>
      <c r="AE899" s="2038"/>
      <c r="AZ899" s="61"/>
      <c r="BA899" s="25"/>
      <c r="BB899" s="127"/>
      <c r="BC899" s="127"/>
      <c r="BD899" s="1285"/>
      <c r="BE899" s="1285"/>
      <c r="BF899" s="1285"/>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410"/>
      <c r="BE901" s="2410"/>
      <c r="BF901" s="1285"/>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416"/>
      <c r="BE902" s="2416"/>
      <c r="BF902" s="1285"/>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34"/>
      <c r="BE903" s="2334"/>
      <c r="BF903" s="1285"/>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1"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34"/>
      <c r="BE904" s="2334"/>
      <c r="BF904" s="1285"/>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34"/>
      <c r="BE905" s="2334"/>
      <c r="BF905" s="1285"/>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410"/>
      <c r="BE906" s="2334"/>
      <c r="BF906" s="1285"/>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392" t="s">
        <v>101</v>
      </c>
      <c r="B907" s="2392"/>
      <c r="C907" s="2392"/>
      <c r="D907" s="2392"/>
      <c r="E907" s="2392"/>
      <c r="F907" s="2392"/>
      <c r="G907" s="2392"/>
      <c r="H907" s="2392"/>
      <c r="I907" s="2392"/>
      <c r="J907" s="2392"/>
      <c r="K907" s="2392"/>
      <c r="L907" s="2392"/>
      <c r="M907" s="2392"/>
      <c r="N907" s="2392"/>
      <c r="O907" s="2392"/>
      <c r="P907" s="2392"/>
      <c r="Q907" s="2392"/>
      <c r="R907" s="2392"/>
      <c r="S907" s="2392"/>
      <c r="T907" s="2392"/>
      <c r="U907" s="2392"/>
      <c r="V907" s="2392"/>
      <c r="W907" s="2392"/>
      <c r="X907" s="2392"/>
      <c r="Y907" s="2392"/>
      <c r="Z907" s="2392"/>
      <c r="AA907" s="2392"/>
      <c r="AB907" s="2392"/>
      <c r="AC907" s="2392"/>
      <c r="AD907" s="2392"/>
      <c r="AE907" s="2392"/>
      <c r="AF907" s="2392"/>
      <c r="AG907" s="2392"/>
      <c r="AH907" s="2392"/>
      <c r="AI907" s="2392"/>
      <c r="AJ907" s="2392"/>
      <c r="AK907" s="2392"/>
      <c r="AL907" s="2392"/>
      <c r="AM907" s="144"/>
      <c r="AN907" s="144"/>
      <c r="AO907" s="144"/>
      <c r="AP907" s="144"/>
      <c r="AQ907" s="144"/>
      <c r="AR907" s="144"/>
      <c r="AS907" s="144"/>
      <c r="AT907" s="144"/>
      <c r="AU907" s="144"/>
      <c r="AV907" s="144"/>
      <c r="AW907" s="144"/>
      <c r="AX907" s="144"/>
      <c r="AY907" s="144"/>
      <c r="AZ907" s="61"/>
      <c r="BA907" s="25"/>
      <c r="BB907" s="127"/>
      <c r="BC907" s="1606"/>
      <c r="BD907" s="2428"/>
      <c r="BE907" s="2428"/>
      <c r="BF907" s="2428"/>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393"/>
      <c r="B908" s="2393"/>
      <c r="C908" s="2393"/>
      <c r="D908" s="2393"/>
      <c r="E908" s="2393"/>
      <c r="F908" s="2393"/>
      <c r="G908" s="2393"/>
      <c r="H908" s="2393"/>
      <c r="I908" s="2393"/>
      <c r="J908" s="2393"/>
      <c r="K908" s="2393"/>
      <c r="L908" s="2393"/>
      <c r="M908" s="2393"/>
      <c r="N908" s="2393"/>
      <c r="O908" s="2393"/>
      <c r="P908" s="2393"/>
      <c r="Q908" s="2393"/>
      <c r="R908" s="2393"/>
      <c r="S908" s="2393"/>
      <c r="T908" s="2393"/>
      <c r="U908" s="2393"/>
      <c r="V908" s="2393"/>
      <c r="W908" s="2393"/>
      <c r="X908" s="2393"/>
      <c r="Y908" s="2393"/>
      <c r="Z908" s="2393"/>
      <c r="AA908" s="2393"/>
      <c r="AB908" s="2393"/>
      <c r="AC908" s="2393"/>
      <c r="AD908" s="2393"/>
      <c r="AE908" s="2393"/>
      <c r="AF908" s="2393"/>
      <c r="AG908" s="2393"/>
      <c r="AH908" s="2393"/>
      <c r="AI908" s="2393"/>
      <c r="AJ908" s="2393"/>
      <c r="AK908" s="2393"/>
      <c r="AL908" s="2393"/>
      <c r="AM908" s="144"/>
      <c r="AN908" s="144"/>
      <c r="AO908" s="144"/>
      <c r="AP908" s="144"/>
      <c r="AQ908" s="144"/>
      <c r="AR908" s="144"/>
      <c r="AS908" s="144"/>
      <c r="AT908" s="144"/>
      <c r="AU908" s="144"/>
      <c r="AV908" s="144"/>
      <c r="AW908" s="144"/>
      <c r="AX908" s="144"/>
      <c r="AY908" s="144"/>
      <c r="AZ908" s="61"/>
      <c r="BA908" s="25"/>
      <c r="BB908" s="127"/>
      <c r="BC908" s="1606"/>
      <c r="BD908" s="2424"/>
      <c r="BE908" s="2424"/>
      <c r="BF908" s="2424"/>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34"/>
      <c r="BE909" s="2334"/>
      <c r="BF909" s="1285"/>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410"/>
      <c r="BE910" s="2334"/>
      <c r="BF910" s="1285"/>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56" t="s">
        <v>850</v>
      </c>
      <c r="G912" s="2357"/>
      <c r="H912" s="2357"/>
      <c r="I912" s="2357"/>
      <c r="J912" s="2357"/>
      <c r="K912" s="2357"/>
      <c r="L912" s="2357"/>
      <c r="M912" s="2357"/>
      <c r="N912" s="2357"/>
      <c r="O912" s="2357"/>
      <c r="P912" s="2357"/>
      <c r="Q912" s="2357"/>
      <c r="R912" s="2357"/>
      <c r="S912" s="2357"/>
      <c r="T912" s="2358"/>
      <c r="U912" s="2347" t="s">
        <v>32</v>
      </c>
      <c r="V912" s="2348"/>
      <c r="W912" s="2348"/>
      <c r="X912" s="2348"/>
      <c r="Y912" s="2348"/>
      <c r="Z912" s="2348"/>
      <c r="AA912" s="73"/>
      <c r="AB912" s="161"/>
      <c r="AC912" s="161"/>
      <c r="AD912" s="161"/>
      <c r="AE912" s="161"/>
      <c r="AF912" s="162"/>
      <c r="AZ912" s="61"/>
      <c r="BA912" s="1605"/>
      <c r="BB912" s="127"/>
      <c r="BC912" s="127"/>
      <c r="BD912" s="2410"/>
      <c r="BE912" s="2334"/>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350" t="s">
        <v>879</v>
      </c>
      <c r="G913" s="2351"/>
      <c r="H913" s="2351"/>
      <c r="I913" s="2351"/>
      <c r="J913" s="2351"/>
      <c r="K913" s="2351"/>
      <c r="L913" s="2351"/>
      <c r="M913" s="2351"/>
      <c r="N913" s="2351"/>
      <c r="O913" s="2351"/>
      <c r="P913" s="2351"/>
      <c r="Q913" s="2351"/>
      <c r="R913" s="2351"/>
      <c r="S913" s="2351"/>
      <c r="T913" s="2352"/>
      <c r="U913" s="2350"/>
      <c r="V913" s="2351"/>
      <c r="W913" s="2351"/>
      <c r="X913" s="2351"/>
      <c r="Y913" s="2351"/>
      <c r="Z913" s="2351"/>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353"/>
      <c r="G914" s="2354"/>
      <c r="H914" s="2354"/>
      <c r="I914" s="2354"/>
      <c r="J914" s="2354"/>
      <c r="K914" s="2354"/>
      <c r="L914" s="2354"/>
      <c r="M914" s="2354"/>
      <c r="N914" s="2354"/>
      <c r="O914" s="2354"/>
      <c r="P914" s="2354"/>
      <c r="Q914" s="2354"/>
      <c r="R914" s="2354"/>
      <c r="S914" s="2354"/>
      <c r="T914" s="2355"/>
      <c r="U914" s="2353"/>
      <c r="V914" s="2354"/>
      <c r="W914" s="2354"/>
      <c r="X914" s="2354"/>
      <c r="Y914" s="2354"/>
      <c r="Z914" s="2354"/>
      <c r="AA914" s="164"/>
      <c r="AB914" s="2409" t="s">
        <v>410</v>
      </c>
      <c r="AC914" s="2409"/>
      <c r="AD914" s="2409"/>
      <c r="AE914" s="2409"/>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75" t="s">
        <v>578</v>
      </c>
      <c r="V915" s="2341"/>
      <c r="W915" s="2341"/>
      <c r="X915" s="2341"/>
      <c r="Y915" s="2341"/>
      <c r="Z915" s="2376"/>
      <c r="AA915" s="2227">
        <v>13466181</v>
      </c>
      <c r="AB915" s="2228"/>
      <c r="AC915" s="2228"/>
      <c r="AD915" s="2228"/>
      <c r="AE915" s="2228"/>
      <c r="AF915" s="222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75" t="s">
        <v>578</v>
      </c>
      <c r="V916" s="2341"/>
      <c r="W916" s="2341"/>
      <c r="X916" s="2341"/>
      <c r="Y916" s="2341"/>
      <c r="Z916" s="2376"/>
      <c r="AA916" s="2227">
        <v>8933819</v>
      </c>
      <c r="AB916" s="2228"/>
      <c r="AC916" s="2228"/>
      <c r="AD916" s="2228"/>
      <c r="AE916" s="2228"/>
      <c r="AF916" s="222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75" t="s">
        <v>626</v>
      </c>
      <c r="V917" s="2341"/>
      <c r="W917" s="2341"/>
      <c r="X917" s="2341"/>
      <c r="Y917" s="2341"/>
      <c r="Z917" s="2376"/>
      <c r="AA917" s="2227"/>
      <c r="AB917" s="2228"/>
      <c r="AC917" s="2228"/>
      <c r="AD917" s="2228"/>
      <c r="AE917" s="2228"/>
      <c r="AF917" s="222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75" t="s">
        <v>626</v>
      </c>
      <c r="V918" s="2341"/>
      <c r="W918" s="2341"/>
      <c r="X918" s="2341"/>
      <c r="Y918" s="2341"/>
      <c r="Z918" s="2376"/>
      <c r="AA918" s="2227"/>
      <c r="AB918" s="2228"/>
      <c r="AC918" s="2228"/>
      <c r="AD918" s="2228"/>
      <c r="AE918" s="2228"/>
      <c r="AF918" s="222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75" t="s">
        <v>626</v>
      </c>
      <c r="V919" s="2341"/>
      <c r="W919" s="2341"/>
      <c r="X919" s="2341"/>
      <c r="Y919" s="2341"/>
      <c r="Z919" s="2376"/>
      <c r="AA919" s="2227"/>
      <c r="AB919" s="2228"/>
      <c r="AC919" s="2228"/>
      <c r="AD919" s="2228"/>
      <c r="AE919" s="2228"/>
      <c r="AF919" s="222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75" t="s">
        <v>626</v>
      </c>
      <c r="V920" s="2341"/>
      <c r="W920" s="2341"/>
      <c r="X920" s="2341"/>
      <c r="Y920" s="2341"/>
      <c r="Z920" s="2376"/>
      <c r="AA920" s="2227"/>
      <c r="AB920" s="2228"/>
      <c r="AC920" s="2228"/>
      <c r="AD920" s="2228"/>
      <c r="AE920" s="2228"/>
      <c r="AF920" s="222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75" t="s">
        <v>626</v>
      </c>
      <c r="V921" s="2341"/>
      <c r="W921" s="2341"/>
      <c r="X921" s="2341"/>
      <c r="Y921" s="2341"/>
      <c r="Z921" s="2376"/>
      <c r="AA921" s="2227"/>
      <c r="AB921" s="2228"/>
      <c r="AC921" s="2228"/>
      <c r="AD921" s="2228"/>
      <c r="AE921" s="2228"/>
      <c r="AF921" s="222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75" t="s">
        <v>626</v>
      </c>
      <c r="V922" s="2341"/>
      <c r="W922" s="2341"/>
      <c r="X922" s="2341"/>
      <c r="Y922" s="2341"/>
      <c r="Z922" s="2376"/>
      <c r="AA922" s="2227"/>
      <c r="AB922" s="2228"/>
      <c r="AC922" s="2228"/>
      <c r="AD922" s="2228"/>
      <c r="AE922" s="2228"/>
      <c r="AF922" s="222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75" t="s">
        <v>626</v>
      </c>
      <c r="V923" s="2341"/>
      <c r="W923" s="2341"/>
      <c r="X923" s="2341"/>
      <c r="Y923" s="2341"/>
      <c r="Z923" s="2376"/>
      <c r="AA923" s="2227"/>
      <c r="AB923" s="2228"/>
      <c r="AC923" s="2228"/>
      <c r="AD923" s="2228"/>
      <c r="AE923" s="2228"/>
      <c r="AF923" s="222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75" t="s">
        <v>626</v>
      </c>
      <c r="V924" s="2341"/>
      <c r="W924" s="2341"/>
      <c r="X924" s="2341"/>
      <c r="Y924" s="2341"/>
      <c r="Z924" s="2376"/>
      <c r="AA924" s="2227"/>
      <c r="AB924" s="2228"/>
      <c r="AC924" s="2228"/>
      <c r="AD924" s="2228"/>
      <c r="AE924" s="2228"/>
      <c r="AF924" s="222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375" t="s">
        <v>626</v>
      </c>
      <c r="V925" s="2341"/>
      <c r="W925" s="2341"/>
      <c r="X925" s="2341"/>
      <c r="Y925" s="2341"/>
      <c r="Z925" s="2376"/>
      <c r="AA925" s="2227"/>
      <c r="AB925" s="2228"/>
      <c r="AC925" s="2228"/>
      <c r="AD925" s="2228"/>
      <c r="AE925" s="2228"/>
      <c r="AF925" s="222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75" t="s">
        <v>578</v>
      </c>
      <c r="V926" s="2341"/>
      <c r="W926" s="2341"/>
      <c r="X926" s="2341"/>
      <c r="Y926" s="2341"/>
      <c r="Z926" s="2376"/>
      <c r="AA926" s="2227">
        <v>2519696</v>
      </c>
      <c r="AB926" s="2228"/>
      <c r="AC926" s="2228"/>
      <c r="AD926" s="2228"/>
      <c r="AE926" s="2228"/>
      <c r="AF926" s="222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75" t="s">
        <v>626</v>
      </c>
      <c r="V927" s="2341"/>
      <c r="W927" s="2341"/>
      <c r="X927" s="2341"/>
      <c r="Y927" s="2341"/>
      <c r="Z927" s="2376"/>
      <c r="AA927" s="2227"/>
      <c r="AB927" s="2228"/>
      <c r="AC927" s="2228"/>
      <c r="AD927" s="2228"/>
      <c r="AE927" s="2228"/>
      <c r="AF927" s="222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4" t="s">
        <v>1493</v>
      </c>
      <c r="G928" s="148"/>
      <c r="H928" s="148"/>
      <c r="I928" s="148"/>
      <c r="J928" s="148"/>
      <c r="K928" s="148"/>
      <c r="L928" s="148"/>
      <c r="M928" s="148"/>
      <c r="N928" s="148"/>
      <c r="O928" s="148"/>
      <c r="P928" s="148"/>
      <c r="Q928" s="148"/>
      <c r="R928" s="148"/>
      <c r="S928" s="148"/>
      <c r="T928" s="336"/>
      <c r="U928" s="2375" t="s">
        <v>626</v>
      </c>
      <c r="V928" s="2341"/>
      <c r="W928" s="2341"/>
      <c r="X928" s="2341"/>
      <c r="Y928" s="2341"/>
      <c r="Z928" s="2376"/>
      <c r="AA928" s="2227"/>
      <c r="AB928" s="2228"/>
      <c r="AC928" s="2228"/>
      <c r="AD928" s="2228"/>
      <c r="AE928" s="2228"/>
      <c r="AF928" s="222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4" t="s">
        <v>1494</v>
      </c>
      <c r="G929" s="77"/>
      <c r="H929" s="77"/>
      <c r="I929" s="77"/>
      <c r="J929" s="77"/>
      <c r="K929" s="77"/>
      <c r="L929" s="77"/>
      <c r="M929" s="77"/>
      <c r="N929" s="77"/>
      <c r="O929" s="77"/>
      <c r="P929" s="148"/>
      <c r="Q929" s="148"/>
      <c r="R929" s="148"/>
      <c r="S929" s="148"/>
      <c r="T929" s="336"/>
      <c r="U929" s="2375" t="s">
        <v>626</v>
      </c>
      <c r="V929" s="2341"/>
      <c r="W929" s="2341"/>
      <c r="X929" s="2341"/>
      <c r="Y929" s="2341"/>
      <c r="Z929" s="2376"/>
      <c r="AA929" s="2227"/>
      <c r="AB929" s="2228"/>
      <c r="AC929" s="2228"/>
      <c r="AD929" s="2228"/>
      <c r="AE929" s="2228"/>
      <c r="AF929" s="222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75" t="s">
        <v>706</v>
      </c>
      <c r="Q930" s="2341"/>
      <c r="R930" s="2341"/>
      <c r="S930" s="2341"/>
      <c r="T930" s="2376"/>
      <c r="U930" s="2375" t="s">
        <v>626</v>
      </c>
      <c r="V930" s="2341"/>
      <c r="W930" s="2341"/>
      <c r="X930" s="2341"/>
      <c r="Y930" s="2341"/>
      <c r="Z930" s="2376"/>
      <c r="AA930" s="2227"/>
      <c r="AB930" s="2228"/>
      <c r="AC930" s="2228"/>
      <c r="AD930" s="2228"/>
      <c r="AE930" s="2228"/>
      <c r="AF930" s="222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98" t="s">
        <v>2635</v>
      </c>
      <c r="J931" s="2414"/>
      <c r="K931" s="2414"/>
      <c r="L931" s="2414"/>
      <c r="M931" s="2414"/>
      <c r="N931" s="2414"/>
      <c r="O931" s="2414"/>
      <c r="P931" s="2414"/>
      <c r="Q931" s="2414"/>
      <c r="R931" s="2414"/>
      <c r="S931" s="2414"/>
      <c r="T931" s="2415"/>
      <c r="U931" s="2375" t="s">
        <v>578</v>
      </c>
      <c r="V931" s="2341"/>
      <c r="W931" s="2341"/>
      <c r="X931" s="2341"/>
      <c r="Y931" s="2341"/>
      <c r="Z931" s="2376"/>
      <c r="AA931" s="2227">
        <v>4806018</v>
      </c>
      <c r="AB931" s="2228"/>
      <c r="AC931" s="2228"/>
      <c r="AD931" s="2228"/>
      <c r="AE931" s="2228"/>
      <c r="AF931" s="222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98" t="s">
        <v>2654</v>
      </c>
      <c r="J932" s="2399"/>
      <c r="K932" s="2399"/>
      <c r="L932" s="2399"/>
      <c r="M932" s="2399"/>
      <c r="N932" s="2399"/>
      <c r="O932" s="2399"/>
      <c r="P932" s="2399"/>
      <c r="Q932" s="2399"/>
      <c r="R932" s="2399"/>
      <c r="S932" s="2399"/>
      <c r="T932" s="2400"/>
      <c r="U932" s="2375" t="s">
        <v>578</v>
      </c>
      <c r="V932" s="2341"/>
      <c r="W932" s="2341"/>
      <c r="X932" s="2341"/>
      <c r="Y932" s="2341"/>
      <c r="Z932" s="2376"/>
      <c r="AA932" s="2227">
        <v>500000</v>
      </c>
      <c r="AB932" s="2228"/>
      <c r="AC932" s="2228"/>
      <c r="AD932" s="2228"/>
      <c r="AE932" s="2228"/>
      <c r="AF932" s="222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98" t="s">
        <v>2697</v>
      </c>
      <c r="J933" s="2399"/>
      <c r="K933" s="2399"/>
      <c r="L933" s="2399"/>
      <c r="M933" s="2399"/>
      <c r="N933" s="2399"/>
      <c r="O933" s="2399"/>
      <c r="P933" s="2399"/>
      <c r="Q933" s="2399"/>
      <c r="R933" s="2399"/>
      <c r="S933" s="2399"/>
      <c r="T933" s="2400"/>
      <c r="U933" s="2375" t="s">
        <v>578</v>
      </c>
      <c r="V933" s="2341"/>
      <c r="W933" s="2341"/>
      <c r="X933" s="2341"/>
      <c r="Y933" s="2341"/>
      <c r="Z933" s="2376"/>
      <c r="AA933" s="2227">
        <v>792060</v>
      </c>
      <c r="AB933" s="2228"/>
      <c r="AC933" s="2228"/>
      <c r="AD933" s="2228"/>
      <c r="AE933" s="2228"/>
      <c r="AF933" s="222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423" t="s">
        <v>343</v>
      </c>
      <c r="J934" s="2399"/>
      <c r="K934" s="2399"/>
      <c r="L934" s="2399"/>
      <c r="M934" s="2399"/>
      <c r="N934" s="2399"/>
      <c r="O934" s="2399"/>
      <c r="P934" s="2399"/>
      <c r="Q934" s="2399"/>
      <c r="R934" s="2399"/>
      <c r="S934" s="2399"/>
      <c r="T934" s="2400"/>
      <c r="U934" s="2375" t="s">
        <v>626</v>
      </c>
      <c r="V934" s="2341"/>
      <c r="W934" s="2341"/>
      <c r="X934" s="2341"/>
      <c r="Y934" s="2341"/>
      <c r="Z934" s="2376"/>
      <c r="AA934" s="2227"/>
      <c r="AB934" s="2228"/>
      <c r="AC934" s="2228"/>
      <c r="AD934" s="2228"/>
      <c r="AE934" s="2228"/>
      <c r="AF934" s="222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87">
        <v>44208</v>
      </c>
      <c r="N939" s="2337"/>
      <c r="O939" s="2337"/>
      <c r="P939" s="2337"/>
      <c r="Q939" s="2337"/>
      <c r="R939" s="2337"/>
      <c r="S939" s="2388"/>
      <c r="U939" s="103" t="s">
        <v>11</v>
      </c>
      <c r="V939" s="77"/>
      <c r="W939" s="77"/>
      <c r="X939" s="77"/>
      <c r="Y939" s="77"/>
      <c r="Z939" s="77"/>
      <c r="AA939" s="77"/>
      <c r="AB939" s="77"/>
      <c r="AC939" s="77"/>
      <c r="AD939" s="78"/>
      <c r="AE939" s="2387"/>
      <c r="AF939" s="2337"/>
      <c r="AG939" s="2337"/>
      <c r="AH939" s="2337"/>
      <c r="AI939" s="2337"/>
      <c r="AJ939" s="2337"/>
      <c r="AK939" s="238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89" t="s">
        <v>2655</v>
      </c>
      <c r="N940" s="2390"/>
      <c r="O940" s="2390"/>
      <c r="P940" s="2390"/>
      <c r="Q940" s="2390"/>
      <c r="R940" s="2390"/>
      <c r="S940" s="2391"/>
      <c r="U940" s="103" t="s">
        <v>12</v>
      </c>
      <c r="V940" s="77"/>
      <c r="W940" s="77"/>
      <c r="X940" s="77"/>
      <c r="Y940" s="77"/>
      <c r="Z940" s="77"/>
      <c r="AA940" s="77"/>
      <c r="AB940" s="77"/>
      <c r="AC940" s="77"/>
      <c r="AD940" s="78"/>
      <c r="AE940" s="2389"/>
      <c r="AF940" s="2390"/>
      <c r="AG940" s="2390"/>
      <c r="AH940" s="2390"/>
      <c r="AI940" s="2390"/>
      <c r="AJ940" s="2390"/>
      <c r="AK940" s="239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406" t="s">
        <v>2656</v>
      </c>
      <c r="K941" s="2407"/>
      <c r="L941" s="2407"/>
      <c r="M941" s="2407"/>
      <c r="N941" s="2407"/>
      <c r="O941" s="2407"/>
      <c r="P941" s="2407"/>
      <c r="Q941" s="2407"/>
      <c r="R941" s="2407"/>
      <c r="S941" s="2408"/>
      <c r="U941" s="103" t="s">
        <v>945</v>
      </c>
      <c r="V941" s="77"/>
      <c r="W941" s="77"/>
      <c r="AB941" s="2406" t="s">
        <v>316</v>
      </c>
      <c r="AC941" s="2407"/>
      <c r="AD941" s="2407"/>
      <c r="AE941" s="2407"/>
      <c r="AF941" s="2407"/>
      <c r="AG941" s="2407"/>
      <c r="AH941" s="2407"/>
      <c r="AI941" s="2407"/>
      <c r="AJ941" s="2407"/>
      <c r="AK941" s="240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17">
        <v>0.32</v>
      </c>
      <c r="N942" s="2385"/>
      <c r="O942" s="2385"/>
      <c r="P942" s="2385"/>
      <c r="Q942" s="2385"/>
      <c r="R942" s="2385"/>
      <c r="S942" s="2386"/>
      <c r="U942" s="103" t="s">
        <v>13</v>
      </c>
      <c r="V942" s="77"/>
      <c r="W942" s="77"/>
      <c r="X942" s="77"/>
      <c r="Y942" s="77"/>
      <c r="Z942" s="77"/>
      <c r="AA942" s="77"/>
      <c r="AB942" s="77"/>
      <c r="AC942" s="77"/>
      <c r="AD942" s="78"/>
      <c r="AE942" s="2384"/>
      <c r="AF942" s="2385"/>
      <c r="AG942" s="2385"/>
      <c r="AH942" s="2385"/>
      <c r="AI942" s="2385"/>
      <c r="AJ942" s="2385"/>
      <c r="AK942" s="238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17">
        <v>21</v>
      </c>
      <c r="N943" s="2318"/>
      <c r="O943" s="2318"/>
      <c r="P943" s="2318"/>
      <c r="Q943" s="2318"/>
      <c r="R943" s="2318"/>
      <c r="S943" s="2319"/>
      <c r="U943" s="103" t="s">
        <v>14</v>
      </c>
      <c r="V943" s="77"/>
      <c r="W943" s="77"/>
      <c r="X943" s="77"/>
      <c r="Y943" s="77"/>
      <c r="Z943" s="77"/>
      <c r="AA943" s="77"/>
      <c r="AB943" s="77"/>
      <c r="AC943" s="77"/>
      <c r="AD943" s="78"/>
      <c r="AE943" s="2317"/>
      <c r="AF943" s="2318"/>
      <c r="AG943" s="2318"/>
      <c r="AH943" s="2318"/>
      <c r="AI943" s="2318"/>
      <c r="AJ943" s="2318"/>
      <c r="AK943" s="231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27">
        <f>1561*21*12</f>
        <v>393372</v>
      </c>
      <c r="N944" s="2228"/>
      <c r="O944" s="2228"/>
      <c r="P944" s="2228"/>
      <c r="Q944" s="2228"/>
      <c r="R944" s="2228"/>
      <c r="S944" s="2229"/>
      <c r="U944" s="103" t="s">
        <v>15</v>
      </c>
      <c r="V944" s="77"/>
      <c r="W944" s="77"/>
      <c r="X944" s="77"/>
      <c r="Y944" s="77"/>
      <c r="Z944" s="77"/>
      <c r="AA944" s="77"/>
      <c r="AB944" s="77"/>
      <c r="AC944" s="77"/>
      <c r="AD944" s="78"/>
      <c r="AE944" s="2227"/>
      <c r="AF944" s="2228"/>
      <c r="AG944" s="2228"/>
      <c r="AH944" s="2228"/>
      <c r="AI944" s="2228"/>
      <c r="AJ944" s="2228"/>
      <c r="AK944" s="222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27">
        <f>393372*20</f>
        <v>7867440</v>
      </c>
      <c r="N945" s="2228"/>
      <c r="O945" s="2228"/>
      <c r="P945" s="2228"/>
      <c r="Q945" s="2228"/>
      <c r="R945" s="2228"/>
      <c r="S945" s="2229"/>
      <c r="U945" s="103" t="s">
        <v>16</v>
      </c>
      <c r="V945" s="77"/>
      <c r="W945" s="77"/>
      <c r="X945" s="77"/>
      <c r="Y945" s="77"/>
      <c r="Z945" s="77"/>
      <c r="AA945" s="77"/>
      <c r="AB945" s="77"/>
      <c r="AC945" s="77"/>
      <c r="AD945" s="78"/>
      <c r="AE945" s="2227"/>
      <c r="AF945" s="2228"/>
      <c r="AG945" s="2228"/>
      <c r="AH945" s="2228"/>
      <c r="AI945" s="2228"/>
      <c r="AJ945" s="2228"/>
      <c r="AK945" s="222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105" t="s">
        <v>2657</v>
      </c>
      <c r="N946" s="2106"/>
      <c r="O946" s="2106"/>
      <c r="P946" s="2106"/>
      <c r="Q946" s="2106"/>
      <c r="R946" s="2106"/>
      <c r="S946" s="2107"/>
      <c r="U946" s="103" t="s">
        <v>605</v>
      </c>
      <c r="V946" s="77"/>
      <c r="W946" s="77"/>
      <c r="X946" s="77"/>
      <c r="Y946" s="77"/>
      <c r="Z946" s="77"/>
      <c r="AA946" s="77"/>
      <c r="AB946" s="77"/>
      <c r="AC946" s="77"/>
      <c r="AD946" s="78"/>
      <c r="AE946" s="2105"/>
      <c r="AF946" s="2106"/>
      <c r="AG946" s="2106"/>
      <c r="AH946" s="2106"/>
      <c r="AI946" s="2106"/>
      <c r="AJ946" s="2106"/>
      <c r="AK946" s="210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34"/>
      <c r="N951" s="2235"/>
      <c r="O951" s="2235"/>
      <c r="P951" s="2235"/>
      <c r="Q951" s="2235"/>
      <c r="R951" s="2235"/>
      <c r="S951" s="2236"/>
      <c r="T951" s="103" t="s">
        <v>848</v>
      </c>
      <c r="U951" s="77"/>
      <c r="V951" s="77"/>
      <c r="W951" s="77"/>
      <c r="X951" s="77"/>
      <c r="Y951" s="77"/>
      <c r="Z951" s="78"/>
      <c r="AA951" s="2234"/>
      <c r="AB951" s="2235"/>
      <c r="AC951" s="2235"/>
      <c r="AD951" s="2235"/>
      <c r="AE951" s="2235"/>
      <c r="AF951" s="2235"/>
      <c r="AG951" s="223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34"/>
      <c r="N952" s="2235"/>
      <c r="O952" s="2235"/>
      <c r="P952" s="2235"/>
      <c r="Q952" s="2235"/>
      <c r="R952" s="2235"/>
      <c r="S952" s="2236"/>
      <c r="T952" s="103" t="s">
        <v>847</v>
      </c>
      <c r="U952" s="77"/>
      <c r="V952" s="77"/>
      <c r="W952" s="77"/>
      <c r="X952" s="77"/>
      <c r="Y952" s="77"/>
      <c r="Z952" s="78"/>
      <c r="AA952" s="2234"/>
      <c r="AB952" s="2235"/>
      <c r="AC952" s="2235"/>
      <c r="AD952" s="2235"/>
      <c r="AE952" s="2235"/>
      <c r="AF952" s="2235"/>
      <c r="AG952" s="223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80" t="s">
        <v>626</v>
      </c>
      <c r="N953" s="2381"/>
      <c r="O953" s="2381"/>
      <c r="P953" s="2381"/>
      <c r="Q953" s="2381"/>
      <c r="R953" s="2381"/>
      <c r="S953" s="2382"/>
      <c r="T953" s="76" t="s">
        <v>346</v>
      </c>
      <c r="U953" s="77"/>
      <c r="V953" s="77"/>
      <c r="W953" s="77"/>
      <c r="X953" s="77"/>
      <c r="Y953" s="77"/>
      <c r="Z953" s="78"/>
      <c r="AA953" s="2234"/>
      <c r="AB953" s="2235"/>
      <c r="AC953" s="2235"/>
      <c r="AD953" s="2235"/>
      <c r="AE953" s="2235"/>
      <c r="AF953" s="2235"/>
      <c r="AG953" s="223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34"/>
      <c r="N954" s="2235"/>
      <c r="O954" s="2235"/>
      <c r="P954" s="2235"/>
      <c r="Q954" s="2235"/>
      <c r="R954" s="2235"/>
      <c r="S954" s="2236"/>
      <c r="T954" s="76" t="s">
        <v>347</v>
      </c>
      <c r="U954" s="77"/>
      <c r="V954" s="77"/>
      <c r="W954" s="77"/>
      <c r="X954" s="77"/>
      <c r="Y954" s="77"/>
      <c r="Z954" s="78"/>
      <c r="AA954" s="2234"/>
      <c r="AB954" s="2235"/>
      <c r="AC954" s="2235"/>
      <c r="AD954" s="2235"/>
      <c r="AE954" s="2235"/>
      <c r="AF954" s="2235"/>
      <c r="AG954" s="223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34"/>
      <c r="N955" s="2235"/>
      <c r="O955" s="2235"/>
      <c r="P955" s="2235"/>
      <c r="Q955" s="2235"/>
      <c r="R955" s="2235"/>
      <c r="S955" s="2236"/>
      <c r="T955" s="76" t="s">
        <v>394</v>
      </c>
      <c r="U955" s="77"/>
      <c r="V955" s="77"/>
      <c r="W955" s="77"/>
      <c r="X955" s="77"/>
      <c r="Y955" s="77"/>
      <c r="Z955" s="78"/>
      <c r="AA955" s="2234"/>
      <c r="AB955" s="2235"/>
      <c r="AC955" s="2235"/>
      <c r="AD955" s="2235"/>
      <c r="AE955" s="2235"/>
      <c r="AF955" s="2235"/>
      <c r="AG955" s="223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237" t="s">
        <v>316</v>
      </c>
      <c r="N956" s="2238"/>
      <c r="O956" s="2238"/>
      <c r="P956" s="2238"/>
      <c r="Q956" s="2238"/>
      <c r="R956" s="2238"/>
      <c r="S956" s="2239"/>
      <c r="T956" s="2394"/>
      <c r="U956" s="2395"/>
      <c r="V956" s="2395"/>
      <c r="W956" s="2395"/>
      <c r="X956" s="2395"/>
      <c r="Y956" s="2395"/>
      <c r="Z956" s="2396"/>
      <c r="AA956" s="2234"/>
      <c r="AB956" s="2235"/>
      <c r="AC956" s="2235"/>
      <c r="AD956" s="2235"/>
      <c r="AE956" s="2235"/>
      <c r="AF956" s="2235"/>
      <c r="AG956" s="223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34"/>
      <c r="N957" s="2235"/>
      <c r="O957" s="2235"/>
      <c r="P957" s="2235"/>
      <c r="Q957" s="2235"/>
      <c r="R957" s="2235"/>
      <c r="S957" s="2236"/>
      <c r="T957" s="2394"/>
      <c r="U957" s="2395"/>
      <c r="V957" s="2395"/>
      <c r="W957" s="2395"/>
      <c r="X957" s="2395"/>
      <c r="Y957" s="2395"/>
      <c r="Z957" s="2396"/>
      <c r="AA957" s="2234"/>
      <c r="AB957" s="2235"/>
      <c r="AC957" s="2235"/>
      <c r="AD957" s="2235"/>
      <c r="AE957" s="2235"/>
      <c r="AF957" s="2235"/>
      <c r="AG957" s="223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401" t="s">
        <v>706</v>
      </c>
      <c r="P958" s="2402"/>
      <c r="Q958" s="139"/>
      <c r="R958" s="139"/>
      <c r="S958" s="140"/>
      <c r="T958" s="71" t="s">
        <v>175</v>
      </c>
      <c r="U958" s="72"/>
      <c r="V958" s="72"/>
      <c r="W958" s="2383" t="s">
        <v>343</v>
      </c>
      <c r="X958" s="2325"/>
      <c r="Y958" s="2325"/>
      <c r="Z958" s="2325"/>
      <c r="AA958" s="2325"/>
      <c r="AB958" s="2325"/>
      <c r="AC958" s="2325"/>
      <c r="AD958" s="2325"/>
      <c r="AE958" s="2325"/>
      <c r="AF958" s="2325"/>
      <c r="AG958" s="232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246" t="s">
        <v>34</v>
      </c>
      <c r="G959" s="2247"/>
      <c r="H959" s="2247"/>
      <c r="I959" s="2247"/>
      <c r="J959" s="2247"/>
      <c r="K959" s="2247"/>
      <c r="L959" s="2247"/>
      <c r="M959" s="2234"/>
      <c r="N959" s="2235"/>
      <c r="O959" s="2235"/>
      <c r="P959" s="2235"/>
      <c r="Q959" s="2235"/>
      <c r="R959" s="2235"/>
      <c r="S959" s="2236"/>
      <c r="T959" s="79"/>
      <c r="U959" s="80"/>
      <c r="V959" s="80"/>
      <c r="W959" s="80"/>
      <c r="X959" s="80"/>
      <c r="Y959" s="80"/>
      <c r="Z959" s="188" t="s">
        <v>139</v>
      </c>
      <c r="AA959" s="2411"/>
      <c r="AB959" s="2412"/>
      <c r="AC959" s="2412"/>
      <c r="AD959" s="2412"/>
      <c r="AE959" s="2412"/>
      <c r="AF959" s="2412"/>
      <c r="AG959" s="241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220" t="s">
        <v>581</v>
      </c>
      <c r="B963" s="2220"/>
      <c r="C963" s="2220"/>
      <c r="D963" s="2220"/>
      <c r="E963" s="2220"/>
      <c r="F963" s="2220"/>
      <c r="G963" s="2220"/>
      <c r="H963" s="2220"/>
      <c r="I963" s="2220"/>
      <c r="J963" s="2220"/>
      <c r="K963" s="2220"/>
      <c r="L963" s="2220"/>
      <c r="M963" s="2220"/>
      <c r="N963" s="2220"/>
      <c r="O963" s="2220"/>
      <c r="P963" s="2220"/>
      <c r="Q963" s="2220"/>
      <c r="R963" s="2220"/>
      <c r="S963" s="2220"/>
      <c r="T963" s="2220"/>
      <c r="U963" s="2220"/>
      <c r="V963" s="2220"/>
      <c r="W963" s="2220"/>
      <c r="X963" s="2220"/>
      <c r="Y963" s="2220"/>
      <c r="Z963" s="2220"/>
      <c r="AA963" s="2220"/>
      <c r="AB963" s="2220"/>
      <c r="AC963" s="2220"/>
      <c r="AD963" s="2220"/>
      <c r="AE963" s="2220"/>
      <c r="AF963" s="2220"/>
      <c r="AG963" s="2220"/>
      <c r="AH963" s="2220"/>
      <c r="AI963" s="2220"/>
      <c r="AJ963" s="2220"/>
      <c r="AK963" s="2220"/>
      <c r="AL963" s="2220"/>
      <c r="AM963" s="2220"/>
      <c r="AN963" s="2220"/>
      <c r="AO963" s="2220"/>
      <c r="AP963" s="2220"/>
      <c r="AQ963" s="2220"/>
      <c r="AR963" s="2220"/>
      <c r="AS963" s="222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220"/>
      <c r="B964" s="2220"/>
      <c r="C964" s="2220"/>
      <c r="D964" s="2220"/>
      <c r="E964" s="2220"/>
      <c r="F964" s="2220"/>
      <c r="G964" s="2220"/>
      <c r="H964" s="2220"/>
      <c r="I964" s="2220"/>
      <c r="J964" s="2220"/>
      <c r="K964" s="2220"/>
      <c r="L964" s="2220"/>
      <c r="M964" s="2220"/>
      <c r="N964" s="2220"/>
      <c r="O964" s="2220"/>
      <c r="P964" s="2220"/>
      <c r="Q964" s="2220"/>
      <c r="R964" s="2220"/>
      <c r="S964" s="2220"/>
      <c r="T964" s="2220"/>
      <c r="U964" s="2220"/>
      <c r="V964" s="2220"/>
      <c r="W964" s="2220"/>
      <c r="X964" s="2220"/>
      <c r="Y964" s="2220"/>
      <c r="Z964" s="2220"/>
      <c r="AA964" s="2220"/>
      <c r="AB964" s="2220"/>
      <c r="AC964" s="2220"/>
      <c r="AD964" s="2220"/>
      <c r="AE964" s="2220"/>
      <c r="AF964" s="2220"/>
      <c r="AG964" s="2220"/>
      <c r="AH964" s="2220"/>
      <c r="AI964" s="2220"/>
      <c r="AJ964" s="2220"/>
      <c r="AK964" s="2220"/>
      <c r="AL964" s="2220"/>
      <c r="AM964" s="2220"/>
      <c r="AN964" s="2220"/>
      <c r="AO964" s="2220"/>
      <c r="AP964" s="2220"/>
      <c r="AQ964" s="2220"/>
      <c r="AR964" s="2220"/>
      <c r="AS964" s="222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27"/>
      <c r="BH965" s="2327"/>
      <c r="BI965" s="2327"/>
      <c r="BJ965" s="2327"/>
      <c r="BK965" s="2327"/>
      <c r="BL965" s="2327"/>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5"/>
      <c r="D968" s="2099" t="s">
        <v>673</v>
      </c>
      <c r="E968" s="2100"/>
      <c r="F968" s="2100"/>
      <c r="G968" s="2100"/>
      <c r="H968" s="2100"/>
      <c r="I968" s="2100"/>
      <c r="J968" s="2100"/>
      <c r="K968" s="2100"/>
      <c r="L968" s="2100"/>
      <c r="M968" s="2100"/>
      <c r="N968" s="2100"/>
      <c r="O968" s="2100"/>
      <c r="P968" s="2100"/>
      <c r="Q968" s="2101"/>
      <c r="R968" s="2099" t="s">
        <v>674</v>
      </c>
      <c r="S968" s="2100"/>
      <c r="T968" s="2100"/>
      <c r="U968" s="2100"/>
      <c r="V968" s="2100"/>
      <c r="W968" s="2100"/>
      <c r="X968" s="2100"/>
      <c r="Y968" s="2100"/>
      <c r="Z968" s="2100"/>
      <c r="AA968" s="2101"/>
      <c r="AB968" s="2099" t="s">
        <v>675</v>
      </c>
      <c r="AC968" s="2100"/>
      <c r="AD968" s="2100"/>
      <c r="AE968" s="2100"/>
      <c r="AF968" s="2100"/>
      <c r="AG968" s="2100"/>
      <c r="AH968" s="2100"/>
      <c r="AI968" s="2101"/>
      <c r="AJ968" s="2099" t="s">
        <v>676</v>
      </c>
      <c r="AK968" s="2100"/>
      <c r="AL968" s="2100"/>
      <c r="AM968" s="2100"/>
      <c r="AN968" s="2100"/>
      <c r="AO968" s="2100"/>
      <c r="AP968" s="2100"/>
      <c r="AQ968" s="2101"/>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75">
      <c r="B969" s="110"/>
      <c r="C969" s="1626"/>
      <c r="D969" s="2186" t="s">
        <v>668</v>
      </c>
      <c r="E969" s="2187"/>
      <c r="F969" s="2187"/>
      <c r="G969" s="2187"/>
      <c r="H969" s="2187"/>
      <c r="I969" s="2187"/>
      <c r="J969" s="2187"/>
      <c r="K969" s="2187"/>
      <c r="L969" s="2187"/>
      <c r="M969" s="2187"/>
      <c r="N969" s="2187"/>
      <c r="O969" s="2187"/>
      <c r="P969" s="2187"/>
      <c r="Q969" s="2188"/>
      <c r="R969" s="2185">
        <f>IF(ISNA(IF($BN$799="4%",(INDEX($BP$809:$BT$866,MATCH($CB$799,$BO$809:$BO$866,0),MATCH(D969,$BP$808:$BT$808,0))),(INDEX($BW$809:$CA$866,MATCH($CB$799,$BV$809:$BV$866,0),MATCH(D969,$BW$808:$CA$808,0))))),0,IF($BN$799="4%",(INDEX($BP$809:$BT$866,MATCH($CB$799,$BO$809:$BO$866,0),MATCH(D969,$BP$808:$BT$808,0))),(INDEX($BW$809:$CA$866,MATCH($CB$799,$BV$809:$BV$866,0),MATCH(D969,$BW$808:$CA$808,0)))))</f>
        <v>279547</v>
      </c>
      <c r="S969" s="2185"/>
      <c r="T969" s="2185"/>
      <c r="U969" s="2185"/>
      <c r="V969" s="2185"/>
      <c r="W969" s="2185"/>
      <c r="X969" s="2185"/>
      <c r="Y969" s="2185"/>
      <c r="Z969" s="2185"/>
      <c r="AA969" s="2185"/>
      <c r="AB969" s="2102">
        <f>BN663</f>
        <v>1</v>
      </c>
      <c r="AC969" s="2103"/>
      <c r="AD969" s="2103"/>
      <c r="AE969" s="2103"/>
      <c r="AF969" s="2103"/>
      <c r="AG969" s="2103"/>
      <c r="AH969" s="2103"/>
      <c r="AI969" s="2104"/>
      <c r="AJ969" s="2178">
        <f>IF(ISERROR((R969*AB969)),0,(R969*AB969))</f>
        <v>279547</v>
      </c>
      <c r="AK969" s="2179"/>
      <c r="AL969" s="2179"/>
      <c r="AM969" s="2179"/>
      <c r="AN969" s="2179"/>
      <c r="AO969" s="2179"/>
      <c r="AP969" s="2179"/>
      <c r="AQ969" s="2180"/>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75">
      <c r="B970" s="110"/>
      <c r="C970" s="1627"/>
      <c r="D970" s="2186" t="s">
        <v>334</v>
      </c>
      <c r="E970" s="2187"/>
      <c r="F970" s="2187"/>
      <c r="G970" s="2187"/>
      <c r="H970" s="2187"/>
      <c r="I970" s="2187"/>
      <c r="J970" s="2187"/>
      <c r="K970" s="2187"/>
      <c r="L970" s="2187"/>
      <c r="M970" s="2187"/>
      <c r="N970" s="2187"/>
      <c r="O970" s="2187"/>
      <c r="P970" s="2187"/>
      <c r="Q970" s="2188"/>
      <c r="R970" s="2185">
        <f>IF(ISNA(IF($BN$799="4%",(INDEX($BP$809:$BT$866,MATCH($CB$799,$BO$809:$BO$866,0),MATCH(D970,$BP$808:$BT$808,0))),(INDEX($BW$809:$CA$866,MATCH($CB$799,$BV$809:$BV$866,0),MATCH(D970,$BW$808:$CA$808,0))))),0,IF($BN$799="4%",(INDEX($BP$809:$BT$866,MATCH($CB$799,$BO$809:$BO$866,0),MATCH(D970,$BP$808:$BT$808,0))),(INDEX($BW$809:$CA$866,MATCH($CB$799,$BV$809:$BV$866,0),MATCH(D970,$BW$808:$CA$808,0)))))</f>
        <v>322315</v>
      </c>
      <c r="S970" s="2185"/>
      <c r="T970" s="2185"/>
      <c r="U970" s="2185"/>
      <c r="V970" s="2185"/>
      <c r="W970" s="2185"/>
      <c r="X970" s="2185"/>
      <c r="Y970" s="2185"/>
      <c r="Z970" s="2185"/>
      <c r="AA970" s="2185"/>
      <c r="AB970" s="2102">
        <f>BS663</f>
        <v>58</v>
      </c>
      <c r="AC970" s="2103"/>
      <c r="AD970" s="2103"/>
      <c r="AE970" s="2103"/>
      <c r="AF970" s="2103"/>
      <c r="AG970" s="2103"/>
      <c r="AH970" s="2103"/>
      <c r="AI970" s="2104"/>
      <c r="AJ970" s="2178">
        <f>IF(ISERROR((R970*AB970)),0,(R970*AB970))</f>
        <v>18694270</v>
      </c>
      <c r="AK970" s="2179"/>
      <c r="AL970" s="2179"/>
      <c r="AM970" s="2179"/>
      <c r="AN970" s="2179"/>
      <c r="AO970" s="2179"/>
      <c r="AP970" s="2179"/>
      <c r="AQ970" s="2180"/>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186" t="s">
        <v>168</v>
      </c>
      <c r="E971" s="2187"/>
      <c r="F971" s="2187"/>
      <c r="G971" s="2187"/>
      <c r="H971" s="2187"/>
      <c r="I971" s="2187"/>
      <c r="J971" s="2187"/>
      <c r="K971" s="2187"/>
      <c r="L971" s="2187"/>
      <c r="M971" s="2187"/>
      <c r="N971" s="2187"/>
      <c r="O971" s="2187"/>
      <c r="P971" s="2187"/>
      <c r="Q971" s="2188"/>
      <c r="R971" s="2185">
        <f>IF(ISNA(IF($BN$799="4%",(INDEX($BP$809:$BT$866,MATCH($CB$799,$BO$809:$BO$866,0),MATCH(D971,$BP$808:$BT$808,0))),(INDEX($BW$809:$CA$866,MATCH($CB$799,$BV$809:$BV$866,0),MATCH(D971,$BW$808:$CA$808,0))))),0,IF($BN$799="4%",(INDEX($BP$809:$BT$866,MATCH($CB$799,$BO$809:$BO$866,0),MATCH(D971,$BP$808:$BT$808,0))),(INDEX($BW$809:$CA$866,MATCH($CB$799,$BV$809:$BV$866,0),MATCH(D971,$BW$808:$CA$808,0)))))</f>
        <v>388800</v>
      </c>
      <c r="S971" s="2185"/>
      <c r="T971" s="2185"/>
      <c r="U971" s="2185"/>
      <c r="V971" s="2185"/>
      <c r="W971" s="2185"/>
      <c r="X971" s="2185"/>
      <c r="Y971" s="2185"/>
      <c r="Z971" s="2185"/>
      <c r="AA971" s="2185"/>
      <c r="AB971" s="2102">
        <f>BX663</f>
        <v>6</v>
      </c>
      <c r="AC971" s="2103"/>
      <c r="AD971" s="2103"/>
      <c r="AE971" s="2103"/>
      <c r="AF971" s="2103"/>
      <c r="AG971" s="2103"/>
      <c r="AH971" s="2103"/>
      <c r="AI971" s="2104"/>
      <c r="AJ971" s="2178">
        <f>IF(ISERROR((R971*AB971)),0,(R971*AB971))</f>
        <v>2332800</v>
      </c>
      <c r="AK971" s="2179"/>
      <c r="AL971" s="2179"/>
      <c r="AM971" s="2179"/>
      <c r="AN971" s="2179"/>
      <c r="AO971" s="2179"/>
      <c r="AP971" s="2179"/>
      <c r="AQ971" s="2180"/>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75">
      <c r="B972" s="110"/>
      <c r="C972" s="1627"/>
      <c r="D972" s="2186" t="s">
        <v>169</v>
      </c>
      <c r="E972" s="2187"/>
      <c r="F972" s="2187"/>
      <c r="G972" s="2187"/>
      <c r="H972" s="2187"/>
      <c r="I972" s="2187"/>
      <c r="J972" s="2187"/>
      <c r="K972" s="2187"/>
      <c r="L972" s="2187"/>
      <c r="M972" s="2187"/>
      <c r="N972" s="2187"/>
      <c r="O972" s="2187"/>
      <c r="P972" s="2187"/>
      <c r="Q972" s="2188"/>
      <c r="R972" s="2185">
        <f>IF(ISNA(IF($BN$799="4%",(INDEX($BP$809:$BT$866,MATCH($CB$799,$BO$809:$BO$866,0),MATCH(D972,$BP$808:$BT$808,0))),(INDEX($BW$809:$CA$866,MATCH($CB$799,$BV$809:$BV$866,0),MATCH(D972,$BW$808:$CA$808,0))))),0,IF($BN$799="4%",(INDEX($BP$809:$BT$866,MATCH($CB$799,$BO$809:$BO$866,0),MATCH(D972,$BP$808:$BT$808,0))),(INDEX($BW$809:$CA$866,MATCH($CB$799,$BV$809:$BV$866,0),MATCH(D972,$BW$808:$CA$808,0)))))</f>
        <v>497664</v>
      </c>
      <c r="S972" s="2185"/>
      <c r="T972" s="2185"/>
      <c r="U972" s="2185"/>
      <c r="V972" s="2185"/>
      <c r="W972" s="2185"/>
      <c r="X972" s="2185"/>
      <c r="Y972" s="2185"/>
      <c r="Z972" s="2185"/>
      <c r="AA972" s="2185"/>
      <c r="AB972" s="2102">
        <f>CC663</f>
        <v>0</v>
      </c>
      <c r="AC972" s="2103"/>
      <c r="AD972" s="2103"/>
      <c r="AE972" s="2103"/>
      <c r="AF972" s="2103"/>
      <c r="AG972" s="2103"/>
      <c r="AH972" s="2103"/>
      <c r="AI972" s="2104"/>
      <c r="AJ972" s="2178">
        <f>IF(ISERROR((R972*AB972)),0,(R972*AB972))</f>
        <v>0</v>
      </c>
      <c r="AK972" s="2179"/>
      <c r="AL972" s="2179"/>
      <c r="AM972" s="2179"/>
      <c r="AN972" s="2179"/>
      <c r="AO972" s="2179"/>
      <c r="AP972" s="2179"/>
      <c r="AQ972" s="2180"/>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186" t="s">
        <v>493</v>
      </c>
      <c r="E973" s="2187"/>
      <c r="F973" s="2187"/>
      <c r="G973" s="2187"/>
      <c r="H973" s="2187"/>
      <c r="I973" s="2187"/>
      <c r="J973" s="2187"/>
      <c r="K973" s="2187"/>
      <c r="L973" s="2187"/>
      <c r="M973" s="2187"/>
      <c r="N973" s="2187"/>
      <c r="O973" s="2187"/>
      <c r="P973" s="2187"/>
      <c r="Q973" s="2188"/>
      <c r="R973" s="2185">
        <f>IF(ISNA(IF($BN$799="4%",(INDEX($BP$809:$BT$866,MATCH($CB$799,$BO$809:$BO$866,0),MATCH(D973,$BP$808:$BT$808,0))),(INDEX($BW$809:$CA$866,MATCH($CB$799,$BV$809:$BV$866,0),MATCH(D973,$BW$808:$CA$808,0))))),0,IF($BN$799="4%",(INDEX($BP$809:$BT$866,MATCH($CB$799,$BO$809:$BO$866,0),MATCH(D973,$BP$808:$BT$808,0))),(INDEX($BW$809:$CA$866,MATCH($CB$799,$BV$809:$BV$866,0),MATCH(D973,$BW$808:$CA$808,0)))))</f>
        <v>554429</v>
      </c>
      <c r="S973" s="2185"/>
      <c r="T973" s="2185"/>
      <c r="U973" s="2185"/>
      <c r="V973" s="2185"/>
      <c r="W973" s="2185"/>
      <c r="X973" s="2185"/>
      <c r="Y973" s="2185"/>
      <c r="Z973" s="2185"/>
      <c r="AA973" s="2185"/>
      <c r="AB973" s="2102">
        <f>CM663+CH663</f>
        <v>0</v>
      </c>
      <c r="AC973" s="2103"/>
      <c r="AD973" s="2103"/>
      <c r="AE973" s="2103"/>
      <c r="AF973" s="2103"/>
      <c r="AG973" s="2103"/>
      <c r="AH973" s="2103"/>
      <c r="AI973" s="2104"/>
      <c r="AJ973" s="2178">
        <f>IF(ISERROR((R973*AB973)),0,(R973*AB973))</f>
        <v>0</v>
      </c>
      <c r="AK973" s="2179"/>
      <c r="AL973" s="2179"/>
      <c r="AM973" s="2179"/>
      <c r="AN973" s="2179"/>
      <c r="AO973" s="2179"/>
      <c r="AP973" s="2179"/>
      <c r="AQ973" s="2180"/>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121" t="s">
        <v>849</v>
      </c>
      <c r="C974" s="2122"/>
      <c r="D974" s="2122"/>
      <c r="E974" s="2122"/>
      <c r="F974" s="2122"/>
      <c r="G974" s="2122"/>
      <c r="H974" s="2122"/>
      <c r="I974" s="2122"/>
      <c r="J974" s="2122"/>
      <c r="K974" s="2122"/>
      <c r="L974" s="2122"/>
      <c r="M974" s="2122"/>
      <c r="N974" s="2122"/>
      <c r="O974" s="2122"/>
      <c r="P974" s="2122"/>
      <c r="Q974" s="2122"/>
      <c r="R974" s="2122"/>
      <c r="S974" s="2122"/>
      <c r="T974" s="2122"/>
      <c r="U974" s="2122"/>
      <c r="V974" s="2122"/>
      <c r="W974" s="2122"/>
      <c r="X974" s="2122"/>
      <c r="Y974" s="2122"/>
      <c r="Z974" s="2122"/>
      <c r="AA974" s="2123"/>
      <c r="AB974" s="2102">
        <f>SUM(AB969:AI973)</f>
        <v>65</v>
      </c>
      <c r="AC974" s="2103"/>
      <c r="AD974" s="2103"/>
      <c r="AE974" s="2103"/>
      <c r="AF974" s="2103"/>
      <c r="AG974" s="2103"/>
      <c r="AH974" s="2103"/>
      <c r="AI974" s="2104"/>
      <c r="AJ974" s="2178"/>
      <c r="AK974" s="2179"/>
      <c r="AL974" s="2179"/>
      <c r="AM974" s="2179"/>
      <c r="AN974" s="2179"/>
      <c r="AO974" s="2179"/>
      <c r="AP974" s="2179"/>
      <c r="AQ974" s="2180"/>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4" customHeight="1">
      <c r="A975" s="51"/>
      <c r="B975" s="2175" t="s">
        <v>545</v>
      </c>
      <c r="C975" s="2176"/>
      <c r="D975" s="2176"/>
      <c r="E975" s="2176"/>
      <c r="F975" s="2176"/>
      <c r="G975" s="2176"/>
      <c r="H975" s="2176"/>
      <c r="I975" s="2176"/>
      <c r="J975" s="2176"/>
      <c r="K975" s="2176"/>
      <c r="L975" s="2176"/>
      <c r="M975" s="2176"/>
      <c r="N975" s="2176"/>
      <c r="O975" s="2176"/>
      <c r="P975" s="2176"/>
      <c r="Q975" s="2176"/>
      <c r="R975" s="2176"/>
      <c r="S975" s="2176"/>
      <c r="T975" s="2176"/>
      <c r="U975" s="2176"/>
      <c r="V975" s="2176"/>
      <c r="W975" s="2176"/>
      <c r="X975" s="2176"/>
      <c r="Y975" s="2176"/>
      <c r="Z975" s="2176"/>
      <c r="AA975" s="2176"/>
      <c r="AB975" s="2176"/>
      <c r="AC975" s="2176"/>
      <c r="AD975" s="2176"/>
      <c r="AE975" s="2176"/>
      <c r="AF975" s="2176"/>
      <c r="AG975" s="2176"/>
      <c r="AH975" s="2176"/>
      <c r="AI975" s="2177"/>
      <c r="AJ975" s="2178">
        <f>SUM(AJ969:AQ973)</f>
        <v>21306617</v>
      </c>
      <c r="AK975" s="2179"/>
      <c r="AL975" s="2179"/>
      <c r="AM975" s="2179"/>
      <c r="AN975" s="2179"/>
      <c r="AO975" s="2179"/>
      <c r="AP975" s="2179"/>
      <c r="AQ975" s="2180"/>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118"/>
      <c r="C976" s="2119"/>
      <c r="D976" s="2119"/>
      <c r="E976" s="2119"/>
      <c r="F976" s="2119"/>
      <c r="G976" s="2119"/>
      <c r="H976" s="2119"/>
      <c r="I976" s="2119"/>
      <c r="J976" s="2119"/>
      <c r="K976" s="2119"/>
      <c r="L976" s="2119"/>
      <c r="M976" s="2119"/>
      <c r="N976" s="2119"/>
      <c r="O976" s="2119"/>
      <c r="P976" s="2119"/>
      <c r="Q976" s="2119"/>
      <c r="R976" s="2119"/>
      <c r="S976" s="2119"/>
      <c r="T976" s="2119"/>
      <c r="U976" s="2119"/>
      <c r="V976" s="2119"/>
      <c r="W976" s="2119"/>
      <c r="X976" s="2119"/>
      <c r="Y976" s="2119"/>
      <c r="Z976" s="2119"/>
      <c r="AA976" s="2119"/>
      <c r="AB976" s="2119"/>
      <c r="AC976" s="2119"/>
      <c r="AD976" s="2119"/>
      <c r="AE976" s="2120"/>
      <c r="AF976" s="2215" t="s">
        <v>703</v>
      </c>
      <c r="AG976" s="2216"/>
      <c r="AH976" s="2216"/>
      <c r="AI976" s="2217"/>
      <c r="AJ976" s="2118"/>
      <c r="AK976" s="2119"/>
      <c r="AL976" s="2119"/>
      <c r="AM976" s="2119"/>
      <c r="AN976" s="2119"/>
      <c r="AO976" s="2119"/>
      <c r="AP976" s="2119"/>
      <c r="AQ976" s="2120"/>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705</v>
      </c>
      <c r="D977" s="2109" t="s">
        <v>1431</v>
      </c>
      <c r="E977" s="2110"/>
      <c r="F977" s="2110"/>
      <c r="G977" s="2110"/>
      <c r="H977" s="2110"/>
      <c r="I977" s="2110"/>
      <c r="J977" s="2110"/>
      <c r="K977" s="2110"/>
      <c r="L977" s="2110"/>
      <c r="M977" s="2110"/>
      <c r="N977" s="2110"/>
      <c r="O977" s="2110"/>
      <c r="P977" s="2110"/>
      <c r="Q977" s="2110"/>
      <c r="R977" s="2110"/>
      <c r="S977" s="2110"/>
      <c r="T977" s="2110"/>
      <c r="U977" s="2110"/>
      <c r="V977" s="2110"/>
      <c r="W977" s="2110"/>
      <c r="X977" s="2110"/>
      <c r="Y977" s="2110"/>
      <c r="Z977" s="2110"/>
      <c r="AA977" s="2110"/>
      <c r="AB977" s="2110"/>
      <c r="AC977" s="2110"/>
      <c r="AD977" s="2110"/>
      <c r="AE977" s="2111"/>
      <c r="AF977" s="117"/>
      <c r="AG977" s="2218" t="s">
        <v>578</v>
      </c>
      <c r="AH977" s="2219"/>
      <c r="AI977" s="125"/>
      <c r="AJ977" s="2136">
        <f>ROUND(IF(AND(AG977="yes",D979&gt;0),AJ975*0.2,0),0)</f>
        <v>4261323</v>
      </c>
      <c r="AK977" s="2137"/>
      <c r="AL977" s="2137"/>
      <c r="AM977" s="2137"/>
      <c r="AN977" s="2137"/>
      <c r="AO977" s="2137"/>
      <c r="AP977" s="2137"/>
      <c r="AQ977" s="2138"/>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1"/>
      <c r="C978" s="410"/>
      <c r="D978" s="2124" t="s">
        <v>1432</v>
      </c>
      <c r="E978" s="2125"/>
      <c r="F978" s="2125"/>
      <c r="G978" s="2125"/>
      <c r="H978" s="2125"/>
      <c r="I978" s="2125"/>
      <c r="J978" s="2125"/>
      <c r="K978" s="2125"/>
      <c r="L978" s="2125"/>
      <c r="M978" s="2125"/>
      <c r="N978" s="2125"/>
      <c r="O978" s="2125"/>
      <c r="P978" s="2125"/>
      <c r="Q978" s="2125"/>
      <c r="R978" s="2125"/>
      <c r="S978" s="2125"/>
      <c r="T978" s="2125"/>
      <c r="U978" s="2125"/>
      <c r="V978" s="2125"/>
      <c r="W978" s="2125"/>
      <c r="X978" s="2125"/>
      <c r="Y978" s="2125"/>
      <c r="Z978" s="2125"/>
      <c r="AA978" s="2125"/>
      <c r="AB978" s="2125"/>
      <c r="AC978" s="2125"/>
      <c r="AD978" s="2125"/>
      <c r="AE978" s="2126"/>
      <c r="AF978" s="110"/>
      <c r="AG978" s="112"/>
      <c r="AH978" s="112"/>
      <c r="AI978" s="121"/>
      <c r="AJ978" s="2139"/>
      <c r="AK978" s="2140"/>
      <c r="AL978" s="2140"/>
      <c r="AM978" s="2140"/>
      <c r="AN978" s="2140"/>
      <c r="AO978" s="2140"/>
      <c r="AP978" s="2140"/>
      <c r="AQ978" s="2141"/>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4" customHeight="1">
      <c r="A979" s="51"/>
      <c r="B979" s="411"/>
      <c r="C979" s="410"/>
      <c r="D979" s="2127" t="s">
        <v>2699</v>
      </c>
      <c r="E979" s="2128"/>
      <c r="F979" s="2128"/>
      <c r="G979" s="2128"/>
      <c r="H979" s="2128"/>
      <c r="I979" s="2128"/>
      <c r="J979" s="2128"/>
      <c r="K979" s="2128"/>
      <c r="L979" s="2128"/>
      <c r="M979" s="2128"/>
      <c r="N979" s="2128"/>
      <c r="O979" s="2128"/>
      <c r="P979" s="2128"/>
      <c r="Q979" s="2128"/>
      <c r="R979" s="2128"/>
      <c r="S979" s="2128"/>
      <c r="T979" s="2128"/>
      <c r="U979" s="2128"/>
      <c r="V979" s="2128"/>
      <c r="W979" s="2128"/>
      <c r="X979" s="2128"/>
      <c r="Y979" s="2128"/>
      <c r="Z979" s="2128"/>
      <c r="AA979" s="2128"/>
      <c r="AB979" s="2128"/>
      <c r="AC979" s="2128"/>
      <c r="AD979" s="2128"/>
      <c r="AE979" s="2129"/>
      <c r="AF979" s="115"/>
      <c r="AG979" s="11"/>
      <c r="AH979" s="11"/>
      <c r="AI979" s="116"/>
      <c r="AJ979" s="2142"/>
      <c r="AK979" s="2143"/>
      <c r="AL979" s="2143"/>
      <c r="AM979" s="2143"/>
      <c r="AN979" s="2143"/>
      <c r="AO979" s="2143"/>
      <c r="AP979" s="2143"/>
      <c r="AQ979" s="2144"/>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09"/>
      <c r="C980" s="500"/>
      <c r="D980" s="2130" t="s">
        <v>1531</v>
      </c>
      <c r="E980" s="2131"/>
      <c r="F980" s="2131"/>
      <c r="G980" s="2131"/>
      <c r="H980" s="2131"/>
      <c r="I980" s="2131"/>
      <c r="J980" s="2131"/>
      <c r="K980" s="2131"/>
      <c r="L980" s="2131"/>
      <c r="M980" s="2131"/>
      <c r="N980" s="2131"/>
      <c r="O980" s="2131"/>
      <c r="P980" s="2131"/>
      <c r="Q980" s="2131"/>
      <c r="R980" s="2131"/>
      <c r="S980" s="2131"/>
      <c r="T980" s="2131"/>
      <c r="U980" s="2131"/>
      <c r="V980" s="2131"/>
      <c r="W980" s="2131"/>
      <c r="X980" s="2131"/>
      <c r="Y980" s="2131"/>
      <c r="Z980" s="2131"/>
      <c r="AA980" s="2131"/>
      <c r="AB980" s="2131"/>
      <c r="AC980" s="2131"/>
      <c r="AD980" s="2131"/>
      <c r="AE980" s="2132"/>
      <c r="AF980" s="117"/>
      <c r="AG980" s="2183" t="s">
        <v>706</v>
      </c>
      <c r="AH980" s="2184"/>
      <c r="AI980" s="125"/>
      <c r="AJ980" s="2136">
        <f>ROUND(IF(AG980="yes",AJ975*0.05,0),0)</f>
        <v>0</v>
      </c>
      <c r="AK980" s="2137"/>
      <c r="AL980" s="2137"/>
      <c r="AM980" s="2137"/>
      <c r="AN980" s="2137"/>
      <c r="AO980" s="2137"/>
      <c r="AP980" s="2137"/>
      <c r="AQ980" s="2138"/>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4" customHeight="1">
      <c r="A981" s="51"/>
      <c r="B981" s="411"/>
      <c r="C981" s="120"/>
      <c r="D981" s="2124" t="s">
        <v>1529</v>
      </c>
      <c r="E981" s="2125"/>
      <c r="F981" s="2125"/>
      <c r="G981" s="2125"/>
      <c r="H981" s="2125"/>
      <c r="I981" s="2125"/>
      <c r="J981" s="2125"/>
      <c r="K981" s="2125"/>
      <c r="L981" s="2125"/>
      <c r="M981" s="2125"/>
      <c r="N981" s="2125"/>
      <c r="O981" s="2125"/>
      <c r="P981" s="2125"/>
      <c r="Q981" s="2125"/>
      <c r="R981" s="2125"/>
      <c r="S981" s="2125"/>
      <c r="T981" s="2125"/>
      <c r="U981" s="2125"/>
      <c r="V981" s="2125"/>
      <c r="W981" s="2125"/>
      <c r="X981" s="2125"/>
      <c r="Y981" s="2125"/>
      <c r="Z981" s="2125"/>
      <c r="AA981" s="2125"/>
      <c r="AB981" s="2125"/>
      <c r="AC981" s="2125"/>
      <c r="AD981" s="2125"/>
      <c r="AE981" s="2126"/>
      <c r="AF981" s="110"/>
      <c r="AG981" s="112"/>
      <c r="AH981" s="112"/>
      <c r="AI981" s="121"/>
      <c r="AJ981" s="2139"/>
      <c r="AK981" s="2140"/>
      <c r="AL981" s="2140"/>
      <c r="AM981" s="2140"/>
      <c r="AN981" s="2140"/>
      <c r="AO981" s="2140"/>
      <c r="AP981" s="2140"/>
      <c r="AQ981" s="2141"/>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1"/>
      <c r="C982" s="120"/>
      <c r="D982" s="2124"/>
      <c r="E982" s="2125"/>
      <c r="F982" s="2125"/>
      <c r="G982" s="2125"/>
      <c r="H982" s="2125"/>
      <c r="I982" s="2125"/>
      <c r="J982" s="2125"/>
      <c r="K982" s="2125"/>
      <c r="L982" s="2125"/>
      <c r="M982" s="2125"/>
      <c r="N982" s="2125"/>
      <c r="O982" s="2125"/>
      <c r="P982" s="2125"/>
      <c r="Q982" s="2125"/>
      <c r="R982" s="2125"/>
      <c r="S982" s="2125"/>
      <c r="T982" s="2125"/>
      <c r="U982" s="2125"/>
      <c r="V982" s="2125"/>
      <c r="W982" s="2125"/>
      <c r="X982" s="2125"/>
      <c r="Y982" s="2125"/>
      <c r="Z982" s="2125"/>
      <c r="AA982" s="2125"/>
      <c r="AB982" s="2125"/>
      <c r="AC982" s="2125"/>
      <c r="AD982" s="2125"/>
      <c r="AE982" s="2126"/>
      <c r="AF982" s="110"/>
      <c r="AG982" s="112"/>
      <c r="AH982" s="112"/>
      <c r="AI982" s="121"/>
      <c r="AJ982" s="2139"/>
      <c r="AK982" s="2140"/>
      <c r="AL982" s="2140"/>
      <c r="AM982" s="2140"/>
      <c r="AN982" s="2140"/>
      <c r="AO982" s="2140"/>
      <c r="AP982" s="2140"/>
      <c r="AQ982" s="2141"/>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124"/>
      <c r="E983" s="2125"/>
      <c r="F983" s="2125"/>
      <c r="G983" s="2125"/>
      <c r="H983" s="2125"/>
      <c r="I983" s="2125"/>
      <c r="J983" s="2125"/>
      <c r="K983" s="2125"/>
      <c r="L983" s="2125"/>
      <c r="M983" s="2125"/>
      <c r="N983" s="2125"/>
      <c r="O983" s="2125"/>
      <c r="P983" s="2125"/>
      <c r="Q983" s="2125"/>
      <c r="R983" s="2125"/>
      <c r="S983" s="2125"/>
      <c r="T983" s="2125"/>
      <c r="U983" s="2125"/>
      <c r="V983" s="2125"/>
      <c r="W983" s="2125"/>
      <c r="X983" s="2125"/>
      <c r="Y983" s="2125"/>
      <c r="Z983" s="2125"/>
      <c r="AA983" s="2125"/>
      <c r="AB983" s="2125"/>
      <c r="AC983" s="2125"/>
      <c r="AD983" s="2125"/>
      <c r="AE983" s="2126"/>
      <c r="AF983" s="110"/>
      <c r="AG983" s="112"/>
      <c r="AH983" s="112"/>
      <c r="AI983" s="121"/>
      <c r="AJ983" s="2139"/>
      <c r="AK983" s="2140"/>
      <c r="AL983" s="2140"/>
      <c r="AM983" s="2140"/>
      <c r="AN983" s="2140"/>
      <c r="AO983" s="2140"/>
      <c r="AP983" s="2140"/>
      <c r="AQ983" s="2141"/>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124"/>
      <c r="E984" s="2125"/>
      <c r="F984" s="2125"/>
      <c r="G984" s="2125"/>
      <c r="H984" s="2125"/>
      <c r="I984" s="2125"/>
      <c r="J984" s="2125"/>
      <c r="K984" s="2125"/>
      <c r="L984" s="2125"/>
      <c r="M984" s="2125"/>
      <c r="N984" s="2125"/>
      <c r="O984" s="2125"/>
      <c r="P984" s="2125"/>
      <c r="Q984" s="2125"/>
      <c r="R984" s="2125"/>
      <c r="S984" s="2125"/>
      <c r="T984" s="2125"/>
      <c r="U984" s="2125"/>
      <c r="V984" s="2125"/>
      <c r="W984" s="2125"/>
      <c r="X984" s="2125"/>
      <c r="Y984" s="2125"/>
      <c r="Z984" s="2125"/>
      <c r="AA984" s="2125"/>
      <c r="AB984" s="2125"/>
      <c r="AC984" s="2125"/>
      <c r="AD984" s="2125"/>
      <c r="AE984" s="2126"/>
      <c r="AF984" s="110"/>
      <c r="AG984" s="112"/>
      <c r="AH984" s="112"/>
      <c r="AI984" s="121"/>
      <c r="AJ984" s="2139"/>
      <c r="AK984" s="2140"/>
      <c r="AL984" s="2140"/>
      <c r="AM984" s="2140"/>
      <c r="AN984" s="2140"/>
      <c r="AO984" s="2140"/>
      <c r="AP984" s="2140"/>
      <c r="AQ984" s="2141"/>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133"/>
      <c r="E985" s="2134"/>
      <c r="F985" s="2134"/>
      <c r="G985" s="2134"/>
      <c r="H985" s="2134"/>
      <c r="I985" s="2134"/>
      <c r="J985" s="2134"/>
      <c r="K985" s="2134"/>
      <c r="L985" s="2134"/>
      <c r="M985" s="2134"/>
      <c r="N985" s="2134"/>
      <c r="O985" s="2134"/>
      <c r="P985" s="2134"/>
      <c r="Q985" s="2134"/>
      <c r="R985" s="2134"/>
      <c r="S985" s="2134"/>
      <c r="T985" s="2134"/>
      <c r="U985" s="2134"/>
      <c r="V985" s="2134"/>
      <c r="W985" s="2134"/>
      <c r="X985" s="2134"/>
      <c r="Y985" s="2134"/>
      <c r="Z985" s="2134"/>
      <c r="AA985" s="2134"/>
      <c r="AB985" s="2134"/>
      <c r="AC985" s="2134"/>
      <c r="AD985" s="2134"/>
      <c r="AE985" s="2135"/>
      <c r="AF985" s="115"/>
      <c r="AG985" s="11"/>
      <c r="AH985" s="11"/>
      <c r="AI985" s="116"/>
      <c r="AJ985" s="2142"/>
      <c r="AK985" s="2143"/>
      <c r="AL985" s="2143"/>
      <c r="AM985" s="2143"/>
      <c r="AN985" s="2143"/>
      <c r="AO985" s="2143"/>
      <c r="AP985" s="2143"/>
      <c r="AQ985" s="2144"/>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09"/>
      <c r="C986" s="118" t="s">
        <v>709</v>
      </c>
      <c r="D986" s="2130" t="s">
        <v>2172</v>
      </c>
      <c r="E986" s="2131"/>
      <c r="F986" s="2131"/>
      <c r="G986" s="2131"/>
      <c r="H986" s="2131"/>
      <c r="I986" s="2131"/>
      <c r="J986" s="2131"/>
      <c r="K986" s="2131"/>
      <c r="L986" s="2131"/>
      <c r="M986" s="2131"/>
      <c r="N986" s="2131"/>
      <c r="O986" s="2131"/>
      <c r="P986" s="2131"/>
      <c r="Q986" s="2131"/>
      <c r="R986" s="2131"/>
      <c r="S986" s="2131"/>
      <c r="T986" s="2131"/>
      <c r="U986" s="2131"/>
      <c r="V986" s="2131"/>
      <c r="W986" s="2131"/>
      <c r="X986" s="2131"/>
      <c r="Y986" s="2131"/>
      <c r="Z986" s="2131"/>
      <c r="AA986" s="2131"/>
      <c r="AB986" s="2131"/>
      <c r="AC986" s="2131"/>
      <c r="AD986" s="2131"/>
      <c r="AE986" s="2132"/>
      <c r="AF986" s="124"/>
      <c r="AG986" s="2183" t="s">
        <v>706</v>
      </c>
      <c r="AH986" s="2184"/>
      <c r="AI986" s="125"/>
      <c r="AJ986" s="2136">
        <f>ROUND(IF(AG986="yes",AJ975*0.1,0),0)</f>
        <v>0</v>
      </c>
      <c r="AK986" s="2137"/>
      <c r="AL986" s="2137"/>
      <c r="AM986" s="2137"/>
      <c r="AN986" s="2137"/>
      <c r="AO986" s="2137"/>
      <c r="AP986" s="2137"/>
      <c r="AQ986" s="2138"/>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112" t="s">
        <v>1530</v>
      </c>
      <c r="E987" s="2113"/>
      <c r="F987" s="2113"/>
      <c r="G987" s="2113"/>
      <c r="H987" s="2113"/>
      <c r="I987" s="2113"/>
      <c r="J987" s="2113"/>
      <c r="K987" s="2113"/>
      <c r="L987" s="2113"/>
      <c r="M987" s="2113"/>
      <c r="N987" s="2113"/>
      <c r="O987" s="2113"/>
      <c r="P987" s="2113"/>
      <c r="Q987" s="2113"/>
      <c r="R987" s="2113"/>
      <c r="S987" s="2113"/>
      <c r="T987" s="2113"/>
      <c r="U987" s="2113"/>
      <c r="V987" s="2113"/>
      <c r="W987" s="2113"/>
      <c r="X987" s="2113"/>
      <c r="Y987" s="2113"/>
      <c r="Z987" s="2113"/>
      <c r="AA987" s="2113"/>
      <c r="AB987" s="2113"/>
      <c r="AC987" s="2113"/>
      <c r="AD987" s="2113"/>
      <c r="AE987" s="2114"/>
      <c r="AF987" s="110"/>
      <c r="AG987" s="25"/>
      <c r="AH987" s="25"/>
      <c r="AI987" s="121"/>
      <c r="AJ987" s="2139"/>
      <c r="AK987" s="2140"/>
      <c r="AL987" s="2140"/>
      <c r="AM987" s="2140"/>
      <c r="AN987" s="2140"/>
      <c r="AO987" s="2140"/>
      <c r="AP987" s="2140"/>
      <c r="AQ987" s="2141"/>
      <c r="AR987" s="1582"/>
      <c r="AS987" s="1582"/>
      <c r="AT987" s="1582"/>
      <c r="AU987" s="1582"/>
      <c r="AV987" s="1582"/>
      <c r="AW987" s="1582"/>
      <c r="AX987" s="1582"/>
      <c r="AY987" s="1582"/>
      <c r="AZ987" s="61"/>
      <c r="BA987" s="1611">
        <f>G753+O796</f>
        <v>64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112"/>
      <c r="E988" s="2113"/>
      <c r="F988" s="2113"/>
      <c r="G988" s="2113"/>
      <c r="H988" s="2113"/>
      <c r="I988" s="2113"/>
      <c r="J988" s="2113"/>
      <c r="K988" s="2113"/>
      <c r="L988" s="2113"/>
      <c r="M988" s="2113"/>
      <c r="N988" s="2113"/>
      <c r="O988" s="2113"/>
      <c r="P988" s="2113"/>
      <c r="Q988" s="2113"/>
      <c r="R988" s="2113"/>
      <c r="S988" s="2113"/>
      <c r="T988" s="2113"/>
      <c r="U988" s="2113"/>
      <c r="V988" s="2113"/>
      <c r="W988" s="2113"/>
      <c r="X988" s="2113"/>
      <c r="Y988" s="2113"/>
      <c r="Z988" s="2113"/>
      <c r="AA988" s="2113"/>
      <c r="AB988" s="2113"/>
      <c r="AC988" s="2113"/>
      <c r="AD988" s="2113"/>
      <c r="AE988" s="2114"/>
      <c r="AF988" s="110"/>
      <c r="AG988" s="112"/>
      <c r="AH988" s="112"/>
      <c r="AI988" s="121"/>
      <c r="AJ988" s="2139"/>
      <c r="AK988" s="2140"/>
      <c r="AL988" s="2140"/>
      <c r="AM988" s="2140"/>
      <c r="AN988" s="2140"/>
      <c r="AO988" s="2140"/>
      <c r="AP988" s="2140"/>
      <c r="AQ988" s="2141"/>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115"/>
      <c r="E989" s="2116"/>
      <c r="F989" s="2116"/>
      <c r="G989" s="2116"/>
      <c r="H989" s="2116"/>
      <c r="I989" s="2116"/>
      <c r="J989" s="2116"/>
      <c r="K989" s="2116"/>
      <c r="L989" s="2116"/>
      <c r="M989" s="2116"/>
      <c r="N989" s="2116"/>
      <c r="O989" s="2116"/>
      <c r="P989" s="2116"/>
      <c r="Q989" s="2116"/>
      <c r="R989" s="2116"/>
      <c r="S989" s="2116"/>
      <c r="T989" s="2116"/>
      <c r="U989" s="2116"/>
      <c r="V989" s="2116"/>
      <c r="W989" s="2116"/>
      <c r="X989" s="2116"/>
      <c r="Y989" s="2116"/>
      <c r="Z989" s="2116"/>
      <c r="AA989" s="2116"/>
      <c r="AB989" s="2116"/>
      <c r="AC989" s="2116"/>
      <c r="AD989" s="2116"/>
      <c r="AE989" s="2117"/>
      <c r="AF989" s="115"/>
      <c r="AG989" s="11"/>
      <c r="AH989" s="11"/>
      <c r="AI989" s="116"/>
      <c r="AJ989" s="2142"/>
      <c r="AK989" s="2143"/>
      <c r="AL989" s="2143"/>
      <c r="AM989" s="2143"/>
      <c r="AN989" s="2143"/>
      <c r="AO989" s="2143"/>
      <c r="AP989" s="2143"/>
      <c r="AQ989" s="2144"/>
      <c r="AR989" s="1582"/>
      <c r="AS989" s="1582"/>
      <c r="AT989" s="1582"/>
      <c r="AU989" s="1582"/>
      <c r="AV989" s="1582"/>
      <c r="AW989" s="1582"/>
      <c r="AX989" s="1582"/>
      <c r="AY989" s="1582"/>
      <c r="AZ989" s="61"/>
      <c r="BA989" s="1610">
        <f>ROUNDDOWN(X1027/I1027,2)</f>
        <v>0.45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30" t="s">
        <v>1532</v>
      </c>
      <c r="E990" s="2131"/>
      <c r="F990" s="2131"/>
      <c r="G990" s="2131"/>
      <c r="H990" s="2131"/>
      <c r="I990" s="2131"/>
      <c r="J990" s="2131"/>
      <c r="K990" s="2131"/>
      <c r="L990" s="2131"/>
      <c r="M990" s="2131"/>
      <c r="N990" s="2131"/>
      <c r="O990" s="2131"/>
      <c r="P990" s="2131"/>
      <c r="Q990" s="2131"/>
      <c r="R990" s="2131"/>
      <c r="S990" s="2131"/>
      <c r="T990" s="2131"/>
      <c r="U990" s="2131"/>
      <c r="V990" s="2131"/>
      <c r="W990" s="2131"/>
      <c r="X990" s="2131"/>
      <c r="Y990" s="2131"/>
      <c r="Z990" s="2131"/>
      <c r="AA990" s="2131"/>
      <c r="AB990" s="2131"/>
      <c r="AC990" s="2131"/>
      <c r="AD990" s="2131"/>
      <c r="AE990" s="2132"/>
      <c r="AF990" s="117"/>
      <c r="AG990" s="2183" t="s">
        <v>706</v>
      </c>
      <c r="AH990" s="2184"/>
      <c r="AI990" s="125"/>
      <c r="AJ990" s="2136">
        <f>ROUND(IF(AG990="yes",AJ975*0.02,0),0)</f>
        <v>0</v>
      </c>
      <c r="AK990" s="2137"/>
      <c r="AL990" s="2137"/>
      <c r="AM990" s="2137"/>
      <c r="AN990" s="2137"/>
      <c r="AO990" s="2137"/>
      <c r="AP990" s="2137"/>
      <c r="AQ990" s="2138"/>
      <c r="AR990" s="1582"/>
      <c r="AS990" s="1582"/>
      <c r="AT990" s="1582"/>
      <c r="AU990" s="1582"/>
      <c r="AV990" s="1582"/>
      <c r="AW990" s="1582"/>
      <c r="AX990" s="1582"/>
      <c r="AY990" s="1582"/>
      <c r="AZ990" s="61"/>
      <c r="BA990" s="1610">
        <f>ROUNDDOWN(X1031/I1031,2)</f>
        <v>0.34</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15" t="s">
        <v>1533</v>
      </c>
      <c r="E991" s="2116"/>
      <c r="F991" s="2116"/>
      <c r="G991" s="2116"/>
      <c r="H991" s="2116"/>
      <c r="I991" s="2116"/>
      <c r="J991" s="2116"/>
      <c r="K991" s="2116"/>
      <c r="L991" s="2116"/>
      <c r="M991" s="2116"/>
      <c r="N991" s="2116"/>
      <c r="O991" s="2116"/>
      <c r="P991" s="2116"/>
      <c r="Q991" s="2116"/>
      <c r="R991" s="2116"/>
      <c r="S991" s="2116"/>
      <c r="T991" s="2116"/>
      <c r="U991" s="2116"/>
      <c r="V991" s="2116"/>
      <c r="W991" s="2116"/>
      <c r="X991" s="2116"/>
      <c r="Y991" s="2116"/>
      <c r="Z991" s="2116"/>
      <c r="AA991" s="2116"/>
      <c r="AB991" s="2116"/>
      <c r="AC991" s="2116"/>
      <c r="AD991" s="2116"/>
      <c r="AE991" s="2117"/>
      <c r="AF991" s="115"/>
      <c r="AG991" s="11"/>
      <c r="AH991" s="11"/>
      <c r="AI991" s="116"/>
      <c r="AJ991" s="2142"/>
      <c r="AK991" s="2143"/>
      <c r="AL991" s="2143"/>
      <c r="AM991" s="2143"/>
      <c r="AN991" s="2143"/>
      <c r="AO991" s="2143"/>
      <c r="AP991" s="2143"/>
      <c r="AQ991" s="2144"/>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130" t="s">
        <v>1534</v>
      </c>
      <c r="E992" s="2131"/>
      <c r="F992" s="2131"/>
      <c r="G992" s="2131"/>
      <c r="H992" s="2131"/>
      <c r="I992" s="2131"/>
      <c r="J992" s="2131"/>
      <c r="K992" s="2131"/>
      <c r="L992" s="2131"/>
      <c r="M992" s="2131"/>
      <c r="N992" s="2131"/>
      <c r="O992" s="2131"/>
      <c r="P992" s="2131"/>
      <c r="Q992" s="2131"/>
      <c r="R992" s="2131"/>
      <c r="S992" s="2131"/>
      <c r="T992" s="2131"/>
      <c r="U992" s="2131"/>
      <c r="V992" s="2131"/>
      <c r="W992" s="2131"/>
      <c r="X992" s="2131"/>
      <c r="Y992" s="2131"/>
      <c r="Z992" s="2131"/>
      <c r="AA992" s="2131"/>
      <c r="AB992" s="2131"/>
      <c r="AC992" s="2131"/>
      <c r="AD992" s="2131"/>
      <c r="AE992" s="2132"/>
      <c r="AF992" s="117"/>
      <c r="AG992" s="2183" t="s">
        <v>578</v>
      </c>
      <c r="AH992" s="2184"/>
      <c r="AI992" s="117"/>
      <c r="AJ992" s="2136">
        <f>ROUND(IF(AG992="yes",AJ975*0.02,0),0)</f>
        <v>426132</v>
      </c>
      <c r="AK992" s="2137"/>
      <c r="AL992" s="2137"/>
      <c r="AM992" s="2137"/>
      <c r="AN992" s="2137"/>
      <c r="AO992" s="2137"/>
      <c r="AP992" s="2137"/>
      <c r="AQ992" s="2138"/>
      <c r="AR992" s="1582"/>
      <c r="AS992" s="1582"/>
      <c r="AT992" s="1582"/>
      <c r="AU992" s="1582"/>
      <c r="AV992" s="1582"/>
      <c r="AW992" s="1582"/>
      <c r="AX992" s="1582"/>
      <c r="AY992" s="1582"/>
      <c r="BB992" s="32"/>
      <c r="BC992" s="32"/>
      <c r="BD992" s="32"/>
      <c r="BE992" s="32"/>
      <c r="BF992" s="32"/>
    </row>
    <row r="993" spans="1:96" s="718" customFormat="1" ht="12.75" customHeight="1">
      <c r="A993" s="51"/>
      <c r="B993" s="110"/>
      <c r="C993" s="111"/>
      <c r="D993" s="2112" t="s">
        <v>1535</v>
      </c>
      <c r="E993" s="2113"/>
      <c r="F993" s="2113"/>
      <c r="G993" s="2113"/>
      <c r="H993" s="2113"/>
      <c r="I993" s="2113"/>
      <c r="J993" s="2113"/>
      <c r="K993" s="2113"/>
      <c r="L993" s="2113"/>
      <c r="M993" s="2113"/>
      <c r="N993" s="2113"/>
      <c r="O993" s="2113"/>
      <c r="P993" s="2113"/>
      <c r="Q993" s="2113"/>
      <c r="R993" s="2113"/>
      <c r="S993" s="2113"/>
      <c r="T993" s="2113"/>
      <c r="U993" s="2113"/>
      <c r="V993" s="2113"/>
      <c r="W993" s="2113"/>
      <c r="X993" s="2113"/>
      <c r="Y993" s="2113"/>
      <c r="Z993" s="2113"/>
      <c r="AA993" s="2113"/>
      <c r="AB993" s="2113"/>
      <c r="AC993" s="2113"/>
      <c r="AD993" s="2113"/>
      <c r="AE993" s="2114"/>
      <c r="AF993" s="110"/>
      <c r="AG993" s="25"/>
      <c r="AH993" s="25"/>
      <c r="AI993" s="112"/>
      <c r="AJ993" s="2139"/>
      <c r="AK993" s="2140"/>
      <c r="AL993" s="2140"/>
      <c r="AM993" s="2140"/>
      <c r="AN993" s="2140"/>
      <c r="AO993" s="2140"/>
      <c r="AP993" s="2140"/>
      <c r="AQ993" s="2141"/>
      <c r="AR993" s="1582"/>
      <c r="AS993" s="1582"/>
      <c r="AT993" s="1582"/>
      <c r="AU993" s="1582"/>
      <c r="AV993" s="1582"/>
      <c r="AW993" s="1582"/>
      <c r="AX993" s="1582"/>
      <c r="AY993" s="1582"/>
      <c r="BB993" s="901"/>
      <c r="BC993" s="901"/>
      <c r="BD993" s="901"/>
      <c r="BE993" s="901"/>
      <c r="BF993" s="901"/>
      <c r="CR993" s="25"/>
    </row>
    <row r="994" spans="1:96" ht="12.75" customHeight="1">
      <c r="A994" s="51"/>
      <c r="B994" s="113"/>
      <c r="C994" s="114"/>
      <c r="D994" s="2115"/>
      <c r="E994" s="2116"/>
      <c r="F994" s="2116"/>
      <c r="G994" s="2116"/>
      <c r="H994" s="2116"/>
      <c r="I994" s="2116"/>
      <c r="J994" s="2116"/>
      <c r="K994" s="2116"/>
      <c r="L994" s="2116"/>
      <c r="M994" s="2116"/>
      <c r="N994" s="2116"/>
      <c r="O994" s="2116"/>
      <c r="P994" s="2116"/>
      <c r="Q994" s="2116"/>
      <c r="R994" s="2116"/>
      <c r="S994" s="2116"/>
      <c r="T994" s="2116"/>
      <c r="U994" s="2116"/>
      <c r="V994" s="2116"/>
      <c r="W994" s="2116"/>
      <c r="X994" s="2116"/>
      <c r="Y994" s="2116"/>
      <c r="Z994" s="2116"/>
      <c r="AA994" s="2116"/>
      <c r="AB994" s="2116"/>
      <c r="AC994" s="2116"/>
      <c r="AD994" s="2116"/>
      <c r="AE994" s="2117"/>
      <c r="AF994" s="115"/>
      <c r="AG994" s="11"/>
      <c r="AH994" s="11"/>
      <c r="AI994" s="116"/>
      <c r="AJ994" s="2142"/>
      <c r="AK994" s="2143"/>
      <c r="AL994" s="2143"/>
      <c r="AM994" s="2143"/>
      <c r="AN994" s="2143"/>
      <c r="AO994" s="2143"/>
      <c r="AP994" s="2143"/>
      <c r="AQ994" s="2144"/>
      <c r="AR994" s="1582"/>
      <c r="AS994" s="1582"/>
      <c r="AT994" s="1582"/>
      <c r="AU994" s="1582"/>
      <c r="AV994" s="1582"/>
      <c r="AW994" s="1582"/>
      <c r="AX994" s="1582"/>
      <c r="AY994" s="1582"/>
    </row>
    <row r="995" spans="1:96" s="718" customFormat="1" ht="12.75" customHeight="1">
      <c r="A995" s="51"/>
      <c r="B995" s="117"/>
      <c r="C995" s="118" t="s">
        <v>224</v>
      </c>
      <c r="D995" s="2109" t="s">
        <v>1536</v>
      </c>
      <c r="E995" s="2110"/>
      <c r="F995" s="2110"/>
      <c r="G995" s="2110"/>
      <c r="H995" s="2110"/>
      <c r="I995" s="2110"/>
      <c r="J995" s="2110"/>
      <c r="K995" s="2110"/>
      <c r="L995" s="2110"/>
      <c r="M995" s="2110"/>
      <c r="N995" s="2110"/>
      <c r="O995" s="2110"/>
      <c r="P995" s="2110"/>
      <c r="Q995" s="2110"/>
      <c r="R995" s="2110"/>
      <c r="S995" s="2110"/>
      <c r="T995" s="2110"/>
      <c r="U995" s="2110"/>
      <c r="V995" s="2110"/>
      <c r="W995" s="2110"/>
      <c r="X995" s="2110"/>
      <c r="Y995" s="2110"/>
      <c r="Z995" s="2110"/>
      <c r="AA995" s="2110"/>
      <c r="AB995" s="2110"/>
      <c r="AC995" s="2110"/>
      <c r="AD995" s="2110"/>
      <c r="AE995" s="2111"/>
      <c r="AF995" s="117"/>
      <c r="AG995" s="2183" t="s">
        <v>706</v>
      </c>
      <c r="AH995" s="2184"/>
      <c r="AI995" s="125"/>
      <c r="AJ995" s="2136">
        <f>IF(AG995="yes",AJ975*BA995,0)</f>
        <v>0</v>
      </c>
      <c r="AK995" s="2137"/>
      <c r="AL995" s="2137"/>
      <c r="AM995" s="2137"/>
      <c r="AN995" s="2137"/>
      <c r="AO995" s="2137"/>
      <c r="AP995" s="2137"/>
      <c r="AQ995" s="2138"/>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112" t="s">
        <v>1537</v>
      </c>
      <c r="E996" s="2113"/>
      <c r="F996" s="2113"/>
      <c r="G996" s="2113"/>
      <c r="H996" s="2113"/>
      <c r="I996" s="2113"/>
      <c r="J996" s="2113"/>
      <c r="K996" s="2113"/>
      <c r="L996" s="2113"/>
      <c r="M996" s="2113"/>
      <c r="N996" s="2113"/>
      <c r="O996" s="2113"/>
      <c r="P996" s="2113"/>
      <c r="Q996" s="2113"/>
      <c r="R996" s="2113"/>
      <c r="S996" s="2113"/>
      <c r="T996" s="2113"/>
      <c r="U996" s="2113"/>
      <c r="V996" s="2113"/>
      <c r="W996" s="2113"/>
      <c r="X996" s="2113"/>
      <c r="Y996" s="2113"/>
      <c r="Z996" s="2113"/>
      <c r="AA996" s="2113"/>
      <c r="AB996" s="2113"/>
      <c r="AC996" s="2113"/>
      <c r="AD996" s="2113"/>
      <c r="AE996" s="2114"/>
      <c r="AF996" s="110"/>
      <c r="AG996" s="112"/>
      <c r="AH996" s="112"/>
      <c r="AI996" s="121"/>
      <c r="AJ996" s="2139"/>
      <c r="AK996" s="2140"/>
      <c r="AL996" s="2140"/>
      <c r="AM996" s="2140"/>
      <c r="AN996" s="2140"/>
      <c r="AO996" s="2140"/>
      <c r="AP996" s="2140"/>
      <c r="AQ996" s="2141"/>
      <c r="AR996" s="1582"/>
      <c r="AS996" s="1582"/>
      <c r="AT996" s="1582"/>
      <c r="AU996" s="1582"/>
      <c r="AV996" s="1582"/>
      <c r="AW996" s="1582"/>
      <c r="AX996" s="1582"/>
      <c r="AY996" s="1582"/>
    </row>
    <row r="997" spans="1:96" ht="12.75" customHeight="1">
      <c r="A997" s="51"/>
      <c r="B997" s="110"/>
      <c r="C997" s="111"/>
      <c r="D997" s="2112"/>
      <c r="E997" s="2113"/>
      <c r="F997" s="2113"/>
      <c r="G997" s="2113"/>
      <c r="H997" s="2113"/>
      <c r="I997" s="2113"/>
      <c r="J997" s="2113"/>
      <c r="K997" s="2113"/>
      <c r="L997" s="2113"/>
      <c r="M997" s="2113"/>
      <c r="N997" s="2113"/>
      <c r="O997" s="2113"/>
      <c r="P997" s="2113"/>
      <c r="Q997" s="2113"/>
      <c r="R997" s="2113"/>
      <c r="S997" s="2113"/>
      <c r="T997" s="2113"/>
      <c r="U997" s="2113"/>
      <c r="V997" s="2113"/>
      <c r="W997" s="2113"/>
      <c r="X997" s="2113"/>
      <c r="Y997" s="2113"/>
      <c r="Z997" s="2113"/>
      <c r="AA997" s="2113"/>
      <c r="AB997" s="2113"/>
      <c r="AC997" s="2113"/>
      <c r="AD997" s="2113"/>
      <c r="AE997" s="2114"/>
      <c r="AF997" s="110"/>
      <c r="AG997" s="112"/>
      <c r="AH997" s="112"/>
      <c r="AI997" s="121"/>
      <c r="AJ997" s="2139"/>
      <c r="AK997" s="2140"/>
      <c r="AL997" s="2140"/>
      <c r="AM997" s="2140"/>
      <c r="AN997" s="2140"/>
      <c r="AO997" s="2140"/>
      <c r="AP997" s="2140"/>
      <c r="AQ997" s="2141"/>
      <c r="AR997" s="1582"/>
      <c r="AS997" s="1582"/>
      <c r="AT997" s="1582"/>
      <c r="AU997" s="1582"/>
      <c r="AV997" s="1582"/>
      <c r="AW997" s="1582"/>
      <c r="AX997" s="1582"/>
      <c r="AY997" s="1582"/>
      <c r="BA997" s="320">
        <f>IF(A1044="Yes",0.05,0)</f>
        <v>0</v>
      </c>
    </row>
    <row r="998" spans="1:96" ht="15" customHeight="1">
      <c r="A998" s="51"/>
      <c r="B998" s="119"/>
      <c r="C998" s="120"/>
      <c r="D998" s="2115"/>
      <c r="E998" s="2116"/>
      <c r="F998" s="2116"/>
      <c r="G998" s="2116"/>
      <c r="H998" s="2116"/>
      <c r="I998" s="2116"/>
      <c r="J998" s="2116"/>
      <c r="K998" s="2116"/>
      <c r="L998" s="2116"/>
      <c r="M998" s="2116"/>
      <c r="N998" s="2116"/>
      <c r="O998" s="2116"/>
      <c r="P998" s="2116"/>
      <c r="Q998" s="2116"/>
      <c r="R998" s="2116"/>
      <c r="S998" s="2116"/>
      <c r="T998" s="2116"/>
      <c r="U998" s="2116"/>
      <c r="V998" s="2116"/>
      <c r="W998" s="2116"/>
      <c r="X998" s="2116"/>
      <c r="Y998" s="2116"/>
      <c r="Z998" s="2116"/>
      <c r="AA998" s="2116"/>
      <c r="AB998" s="2116"/>
      <c r="AC998" s="2116"/>
      <c r="AD998" s="2116"/>
      <c r="AE998" s="2117"/>
      <c r="AF998" s="115"/>
      <c r="AG998" s="11"/>
      <c r="AH998" s="11"/>
      <c r="AI998" s="116"/>
      <c r="AJ998" s="2142"/>
      <c r="AK998" s="2143"/>
      <c r="AL998" s="2143"/>
      <c r="AM998" s="2143"/>
      <c r="AN998" s="2143"/>
      <c r="AO998" s="2143"/>
      <c r="AP998" s="2143"/>
      <c r="AQ998" s="2144"/>
      <c r="AR998" s="1582"/>
      <c r="AS998" s="1582"/>
      <c r="AT998" s="1582"/>
      <c r="AU998" s="1582"/>
      <c r="AV998" s="1582"/>
      <c r="AW998" s="1582"/>
      <c r="AX998" s="1582"/>
      <c r="AY998" s="1582"/>
      <c r="BA998" s="320">
        <f>IF(A1050="Yes",0.02,0)</f>
        <v>0</v>
      </c>
    </row>
    <row r="999" spans="1:96" s="718" customFormat="1" ht="15" customHeight="1">
      <c r="A999" s="51"/>
      <c r="B999" s="117"/>
      <c r="C999" s="118" t="s">
        <v>229</v>
      </c>
      <c r="D999" s="2166" t="s">
        <v>1538</v>
      </c>
      <c r="E999" s="2167"/>
      <c r="F999" s="2167"/>
      <c r="G999" s="2167"/>
      <c r="H999" s="2167"/>
      <c r="I999" s="2167"/>
      <c r="J999" s="2167"/>
      <c r="K999" s="2167"/>
      <c r="L999" s="2167"/>
      <c r="M999" s="2167"/>
      <c r="N999" s="2167"/>
      <c r="O999" s="2167"/>
      <c r="P999" s="2167"/>
      <c r="Q999" s="2167"/>
      <c r="R999" s="2167"/>
      <c r="S999" s="2167"/>
      <c r="T999" s="2167"/>
      <c r="U999" s="2167"/>
      <c r="V999" s="2167"/>
      <c r="W999" s="2167"/>
      <c r="X999" s="2167"/>
      <c r="Y999" s="2167"/>
      <c r="Z999" s="2167"/>
      <c r="AA999" s="2167"/>
      <c r="AB999" s="2167"/>
      <c r="AC999" s="2167"/>
      <c r="AD999" s="2167"/>
      <c r="AE999" s="2168"/>
      <c r="AF999" s="117"/>
      <c r="AG999" s="2183" t="s">
        <v>706</v>
      </c>
      <c r="AH999" s="2184"/>
      <c r="AI999" s="125"/>
      <c r="AJ999" s="2145"/>
      <c r="AK999" s="2146"/>
      <c r="AL999" s="2146"/>
      <c r="AM999" s="2146"/>
      <c r="AN999" s="2146"/>
      <c r="AO999" s="2146"/>
      <c r="AP999" s="2146"/>
      <c r="AQ999" s="2147"/>
      <c r="AR999" s="1582"/>
      <c r="AS999" s="1582"/>
      <c r="AT999" s="1582"/>
      <c r="AU999" s="1582"/>
      <c r="AV999" s="1582"/>
      <c r="AW999" s="1582"/>
      <c r="AX999" s="1582"/>
      <c r="AY999" s="1582"/>
      <c r="BA999" s="320">
        <f>IF(A1056="Yes",0.04,0)</f>
        <v>0</v>
      </c>
      <c r="CR999" s="25"/>
    </row>
    <row r="1000" spans="1:96" ht="12.75">
      <c r="A1000" s="51"/>
      <c r="B1000" s="119"/>
      <c r="C1000" s="122"/>
      <c r="D1000" s="2169"/>
      <c r="E1000" s="2170"/>
      <c r="F1000" s="2170"/>
      <c r="G1000" s="2170"/>
      <c r="H1000" s="2170"/>
      <c r="I1000" s="2170"/>
      <c r="J1000" s="2170"/>
      <c r="K1000" s="2170"/>
      <c r="L1000" s="2170"/>
      <c r="M1000" s="2170"/>
      <c r="N1000" s="2170"/>
      <c r="O1000" s="2170"/>
      <c r="P1000" s="2170"/>
      <c r="Q1000" s="2170"/>
      <c r="R1000" s="2170"/>
      <c r="S1000" s="2170"/>
      <c r="T1000" s="2170"/>
      <c r="U1000" s="2170"/>
      <c r="V1000" s="2170"/>
      <c r="W1000" s="2170"/>
      <c r="X1000" s="2170"/>
      <c r="Y1000" s="2170"/>
      <c r="Z1000" s="2170"/>
      <c r="AA1000" s="2170"/>
      <c r="AB1000" s="2170"/>
      <c r="AC1000" s="2170"/>
      <c r="AD1000" s="2170"/>
      <c r="AE1000" s="2171"/>
      <c r="AF1000" s="2154">
        <f>IF(AG999="yes","Please Select Type and Enter Amount:",0)</f>
        <v>0</v>
      </c>
      <c r="AG1000" s="2155"/>
      <c r="AH1000" s="2155"/>
      <c r="AI1000" s="2156"/>
      <c r="AJ1000" s="2148"/>
      <c r="AK1000" s="2149"/>
      <c r="AL1000" s="2149"/>
      <c r="AM1000" s="2149"/>
      <c r="AN1000" s="2149"/>
      <c r="AO1000" s="2149"/>
      <c r="AP1000" s="2149"/>
      <c r="AQ1000" s="2150"/>
      <c r="AR1000" s="1582"/>
      <c r="AS1000" s="1582"/>
      <c r="AT1000" s="1582"/>
      <c r="AU1000" s="1582"/>
      <c r="AV1000" s="1582"/>
      <c r="AW1000" s="1582"/>
      <c r="AX1000" s="1582"/>
      <c r="AY1000" s="1582"/>
      <c r="BA1000" s="320">
        <f>IF(A1063="Yes",0.04,0)</f>
        <v>0</v>
      </c>
    </row>
    <row r="1001" spans="1:96" ht="12.75" customHeight="1">
      <c r="A1001" s="51"/>
      <c r="B1001" s="119"/>
      <c r="C1001" s="122"/>
      <c r="D1001" s="2112" t="s">
        <v>1539</v>
      </c>
      <c r="E1001" s="2113"/>
      <c r="F1001" s="2113"/>
      <c r="G1001" s="2113"/>
      <c r="H1001" s="2113"/>
      <c r="I1001" s="2113"/>
      <c r="J1001" s="2113"/>
      <c r="K1001" s="2113"/>
      <c r="L1001" s="2113"/>
      <c r="M1001" s="2113"/>
      <c r="N1001" s="2113"/>
      <c r="O1001" s="2113"/>
      <c r="P1001" s="2113"/>
      <c r="Q1001" s="2113"/>
      <c r="R1001" s="2113"/>
      <c r="S1001" s="2113"/>
      <c r="T1001" s="2113"/>
      <c r="U1001" s="2113"/>
      <c r="V1001" s="2113"/>
      <c r="W1001" s="2113"/>
      <c r="X1001" s="2113"/>
      <c r="Y1001" s="2113"/>
      <c r="Z1001" s="2113"/>
      <c r="AA1001" s="2113"/>
      <c r="AB1001" s="2113"/>
      <c r="AC1001" s="2113"/>
      <c r="AD1001" s="2113"/>
      <c r="AE1001" s="2114"/>
      <c r="AF1001" s="2154"/>
      <c r="AG1001" s="2155"/>
      <c r="AH1001" s="2155"/>
      <c r="AI1001" s="2156"/>
      <c r="AJ1001" s="2148"/>
      <c r="AK1001" s="2149"/>
      <c r="AL1001" s="2149"/>
      <c r="AM1001" s="2149"/>
      <c r="AN1001" s="2149"/>
      <c r="AO1001" s="2149"/>
      <c r="AP1001" s="2149"/>
      <c r="AQ1001" s="2150"/>
      <c r="AR1001" s="1582"/>
      <c r="AS1001" s="1582"/>
      <c r="AT1001" s="1582"/>
      <c r="AU1001" s="1582"/>
      <c r="AV1001" s="1582"/>
      <c r="AW1001" s="1582"/>
      <c r="AX1001" s="1582"/>
      <c r="AY1001" s="1582"/>
      <c r="BA1001" s="320">
        <f>IF(A1066="Yes",0.01,0)</f>
        <v>0</v>
      </c>
    </row>
    <row r="1002" spans="1:96" ht="12.75" customHeight="1">
      <c r="A1002" s="51"/>
      <c r="B1002" s="119"/>
      <c r="C1002" s="122"/>
      <c r="D1002" s="2112"/>
      <c r="E1002" s="2113"/>
      <c r="F1002" s="2113"/>
      <c r="G1002" s="2113"/>
      <c r="H1002" s="2113"/>
      <c r="I1002" s="2113"/>
      <c r="J1002" s="2113"/>
      <c r="K1002" s="2113"/>
      <c r="L1002" s="2113"/>
      <c r="M1002" s="2113"/>
      <c r="N1002" s="2113"/>
      <c r="O1002" s="2113"/>
      <c r="P1002" s="2113"/>
      <c r="Q1002" s="2113"/>
      <c r="R1002" s="2113"/>
      <c r="S1002" s="2113"/>
      <c r="T1002" s="2113"/>
      <c r="U1002" s="2113"/>
      <c r="V1002" s="2113"/>
      <c r="W1002" s="2113"/>
      <c r="X1002" s="2113"/>
      <c r="Y1002" s="2113"/>
      <c r="Z1002" s="2113"/>
      <c r="AA1002" s="2113"/>
      <c r="AB1002" s="2113"/>
      <c r="AC1002" s="2113"/>
      <c r="AD1002" s="2113"/>
      <c r="AE1002" s="2114"/>
      <c r="AF1002" s="2154"/>
      <c r="AG1002" s="2155"/>
      <c r="AH1002" s="2155"/>
      <c r="AI1002" s="2156"/>
      <c r="AJ1002" s="2148"/>
      <c r="AK1002" s="2149"/>
      <c r="AL1002" s="2149"/>
      <c r="AM1002" s="2149"/>
      <c r="AN1002" s="2149"/>
      <c r="AO1002" s="2149"/>
      <c r="AP1002" s="2149"/>
      <c r="AQ1002" s="2150"/>
      <c r="AR1002" s="1582"/>
      <c r="AS1002" s="1582"/>
      <c r="AT1002" s="1582"/>
      <c r="AU1002" s="1582"/>
      <c r="AV1002" s="1582"/>
      <c r="AW1002" s="1582"/>
      <c r="AX1002" s="1582"/>
      <c r="AY1002" s="1582"/>
      <c r="BA1002" s="320">
        <f>IF(A1071="Yes",0.01,0)</f>
        <v>0</v>
      </c>
    </row>
    <row r="1003" spans="1:96" s="718" customFormat="1" ht="12.75" customHeight="1">
      <c r="A1003" s="51"/>
      <c r="B1003" s="119"/>
      <c r="C1003" s="122"/>
      <c r="D1003" s="905" t="s">
        <v>369</v>
      </c>
      <c r="E1003" s="133"/>
      <c r="F1003" s="133"/>
      <c r="G1003" s="160"/>
      <c r="H1003" s="160"/>
      <c r="I1003" s="81"/>
      <c r="J1003" s="2172" t="s">
        <v>626</v>
      </c>
      <c r="K1003" s="2173"/>
      <c r="L1003" s="2173"/>
      <c r="M1003" s="2173"/>
      <c r="N1003" s="2173"/>
      <c r="O1003" s="2173"/>
      <c r="P1003" s="2173"/>
      <c r="Q1003" s="2173"/>
      <c r="R1003" s="2173"/>
      <c r="S1003" s="2173"/>
      <c r="T1003" s="2173"/>
      <c r="U1003" s="2173"/>
      <c r="V1003" s="2173"/>
      <c r="W1003" s="2173"/>
      <c r="X1003" s="2173"/>
      <c r="Y1003" s="2173"/>
      <c r="Z1003" s="2173"/>
      <c r="AA1003" s="2173"/>
      <c r="AB1003" s="2173"/>
      <c r="AC1003" s="2173"/>
      <c r="AD1003" s="2173"/>
      <c r="AE1003" s="2174"/>
      <c r="AF1003" s="2157"/>
      <c r="AG1003" s="2158"/>
      <c r="AH1003" s="2158"/>
      <c r="AI1003" s="2159"/>
      <c r="AJ1003" s="2151"/>
      <c r="AK1003" s="2152"/>
      <c r="AL1003" s="2152"/>
      <c r="AM1003" s="2152"/>
      <c r="AN1003" s="2152"/>
      <c r="AO1003" s="2152"/>
      <c r="AP1003" s="2152"/>
      <c r="AQ1003" s="2153"/>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130" t="s">
        <v>1540</v>
      </c>
      <c r="E1004" s="2131"/>
      <c r="F1004" s="2131"/>
      <c r="G1004" s="2131"/>
      <c r="H1004" s="2131"/>
      <c r="I1004" s="2131"/>
      <c r="J1004" s="2131"/>
      <c r="K1004" s="2131"/>
      <c r="L1004" s="2131"/>
      <c r="M1004" s="2131"/>
      <c r="N1004" s="2131"/>
      <c r="O1004" s="2131"/>
      <c r="P1004" s="2131"/>
      <c r="Q1004" s="2131"/>
      <c r="R1004" s="2131"/>
      <c r="S1004" s="2131"/>
      <c r="T1004" s="2131"/>
      <c r="U1004" s="2131"/>
      <c r="V1004" s="2131"/>
      <c r="W1004" s="2131"/>
      <c r="X1004" s="2131"/>
      <c r="Y1004" s="2131"/>
      <c r="Z1004" s="2131"/>
      <c r="AA1004" s="2131"/>
      <c r="AB1004" s="2131"/>
      <c r="AC1004" s="2131"/>
      <c r="AD1004" s="2131"/>
      <c r="AE1004" s="2132"/>
      <c r="AF1004" s="117"/>
      <c r="AG1004" s="2183" t="s">
        <v>578</v>
      </c>
      <c r="AH1004" s="2184"/>
      <c r="AI1004" s="125"/>
      <c r="AJ1004" s="2145">
        <v>584053</v>
      </c>
      <c r="AK1004" s="2146"/>
      <c r="AL1004" s="2146"/>
      <c r="AM1004" s="2146"/>
      <c r="AN1004" s="2146"/>
      <c r="AO1004" s="2146"/>
      <c r="AP1004" s="2146"/>
      <c r="AQ1004" s="2147"/>
      <c r="AR1004" s="1582"/>
      <c r="AS1004" s="1582"/>
      <c r="AT1004" s="1582"/>
      <c r="AU1004" s="1582"/>
      <c r="AV1004" s="1582"/>
      <c r="AW1004" s="1582"/>
      <c r="AX1004" s="1582"/>
      <c r="AY1004" s="1582"/>
      <c r="BA1004" s="320">
        <f>IF(A1078="Yes",0.02,0)</f>
        <v>0</v>
      </c>
    </row>
    <row r="1005" spans="1:96" ht="12.75" customHeight="1">
      <c r="A1005" s="51"/>
      <c r="B1005" s="110"/>
      <c r="C1005" s="111"/>
      <c r="D1005" s="2112" t="s">
        <v>2179</v>
      </c>
      <c r="E1005" s="2113"/>
      <c r="F1005" s="2113"/>
      <c r="G1005" s="2113"/>
      <c r="H1005" s="2113"/>
      <c r="I1005" s="2113"/>
      <c r="J1005" s="2113"/>
      <c r="K1005" s="2113"/>
      <c r="L1005" s="2113"/>
      <c r="M1005" s="2113"/>
      <c r="N1005" s="2113"/>
      <c r="O1005" s="2113"/>
      <c r="P1005" s="2113"/>
      <c r="Q1005" s="2113"/>
      <c r="R1005" s="2113"/>
      <c r="S1005" s="2113"/>
      <c r="T1005" s="2113"/>
      <c r="U1005" s="2113"/>
      <c r="V1005" s="2113"/>
      <c r="W1005" s="2113"/>
      <c r="X1005" s="2113"/>
      <c r="Y1005" s="2113"/>
      <c r="Z1005" s="2113"/>
      <c r="AA1005" s="2113"/>
      <c r="AB1005" s="2113"/>
      <c r="AC1005" s="2113"/>
      <c r="AD1005" s="2113"/>
      <c r="AE1005" s="2114"/>
      <c r="AF1005" s="2160" t="str">
        <f>IF(AG1004="yes","Please Enter Amount:",0)</f>
        <v>Please Enter Amount:</v>
      </c>
      <c r="AG1005" s="2161"/>
      <c r="AH1005" s="2161"/>
      <c r="AI1005" s="2162"/>
      <c r="AJ1005" s="2148"/>
      <c r="AK1005" s="2149"/>
      <c r="AL1005" s="2149"/>
      <c r="AM1005" s="2149"/>
      <c r="AN1005" s="2149"/>
      <c r="AO1005" s="2149"/>
      <c r="AP1005" s="2149"/>
      <c r="AQ1005" s="2150"/>
      <c r="AR1005" s="1582"/>
      <c r="AS1005" s="1582"/>
      <c r="AT1005" s="1582"/>
      <c r="AU1005" s="1582"/>
      <c r="AV1005" s="1582"/>
      <c r="AW1005" s="1582"/>
      <c r="AX1005" s="1582"/>
      <c r="AY1005" s="1582"/>
      <c r="BA1005" s="321">
        <f>IF(A1082="Yes",0.02,0)</f>
        <v>0</v>
      </c>
    </row>
    <row r="1006" spans="1:96" ht="12.75" customHeight="1">
      <c r="A1006" s="51"/>
      <c r="B1006" s="110"/>
      <c r="C1006" s="111"/>
      <c r="D1006" s="2112"/>
      <c r="E1006" s="2113"/>
      <c r="F1006" s="2113"/>
      <c r="G1006" s="2113"/>
      <c r="H1006" s="2113"/>
      <c r="I1006" s="2113"/>
      <c r="J1006" s="2113"/>
      <c r="K1006" s="2113"/>
      <c r="L1006" s="2113"/>
      <c r="M1006" s="2113"/>
      <c r="N1006" s="2113"/>
      <c r="O1006" s="2113"/>
      <c r="P1006" s="2113"/>
      <c r="Q1006" s="2113"/>
      <c r="R1006" s="2113"/>
      <c r="S1006" s="2113"/>
      <c r="T1006" s="2113"/>
      <c r="U1006" s="2113"/>
      <c r="V1006" s="2113"/>
      <c r="W1006" s="2113"/>
      <c r="X1006" s="2113"/>
      <c r="Y1006" s="2113"/>
      <c r="Z1006" s="2113"/>
      <c r="AA1006" s="2113"/>
      <c r="AB1006" s="2113"/>
      <c r="AC1006" s="2113"/>
      <c r="AD1006" s="2113"/>
      <c r="AE1006" s="2114"/>
      <c r="AF1006" s="2160"/>
      <c r="AG1006" s="2161"/>
      <c r="AH1006" s="2161"/>
      <c r="AI1006" s="2162"/>
      <c r="AJ1006" s="2148"/>
      <c r="AK1006" s="2149"/>
      <c r="AL1006" s="2149"/>
      <c r="AM1006" s="2149"/>
      <c r="AN1006" s="2149"/>
      <c r="AO1006" s="2149"/>
      <c r="AP1006" s="2149"/>
      <c r="AQ1006" s="2150"/>
      <c r="AR1006" s="1582"/>
      <c r="AS1006" s="1582"/>
      <c r="AT1006" s="1582"/>
      <c r="AU1006" s="1582"/>
      <c r="AV1006" s="1582"/>
      <c r="AW1006" s="1582"/>
      <c r="AX1006" s="1582"/>
      <c r="AY1006" s="1582"/>
    </row>
    <row r="1007" spans="1:96" ht="12.75" customHeight="1">
      <c r="A1007" s="51"/>
      <c r="B1007" s="123"/>
      <c r="C1007" s="122"/>
      <c r="D1007" s="2115"/>
      <c r="E1007" s="2116"/>
      <c r="F1007" s="2116"/>
      <c r="G1007" s="2116"/>
      <c r="H1007" s="2116"/>
      <c r="I1007" s="2116"/>
      <c r="J1007" s="2116"/>
      <c r="K1007" s="2116"/>
      <c r="L1007" s="2116"/>
      <c r="M1007" s="2116"/>
      <c r="N1007" s="2116"/>
      <c r="O1007" s="2116"/>
      <c r="P1007" s="2116"/>
      <c r="Q1007" s="2116"/>
      <c r="R1007" s="2116"/>
      <c r="S1007" s="2116"/>
      <c r="T1007" s="2116"/>
      <c r="U1007" s="2116"/>
      <c r="V1007" s="2116"/>
      <c r="W1007" s="2116"/>
      <c r="X1007" s="2116"/>
      <c r="Y1007" s="2116"/>
      <c r="Z1007" s="2116"/>
      <c r="AA1007" s="2116"/>
      <c r="AB1007" s="2116"/>
      <c r="AC1007" s="2116"/>
      <c r="AD1007" s="2116"/>
      <c r="AE1007" s="2117"/>
      <c r="AF1007" s="2163"/>
      <c r="AG1007" s="2164"/>
      <c r="AH1007" s="2164"/>
      <c r="AI1007" s="2165"/>
      <c r="AJ1007" s="2151"/>
      <c r="AK1007" s="2152"/>
      <c r="AL1007" s="2152"/>
      <c r="AM1007" s="2152"/>
      <c r="AN1007" s="2152"/>
      <c r="AO1007" s="2152"/>
      <c r="AP1007" s="2152"/>
      <c r="AQ1007" s="2153"/>
      <c r="AR1007" s="1582"/>
      <c r="AS1007" s="1582"/>
      <c r="AT1007" s="1582"/>
      <c r="AU1007" s="1582"/>
      <c r="AV1007" s="1582"/>
      <c r="AW1007" s="1582"/>
      <c r="AX1007" s="1582"/>
      <c r="AY1007" s="1582"/>
    </row>
    <row r="1008" spans="1:96" s="718" customFormat="1" ht="12.75" customHeight="1">
      <c r="A1008" s="51"/>
      <c r="B1008" s="117"/>
      <c r="C1008" s="118" t="s">
        <v>240</v>
      </c>
      <c r="D1008" s="2109" t="s">
        <v>1541</v>
      </c>
      <c r="E1008" s="2110"/>
      <c r="F1008" s="2110"/>
      <c r="G1008" s="2110"/>
      <c r="H1008" s="2110"/>
      <c r="I1008" s="2110"/>
      <c r="J1008" s="2110"/>
      <c r="K1008" s="2110"/>
      <c r="L1008" s="2110"/>
      <c r="M1008" s="2110"/>
      <c r="N1008" s="2110"/>
      <c r="O1008" s="2110"/>
      <c r="P1008" s="2110"/>
      <c r="Q1008" s="2110"/>
      <c r="R1008" s="2110"/>
      <c r="S1008" s="2110"/>
      <c r="T1008" s="2110"/>
      <c r="U1008" s="2110"/>
      <c r="V1008" s="2110"/>
      <c r="W1008" s="2110"/>
      <c r="X1008" s="2110"/>
      <c r="Y1008" s="2110"/>
      <c r="Z1008" s="2110"/>
      <c r="AA1008" s="2110"/>
      <c r="AB1008" s="2110"/>
      <c r="AC1008" s="2110"/>
      <c r="AD1008" s="2110"/>
      <c r="AE1008" s="2111"/>
      <c r="AF1008" s="117"/>
      <c r="AG1008" s="2183" t="s">
        <v>578</v>
      </c>
      <c r="AH1008" s="2184"/>
      <c r="AI1008" s="125"/>
      <c r="AJ1008" s="2136">
        <f>ROUND(IF(AG1008="yes",(AJ975*0.1),0),0)</f>
        <v>2130662</v>
      </c>
      <c r="AK1008" s="2137"/>
      <c r="AL1008" s="2137"/>
      <c r="AM1008" s="2137"/>
      <c r="AN1008" s="2137"/>
      <c r="AO1008" s="2137"/>
      <c r="AP1008" s="2137"/>
      <c r="AQ1008" s="2138"/>
      <c r="AR1008" s="1582"/>
      <c r="AS1008" s="1582"/>
      <c r="AT1008" s="1582"/>
      <c r="AU1008" s="1582"/>
      <c r="AV1008" s="1582"/>
      <c r="AW1008" s="1582"/>
      <c r="AX1008" s="1582"/>
      <c r="AY1008" s="1582"/>
      <c r="CR1008" s="25"/>
    </row>
    <row r="1009" spans="1:96" ht="12.75" customHeight="1">
      <c r="A1009" s="51"/>
      <c r="B1009" s="110"/>
      <c r="C1009" s="111"/>
      <c r="D1009" s="2112" t="s">
        <v>1542</v>
      </c>
      <c r="E1009" s="2113"/>
      <c r="F1009" s="2113"/>
      <c r="G1009" s="2113"/>
      <c r="H1009" s="2113"/>
      <c r="I1009" s="2113"/>
      <c r="J1009" s="2113"/>
      <c r="K1009" s="2113"/>
      <c r="L1009" s="2113"/>
      <c r="M1009" s="2113"/>
      <c r="N1009" s="2113"/>
      <c r="O1009" s="2113"/>
      <c r="P1009" s="2113"/>
      <c r="Q1009" s="2113"/>
      <c r="R1009" s="2113"/>
      <c r="S1009" s="2113"/>
      <c r="T1009" s="2113"/>
      <c r="U1009" s="2113"/>
      <c r="V1009" s="2113"/>
      <c r="W1009" s="2113"/>
      <c r="X1009" s="2113"/>
      <c r="Y1009" s="2113"/>
      <c r="Z1009" s="2113"/>
      <c r="AA1009" s="2113"/>
      <c r="AB1009" s="2113"/>
      <c r="AC1009" s="2113"/>
      <c r="AD1009" s="2113"/>
      <c r="AE1009" s="2114"/>
      <c r="AF1009" s="110"/>
      <c r="AG1009" s="112"/>
      <c r="AH1009" s="112"/>
      <c r="AI1009" s="121"/>
      <c r="AJ1009" s="2139"/>
      <c r="AK1009" s="2140"/>
      <c r="AL1009" s="2140"/>
      <c r="AM1009" s="2140"/>
      <c r="AN1009" s="2140"/>
      <c r="AO1009" s="2140"/>
      <c r="AP1009" s="2140"/>
      <c r="AQ1009" s="2141"/>
      <c r="AR1009" s="1582"/>
      <c r="AS1009" s="1582"/>
      <c r="AT1009" s="1582"/>
      <c r="AU1009" s="1582"/>
      <c r="AV1009" s="1582"/>
      <c r="AW1009" s="1582"/>
      <c r="AX1009" s="1582"/>
      <c r="AY1009" s="1582"/>
    </row>
    <row r="1010" spans="1:96" ht="12.75" customHeight="1">
      <c r="A1010" s="51"/>
      <c r="B1010" s="115"/>
      <c r="C1010" s="111"/>
      <c r="D1010" s="2115"/>
      <c r="E1010" s="2116"/>
      <c r="F1010" s="2116"/>
      <c r="G1010" s="2116"/>
      <c r="H1010" s="2116"/>
      <c r="I1010" s="2116"/>
      <c r="J1010" s="2116"/>
      <c r="K1010" s="2116"/>
      <c r="L1010" s="2116"/>
      <c r="M1010" s="2116"/>
      <c r="N1010" s="2116"/>
      <c r="O1010" s="2116"/>
      <c r="P1010" s="2116"/>
      <c r="Q1010" s="2116"/>
      <c r="R1010" s="2116"/>
      <c r="S1010" s="2116"/>
      <c r="T1010" s="2116"/>
      <c r="U1010" s="2116"/>
      <c r="V1010" s="2116"/>
      <c r="W1010" s="2116"/>
      <c r="X1010" s="2116"/>
      <c r="Y1010" s="2116"/>
      <c r="Z1010" s="2116"/>
      <c r="AA1010" s="2116"/>
      <c r="AB1010" s="2116"/>
      <c r="AC1010" s="2116"/>
      <c r="AD1010" s="2116"/>
      <c r="AE1010" s="2117"/>
      <c r="AF1010" s="110"/>
      <c r="AG1010" s="112"/>
      <c r="AH1010" s="112"/>
      <c r="AI1010" s="121"/>
      <c r="AJ1010" s="2142"/>
      <c r="AK1010" s="2143"/>
      <c r="AL1010" s="2143"/>
      <c r="AM1010" s="2143"/>
      <c r="AN1010" s="2143"/>
      <c r="AO1010" s="2143"/>
      <c r="AP1010" s="2143"/>
      <c r="AQ1010" s="2144"/>
      <c r="AR1010" s="1582"/>
      <c r="AS1010" s="1582"/>
      <c r="AT1010" s="1582"/>
      <c r="AU1010" s="1582"/>
      <c r="AV1010" s="1582"/>
      <c r="AW1010" s="1582"/>
      <c r="AX1010" s="1582"/>
      <c r="AY1010" s="1582"/>
    </row>
    <row r="1011" spans="1:96" s="718" customFormat="1" ht="12.75" customHeight="1">
      <c r="A1011" s="51"/>
      <c r="B1011" s="110"/>
      <c r="C1011" s="530" t="s">
        <v>725</v>
      </c>
      <c r="D1011" s="2130" t="s">
        <v>2175</v>
      </c>
      <c r="E1011" s="2131"/>
      <c r="F1011" s="2131"/>
      <c r="G1011" s="2131"/>
      <c r="H1011" s="2131"/>
      <c r="I1011" s="2131"/>
      <c r="J1011" s="2131"/>
      <c r="K1011" s="2131"/>
      <c r="L1011" s="2131"/>
      <c r="M1011" s="2131"/>
      <c r="N1011" s="2131"/>
      <c r="O1011" s="2131"/>
      <c r="P1011" s="2131"/>
      <c r="Q1011" s="2131"/>
      <c r="R1011" s="2131"/>
      <c r="S1011" s="2131"/>
      <c r="T1011" s="2131"/>
      <c r="U1011" s="2131"/>
      <c r="V1011" s="2131"/>
      <c r="W1011" s="2131"/>
      <c r="X1011" s="2131"/>
      <c r="Y1011" s="2131"/>
      <c r="Z1011" s="2131"/>
      <c r="AA1011" s="2131"/>
      <c r="AB1011" s="2131"/>
      <c r="AC1011" s="2131"/>
      <c r="AD1011" s="2131"/>
      <c r="AE1011" s="2132"/>
      <c r="AF1011" s="117"/>
      <c r="AG1011" s="2183" t="s">
        <v>706</v>
      </c>
      <c r="AH1011" s="2184"/>
      <c r="AI1011" s="125"/>
      <c r="AJ1011" s="2136">
        <f>ROUND(IF(AG1011="yes",(AJ975*0.15),0),0)</f>
        <v>0</v>
      </c>
      <c r="AK1011" s="2137"/>
      <c r="AL1011" s="2137"/>
      <c r="AM1011" s="2137"/>
      <c r="AN1011" s="2137"/>
      <c r="AO1011" s="2137"/>
      <c r="AP1011" s="2137"/>
      <c r="AQ1011" s="2138"/>
      <c r="AR1011" s="1582"/>
      <c r="AS1011" s="1582"/>
      <c r="AT1011" s="1582"/>
      <c r="AU1011" s="1582"/>
      <c r="AV1011" s="1582"/>
      <c r="AW1011" s="1582"/>
      <c r="AX1011" s="1582"/>
      <c r="AY1011" s="1582"/>
      <c r="CR1011" s="25"/>
    </row>
    <row r="1012" spans="1:96" s="718" customFormat="1" ht="12.75" customHeight="1">
      <c r="A1012" s="51"/>
      <c r="B1012" s="110"/>
      <c r="C1012" s="111"/>
      <c r="D1012" s="2189" t="s">
        <v>2176</v>
      </c>
      <c r="E1012" s="2190"/>
      <c r="F1012" s="2190"/>
      <c r="G1012" s="2190"/>
      <c r="H1012" s="2190"/>
      <c r="I1012" s="2190"/>
      <c r="J1012" s="2190"/>
      <c r="K1012" s="2190"/>
      <c r="L1012" s="2190"/>
      <c r="M1012" s="2190"/>
      <c r="N1012" s="2190"/>
      <c r="O1012" s="2190"/>
      <c r="P1012" s="2190"/>
      <c r="Q1012" s="2190"/>
      <c r="R1012" s="2190"/>
      <c r="S1012" s="2190"/>
      <c r="T1012" s="2190"/>
      <c r="U1012" s="2190"/>
      <c r="V1012" s="2190"/>
      <c r="W1012" s="2190"/>
      <c r="X1012" s="2190"/>
      <c r="Y1012" s="2190"/>
      <c r="Z1012" s="2190"/>
      <c r="AA1012" s="2190"/>
      <c r="AB1012" s="2190"/>
      <c r="AC1012" s="2190"/>
      <c r="AD1012" s="2190"/>
      <c r="AE1012" s="2191"/>
      <c r="AF1012" s="1612"/>
      <c r="AG1012" s="1613"/>
      <c r="AH1012" s="1613"/>
      <c r="AI1012" s="1614"/>
      <c r="AJ1012" s="2139"/>
      <c r="AK1012" s="2140"/>
      <c r="AL1012" s="2140"/>
      <c r="AM1012" s="2140"/>
      <c r="AN1012" s="2140"/>
      <c r="AO1012" s="2140"/>
      <c r="AP1012" s="2140"/>
      <c r="AQ1012" s="2141"/>
      <c r="AR1012" s="1582"/>
      <c r="AS1012" s="1582"/>
      <c r="AT1012" s="1582"/>
      <c r="AU1012" s="1582"/>
      <c r="AV1012" s="1582"/>
      <c r="AW1012" s="1582"/>
      <c r="AX1012" s="1582"/>
      <c r="AY1012" s="1582"/>
      <c r="CR1012" s="25"/>
    </row>
    <row r="1013" spans="1:96" s="718" customFormat="1" ht="12.75" customHeight="1">
      <c r="A1013" s="51"/>
      <c r="B1013" s="110"/>
      <c r="C1013" s="111"/>
      <c r="D1013" s="2189"/>
      <c r="E1013" s="2190"/>
      <c r="F1013" s="2190"/>
      <c r="G1013" s="2190"/>
      <c r="H1013" s="2190"/>
      <c r="I1013" s="2190"/>
      <c r="J1013" s="2190"/>
      <c r="K1013" s="2190"/>
      <c r="L1013" s="2190"/>
      <c r="M1013" s="2190"/>
      <c r="N1013" s="2190"/>
      <c r="O1013" s="2190"/>
      <c r="P1013" s="2190"/>
      <c r="Q1013" s="2190"/>
      <c r="R1013" s="2190"/>
      <c r="S1013" s="2190"/>
      <c r="T1013" s="2190"/>
      <c r="U1013" s="2190"/>
      <c r="V1013" s="2190"/>
      <c r="W1013" s="2190"/>
      <c r="X1013" s="2190"/>
      <c r="Y1013" s="2190"/>
      <c r="Z1013" s="2190"/>
      <c r="AA1013" s="2190"/>
      <c r="AB1013" s="2190"/>
      <c r="AC1013" s="2190"/>
      <c r="AD1013" s="2190"/>
      <c r="AE1013" s="2191"/>
      <c r="AF1013" s="1612"/>
      <c r="AG1013" s="1613"/>
      <c r="AH1013" s="1613"/>
      <c r="AI1013" s="1614"/>
      <c r="AJ1013" s="2139"/>
      <c r="AK1013" s="2140"/>
      <c r="AL1013" s="2140"/>
      <c r="AM1013" s="2140"/>
      <c r="AN1013" s="2140"/>
      <c r="AO1013" s="2140"/>
      <c r="AP1013" s="2140"/>
      <c r="AQ1013" s="2141"/>
      <c r="AR1013" s="1582"/>
      <c r="AS1013" s="1582"/>
      <c r="AT1013" s="1582"/>
      <c r="AU1013" s="1582"/>
      <c r="AV1013" s="1582"/>
      <c r="AW1013" s="1582"/>
      <c r="AX1013" s="1582"/>
      <c r="AY1013" s="1582"/>
      <c r="CR1013" s="25"/>
    </row>
    <row r="1014" spans="1:96" s="718" customFormat="1" ht="12.75" customHeight="1">
      <c r="A1014" s="51"/>
      <c r="B1014" s="110"/>
      <c r="C1014" s="111"/>
      <c r="D1014" s="2192"/>
      <c r="E1014" s="2193"/>
      <c r="F1014" s="2193"/>
      <c r="G1014" s="2193"/>
      <c r="H1014" s="2193"/>
      <c r="I1014" s="2193"/>
      <c r="J1014" s="2193"/>
      <c r="K1014" s="2193"/>
      <c r="L1014" s="2193"/>
      <c r="M1014" s="2193"/>
      <c r="N1014" s="2193"/>
      <c r="O1014" s="2193"/>
      <c r="P1014" s="2193"/>
      <c r="Q1014" s="2193"/>
      <c r="R1014" s="2193"/>
      <c r="S1014" s="2193"/>
      <c r="T1014" s="2193"/>
      <c r="U1014" s="2193"/>
      <c r="V1014" s="2193"/>
      <c r="W1014" s="2193"/>
      <c r="X1014" s="2193"/>
      <c r="Y1014" s="2193"/>
      <c r="Z1014" s="2193"/>
      <c r="AA1014" s="2193"/>
      <c r="AB1014" s="2193"/>
      <c r="AC1014" s="2193"/>
      <c r="AD1014" s="2193"/>
      <c r="AE1014" s="2194"/>
      <c r="AF1014" s="1615"/>
      <c r="AG1014" s="1616"/>
      <c r="AH1014" s="1616"/>
      <c r="AI1014" s="1617"/>
      <c r="AJ1014" s="2142"/>
      <c r="AK1014" s="2143"/>
      <c r="AL1014" s="2143"/>
      <c r="AM1014" s="2143"/>
      <c r="AN1014" s="2143"/>
      <c r="AO1014" s="2143"/>
      <c r="AP1014" s="2143"/>
      <c r="AQ1014" s="2144"/>
      <c r="AR1014" s="1582"/>
      <c r="AS1014" s="1582"/>
      <c r="AT1014" s="1582"/>
      <c r="AU1014" s="1582"/>
      <c r="AV1014" s="1582"/>
      <c r="AW1014" s="1582"/>
      <c r="AX1014" s="1582"/>
      <c r="AY1014" s="1582"/>
      <c r="CR1014" s="25"/>
    </row>
    <row r="1015" spans="1:96" s="718" customFormat="1" ht="12.75" customHeight="1">
      <c r="A1015" s="51"/>
      <c r="B1015" s="110"/>
      <c r="C1015" s="530" t="s">
        <v>725</v>
      </c>
      <c r="D1015" s="2109" t="s">
        <v>2177</v>
      </c>
      <c r="E1015" s="2110"/>
      <c r="F1015" s="2110"/>
      <c r="G1015" s="2110"/>
      <c r="H1015" s="2110"/>
      <c r="I1015" s="2110"/>
      <c r="J1015" s="2110"/>
      <c r="K1015" s="2110"/>
      <c r="L1015" s="2110"/>
      <c r="M1015" s="2110"/>
      <c r="N1015" s="2110"/>
      <c r="O1015" s="2110"/>
      <c r="P1015" s="2110"/>
      <c r="Q1015" s="2110"/>
      <c r="R1015" s="2110"/>
      <c r="S1015" s="2110"/>
      <c r="T1015" s="2110"/>
      <c r="U1015" s="2110"/>
      <c r="V1015" s="2110"/>
      <c r="W1015" s="2110"/>
      <c r="X1015" s="2110"/>
      <c r="Y1015" s="2110"/>
      <c r="Z1015" s="2110"/>
      <c r="AA1015" s="2110"/>
      <c r="AB1015" s="2110"/>
      <c r="AC1015" s="2110"/>
      <c r="AD1015" s="2110"/>
      <c r="AE1015" s="2111"/>
      <c r="AF1015" s="110"/>
      <c r="AG1015" s="2201" t="s">
        <v>706</v>
      </c>
      <c r="AH1015" s="2202"/>
      <c r="AI1015" s="121"/>
      <c r="AJ1015" s="2136">
        <f>ROUND(IF(AG1015="yes",(AJ975*0.1),0),0)</f>
        <v>0</v>
      </c>
      <c r="AK1015" s="2137"/>
      <c r="AL1015" s="2137"/>
      <c r="AM1015" s="2137"/>
      <c r="AN1015" s="2137"/>
      <c r="AO1015" s="2137"/>
      <c r="AP1015" s="2137"/>
      <c r="AQ1015" s="2138"/>
      <c r="AR1015" s="1582"/>
      <c r="AS1015" s="1582"/>
      <c r="AT1015" s="1582"/>
      <c r="AU1015" s="1582"/>
      <c r="AV1015" s="1582"/>
      <c r="AW1015" s="1582"/>
      <c r="AX1015" s="1582"/>
      <c r="AY1015" s="1582"/>
      <c r="CR1015" s="25"/>
    </row>
    <row r="1016" spans="1:96" s="718" customFormat="1" ht="12.75" customHeight="1">
      <c r="A1016" s="51"/>
      <c r="B1016" s="110"/>
      <c r="C1016" s="111"/>
      <c r="D1016" s="2189" t="s">
        <v>2178</v>
      </c>
      <c r="E1016" s="2190"/>
      <c r="F1016" s="2190"/>
      <c r="G1016" s="2190"/>
      <c r="H1016" s="2190"/>
      <c r="I1016" s="2190"/>
      <c r="J1016" s="2190"/>
      <c r="K1016" s="2190"/>
      <c r="L1016" s="2190"/>
      <c r="M1016" s="2190"/>
      <c r="N1016" s="2190"/>
      <c r="O1016" s="2190"/>
      <c r="P1016" s="2190"/>
      <c r="Q1016" s="2190"/>
      <c r="R1016" s="2190"/>
      <c r="S1016" s="2190"/>
      <c r="T1016" s="2190"/>
      <c r="U1016" s="2190"/>
      <c r="V1016" s="2190"/>
      <c r="W1016" s="2190"/>
      <c r="X1016" s="2190"/>
      <c r="Y1016" s="2190"/>
      <c r="Z1016" s="2190"/>
      <c r="AA1016" s="2190"/>
      <c r="AB1016" s="2190"/>
      <c r="AC1016" s="2190"/>
      <c r="AD1016" s="2190"/>
      <c r="AE1016" s="2191"/>
      <c r="AF1016" s="110"/>
      <c r="AG1016" s="112"/>
      <c r="AH1016" s="112"/>
      <c r="AI1016" s="121"/>
      <c r="AJ1016" s="2139"/>
      <c r="AK1016" s="2140"/>
      <c r="AL1016" s="2140"/>
      <c r="AM1016" s="2140"/>
      <c r="AN1016" s="2140"/>
      <c r="AO1016" s="2140"/>
      <c r="AP1016" s="2140"/>
      <c r="AQ1016" s="2141"/>
      <c r="AR1016" s="1582"/>
      <c r="AS1016" s="1582"/>
      <c r="AT1016" s="1582"/>
      <c r="AU1016" s="1582"/>
      <c r="AV1016" s="1582"/>
      <c r="AW1016" s="1582"/>
      <c r="AX1016" s="1582"/>
      <c r="AY1016" s="1582"/>
      <c r="CR1016" s="25"/>
    </row>
    <row r="1017" spans="1:96" s="718" customFormat="1" ht="12.75" customHeight="1">
      <c r="A1017" s="51"/>
      <c r="B1017" s="110"/>
      <c r="C1017" s="111"/>
      <c r="D1017" s="2189"/>
      <c r="E1017" s="2190"/>
      <c r="F1017" s="2190"/>
      <c r="G1017" s="2190"/>
      <c r="H1017" s="2190"/>
      <c r="I1017" s="2190"/>
      <c r="J1017" s="2190"/>
      <c r="K1017" s="2190"/>
      <c r="L1017" s="2190"/>
      <c r="M1017" s="2190"/>
      <c r="N1017" s="2190"/>
      <c r="O1017" s="2190"/>
      <c r="P1017" s="2190"/>
      <c r="Q1017" s="2190"/>
      <c r="R1017" s="2190"/>
      <c r="S1017" s="2190"/>
      <c r="T1017" s="2190"/>
      <c r="U1017" s="2190"/>
      <c r="V1017" s="2190"/>
      <c r="W1017" s="2190"/>
      <c r="X1017" s="2190"/>
      <c r="Y1017" s="2190"/>
      <c r="Z1017" s="2190"/>
      <c r="AA1017" s="2190"/>
      <c r="AB1017" s="2190"/>
      <c r="AC1017" s="2190"/>
      <c r="AD1017" s="2190"/>
      <c r="AE1017" s="2191"/>
      <c r="AF1017" s="110"/>
      <c r="AG1017" s="112"/>
      <c r="AH1017" s="112"/>
      <c r="AI1017" s="121"/>
      <c r="AJ1017" s="2139"/>
      <c r="AK1017" s="2140"/>
      <c r="AL1017" s="2140"/>
      <c r="AM1017" s="2140"/>
      <c r="AN1017" s="2140"/>
      <c r="AO1017" s="2140"/>
      <c r="AP1017" s="2140"/>
      <c r="AQ1017" s="2141"/>
      <c r="AR1017" s="1582"/>
      <c r="AS1017" s="1582"/>
      <c r="AT1017" s="1582"/>
      <c r="AU1017" s="1582"/>
      <c r="AV1017" s="1582"/>
      <c r="AW1017" s="1582"/>
      <c r="AX1017" s="1582"/>
      <c r="AY1017" s="1582"/>
      <c r="CR1017" s="25"/>
    </row>
    <row r="1018" spans="1:96" s="718" customFormat="1" ht="12.75" customHeight="1">
      <c r="A1018" s="51"/>
      <c r="B1018" s="110"/>
      <c r="C1018" s="111"/>
      <c r="D1018" s="2189"/>
      <c r="E1018" s="2190"/>
      <c r="F1018" s="2190"/>
      <c r="G1018" s="2190"/>
      <c r="H1018" s="2190"/>
      <c r="I1018" s="2190"/>
      <c r="J1018" s="2190"/>
      <c r="K1018" s="2190"/>
      <c r="L1018" s="2190"/>
      <c r="M1018" s="2190"/>
      <c r="N1018" s="2190"/>
      <c r="O1018" s="2190"/>
      <c r="P1018" s="2190"/>
      <c r="Q1018" s="2190"/>
      <c r="R1018" s="2190"/>
      <c r="S1018" s="2190"/>
      <c r="T1018" s="2190"/>
      <c r="U1018" s="2190"/>
      <c r="V1018" s="2190"/>
      <c r="W1018" s="2190"/>
      <c r="X1018" s="2190"/>
      <c r="Y1018" s="2190"/>
      <c r="Z1018" s="2190"/>
      <c r="AA1018" s="2190"/>
      <c r="AB1018" s="2190"/>
      <c r="AC1018" s="2190"/>
      <c r="AD1018" s="2190"/>
      <c r="AE1018" s="2191"/>
      <c r="AF1018" s="110"/>
      <c r="AG1018" s="112"/>
      <c r="AH1018" s="112"/>
      <c r="AI1018" s="121"/>
      <c r="AJ1018" s="2139"/>
      <c r="AK1018" s="2140"/>
      <c r="AL1018" s="2140"/>
      <c r="AM1018" s="2140"/>
      <c r="AN1018" s="2140"/>
      <c r="AO1018" s="2140"/>
      <c r="AP1018" s="2140"/>
      <c r="AQ1018" s="2141"/>
      <c r="AR1018" s="1582"/>
      <c r="AS1018" s="1582"/>
      <c r="AT1018" s="1582"/>
      <c r="AU1018" s="1582"/>
      <c r="AV1018" s="1582"/>
      <c r="AW1018" s="1582"/>
      <c r="AX1018" s="1582"/>
      <c r="AY1018" s="1582"/>
      <c r="CR1018" s="25"/>
    </row>
    <row r="1019" spans="1:96" s="718" customFormat="1" ht="12.75" customHeight="1">
      <c r="A1019" s="51"/>
      <c r="B1019" s="110"/>
      <c r="C1019" s="111"/>
      <c r="D1019" s="2192"/>
      <c r="E1019" s="2193"/>
      <c r="F1019" s="2193"/>
      <c r="G1019" s="2193"/>
      <c r="H1019" s="2193"/>
      <c r="I1019" s="2193"/>
      <c r="J1019" s="2193"/>
      <c r="K1019" s="2193"/>
      <c r="L1019" s="2193"/>
      <c r="M1019" s="2193"/>
      <c r="N1019" s="2193"/>
      <c r="O1019" s="2193"/>
      <c r="P1019" s="2193"/>
      <c r="Q1019" s="2193"/>
      <c r="R1019" s="2193"/>
      <c r="S1019" s="2193"/>
      <c r="T1019" s="2193"/>
      <c r="U1019" s="2193"/>
      <c r="V1019" s="2193"/>
      <c r="W1019" s="2193"/>
      <c r="X1019" s="2193"/>
      <c r="Y1019" s="2193"/>
      <c r="Z1019" s="2193"/>
      <c r="AA1019" s="2193"/>
      <c r="AB1019" s="2193"/>
      <c r="AC1019" s="2193"/>
      <c r="AD1019" s="2193"/>
      <c r="AE1019" s="2194"/>
      <c r="AF1019" s="110"/>
      <c r="AG1019" s="112"/>
      <c r="AH1019" s="112"/>
      <c r="AI1019" s="121"/>
      <c r="AJ1019" s="2139"/>
      <c r="AK1019" s="2140"/>
      <c r="AL1019" s="2140"/>
      <c r="AM1019" s="2140"/>
      <c r="AN1019" s="2140"/>
      <c r="AO1019" s="2140"/>
      <c r="AP1019" s="2140"/>
      <c r="AQ1019" s="2141"/>
      <c r="AR1019" s="1582"/>
      <c r="AS1019" s="1582"/>
      <c r="AT1019" s="1582"/>
      <c r="AU1019" s="1582"/>
      <c r="AV1019" s="1582"/>
      <c r="AW1019" s="1582"/>
      <c r="AX1019" s="1582"/>
      <c r="AY1019" s="1582"/>
      <c r="CR1019" s="25"/>
    </row>
    <row r="1020" spans="1:96" s="718" customFormat="1" ht="12.75" customHeight="1">
      <c r="A1020" s="51"/>
      <c r="B1020" s="117"/>
      <c r="C1020" s="198" t="s">
        <v>1117</v>
      </c>
      <c r="D1020" s="2130" t="s">
        <v>1543</v>
      </c>
      <c r="E1020" s="2131"/>
      <c r="F1020" s="2131"/>
      <c r="G1020" s="2131"/>
      <c r="H1020" s="2131"/>
      <c r="I1020" s="2131"/>
      <c r="J1020" s="2131"/>
      <c r="K1020" s="2131"/>
      <c r="L1020" s="2131"/>
      <c r="M1020" s="2131"/>
      <c r="N1020" s="2131"/>
      <c r="O1020" s="2131"/>
      <c r="P1020" s="2131"/>
      <c r="Q1020" s="2131"/>
      <c r="R1020" s="2131"/>
      <c r="S1020" s="2131"/>
      <c r="T1020" s="2131"/>
      <c r="U1020" s="2131"/>
      <c r="V1020" s="2131"/>
      <c r="W1020" s="2131"/>
      <c r="X1020" s="2131"/>
      <c r="Y1020" s="2131"/>
      <c r="Z1020" s="2131"/>
      <c r="AA1020" s="2131"/>
      <c r="AB1020" s="2131"/>
      <c r="AC1020" s="2131"/>
      <c r="AD1020" s="2131"/>
      <c r="AE1020" s="2132"/>
      <c r="AF1020" s="117"/>
      <c r="AG1020" s="2183" t="s">
        <v>706</v>
      </c>
      <c r="AH1020" s="2184"/>
      <c r="AI1020" s="125"/>
      <c r="AJ1020" s="2136">
        <f>ROUND(IF(AG1020="yes",(AJ975*0.1),0),0)</f>
        <v>0</v>
      </c>
      <c r="AK1020" s="2137"/>
      <c r="AL1020" s="2137"/>
      <c r="AM1020" s="2137"/>
      <c r="AN1020" s="2137"/>
      <c r="AO1020" s="2137"/>
      <c r="AP1020" s="2137"/>
      <c r="AQ1020" s="2138"/>
      <c r="AR1020" s="1582"/>
      <c r="AS1020" s="1582"/>
      <c r="AT1020" s="1582"/>
      <c r="AU1020" s="1582"/>
      <c r="AV1020" s="1582"/>
      <c r="AW1020" s="1582"/>
      <c r="AX1020" s="1582"/>
      <c r="AY1020" s="1582"/>
      <c r="CR1020" s="25"/>
    </row>
    <row r="1021" spans="1:96" ht="12.75" customHeight="1">
      <c r="A1021" s="51"/>
      <c r="B1021" s="110"/>
      <c r="C1021" s="111"/>
      <c r="D1021" s="2112" t="s">
        <v>1544</v>
      </c>
      <c r="E1021" s="2113"/>
      <c r="F1021" s="2113"/>
      <c r="G1021" s="2113"/>
      <c r="H1021" s="2113"/>
      <c r="I1021" s="2113"/>
      <c r="J1021" s="2113"/>
      <c r="K1021" s="2113"/>
      <c r="L1021" s="2113"/>
      <c r="M1021" s="2113"/>
      <c r="N1021" s="2113"/>
      <c r="O1021" s="2113"/>
      <c r="P1021" s="2113"/>
      <c r="Q1021" s="2113"/>
      <c r="R1021" s="2113"/>
      <c r="S1021" s="2113"/>
      <c r="T1021" s="2113"/>
      <c r="U1021" s="2113"/>
      <c r="V1021" s="2113"/>
      <c r="W1021" s="2113"/>
      <c r="X1021" s="2113"/>
      <c r="Y1021" s="2113"/>
      <c r="Z1021" s="2113"/>
      <c r="AA1021" s="2113"/>
      <c r="AB1021" s="2113"/>
      <c r="AC1021" s="2113"/>
      <c r="AD1021" s="2113"/>
      <c r="AE1021" s="2114"/>
      <c r="AF1021" s="110"/>
      <c r="AG1021" s="112"/>
      <c r="AH1021" s="112"/>
      <c r="AI1021" s="121"/>
      <c r="AJ1021" s="2139"/>
      <c r="AK1021" s="2140"/>
      <c r="AL1021" s="2140"/>
      <c r="AM1021" s="2140"/>
      <c r="AN1021" s="2140"/>
      <c r="AO1021" s="2140"/>
      <c r="AP1021" s="2140"/>
      <c r="AQ1021" s="2141"/>
      <c r="AR1021" s="1582"/>
      <c r="AS1021" s="1582"/>
      <c r="AT1021" s="1582"/>
      <c r="AU1021" s="1582"/>
      <c r="AV1021" s="1582"/>
      <c r="AW1021" s="1582"/>
      <c r="AX1021" s="1582"/>
      <c r="AY1021" s="1582"/>
    </row>
    <row r="1022" spans="1:96" ht="12.75" customHeight="1">
      <c r="A1022" s="51"/>
      <c r="B1022" s="110"/>
      <c r="C1022" s="111"/>
      <c r="D1022" s="2112"/>
      <c r="E1022" s="2113"/>
      <c r="F1022" s="2113"/>
      <c r="G1022" s="2113"/>
      <c r="H1022" s="2113"/>
      <c r="I1022" s="2113"/>
      <c r="J1022" s="2113"/>
      <c r="K1022" s="2113"/>
      <c r="L1022" s="2113"/>
      <c r="M1022" s="2113"/>
      <c r="N1022" s="2113"/>
      <c r="O1022" s="2113"/>
      <c r="P1022" s="2113"/>
      <c r="Q1022" s="2113"/>
      <c r="R1022" s="2113"/>
      <c r="S1022" s="2113"/>
      <c r="T1022" s="2113"/>
      <c r="U1022" s="2113"/>
      <c r="V1022" s="2113"/>
      <c r="W1022" s="2113"/>
      <c r="X1022" s="2113"/>
      <c r="Y1022" s="2113"/>
      <c r="Z1022" s="2113"/>
      <c r="AA1022" s="2113"/>
      <c r="AB1022" s="2113"/>
      <c r="AC1022" s="2113"/>
      <c r="AD1022" s="2113"/>
      <c r="AE1022" s="2114"/>
      <c r="AF1022" s="110"/>
      <c r="AG1022" s="112"/>
      <c r="AH1022" s="112"/>
      <c r="AI1022" s="121"/>
      <c r="AJ1022" s="2139"/>
      <c r="AK1022" s="2140"/>
      <c r="AL1022" s="2140"/>
      <c r="AM1022" s="2140"/>
      <c r="AN1022" s="2140"/>
      <c r="AO1022" s="2140"/>
      <c r="AP1022" s="2140"/>
      <c r="AQ1022" s="2141"/>
      <c r="AR1022" s="1582"/>
      <c r="AS1022" s="1582"/>
      <c r="AT1022" s="1582"/>
      <c r="AU1022" s="1582"/>
      <c r="AV1022" s="1582"/>
      <c r="AW1022" s="1582"/>
      <c r="AX1022" s="1582"/>
      <c r="AY1022" s="1582"/>
    </row>
    <row r="1023" spans="1:96" s="681" customFormat="1" ht="12.75" customHeight="1">
      <c r="A1023" s="51"/>
      <c r="B1023" s="110"/>
      <c r="C1023" s="111"/>
      <c r="D1023" s="2115"/>
      <c r="E1023" s="2116"/>
      <c r="F1023" s="2116"/>
      <c r="G1023" s="2116"/>
      <c r="H1023" s="2116"/>
      <c r="I1023" s="2116"/>
      <c r="J1023" s="2116"/>
      <c r="K1023" s="2116"/>
      <c r="L1023" s="2116"/>
      <c r="M1023" s="2116"/>
      <c r="N1023" s="2116"/>
      <c r="O1023" s="2116"/>
      <c r="P1023" s="2116"/>
      <c r="Q1023" s="2116"/>
      <c r="R1023" s="2116"/>
      <c r="S1023" s="2116"/>
      <c r="T1023" s="2116"/>
      <c r="U1023" s="2116"/>
      <c r="V1023" s="2116"/>
      <c r="W1023" s="2116"/>
      <c r="X1023" s="2116"/>
      <c r="Y1023" s="2116"/>
      <c r="Z1023" s="2116"/>
      <c r="AA1023" s="2116"/>
      <c r="AB1023" s="2116"/>
      <c r="AC1023" s="2116"/>
      <c r="AD1023" s="2116"/>
      <c r="AE1023" s="2117"/>
      <c r="AF1023" s="110"/>
      <c r="AG1023" s="112"/>
      <c r="AH1023" s="112"/>
      <c r="AI1023" s="121"/>
      <c r="AJ1023" s="2142"/>
      <c r="AK1023" s="2143"/>
      <c r="AL1023" s="2143"/>
      <c r="AM1023" s="2143"/>
      <c r="AN1023" s="2143"/>
      <c r="AO1023" s="2143"/>
      <c r="AP1023" s="2143"/>
      <c r="AQ1023" s="2144"/>
      <c r="AR1023" s="1582"/>
      <c r="AS1023" s="1582"/>
      <c r="AT1023" s="1582"/>
      <c r="AU1023" s="1582"/>
      <c r="AV1023" s="1582"/>
      <c r="AW1023" s="1582"/>
      <c r="AX1023" s="1582"/>
      <c r="AY1023" s="1582"/>
      <c r="CR1023" s="25"/>
    </row>
    <row r="1024" spans="1:96" ht="12.75" customHeight="1">
      <c r="A1024" s="51"/>
      <c r="B1024" s="117"/>
      <c r="C1024" s="198" t="s">
        <v>2173</v>
      </c>
      <c r="D1024" s="2109" t="s">
        <v>2394</v>
      </c>
      <c r="E1024" s="2110"/>
      <c r="F1024" s="2110"/>
      <c r="G1024" s="2110"/>
      <c r="H1024" s="2110"/>
      <c r="I1024" s="2110"/>
      <c r="J1024" s="2110"/>
      <c r="K1024" s="2110"/>
      <c r="L1024" s="2110"/>
      <c r="M1024" s="2110"/>
      <c r="N1024" s="2110"/>
      <c r="O1024" s="2110"/>
      <c r="P1024" s="2110"/>
      <c r="Q1024" s="2110"/>
      <c r="R1024" s="2110"/>
      <c r="S1024" s="2110"/>
      <c r="T1024" s="2110"/>
      <c r="U1024" s="2110"/>
      <c r="V1024" s="2110"/>
      <c r="W1024" s="2110"/>
      <c r="X1024" s="2110"/>
      <c r="Y1024" s="2110"/>
      <c r="Z1024" s="2110"/>
      <c r="AA1024" s="2110"/>
      <c r="AB1024" s="2110"/>
      <c r="AC1024" s="2110"/>
      <c r="AD1024" s="2110"/>
      <c r="AE1024" s="2111"/>
      <c r="AF1024" s="117"/>
      <c r="AG1024" s="2181" t="str">
        <f>IF(X1027&gt;0,"Yes","No")</f>
        <v>Yes</v>
      </c>
      <c r="AH1024" s="2182"/>
      <c r="AI1024" s="125"/>
      <c r="AJ1024" s="2203">
        <f>IF((X1027=0),0,BA989*AJ975)</f>
        <v>9587977.6500000004</v>
      </c>
      <c r="AK1024" s="2204"/>
      <c r="AL1024" s="2204"/>
      <c r="AM1024" s="2204"/>
      <c r="AN1024" s="2204"/>
      <c r="AO1024" s="2204"/>
      <c r="AP1024" s="2204"/>
      <c r="AQ1024" s="2205"/>
      <c r="AR1024" s="1582"/>
      <c r="AS1024" s="1582"/>
      <c r="AT1024" s="1582"/>
      <c r="AU1024" s="1582"/>
      <c r="AV1024" s="1582"/>
      <c r="AW1024" s="1582"/>
      <c r="AX1024" s="1582"/>
      <c r="AY1024" s="1582"/>
    </row>
    <row r="1025" spans="1:96" ht="12.75" customHeight="1">
      <c r="A1025" s="51"/>
      <c r="B1025" s="110"/>
      <c r="C1025" s="701"/>
      <c r="D1025" s="2112" t="s">
        <v>1546</v>
      </c>
      <c r="E1025" s="2113"/>
      <c r="F1025" s="2113"/>
      <c r="G1025" s="2113"/>
      <c r="H1025" s="2113"/>
      <c r="I1025" s="2113"/>
      <c r="J1025" s="2113"/>
      <c r="K1025" s="2113"/>
      <c r="L1025" s="2113"/>
      <c r="M1025" s="2113"/>
      <c r="N1025" s="2113"/>
      <c r="O1025" s="2113"/>
      <c r="P1025" s="2113"/>
      <c r="Q1025" s="2113"/>
      <c r="R1025" s="2113"/>
      <c r="S1025" s="2113"/>
      <c r="T1025" s="2113"/>
      <c r="U1025" s="2113"/>
      <c r="V1025" s="2113"/>
      <c r="W1025" s="2113"/>
      <c r="X1025" s="2113"/>
      <c r="Y1025" s="2113"/>
      <c r="Z1025" s="2113"/>
      <c r="AA1025" s="2113"/>
      <c r="AB1025" s="2113"/>
      <c r="AC1025" s="2113"/>
      <c r="AD1025" s="2113"/>
      <c r="AE1025" s="2114"/>
      <c r="AF1025" s="110"/>
      <c r="AG1025" s="702"/>
      <c r="AH1025" s="702"/>
      <c r="AI1025" s="121"/>
      <c r="AJ1025" s="2206"/>
      <c r="AK1025" s="2207"/>
      <c r="AL1025" s="2207"/>
      <c r="AM1025" s="2207"/>
      <c r="AN1025" s="2207"/>
      <c r="AO1025" s="2207"/>
      <c r="AP1025" s="2207"/>
      <c r="AQ1025" s="2208"/>
      <c r="AR1025" s="1582"/>
      <c r="AS1025" s="1582"/>
      <c r="AT1025" s="1582"/>
      <c r="AU1025" s="1582"/>
      <c r="AV1025" s="1582"/>
      <c r="AW1025" s="1582"/>
      <c r="AX1025" s="1582"/>
      <c r="AY1025" s="1582"/>
    </row>
    <row r="1026" spans="1:96" ht="12.75" customHeight="1">
      <c r="A1026" s="51"/>
      <c r="B1026" s="110"/>
      <c r="C1026" s="701"/>
      <c r="D1026" s="2112"/>
      <c r="E1026" s="2113"/>
      <c r="F1026" s="2113"/>
      <c r="G1026" s="2113"/>
      <c r="H1026" s="2113"/>
      <c r="I1026" s="2113"/>
      <c r="J1026" s="2113"/>
      <c r="K1026" s="2113"/>
      <c r="L1026" s="2113"/>
      <c r="M1026" s="2113"/>
      <c r="N1026" s="2113"/>
      <c r="O1026" s="2113"/>
      <c r="P1026" s="2113"/>
      <c r="Q1026" s="2113"/>
      <c r="R1026" s="2113"/>
      <c r="S1026" s="2113"/>
      <c r="T1026" s="2113"/>
      <c r="U1026" s="2113"/>
      <c r="V1026" s="2113"/>
      <c r="W1026" s="2113"/>
      <c r="X1026" s="2113"/>
      <c r="Y1026" s="2113"/>
      <c r="Z1026" s="2113"/>
      <c r="AA1026" s="2113"/>
      <c r="AB1026" s="2113"/>
      <c r="AC1026" s="2113"/>
      <c r="AD1026" s="2113"/>
      <c r="AE1026" s="2114"/>
      <c r="AF1026" s="110"/>
      <c r="AG1026" s="702"/>
      <c r="AH1026" s="702"/>
      <c r="AI1026" s="121"/>
      <c r="AJ1026" s="2206"/>
      <c r="AK1026" s="2207"/>
      <c r="AL1026" s="2207"/>
      <c r="AM1026" s="2207"/>
      <c r="AN1026" s="2207"/>
      <c r="AO1026" s="2207"/>
      <c r="AP1026" s="2207"/>
      <c r="AQ1026" s="2208"/>
      <c r="AR1026" s="1582"/>
      <c r="AS1026" s="1582"/>
      <c r="AT1026" s="1582"/>
      <c r="AU1026" s="1582"/>
      <c r="AV1026" s="1582"/>
      <c r="AW1026" s="1582"/>
      <c r="AX1026" s="1582"/>
      <c r="AY1026" s="1582"/>
    </row>
    <row r="1027" spans="1:96" s="718" customFormat="1" ht="12.75" customHeight="1">
      <c r="A1027" s="51"/>
      <c r="B1027" s="115"/>
      <c r="C1027" s="116"/>
      <c r="D1027" s="199" t="s">
        <v>1051</v>
      </c>
      <c r="E1027" s="200"/>
      <c r="F1027" s="200"/>
      <c r="G1027" s="200"/>
      <c r="H1027" s="200"/>
      <c r="I1027" s="2199">
        <f>BA987</f>
        <v>64</v>
      </c>
      <c r="J1027" s="2200"/>
      <c r="K1027" s="11"/>
      <c r="L1027" s="200"/>
      <c r="M1027" s="200"/>
      <c r="N1027" s="200"/>
      <c r="O1027" s="200"/>
      <c r="P1027" s="200"/>
      <c r="Q1027" s="200"/>
      <c r="R1027" s="200"/>
      <c r="S1027" s="200"/>
      <c r="T1027" s="200"/>
      <c r="U1027" s="200"/>
      <c r="V1027" s="201" t="s">
        <v>1052</v>
      </c>
      <c r="W1027" s="80"/>
      <c r="X1027" s="2197">
        <f>BG635</f>
        <v>29</v>
      </c>
      <c r="Y1027" s="2198"/>
      <c r="Z1027" s="80"/>
      <c r="AA1027" s="80"/>
      <c r="AB1027" s="80"/>
      <c r="AC1027" s="80"/>
      <c r="AD1027" s="80"/>
      <c r="AE1027" s="81"/>
      <c r="AF1027" s="1621"/>
      <c r="AG1027" s="1622"/>
      <c r="AH1027" s="1622"/>
      <c r="AI1027" s="1623"/>
      <c r="AJ1027" s="2209"/>
      <c r="AK1027" s="2210"/>
      <c r="AL1027" s="2210"/>
      <c r="AM1027" s="2210"/>
      <c r="AN1027" s="2210"/>
      <c r="AO1027" s="2210"/>
      <c r="AP1027" s="2210"/>
      <c r="AQ1027" s="2211"/>
      <c r="AR1027" s="1582"/>
      <c r="AS1027" s="1582"/>
      <c r="AT1027" s="1582"/>
      <c r="AU1027" s="1582"/>
      <c r="AV1027" s="1582"/>
      <c r="AW1027" s="1582"/>
      <c r="AX1027" s="1582"/>
      <c r="AY1027" s="1582"/>
      <c r="CR1027" s="25"/>
    </row>
    <row r="1028" spans="1:96" ht="12.75" customHeight="1">
      <c r="A1028" s="51"/>
      <c r="B1028" s="117"/>
      <c r="C1028" s="198" t="s">
        <v>2174</v>
      </c>
      <c r="D1028" s="2130" t="s">
        <v>2395</v>
      </c>
      <c r="E1028" s="2131"/>
      <c r="F1028" s="2131"/>
      <c r="G1028" s="2131"/>
      <c r="H1028" s="2131"/>
      <c r="I1028" s="2131"/>
      <c r="J1028" s="2131"/>
      <c r="K1028" s="2131"/>
      <c r="L1028" s="2131"/>
      <c r="M1028" s="2131"/>
      <c r="N1028" s="2131"/>
      <c r="O1028" s="2131"/>
      <c r="P1028" s="2131"/>
      <c r="Q1028" s="2131"/>
      <c r="R1028" s="2131"/>
      <c r="S1028" s="2131"/>
      <c r="T1028" s="2131"/>
      <c r="U1028" s="2131"/>
      <c r="V1028" s="2131"/>
      <c r="W1028" s="2131"/>
      <c r="X1028" s="2131"/>
      <c r="Y1028" s="2131"/>
      <c r="Z1028" s="2131"/>
      <c r="AA1028" s="2131"/>
      <c r="AB1028" s="2131"/>
      <c r="AC1028" s="2131"/>
      <c r="AD1028" s="2131"/>
      <c r="AE1028" s="2132"/>
      <c r="AF1028" s="110"/>
      <c r="AG1028" s="2181" t="str">
        <f>IF(X1031&gt;0,"Yes","No")</f>
        <v>Yes</v>
      </c>
      <c r="AH1028" s="2182"/>
      <c r="AI1028" s="121"/>
      <c r="AJ1028" s="2203">
        <f>IF((X1031=0),0,(2*BA990)*AJ975)</f>
        <v>14488499.560000001</v>
      </c>
      <c r="AK1028" s="2204"/>
      <c r="AL1028" s="2204"/>
      <c r="AM1028" s="2204"/>
      <c r="AN1028" s="2204"/>
      <c r="AO1028" s="2204"/>
      <c r="AP1028" s="2204"/>
      <c r="AQ1028" s="2205"/>
      <c r="AR1028" s="1582"/>
      <c r="AS1028" s="1582"/>
      <c r="AT1028" s="1582"/>
      <c r="AU1028" s="1582"/>
      <c r="AV1028" s="1582"/>
      <c r="AW1028" s="1582"/>
      <c r="AX1028" s="1582"/>
      <c r="AY1028" s="1582"/>
    </row>
    <row r="1029" spans="1:96" ht="12.75" customHeight="1">
      <c r="A1029" s="51"/>
      <c r="B1029" s="110"/>
      <c r="C1029" s="701"/>
      <c r="D1029" s="2112" t="s">
        <v>1545</v>
      </c>
      <c r="E1029" s="2113"/>
      <c r="F1029" s="2113"/>
      <c r="G1029" s="2113"/>
      <c r="H1029" s="2113"/>
      <c r="I1029" s="2113"/>
      <c r="J1029" s="2113"/>
      <c r="K1029" s="2113"/>
      <c r="L1029" s="2113"/>
      <c r="M1029" s="2113"/>
      <c r="N1029" s="2113"/>
      <c r="O1029" s="2113"/>
      <c r="P1029" s="2113"/>
      <c r="Q1029" s="2113"/>
      <c r="R1029" s="2113"/>
      <c r="S1029" s="2113"/>
      <c r="T1029" s="2113"/>
      <c r="U1029" s="2113"/>
      <c r="V1029" s="2113"/>
      <c r="W1029" s="2113"/>
      <c r="X1029" s="2113"/>
      <c r="Y1029" s="2113"/>
      <c r="Z1029" s="2113"/>
      <c r="AA1029" s="2113"/>
      <c r="AB1029" s="2113"/>
      <c r="AC1029" s="2113"/>
      <c r="AD1029" s="2113"/>
      <c r="AE1029" s="2114"/>
      <c r="AF1029" s="110"/>
      <c r="AG1029" s="702"/>
      <c r="AH1029" s="702"/>
      <c r="AI1029" s="121"/>
      <c r="AJ1029" s="2206"/>
      <c r="AK1029" s="2207"/>
      <c r="AL1029" s="2207"/>
      <c r="AM1029" s="2207"/>
      <c r="AN1029" s="2207"/>
      <c r="AO1029" s="2207"/>
      <c r="AP1029" s="2207"/>
      <c r="AQ1029" s="2208"/>
      <c r="AR1029" s="1582"/>
      <c r="AS1029" s="1582"/>
      <c r="AT1029" s="1582"/>
      <c r="AU1029" s="1582"/>
      <c r="AV1029" s="1582"/>
      <c r="AW1029" s="1582"/>
      <c r="AX1029" s="1582"/>
      <c r="AY1029" s="1582"/>
    </row>
    <row r="1030" spans="1:96" ht="12.75" customHeight="1">
      <c r="A1030" s="51"/>
      <c r="B1030" s="110"/>
      <c r="C1030" s="121"/>
      <c r="D1030" s="2112"/>
      <c r="E1030" s="2113"/>
      <c r="F1030" s="2113"/>
      <c r="G1030" s="2113"/>
      <c r="H1030" s="2113"/>
      <c r="I1030" s="2113"/>
      <c r="J1030" s="2113"/>
      <c r="K1030" s="2113"/>
      <c r="L1030" s="2113"/>
      <c r="M1030" s="2113"/>
      <c r="N1030" s="2113"/>
      <c r="O1030" s="2113"/>
      <c r="P1030" s="2113"/>
      <c r="Q1030" s="2113"/>
      <c r="R1030" s="2113"/>
      <c r="S1030" s="2113"/>
      <c r="T1030" s="2113"/>
      <c r="U1030" s="2113"/>
      <c r="V1030" s="2113"/>
      <c r="W1030" s="2113"/>
      <c r="X1030" s="2113"/>
      <c r="Y1030" s="2113"/>
      <c r="Z1030" s="2113"/>
      <c r="AA1030" s="2113"/>
      <c r="AB1030" s="2113"/>
      <c r="AC1030" s="2113"/>
      <c r="AD1030" s="2113"/>
      <c r="AE1030" s="2114"/>
      <c r="AF1030" s="1618"/>
      <c r="AG1030" s="1619"/>
      <c r="AH1030" s="1619"/>
      <c r="AI1030" s="1620"/>
      <c r="AJ1030" s="2206"/>
      <c r="AK1030" s="2207"/>
      <c r="AL1030" s="2207"/>
      <c r="AM1030" s="2207"/>
      <c r="AN1030" s="2207"/>
      <c r="AO1030" s="2207"/>
      <c r="AP1030" s="2207"/>
      <c r="AQ1030" s="2208"/>
      <c r="AR1030" s="1582"/>
      <c r="AS1030" s="1582"/>
      <c r="AT1030" s="1582"/>
      <c r="AU1030" s="1582"/>
      <c r="AV1030" s="1582"/>
      <c r="AW1030" s="1582"/>
      <c r="AX1030" s="1582"/>
      <c r="AY1030" s="1582"/>
    </row>
    <row r="1031" spans="1:96" s="718" customFormat="1" ht="12.75" customHeight="1">
      <c r="A1031" s="51"/>
      <c r="B1031" s="115"/>
      <c r="C1031" s="116"/>
      <c r="D1031" s="199" t="s">
        <v>1051</v>
      </c>
      <c r="E1031" s="200"/>
      <c r="F1031" s="200"/>
      <c r="G1031" s="200"/>
      <c r="H1031" s="200"/>
      <c r="I1031" s="2199">
        <f>BA987</f>
        <v>64</v>
      </c>
      <c r="J1031" s="2200"/>
      <c r="K1031" s="51"/>
      <c r="L1031" s="200"/>
      <c r="M1031" s="200"/>
      <c r="N1031" s="200"/>
      <c r="O1031" s="200"/>
      <c r="P1031" s="200"/>
      <c r="Q1031" s="200"/>
      <c r="R1031" s="200"/>
      <c r="S1031" s="200"/>
      <c r="T1031" s="200"/>
      <c r="U1031" s="200"/>
      <c r="V1031" s="201" t="s">
        <v>1053</v>
      </c>
      <c r="X1031" s="2197">
        <f>BK635</f>
        <v>22</v>
      </c>
      <c r="Y1031" s="2198"/>
      <c r="AF1031" s="1621"/>
      <c r="AG1031" s="1622"/>
      <c r="AH1031" s="1622"/>
      <c r="AI1031" s="1623"/>
      <c r="AJ1031" s="2209"/>
      <c r="AK1031" s="2210"/>
      <c r="AL1031" s="2210"/>
      <c r="AM1031" s="2210"/>
      <c r="AN1031" s="2210"/>
      <c r="AO1031" s="2210"/>
      <c r="AP1031" s="2210"/>
      <c r="AQ1031" s="2211"/>
      <c r="AR1031" s="1582"/>
      <c r="AS1031" s="1582"/>
      <c r="AT1031" s="1582"/>
      <c r="AU1031" s="1582"/>
      <c r="AV1031" s="1582"/>
      <c r="AW1031" s="1582"/>
      <c r="AX1031" s="1582"/>
      <c r="AY1031" s="1582"/>
      <c r="CR1031" s="25"/>
    </row>
    <row r="1032" spans="1:96" ht="12.75" customHeight="1">
      <c r="A1032" s="51"/>
      <c r="B1032" s="158"/>
      <c r="C1032" s="159"/>
      <c r="D1032" s="2195" t="s">
        <v>546</v>
      </c>
      <c r="E1032" s="2195"/>
      <c r="F1032" s="2195"/>
      <c r="G1032" s="2195"/>
      <c r="H1032" s="2195"/>
      <c r="I1032" s="2195"/>
      <c r="J1032" s="2195"/>
      <c r="K1032" s="2195"/>
      <c r="L1032" s="2195"/>
      <c r="M1032" s="2195"/>
      <c r="N1032" s="2195"/>
      <c r="O1032" s="2195"/>
      <c r="P1032" s="2195"/>
      <c r="Q1032" s="2195"/>
      <c r="R1032" s="2195"/>
      <c r="S1032" s="2195"/>
      <c r="T1032" s="2195"/>
      <c r="U1032" s="2195"/>
      <c r="V1032" s="2195"/>
      <c r="W1032" s="2195"/>
      <c r="X1032" s="2195"/>
      <c r="Y1032" s="2195"/>
      <c r="Z1032" s="2195"/>
      <c r="AA1032" s="2195"/>
      <c r="AB1032" s="2195"/>
      <c r="AC1032" s="2195"/>
      <c r="AD1032" s="2195"/>
      <c r="AE1032" s="2195"/>
      <c r="AF1032" s="2195"/>
      <c r="AG1032" s="2195"/>
      <c r="AH1032" s="2195"/>
      <c r="AI1032" s="2196"/>
      <c r="AJ1032" s="2212">
        <f>SUM(AJ975:AQ1031)</f>
        <v>52785264.210000001</v>
      </c>
      <c r="AK1032" s="2213"/>
      <c r="AL1032" s="2213"/>
      <c r="AM1032" s="2213"/>
      <c r="AN1032" s="2213"/>
      <c r="AO1032" s="2213"/>
      <c r="AP1032" s="2213"/>
      <c r="AQ1032" s="2214"/>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571" t="s">
        <v>1932</v>
      </c>
      <c r="C1034" s="2571"/>
      <c r="D1034" s="2571"/>
      <c r="E1034" s="2571"/>
      <c r="F1034" s="2571"/>
      <c r="G1034" s="2571"/>
      <c r="H1034" s="2571"/>
      <c r="I1034" s="2571"/>
      <c r="J1034" s="2571"/>
      <c r="K1034" s="2571"/>
      <c r="L1034" s="2571"/>
      <c r="M1034" s="2571"/>
      <c r="N1034" s="2571"/>
      <c r="O1034" s="2571"/>
      <c r="P1034" s="2571"/>
      <c r="Q1034" s="2571"/>
      <c r="R1034" s="2571"/>
      <c r="S1034" s="2571"/>
      <c r="T1034" s="2571"/>
      <c r="U1034" s="2571"/>
      <c r="V1034" s="2571"/>
      <c r="W1034" s="2571"/>
      <c r="X1034" s="2571"/>
      <c r="Y1034" s="2571"/>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3"/>
      <c r="Y1035" s="2333"/>
      <c r="Z1035" s="2333"/>
      <c r="AA1035" s="2333"/>
      <c r="AB1035" s="2333"/>
      <c r="AC1035" s="2333"/>
      <c r="AD1035" s="2566">
        <f>R971</f>
        <v>388800</v>
      </c>
      <c r="AE1035" s="2477"/>
      <c r="AF1035" s="2477"/>
      <c r="AG1035" s="2477"/>
      <c r="AH1035" s="2477"/>
      <c r="AI1035" s="2477"/>
      <c r="AJ1035" s="2477"/>
      <c r="AK1035" s="2477"/>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5"/>
      <c r="Y1036" s="2335"/>
      <c r="Z1036" s="2335"/>
      <c r="AA1036" s="2335"/>
      <c r="AB1036" s="2335"/>
      <c r="AC1036" s="2335"/>
      <c r="AD1036" s="2140">
        <f>MEDIAN((BR809:BR866))</f>
        <v>364800</v>
      </c>
      <c r="AE1036" s="2140"/>
      <c r="AF1036" s="2140"/>
      <c r="AG1036" s="2140"/>
      <c r="AH1036" s="2140"/>
      <c r="AI1036" s="2140"/>
      <c r="AJ1036" s="2140"/>
      <c r="AK1036" s="2140"/>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567" t="s">
        <v>1934</v>
      </c>
      <c r="C1037" s="2567"/>
      <c r="D1037" s="2567"/>
      <c r="E1037" s="2567"/>
      <c r="F1037" s="2567"/>
      <c r="G1037" s="2567"/>
      <c r="H1037" s="2567"/>
      <c r="I1037" s="2567"/>
      <c r="J1037" s="2567"/>
      <c r="K1037" s="2567"/>
      <c r="L1037" s="2567"/>
      <c r="M1037" s="2567"/>
      <c r="N1037" s="2567"/>
      <c r="O1037" s="2567"/>
      <c r="P1037" s="2567"/>
      <c r="Q1037" s="2567"/>
      <c r="R1037" s="2567"/>
      <c r="S1037" s="2567"/>
      <c r="T1037" s="2567"/>
      <c r="U1037" s="2567"/>
      <c r="V1037" s="2567"/>
      <c r="W1037" s="2567"/>
      <c r="X1037" s="2567"/>
      <c r="Y1037" s="2567"/>
      <c r="Z1037" s="1415"/>
      <c r="AA1037" s="1415"/>
      <c r="AB1037" s="1415"/>
      <c r="AC1037" s="1415"/>
      <c r="AD1037" s="2563">
        <f>IF(((AD1035-AD1036)/AD1036)&gt;0.3,0.3,((AD1035-AD1036)/AD1036))</f>
        <v>6.5789473684210523E-2</v>
      </c>
      <c r="AE1037" s="2564"/>
      <c r="AF1037" s="2564"/>
      <c r="AG1037" s="2564"/>
      <c r="AH1037" s="2564"/>
      <c r="AI1037" s="2564"/>
      <c r="AJ1037" s="2564"/>
      <c r="AK1037" s="2565"/>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2"/>
      <c r="AN1038" s="1582"/>
      <c r="AO1038" s="1582"/>
      <c r="AP1038" s="1582"/>
      <c r="AQ1038" s="1582"/>
      <c r="AR1038" s="1582"/>
      <c r="AS1038" s="1582"/>
      <c r="AT1038" s="1582"/>
      <c r="AU1038" s="1582"/>
      <c r="AV1038" s="1582"/>
      <c r="AW1038" s="1582"/>
      <c r="AX1038" s="1582"/>
      <c r="AY1038" s="1582"/>
    </row>
    <row r="1039" spans="1:96" ht="12.6" customHeight="1">
      <c r="A1039" s="128"/>
      <c r="B1039" s="2331">
        <f>IF(ISNA(IF((AJ999&gt;(AJ975*0.15)),"(f) cannot be greater than 15% of unadjusted eligible basis.",0)),"",(IF((AJ999&gt;(AJ975*0.15)),"(f) cannot be greater than 15% of unadjusted eligible basis.",0)))</f>
        <v>0</v>
      </c>
      <c r="C1039" s="2331"/>
      <c r="D1039" s="2331"/>
      <c r="E1039" s="2331"/>
      <c r="F1039" s="2331"/>
      <c r="G1039" s="2331"/>
      <c r="H1039" s="2331"/>
      <c r="I1039" s="2331"/>
      <c r="J1039" s="2331"/>
      <c r="K1039" s="2331"/>
      <c r="L1039" s="2331"/>
      <c r="M1039" s="2331"/>
      <c r="N1039" s="2331"/>
      <c r="O1039" s="2331"/>
      <c r="P1039" s="2331"/>
      <c r="Q1039" s="2331"/>
      <c r="R1039" s="2331"/>
      <c r="S1039" s="2331"/>
      <c r="T1039" s="2331"/>
      <c r="U1039" s="2331"/>
      <c r="V1039" s="2331"/>
      <c r="W1039" s="2331"/>
      <c r="X1039" s="2331"/>
      <c r="Y1039" s="2331"/>
      <c r="Z1039" s="2331"/>
      <c r="AA1039" s="2331"/>
      <c r="AB1039" s="2331"/>
      <c r="AC1039" s="2331"/>
      <c r="AD1039" s="2331"/>
      <c r="AE1039" s="2331"/>
      <c r="AF1039" s="2331"/>
      <c r="AG1039" s="2331"/>
      <c r="AH1039" s="2331"/>
      <c r="AI1039" s="2331"/>
      <c r="AJ1039" s="2331"/>
      <c r="AK1039" s="2331"/>
      <c r="AL1039" s="105"/>
      <c r="AM1039" s="1582"/>
      <c r="AN1039" s="1582"/>
      <c r="AO1039" s="1582"/>
      <c r="AP1039" s="1582"/>
      <c r="AQ1039" s="1582"/>
      <c r="AR1039" s="1582"/>
      <c r="AS1039" s="1582"/>
      <c r="AT1039" s="1582"/>
      <c r="AU1039" s="1582"/>
      <c r="AV1039" s="1582"/>
      <c r="AW1039" s="1582"/>
      <c r="AX1039" s="1582"/>
      <c r="AY1039" s="1582"/>
    </row>
    <row r="1040" spans="1:96" ht="12.6" customHeight="1" thickBot="1">
      <c r="A1040" s="2397" t="s">
        <v>852</v>
      </c>
      <c r="B1040" s="2397"/>
      <c r="C1040" s="2397"/>
      <c r="D1040" s="2397"/>
      <c r="E1040" s="2397"/>
      <c r="F1040" s="2397"/>
      <c r="G1040" s="2397"/>
      <c r="H1040" s="2397"/>
      <c r="I1040" s="2397"/>
      <c r="J1040" s="2397"/>
      <c r="K1040" s="2397"/>
      <c r="L1040" s="2397"/>
      <c r="M1040" s="2397"/>
      <c r="N1040" s="2397"/>
      <c r="O1040" s="2397"/>
      <c r="P1040" s="2397"/>
      <c r="Q1040" s="2397"/>
      <c r="R1040" s="2397"/>
      <c r="S1040" s="2397"/>
      <c r="T1040" s="2397"/>
      <c r="U1040" s="2397"/>
      <c r="V1040" s="2397"/>
      <c r="W1040" s="2397"/>
      <c r="X1040" s="2397"/>
      <c r="Y1040" s="2397"/>
      <c r="Z1040" s="2397"/>
      <c r="AA1040" s="2397"/>
      <c r="AB1040" s="2397"/>
      <c r="AC1040" s="2397"/>
      <c r="AD1040" s="2397"/>
      <c r="AE1040" s="2397"/>
      <c r="AF1040" s="2397"/>
      <c r="AG1040" s="2397"/>
      <c r="AH1040" s="2397"/>
      <c r="AI1040" s="2397"/>
      <c r="AJ1040" s="2397"/>
      <c r="AK1040" s="2397"/>
      <c r="AL1040" s="239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0" t="s">
        <v>626</v>
      </c>
      <c r="B1044" s="2050"/>
      <c r="C1044" s="13">
        <v>1</v>
      </c>
      <c r="D1044" s="1916" t="s">
        <v>1223</v>
      </c>
      <c r="E1044" s="1916"/>
      <c r="F1044" s="1916"/>
      <c r="G1044" s="1916"/>
      <c r="H1044" s="1916"/>
      <c r="I1044" s="1916"/>
      <c r="J1044" s="1916"/>
      <c r="K1044" s="1916"/>
      <c r="L1044" s="1916"/>
      <c r="M1044" s="1916"/>
      <c r="N1044" s="1916"/>
      <c r="O1044" s="1916"/>
      <c r="P1044" s="1916"/>
      <c r="Q1044" s="1916"/>
      <c r="R1044" s="1916"/>
      <c r="S1044" s="1916"/>
      <c r="T1044" s="1916"/>
      <c r="U1044" s="1916"/>
      <c r="V1044" s="1916"/>
      <c r="W1044" s="1916"/>
      <c r="X1044" s="1916"/>
      <c r="Y1044" s="1916"/>
      <c r="Z1044" s="1916"/>
      <c r="AA1044" s="1916"/>
      <c r="AB1044" s="1916"/>
      <c r="AC1044" s="1916"/>
      <c r="AD1044" s="1916"/>
      <c r="AE1044" s="1916"/>
      <c r="AF1044" s="1916"/>
      <c r="AG1044" s="1916"/>
      <c r="AH1044" s="1916"/>
      <c r="AI1044" s="1916"/>
      <c r="AJ1044" s="1916"/>
      <c r="AK1044" s="1916"/>
      <c r="AL1044" s="131"/>
      <c r="AM1044" s="1583"/>
      <c r="AN1044" s="1583"/>
      <c r="AO1044" s="1583"/>
      <c r="AP1044" s="1583"/>
      <c r="AQ1044" s="1583"/>
      <c r="AR1044" s="1583"/>
      <c r="AS1044" s="1583"/>
      <c r="AT1044" s="1583"/>
      <c r="AU1044" s="1583"/>
      <c r="AV1044" s="1583"/>
      <c r="AW1044" s="1583"/>
      <c r="AX1044" s="1583"/>
      <c r="AY1044" s="1583"/>
    </row>
    <row r="1045" spans="1:51" ht="12.6" customHeight="1">
      <c r="A1045" s="235"/>
      <c r="B1045" s="235"/>
      <c r="C1045" s="13"/>
      <c r="D1045" s="1916"/>
      <c r="E1045" s="1916"/>
      <c r="F1045" s="1916"/>
      <c r="G1045" s="1916"/>
      <c r="H1045" s="1916"/>
      <c r="I1045" s="1916"/>
      <c r="J1045" s="1916"/>
      <c r="K1045" s="1916"/>
      <c r="L1045" s="1916"/>
      <c r="M1045" s="1916"/>
      <c r="N1045" s="1916"/>
      <c r="O1045" s="1916"/>
      <c r="P1045" s="1916"/>
      <c r="Q1045" s="1916"/>
      <c r="R1045" s="1916"/>
      <c r="S1045" s="1916"/>
      <c r="T1045" s="1916"/>
      <c r="U1045" s="1916"/>
      <c r="V1045" s="1916"/>
      <c r="W1045" s="1916"/>
      <c r="X1045" s="1916"/>
      <c r="Y1045" s="1916"/>
      <c r="Z1045" s="1916"/>
      <c r="AA1045" s="1916"/>
      <c r="AB1045" s="1916"/>
      <c r="AC1045" s="1916"/>
      <c r="AD1045" s="1916"/>
      <c r="AE1045" s="1916"/>
      <c r="AF1045" s="1916"/>
      <c r="AG1045" s="1916"/>
      <c r="AH1045" s="1916"/>
      <c r="AI1045" s="1916"/>
      <c r="AJ1045" s="1916"/>
      <c r="AK1045" s="1916"/>
      <c r="AL1045" s="131"/>
      <c r="AM1045" s="1583"/>
      <c r="AN1045" s="1583"/>
      <c r="AO1045" s="1583"/>
      <c r="AP1045" s="1583"/>
      <c r="AQ1045" s="1583"/>
      <c r="AR1045" s="1583"/>
      <c r="AS1045" s="1583"/>
      <c r="AT1045" s="1583"/>
      <c r="AU1045" s="1583"/>
      <c r="AV1045" s="1583"/>
      <c r="AW1045" s="1583"/>
      <c r="AX1045" s="1583"/>
      <c r="AY1045" s="1583"/>
    </row>
    <row r="1046" spans="1:51" ht="12.6" customHeight="1">
      <c r="A1046" s="235"/>
      <c r="B1046" s="235"/>
      <c r="C1046" s="13"/>
      <c r="D1046" s="1916"/>
      <c r="E1046" s="1916"/>
      <c r="F1046" s="1916"/>
      <c r="G1046" s="1916"/>
      <c r="H1046" s="1916"/>
      <c r="I1046" s="1916"/>
      <c r="J1046" s="1916"/>
      <c r="K1046" s="1916"/>
      <c r="L1046" s="1916"/>
      <c r="M1046" s="1916"/>
      <c r="N1046" s="1916"/>
      <c r="O1046" s="1916"/>
      <c r="P1046" s="1916"/>
      <c r="Q1046" s="1916"/>
      <c r="R1046" s="1916"/>
      <c r="S1046" s="1916"/>
      <c r="T1046" s="1916"/>
      <c r="U1046" s="1916"/>
      <c r="V1046" s="1916"/>
      <c r="W1046" s="1916"/>
      <c r="X1046" s="1916"/>
      <c r="Y1046" s="1916"/>
      <c r="Z1046" s="1916"/>
      <c r="AA1046" s="1916"/>
      <c r="AB1046" s="1916"/>
      <c r="AC1046" s="1916"/>
      <c r="AD1046" s="1916"/>
      <c r="AE1046" s="1916"/>
      <c r="AF1046" s="1916"/>
      <c r="AG1046" s="1916"/>
      <c r="AH1046" s="1916"/>
      <c r="AI1046" s="1916"/>
      <c r="AJ1046" s="1916"/>
      <c r="AK1046" s="1916"/>
      <c r="AL1046" s="105"/>
      <c r="AM1046" s="1582"/>
      <c r="AN1046" s="1582"/>
      <c r="AO1046" s="1582"/>
      <c r="AP1046" s="1582"/>
      <c r="AQ1046" s="1582"/>
      <c r="AR1046" s="1582"/>
      <c r="AS1046" s="1582"/>
      <c r="AT1046" s="1582"/>
      <c r="AU1046" s="1582"/>
      <c r="AV1046" s="1582"/>
      <c r="AW1046" s="1582"/>
      <c r="AX1046" s="1582"/>
      <c r="AY1046" s="1582"/>
    </row>
    <row r="1047" spans="1:51" ht="12.6" customHeight="1">
      <c r="A1047" s="235"/>
      <c r="B1047" s="235"/>
      <c r="C1047" s="13"/>
      <c r="D1047" s="1916"/>
      <c r="E1047" s="1916"/>
      <c r="F1047" s="1916"/>
      <c r="G1047" s="1916"/>
      <c r="H1047" s="1916"/>
      <c r="I1047" s="1916"/>
      <c r="J1047" s="1916"/>
      <c r="K1047" s="1916"/>
      <c r="L1047" s="1916"/>
      <c r="M1047" s="1916"/>
      <c r="N1047" s="1916"/>
      <c r="O1047" s="1916"/>
      <c r="P1047" s="1916"/>
      <c r="Q1047" s="1916"/>
      <c r="R1047" s="1916"/>
      <c r="S1047" s="1916"/>
      <c r="T1047" s="1916"/>
      <c r="U1047" s="1916"/>
      <c r="V1047" s="1916"/>
      <c r="W1047" s="1916"/>
      <c r="X1047" s="1916"/>
      <c r="Y1047" s="1916"/>
      <c r="Z1047" s="1916"/>
      <c r="AA1047" s="1916"/>
      <c r="AB1047" s="1916"/>
      <c r="AC1047" s="1916"/>
      <c r="AD1047" s="1916"/>
      <c r="AE1047" s="1916"/>
      <c r="AF1047" s="1916"/>
      <c r="AG1047" s="1916"/>
      <c r="AH1047" s="1916"/>
      <c r="AI1047" s="1916"/>
      <c r="AJ1047" s="1916"/>
      <c r="AK1047" s="1916"/>
      <c r="AL1047" s="105"/>
      <c r="AM1047" s="1582"/>
      <c r="AN1047" s="1582"/>
      <c r="AO1047" s="1582"/>
      <c r="AP1047" s="1582"/>
      <c r="AQ1047" s="1582"/>
      <c r="AR1047" s="1582"/>
      <c r="AS1047" s="1582"/>
      <c r="AT1047" s="1582"/>
      <c r="AU1047" s="1582"/>
      <c r="AV1047" s="1582"/>
      <c r="AW1047" s="1582"/>
      <c r="AX1047" s="1582"/>
      <c r="AY1047" s="1582"/>
    </row>
    <row r="1048" spans="1:51" ht="12.6" customHeight="1">
      <c r="A1048" s="235"/>
      <c r="B1048" s="235"/>
      <c r="C1048" s="13"/>
      <c r="D1048" s="1916"/>
      <c r="E1048" s="1916"/>
      <c r="F1048" s="1916"/>
      <c r="G1048" s="1916"/>
      <c r="H1048" s="1916"/>
      <c r="I1048" s="1916"/>
      <c r="J1048" s="1916"/>
      <c r="K1048" s="1916"/>
      <c r="L1048" s="1916"/>
      <c r="M1048" s="1916"/>
      <c r="N1048" s="1916"/>
      <c r="O1048" s="1916"/>
      <c r="P1048" s="1916"/>
      <c r="Q1048" s="1916"/>
      <c r="R1048" s="1916"/>
      <c r="S1048" s="1916"/>
      <c r="T1048" s="1916"/>
      <c r="U1048" s="1916"/>
      <c r="V1048" s="1916"/>
      <c r="W1048" s="1916"/>
      <c r="X1048" s="1916"/>
      <c r="Y1048" s="1916"/>
      <c r="Z1048" s="1916"/>
      <c r="AA1048" s="1916"/>
      <c r="AB1048" s="1916"/>
      <c r="AC1048" s="1916"/>
      <c r="AD1048" s="1916"/>
      <c r="AE1048" s="1916"/>
      <c r="AF1048" s="1916"/>
      <c r="AG1048" s="1916"/>
      <c r="AH1048" s="1916"/>
      <c r="AI1048" s="1916"/>
      <c r="AJ1048" s="1916"/>
      <c r="AK1048" s="1916"/>
      <c r="AL1048" s="105"/>
      <c r="AM1048" s="1582"/>
      <c r="AN1048" s="1582"/>
      <c r="AO1048" s="1582"/>
      <c r="AP1048" s="1582"/>
      <c r="AQ1048" s="1582"/>
      <c r="AR1048" s="1582"/>
      <c r="AS1048" s="1582"/>
      <c r="AT1048" s="1582"/>
      <c r="AU1048" s="1582"/>
      <c r="AV1048" s="1582"/>
      <c r="AW1048" s="1582"/>
      <c r="AX1048" s="1582"/>
      <c r="AY1048" s="1582"/>
    </row>
    <row r="1049" spans="1:51" ht="12.6" customHeight="1">
      <c r="A1049" s="37"/>
      <c r="B1049" s="66"/>
      <c r="C1049" s="13"/>
      <c r="D1049" s="1916"/>
      <c r="E1049" s="1916"/>
      <c r="F1049" s="1916"/>
      <c r="G1049" s="1916"/>
      <c r="H1049" s="1916"/>
      <c r="I1049" s="1916"/>
      <c r="J1049" s="1916"/>
      <c r="K1049" s="1916"/>
      <c r="L1049" s="1916"/>
      <c r="M1049" s="1916"/>
      <c r="N1049" s="1916"/>
      <c r="O1049" s="1916"/>
      <c r="P1049" s="1916"/>
      <c r="Q1049" s="1916"/>
      <c r="R1049" s="1916"/>
      <c r="S1049" s="1916"/>
      <c r="T1049" s="1916"/>
      <c r="U1049" s="1916"/>
      <c r="V1049" s="1916"/>
      <c r="W1049" s="1916"/>
      <c r="X1049" s="1916"/>
      <c r="Y1049" s="1916"/>
      <c r="Z1049" s="1916"/>
      <c r="AA1049" s="1916"/>
      <c r="AB1049" s="1916"/>
      <c r="AC1049" s="1916"/>
      <c r="AD1049" s="1916"/>
      <c r="AE1049" s="1916"/>
      <c r="AF1049" s="1916"/>
      <c r="AG1049" s="1916"/>
      <c r="AH1049" s="1916"/>
      <c r="AI1049" s="1916"/>
      <c r="AJ1049" s="1916"/>
      <c r="AK1049" s="1916"/>
      <c r="AL1049" s="105"/>
      <c r="AM1049" s="1582"/>
      <c r="AN1049" s="1582"/>
      <c r="AO1049" s="1582"/>
      <c r="AP1049" s="1582"/>
      <c r="AQ1049" s="1582"/>
      <c r="AR1049" s="1582"/>
      <c r="AS1049" s="1582"/>
      <c r="AT1049" s="1582"/>
      <c r="AU1049" s="1582"/>
      <c r="AV1049" s="1582"/>
      <c r="AW1049" s="1582"/>
      <c r="AX1049" s="1582"/>
      <c r="AY1049" s="1582"/>
    </row>
    <row r="1050" spans="1:51" ht="12.6" customHeight="1">
      <c r="A1050" s="2050" t="s">
        <v>626</v>
      </c>
      <c r="B1050" s="2050"/>
      <c r="C1050" s="13">
        <v>2</v>
      </c>
      <c r="D1050" s="1916" t="s">
        <v>1222</v>
      </c>
      <c r="E1050" s="1916"/>
      <c r="F1050" s="1916"/>
      <c r="G1050" s="1916"/>
      <c r="H1050" s="1916"/>
      <c r="I1050" s="1916"/>
      <c r="J1050" s="1916"/>
      <c r="K1050" s="1916"/>
      <c r="L1050" s="1916"/>
      <c r="M1050" s="1916"/>
      <c r="N1050" s="1916"/>
      <c r="O1050" s="1916"/>
      <c r="P1050" s="1916"/>
      <c r="Q1050" s="1916"/>
      <c r="R1050" s="1916"/>
      <c r="S1050" s="1916"/>
      <c r="T1050" s="1916"/>
      <c r="U1050" s="1916"/>
      <c r="V1050" s="1916"/>
      <c r="W1050" s="1916"/>
      <c r="X1050" s="1916"/>
      <c r="Y1050" s="1916"/>
      <c r="Z1050" s="1916"/>
      <c r="AA1050" s="1916"/>
      <c r="AB1050" s="1916"/>
      <c r="AC1050" s="1916"/>
      <c r="AD1050" s="1916"/>
      <c r="AE1050" s="1916"/>
      <c r="AF1050" s="1916"/>
      <c r="AG1050" s="1916"/>
      <c r="AH1050" s="1916"/>
      <c r="AI1050" s="1916"/>
      <c r="AJ1050" s="1916"/>
      <c r="AK1050" s="1916"/>
      <c r="AL1050" s="105"/>
      <c r="AM1050" s="1582"/>
      <c r="AN1050" s="1582"/>
      <c r="AO1050" s="1582"/>
      <c r="AP1050" s="1582"/>
      <c r="AQ1050" s="1582"/>
      <c r="AR1050" s="1582"/>
      <c r="AS1050" s="1582"/>
      <c r="AT1050" s="1582"/>
      <c r="AU1050" s="1582"/>
      <c r="AV1050" s="1582"/>
      <c r="AW1050" s="1582"/>
      <c r="AX1050" s="1582"/>
      <c r="AY1050" s="1582"/>
    </row>
    <row r="1051" spans="1:51" ht="12.6" customHeight="1">
      <c r="A1051" s="235"/>
      <c r="B1051" s="235"/>
      <c r="C1051" s="13"/>
      <c r="D1051" s="1916"/>
      <c r="E1051" s="1916"/>
      <c r="F1051" s="1916"/>
      <c r="G1051" s="1916"/>
      <c r="H1051" s="1916"/>
      <c r="I1051" s="1916"/>
      <c r="J1051" s="1916"/>
      <c r="K1051" s="1916"/>
      <c r="L1051" s="1916"/>
      <c r="M1051" s="1916"/>
      <c r="N1051" s="1916"/>
      <c r="O1051" s="1916"/>
      <c r="P1051" s="1916"/>
      <c r="Q1051" s="1916"/>
      <c r="R1051" s="1916"/>
      <c r="S1051" s="1916"/>
      <c r="T1051" s="1916"/>
      <c r="U1051" s="1916"/>
      <c r="V1051" s="1916"/>
      <c r="W1051" s="1916"/>
      <c r="X1051" s="1916"/>
      <c r="Y1051" s="1916"/>
      <c r="Z1051" s="1916"/>
      <c r="AA1051" s="1916"/>
      <c r="AB1051" s="1916"/>
      <c r="AC1051" s="1916"/>
      <c r="AD1051" s="1916"/>
      <c r="AE1051" s="1916"/>
      <c r="AF1051" s="1916"/>
      <c r="AG1051" s="1916"/>
      <c r="AH1051" s="1916"/>
      <c r="AI1051" s="1916"/>
      <c r="AJ1051" s="1916"/>
      <c r="AK1051" s="1916"/>
      <c r="AL1051" s="105"/>
      <c r="AM1051" s="1582"/>
      <c r="AN1051" s="1582"/>
      <c r="AO1051" s="1582"/>
      <c r="AP1051" s="1582"/>
      <c r="AQ1051" s="1582"/>
      <c r="AR1051" s="1582"/>
      <c r="AS1051" s="1582"/>
      <c r="AT1051" s="1582"/>
      <c r="AU1051" s="1582"/>
      <c r="AV1051" s="1582"/>
      <c r="AW1051" s="1582"/>
      <c r="AX1051" s="1582"/>
      <c r="AY1051" s="1582"/>
    </row>
    <row r="1052" spans="1:51" ht="12.6" customHeight="1">
      <c r="A1052" s="235"/>
      <c r="B1052" s="235"/>
      <c r="C1052" s="13"/>
      <c r="D1052" s="1916"/>
      <c r="E1052" s="1916"/>
      <c r="F1052" s="1916"/>
      <c r="G1052" s="1916"/>
      <c r="H1052" s="1916"/>
      <c r="I1052" s="1916"/>
      <c r="J1052" s="1916"/>
      <c r="K1052" s="1916"/>
      <c r="L1052" s="1916"/>
      <c r="M1052" s="1916"/>
      <c r="N1052" s="1916"/>
      <c r="O1052" s="1916"/>
      <c r="P1052" s="1916"/>
      <c r="Q1052" s="1916"/>
      <c r="R1052" s="1916"/>
      <c r="S1052" s="1916"/>
      <c r="T1052" s="1916"/>
      <c r="U1052" s="1916"/>
      <c r="V1052" s="1916"/>
      <c r="W1052" s="1916"/>
      <c r="X1052" s="1916"/>
      <c r="Y1052" s="1916"/>
      <c r="Z1052" s="1916"/>
      <c r="AA1052" s="1916"/>
      <c r="AB1052" s="1916"/>
      <c r="AC1052" s="1916"/>
      <c r="AD1052" s="1916"/>
      <c r="AE1052" s="1916"/>
      <c r="AF1052" s="1916"/>
      <c r="AG1052" s="1916"/>
      <c r="AH1052" s="1916"/>
      <c r="AI1052" s="1916"/>
      <c r="AJ1052" s="1916"/>
      <c r="AK1052" s="1916"/>
      <c r="AL1052" s="105"/>
      <c r="AM1052" s="1582"/>
      <c r="AN1052" s="1582"/>
      <c r="AO1052" s="1582"/>
      <c r="AP1052" s="1582"/>
      <c r="AQ1052" s="1582"/>
      <c r="AR1052" s="1582"/>
      <c r="AS1052" s="1582"/>
      <c r="AT1052" s="1582"/>
      <c r="AU1052" s="1582"/>
      <c r="AV1052" s="1582"/>
      <c r="AW1052" s="1582"/>
      <c r="AX1052" s="1582"/>
      <c r="AY1052" s="1582"/>
    </row>
    <row r="1053" spans="1:51" ht="12.6" customHeight="1">
      <c r="A1053" s="235"/>
      <c r="B1053" s="235"/>
      <c r="C1053" s="13"/>
      <c r="D1053" s="1916"/>
      <c r="E1053" s="1916"/>
      <c r="F1053" s="1916"/>
      <c r="G1053" s="1916"/>
      <c r="H1053" s="1916"/>
      <c r="I1053" s="1916"/>
      <c r="J1053" s="1916"/>
      <c r="K1053" s="1916"/>
      <c r="L1053" s="1916"/>
      <c r="M1053" s="1916"/>
      <c r="N1053" s="1916"/>
      <c r="O1053" s="1916"/>
      <c r="P1053" s="1916"/>
      <c r="Q1053" s="1916"/>
      <c r="R1053" s="1916"/>
      <c r="S1053" s="1916"/>
      <c r="T1053" s="1916"/>
      <c r="U1053" s="1916"/>
      <c r="V1053" s="1916"/>
      <c r="W1053" s="1916"/>
      <c r="X1053" s="1916"/>
      <c r="Y1053" s="1916"/>
      <c r="Z1053" s="1916"/>
      <c r="AA1053" s="1916"/>
      <c r="AB1053" s="1916"/>
      <c r="AC1053" s="1916"/>
      <c r="AD1053" s="1916"/>
      <c r="AE1053" s="1916"/>
      <c r="AF1053" s="1916"/>
      <c r="AG1053" s="1916"/>
      <c r="AH1053" s="1916"/>
      <c r="AI1053" s="1916"/>
      <c r="AJ1053" s="1916"/>
      <c r="AK1053" s="1916"/>
      <c r="AL1053" s="105"/>
      <c r="AM1053" s="1582"/>
      <c r="AN1053" s="1582"/>
      <c r="AO1053" s="1582"/>
      <c r="AP1053" s="1582"/>
      <c r="AQ1053" s="1582"/>
      <c r="AR1053" s="1582"/>
      <c r="AS1053" s="1582"/>
      <c r="AT1053" s="1582"/>
      <c r="AU1053" s="1582"/>
      <c r="AV1053" s="1582"/>
      <c r="AW1053" s="1582"/>
      <c r="AX1053" s="1582"/>
      <c r="AY1053" s="1582"/>
    </row>
    <row r="1054" spans="1:51" ht="12.6" customHeight="1">
      <c r="A1054" s="235"/>
      <c r="B1054" s="235"/>
      <c r="C1054" s="13"/>
      <c r="D1054" s="1916"/>
      <c r="E1054" s="1916"/>
      <c r="F1054" s="1916"/>
      <c r="G1054" s="1916"/>
      <c r="H1054" s="1916"/>
      <c r="I1054" s="1916"/>
      <c r="J1054" s="1916"/>
      <c r="K1054" s="1916"/>
      <c r="L1054" s="1916"/>
      <c r="M1054" s="1916"/>
      <c r="N1054" s="1916"/>
      <c r="O1054" s="1916"/>
      <c r="P1054" s="1916"/>
      <c r="Q1054" s="1916"/>
      <c r="R1054" s="1916"/>
      <c r="S1054" s="1916"/>
      <c r="T1054" s="1916"/>
      <c r="U1054" s="1916"/>
      <c r="V1054" s="1916"/>
      <c r="W1054" s="1916"/>
      <c r="X1054" s="1916"/>
      <c r="Y1054" s="1916"/>
      <c r="Z1054" s="1916"/>
      <c r="AA1054" s="1916"/>
      <c r="AB1054" s="1916"/>
      <c r="AC1054" s="1916"/>
      <c r="AD1054" s="1916"/>
      <c r="AE1054" s="1916"/>
      <c r="AF1054" s="1916"/>
      <c r="AG1054" s="1916"/>
      <c r="AH1054" s="1916"/>
      <c r="AI1054" s="1916"/>
      <c r="AJ1054" s="1916"/>
      <c r="AK1054" s="1916"/>
      <c r="AL1054" s="105"/>
      <c r="AM1054" s="1582"/>
      <c r="AN1054" s="1582"/>
      <c r="AO1054" s="1582"/>
      <c r="AP1054" s="1582"/>
      <c r="AQ1054" s="1582"/>
      <c r="AR1054" s="1582"/>
      <c r="AS1054" s="1582"/>
      <c r="AT1054" s="1582"/>
      <c r="AU1054" s="1582"/>
      <c r="AV1054" s="1582"/>
      <c r="AW1054" s="1582"/>
      <c r="AX1054" s="1582"/>
      <c r="AY1054" s="1582"/>
    </row>
    <row r="1055" spans="1:51" ht="12.6" customHeight="1">
      <c r="A1055" s="235"/>
      <c r="B1055" s="235"/>
      <c r="C1055" s="13"/>
      <c r="D1055" s="1916"/>
      <c r="E1055" s="1916"/>
      <c r="F1055" s="1916"/>
      <c r="G1055" s="1916"/>
      <c r="H1055" s="1916"/>
      <c r="I1055" s="1916"/>
      <c r="J1055" s="1916"/>
      <c r="K1055" s="1916"/>
      <c r="L1055" s="1916"/>
      <c r="M1055" s="1916"/>
      <c r="N1055" s="1916"/>
      <c r="O1055" s="1916"/>
      <c r="P1055" s="1916"/>
      <c r="Q1055" s="1916"/>
      <c r="R1055" s="1916"/>
      <c r="S1055" s="1916"/>
      <c r="T1055" s="1916"/>
      <c r="U1055" s="1916"/>
      <c r="V1055" s="1916"/>
      <c r="W1055" s="1916"/>
      <c r="X1055" s="1916"/>
      <c r="Y1055" s="1916"/>
      <c r="Z1055" s="1916"/>
      <c r="AA1055" s="1916"/>
      <c r="AB1055" s="1916"/>
      <c r="AC1055" s="1916"/>
      <c r="AD1055" s="1916"/>
      <c r="AE1055" s="1916"/>
      <c r="AF1055" s="1916"/>
      <c r="AG1055" s="1916"/>
      <c r="AH1055" s="1916"/>
      <c r="AI1055" s="1916"/>
      <c r="AJ1055" s="1916"/>
      <c r="AK1055" s="1916"/>
    </row>
    <row r="1056" spans="1:51" ht="12.6" customHeight="1">
      <c r="A1056" s="2050" t="s">
        <v>626</v>
      </c>
      <c r="B1056" s="2050"/>
      <c r="C1056" s="13">
        <v>3</v>
      </c>
      <c r="D1056" s="1916" t="s">
        <v>1528</v>
      </c>
      <c r="E1056" s="1916"/>
      <c r="F1056" s="1916"/>
      <c r="G1056" s="1916"/>
      <c r="H1056" s="1916"/>
      <c r="I1056" s="1916"/>
      <c r="J1056" s="1916"/>
      <c r="K1056" s="1916"/>
      <c r="L1056" s="1916"/>
      <c r="M1056" s="1916"/>
      <c r="N1056" s="1916"/>
      <c r="O1056" s="1916"/>
      <c r="P1056" s="1916"/>
      <c r="Q1056" s="1916"/>
      <c r="R1056" s="1916"/>
      <c r="S1056" s="1916"/>
      <c r="T1056" s="1916"/>
      <c r="U1056" s="1916"/>
      <c r="V1056" s="1916"/>
      <c r="W1056" s="1916"/>
      <c r="X1056" s="1916"/>
      <c r="Y1056" s="1916"/>
      <c r="Z1056" s="1916"/>
      <c r="AA1056" s="1916"/>
      <c r="AB1056" s="1916"/>
      <c r="AC1056" s="1916"/>
      <c r="AD1056" s="1916"/>
      <c r="AE1056" s="1916"/>
      <c r="AF1056" s="1916"/>
      <c r="AG1056" s="1916"/>
      <c r="AH1056" s="1916"/>
      <c r="AI1056" s="1916"/>
      <c r="AJ1056" s="1916"/>
      <c r="AK1056" s="1916"/>
    </row>
    <row r="1057" spans="1:96" ht="12.6" customHeight="1">
      <c r="A1057" s="130"/>
      <c r="B1057" s="130"/>
      <c r="C1057" s="13"/>
      <c r="D1057" s="1916"/>
      <c r="E1057" s="1916"/>
      <c r="F1057" s="1916"/>
      <c r="G1057" s="1916"/>
      <c r="H1057" s="1916"/>
      <c r="I1057" s="1916"/>
      <c r="J1057" s="1916"/>
      <c r="K1057" s="1916"/>
      <c r="L1057" s="1916"/>
      <c r="M1057" s="1916"/>
      <c r="N1057" s="1916"/>
      <c r="O1057" s="1916"/>
      <c r="P1057" s="1916"/>
      <c r="Q1057" s="1916"/>
      <c r="R1057" s="1916"/>
      <c r="S1057" s="1916"/>
      <c r="T1057" s="1916"/>
      <c r="U1057" s="1916"/>
      <c r="V1057" s="1916"/>
      <c r="W1057" s="1916"/>
      <c r="X1057" s="1916"/>
      <c r="Y1057" s="1916"/>
      <c r="Z1057" s="1916"/>
      <c r="AA1057" s="1916"/>
      <c r="AB1057" s="1916"/>
      <c r="AC1057" s="1916"/>
      <c r="AD1057" s="1916"/>
      <c r="AE1057" s="1916"/>
      <c r="AF1057" s="1916"/>
      <c r="AG1057" s="1916"/>
      <c r="AH1057" s="1916"/>
      <c r="AI1057" s="1916"/>
      <c r="AJ1057" s="1916"/>
      <c r="AK1057" s="1916"/>
      <c r="AL1057" s="718"/>
    </row>
    <row r="1058" spans="1:96" ht="12.6" customHeight="1">
      <c r="A1058" s="130"/>
      <c r="B1058" s="130"/>
      <c r="C1058" s="13"/>
      <c r="D1058" s="1916"/>
      <c r="E1058" s="1916"/>
      <c r="F1058" s="1916"/>
      <c r="G1058" s="1916"/>
      <c r="H1058" s="1916"/>
      <c r="I1058" s="1916"/>
      <c r="J1058" s="1916"/>
      <c r="K1058" s="1916"/>
      <c r="L1058" s="1916"/>
      <c r="M1058" s="1916"/>
      <c r="N1058" s="1916"/>
      <c r="O1058" s="1916"/>
      <c r="P1058" s="1916"/>
      <c r="Q1058" s="1916"/>
      <c r="R1058" s="1916"/>
      <c r="S1058" s="1916"/>
      <c r="T1058" s="1916"/>
      <c r="U1058" s="1916"/>
      <c r="V1058" s="1916"/>
      <c r="W1058" s="1916"/>
      <c r="X1058" s="1916"/>
      <c r="Y1058" s="1916"/>
      <c r="Z1058" s="1916"/>
      <c r="AA1058" s="1916"/>
      <c r="AB1058" s="1916"/>
      <c r="AC1058" s="1916"/>
      <c r="AD1058" s="1916"/>
      <c r="AE1058" s="1916"/>
      <c r="AF1058" s="1916"/>
      <c r="AG1058" s="1916"/>
      <c r="AH1058" s="1916"/>
      <c r="AI1058" s="1916"/>
      <c r="AJ1058" s="1916"/>
      <c r="AK1058" s="1916"/>
    </row>
    <row r="1059" spans="1:96" s="718" customFormat="1" ht="12.6" customHeight="1">
      <c r="A1059" s="62"/>
      <c r="B1059" s="66"/>
      <c r="C1059" s="13"/>
      <c r="D1059" s="1916"/>
      <c r="E1059" s="1916"/>
      <c r="F1059" s="1916"/>
      <c r="G1059" s="1916"/>
      <c r="H1059" s="1916"/>
      <c r="I1059" s="1916"/>
      <c r="J1059" s="1916"/>
      <c r="K1059" s="1916"/>
      <c r="L1059" s="1916"/>
      <c r="M1059" s="1916"/>
      <c r="N1059" s="1916"/>
      <c r="O1059" s="1916"/>
      <c r="P1059" s="1916"/>
      <c r="Q1059" s="1916"/>
      <c r="R1059" s="1916"/>
      <c r="S1059" s="1916"/>
      <c r="T1059" s="1916"/>
      <c r="U1059" s="1916"/>
      <c r="V1059" s="1916"/>
      <c r="W1059" s="1916"/>
      <c r="X1059" s="1916"/>
      <c r="Y1059" s="1916"/>
      <c r="Z1059" s="1916"/>
      <c r="AA1059" s="1916"/>
      <c r="AB1059" s="1916"/>
      <c r="AC1059" s="1916"/>
      <c r="AD1059" s="1916"/>
      <c r="AE1059" s="1916"/>
      <c r="AF1059" s="1916"/>
      <c r="AG1059" s="1916"/>
      <c r="AH1059" s="1916"/>
      <c r="AI1059" s="1916"/>
      <c r="AJ1059" s="1916"/>
      <c r="AK1059" s="191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16"/>
      <c r="E1060" s="1916"/>
      <c r="F1060" s="1916"/>
      <c r="G1060" s="1916"/>
      <c r="H1060" s="1916"/>
      <c r="I1060" s="1916"/>
      <c r="J1060" s="1916"/>
      <c r="K1060" s="1916"/>
      <c r="L1060" s="1916"/>
      <c r="M1060" s="1916"/>
      <c r="N1060" s="1916"/>
      <c r="O1060" s="1916"/>
      <c r="P1060" s="1916"/>
      <c r="Q1060" s="1916"/>
      <c r="R1060" s="1916"/>
      <c r="S1060" s="1916"/>
      <c r="T1060" s="1916"/>
      <c r="U1060" s="1916"/>
      <c r="V1060" s="1916"/>
      <c r="W1060" s="1916"/>
      <c r="X1060" s="1916"/>
      <c r="Y1060" s="1916"/>
      <c r="Z1060" s="1916"/>
      <c r="AA1060" s="1916"/>
      <c r="AB1060" s="1916"/>
      <c r="AC1060" s="1916"/>
      <c r="AD1060" s="1916"/>
      <c r="AE1060" s="1916"/>
      <c r="AF1060" s="1916"/>
      <c r="AG1060" s="1916"/>
      <c r="AH1060" s="1916"/>
      <c r="AI1060" s="1916"/>
      <c r="AJ1060" s="1916"/>
      <c r="AK1060" s="1916"/>
    </row>
    <row r="1061" spans="1:96" ht="12.6" customHeight="1">
      <c r="A1061" s="62"/>
      <c r="B1061" s="66"/>
      <c r="C1061" s="13"/>
      <c r="D1061" s="1916"/>
      <c r="E1061" s="1916"/>
      <c r="F1061" s="1916"/>
      <c r="G1061" s="1916"/>
      <c r="H1061" s="1916"/>
      <c r="I1061" s="1916"/>
      <c r="J1061" s="1916"/>
      <c r="K1061" s="1916"/>
      <c r="L1061" s="1916"/>
      <c r="M1061" s="1916"/>
      <c r="N1061" s="1916"/>
      <c r="O1061" s="1916"/>
      <c r="P1061" s="1916"/>
      <c r="Q1061" s="1916"/>
      <c r="R1061" s="1916"/>
      <c r="S1061" s="1916"/>
      <c r="T1061" s="1916"/>
      <c r="U1061" s="1916"/>
      <c r="V1061" s="1916"/>
      <c r="W1061" s="1916"/>
      <c r="X1061" s="1916"/>
      <c r="Y1061" s="1916"/>
      <c r="Z1061" s="1916"/>
      <c r="AA1061" s="1916"/>
      <c r="AB1061" s="1916"/>
      <c r="AC1061" s="1916"/>
      <c r="AD1061" s="1916"/>
      <c r="AE1061" s="1916"/>
      <c r="AF1061" s="1916"/>
      <c r="AG1061" s="1916"/>
      <c r="AH1061" s="1916"/>
      <c r="AI1061" s="1916"/>
      <c r="AJ1061" s="1916"/>
      <c r="AK1061" s="1916"/>
    </row>
    <row r="1062" spans="1:96" ht="12.6" customHeight="1">
      <c r="A1062" s="62"/>
      <c r="B1062" s="66"/>
      <c r="C1062" s="13"/>
      <c r="D1062" s="1916"/>
      <c r="E1062" s="1916"/>
      <c r="F1062" s="1916"/>
      <c r="G1062" s="1916"/>
      <c r="H1062" s="1916"/>
      <c r="I1062" s="1916"/>
      <c r="J1062" s="1916"/>
      <c r="K1062" s="1916"/>
      <c r="L1062" s="1916"/>
      <c r="M1062" s="1916"/>
      <c r="N1062" s="1916"/>
      <c r="O1062" s="1916"/>
      <c r="P1062" s="1916"/>
      <c r="Q1062" s="1916"/>
      <c r="R1062" s="1916"/>
      <c r="S1062" s="1916"/>
      <c r="T1062" s="1916"/>
      <c r="U1062" s="1916"/>
      <c r="V1062" s="1916"/>
      <c r="W1062" s="1916"/>
      <c r="X1062" s="1916"/>
      <c r="Y1062" s="1916"/>
      <c r="Z1062" s="1916"/>
      <c r="AA1062" s="1916"/>
      <c r="AB1062" s="1916"/>
      <c r="AC1062" s="1916"/>
      <c r="AD1062" s="1916"/>
      <c r="AE1062" s="1916"/>
      <c r="AF1062" s="1916"/>
      <c r="AG1062" s="1916"/>
      <c r="AH1062" s="1916"/>
      <c r="AI1062" s="1916"/>
      <c r="AJ1062" s="1916"/>
      <c r="AK1062" s="1916"/>
    </row>
    <row r="1063" spans="1:96" ht="12.6" customHeight="1">
      <c r="A1063" s="2050" t="s">
        <v>626</v>
      </c>
      <c r="B1063" s="2050"/>
      <c r="C1063" s="13">
        <v>4</v>
      </c>
      <c r="D1063" s="1916" t="s">
        <v>1208</v>
      </c>
      <c r="E1063" s="1916"/>
      <c r="F1063" s="1916"/>
      <c r="G1063" s="1916"/>
      <c r="H1063" s="1916"/>
      <c r="I1063" s="1916"/>
      <c r="J1063" s="1916"/>
      <c r="K1063" s="1916"/>
      <c r="L1063" s="1916"/>
      <c r="M1063" s="1916"/>
      <c r="N1063" s="1916"/>
      <c r="O1063" s="1916"/>
      <c r="P1063" s="1916"/>
      <c r="Q1063" s="1916"/>
      <c r="R1063" s="1916"/>
      <c r="S1063" s="1916"/>
      <c r="T1063" s="1916"/>
      <c r="U1063" s="1916"/>
      <c r="V1063" s="1916"/>
      <c r="W1063" s="1916"/>
      <c r="X1063" s="1916"/>
      <c r="Y1063" s="1916"/>
      <c r="Z1063" s="1916"/>
      <c r="AA1063" s="1916"/>
      <c r="AB1063" s="1916"/>
      <c r="AC1063" s="1916"/>
      <c r="AD1063" s="1916"/>
      <c r="AE1063" s="1916"/>
      <c r="AF1063" s="1916"/>
      <c r="AG1063" s="1916"/>
      <c r="AH1063" s="1916"/>
      <c r="AI1063" s="1916"/>
      <c r="AJ1063" s="1916"/>
      <c r="AK1063" s="1916"/>
    </row>
    <row r="1064" spans="1:96" ht="12.6" customHeight="1">
      <c r="A1064" s="235"/>
      <c r="B1064" s="235"/>
      <c r="C1064" s="13"/>
      <c r="D1064" s="1916"/>
      <c r="E1064" s="1916"/>
      <c r="F1064" s="1916"/>
      <c r="G1064" s="1916"/>
      <c r="H1064" s="1916"/>
      <c r="I1064" s="1916"/>
      <c r="J1064" s="1916"/>
      <c r="K1064" s="1916"/>
      <c r="L1064" s="1916"/>
      <c r="M1064" s="1916"/>
      <c r="N1064" s="1916"/>
      <c r="O1064" s="1916"/>
      <c r="P1064" s="1916"/>
      <c r="Q1064" s="1916"/>
      <c r="R1064" s="1916"/>
      <c r="S1064" s="1916"/>
      <c r="T1064" s="1916"/>
      <c r="U1064" s="1916"/>
      <c r="V1064" s="1916"/>
      <c r="W1064" s="1916"/>
      <c r="X1064" s="1916"/>
      <c r="Y1064" s="1916"/>
      <c r="Z1064" s="1916"/>
      <c r="AA1064" s="1916"/>
      <c r="AB1064" s="1916"/>
      <c r="AC1064" s="1916"/>
      <c r="AD1064" s="1916"/>
      <c r="AE1064" s="1916"/>
      <c r="AF1064" s="1916"/>
      <c r="AG1064" s="1916"/>
      <c r="AH1064" s="1916"/>
      <c r="AI1064" s="1916"/>
      <c r="AJ1064" s="1916"/>
      <c r="AK1064" s="1916"/>
    </row>
    <row r="1065" spans="1:96" ht="12.6" customHeight="1">
      <c r="A1065" s="62"/>
      <c r="B1065" s="66"/>
      <c r="C1065" s="13"/>
      <c r="D1065" s="1916"/>
      <c r="E1065" s="1916"/>
      <c r="F1065" s="1916"/>
      <c r="G1065" s="1916"/>
      <c r="H1065" s="1916"/>
      <c r="I1065" s="1916"/>
      <c r="J1065" s="1916"/>
      <c r="K1065" s="1916"/>
      <c r="L1065" s="1916"/>
      <c r="M1065" s="1916"/>
      <c r="N1065" s="1916"/>
      <c r="O1065" s="1916"/>
      <c r="P1065" s="1916"/>
      <c r="Q1065" s="1916"/>
      <c r="R1065" s="1916"/>
      <c r="S1065" s="1916"/>
      <c r="T1065" s="1916"/>
      <c r="U1065" s="1916"/>
      <c r="V1065" s="1916"/>
      <c r="W1065" s="1916"/>
      <c r="X1065" s="1916"/>
      <c r="Y1065" s="1916"/>
      <c r="Z1065" s="1916"/>
      <c r="AA1065" s="1916"/>
      <c r="AB1065" s="1916"/>
      <c r="AC1065" s="1916"/>
      <c r="AD1065" s="1916"/>
      <c r="AE1065" s="1916"/>
      <c r="AF1065" s="1916"/>
      <c r="AG1065" s="1916"/>
      <c r="AH1065" s="1916"/>
      <c r="AI1065" s="1916"/>
      <c r="AJ1065" s="1916"/>
      <c r="AK1065" s="1916"/>
    </row>
    <row r="1066" spans="1:96" s="681" customFormat="1" ht="12.6" customHeight="1">
      <c r="A1066" s="2050" t="s">
        <v>626</v>
      </c>
      <c r="B1066" s="2050"/>
      <c r="C1066" s="13">
        <v>5</v>
      </c>
      <c r="D1066" s="1916" t="s">
        <v>1417</v>
      </c>
      <c r="E1066" s="1916"/>
      <c r="F1066" s="1916"/>
      <c r="G1066" s="1916"/>
      <c r="H1066" s="1916"/>
      <c r="I1066" s="1916"/>
      <c r="J1066" s="1916"/>
      <c r="K1066" s="1916"/>
      <c r="L1066" s="1916"/>
      <c r="M1066" s="1916"/>
      <c r="N1066" s="1916"/>
      <c r="O1066" s="1916"/>
      <c r="P1066" s="1916"/>
      <c r="Q1066" s="1916"/>
      <c r="R1066" s="1916"/>
      <c r="S1066" s="1916"/>
      <c r="T1066" s="1916"/>
      <c r="U1066" s="1916"/>
      <c r="V1066" s="1916"/>
      <c r="W1066" s="1916"/>
      <c r="X1066" s="1916"/>
      <c r="Y1066" s="1916"/>
      <c r="Z1066" s="1916"/>
      <c r="AA1066" s="1916"/>
      <c r="AB1066" s="1916"/>
      <c r="AC1066" s="1916"/>
      <c r="AD1066" s="1916"/>
      <c r="AE1066" s="1916"/>
      <c r="AF1066" s="1916"/>
      <c r="AG1066" s="1916"/>
      <c r="AH1066" s="1916"/>
      <c r="AI1066" s="1916"/>
      <c r="AJ1066" s="1916"/>
      <c r="AK1066" s="191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16"/>
      <c r="E1067" s="1916"/>
      <c r="F1067" s="1916"/>
      <c r="G1067" s="1916"/>
      <c r="H1067" s="1916"/>
      <c r="I1067" s="1916"/>
      <c r="J1067" s="1916"/>
      <c r="K1067" s="1916"/>
      <c r="L1067" s="1916"/>
      <c r="M1067" s="1916"/>
      <c r="N1067" s="1916"/>
      <c r="O1067" s="1916"/>
      <c r="P1067" s="1916"/>
      <c r="Q1067" s="1916"/>
      <c r="R1067" s="1916"/>
      <c r="S1067" s="1916"/>
      <c r="T1067" s="1916"/>
      <c r="U1067" s="1916"/>
      <c r="V1067" s="1916"/>
      <c r="W1067" s="1916"/>
      <c r="X1067" s="1916"/>
      <c r="Y1067" s="1916"/>
      <c r="Z1067" s="1916"/>
      <c r="AA1067" s="1916"/>
      <c r="AB1067" s="1916"/>
      <c r="AC1067" s="1916"/>
      <c r="AD1067" s="1916"/>
      <c r="AE1067" s="1916"/>
      <c r="AF1067" s="1916"/>
      <c r="AG1067" s="1916"/>
      <c r="AH1067" s="1916"/>
      <c r="AI1067" s="1916"/>
      <c r="AJ1067" s="1916"/>
      <c r="AK1067" s="1916"/>
    </row>
    <row r="1068" spans="1:96" ht="12.6" customHeight="1">
      <c r="A1068" s="235"/>
      <c r="B1068" s="235"/>
      <c r="C1068" s="13"/>
      <c r="D1068" s="1916"/>
      <c r="E1068" s="1916"/>
      <c r="F1068" s="1916"/>
      <c r="G1068" s="1916"/>
      <c r="H1068" s="1916"/>
      <c r="I1068" s="1916"/>
      <c r="J1068" s="1916"/>
      <c r="K1068" s="1916"/>
      <c r="L1068" s="1916"/>
      <c r="M1068" s="1916"/>
      <c r="N1068" s="1916"/>
      <c r="O1068" s="1916"/>
      <c r="P1068" s="1916"/>
      <c r="Q1068" s="1916"/>
      <c r="R1068" s="1916"/>
      <c r="S1068" s="1916"/>
      <c r="T1068" s="1916"/>
      <c r="U1068" s="1916"/>
      <c r="V1068" s="1916"/>
      <c r="W1068" s="1916"/>
      <c r="X1068" s="1916"/>
      <c r="Y1068" s="1916"/>
      <c r="Z1068" s="1916"/>
      <c r="AA1068" s="1916"/>
      <c r="AB1068" s="1916"/>
      <c r="AC1068" s="1916"/>
      <c r="AD1068" s="1916"/>
      <c r="AE1068" s="1916"/>
      <c r="AF1068" s="1916"/>
      <c r="AG1068" s="1916"/>
      <c r="AH1068" s="1916"/>
      <c r="AI1068" s="1916"/>
      <c r="AJ1068" s="1916"/>
      <c r="AK1068" s="1916"/>
    </row>
    <row r="1069" spans="1:96" ht="12.6" customHeight="1">
      <c r="A1069" s="235"/>
      <c r="B1069" s="235"/>
      <c r="C1069" s="13"/>
      <c r="D1069" s="1916"/>
      <c r="E1069" s="1916"/>
      <c r="F1069" s="1916"/>
      <c r="G1069" s="1916"/>
      <c r="H1069" s="1916"/>
      <c r="I1069" s="1916"/>
      <c r="J1069" s="1916"/>
      <c r="K1069" s="1916"/>
      <c r="L1069" s="1916"/>
      <c r="M1069" s="1916"/>
      <c r="N1069" s="1916"/>
      <c r="O1069" s="1916"/>
      <c r="P1069" s="1916"/>
      <c r="Q1069" s="1916"/>
      <c r="R1069" s="1916"/>
      <c r="S1069" s="1916"/>
      <c r="T1069" s="1916"/>
      <c r="U1069" s="1916"/>
      <c r="V1069" s="1916"/>
      <c r="W1069" s="1916"/>
      <c r="X1069" s="1916"/>
      <c r="Y1069" s="1916"/>
      <c r="Z1069" s="1916"/>
      <c r="AA1069" s="1916"/>
      <c r="AB1069" s="1916"/>
      <c r="AC1069" s="1916"/>
      <c r="AD1069" s="1916"/>
      <c r="AE1069" s="1916"/>
      <c r="AF1069" s="1916"/>
      <c r="AG1069" s="1916"/>
      <c r="AH1069" s="1916"/>
      <c r="AI1069" s="1916"/>
      <c r="AJ1069" s="1916"/>
      <c r="AK1069" s="1916"/>
      <c r="AL1069" s="681"/>
    </row>
    <row r="1070" spans="1:96" ht="12.6" customHeight="1">
      <c r="A1070" s="62"/>
      <c r="B1070" s="66"/>
      <c r="C1070" s="13"/>
      <c r="D1070" s="1916"/>
      <c r="E1070" s="1916"/>
      <c r="F1070" s="1916"/>
      <c r="G1070" s="1916"/>
      <c r="H1070" s="1916"/>
      <c r="I1070" s="1916"/>
      <c r="J1070" s="1916"/>
      <c r="K1070" s="1916"/>
      <c r="L1070" s="1916"/>
      <c r="M1070" s="1916"/>
      <c r="N1070" s="1916"/>
      <c r="O1070" s="1916"/>
      <c r="P1070" s="1916"/>
      <c r="Q1070" s="1916"/>
      <c r="R1070" s="1916"/>
      <c r="S1070" s="1916"/>
      <c r="T1070" s="1916"/>
      <c r="U1070" s="1916"/>
      <c r="V1070" s="1916"/>
      <c r="W1070" s="1916"/>
      <c r="X1070" s="1916"/>
      <c r="Y1070" s="1916"/>
      <c r="Z1070" s="1916"/>
      <c r="AA1070" s="1916"/>
      <c r="AB1070" s="1916"/>
      <c r="AC1070" s="1916"/>
      <c r="AD1070" s="1916"/>
      <c r="AE1070" s="1916"/>
      <c r="AF1070" s="1916"/>
      <c r="AG1070" s="1916"/>
      <c r="AH1070" s="1916"/>
      <c r="AI1070" s="1916"/>
      <c r="AJ1070" s="1916"/>
      <c r="AK1070" s="1916"/>
    </row>
    <row r="1071" spans="1:96" ht="12.6" customHeight="1">
      <c r="A1071" s="2050" t="s">
        <v>626</v>
      </c>
      <c r="B1071" s="2050"/>
      <c r="C1071" s="13">
        <v>6</v>
      </c>
      <c r="D1071" s="1916" t="s">
        <v>1209</v>
      </c>
      <c r="E1071" s="1916"/>
      <c r="F1071" s="1916"/>
      <c r="G1071" s="1916"/>
      <c r="H1071" s="1916"/>
      <c r="I1071" s="1916"/>
      <c r="J1071" s="1916"/>
      <c r="K1071" s="1916"/>
      <c r="L1071" s="1916"/>
      <c r="M1071" s="1916"/>
      <c r="N1071" s="1916"/>
      <c r="O1071" s="1916"/>
      <c r="P1071" s="1916"/>
      <c r="Q1071" s="1916"/>
      <c r="R1071" s="1916"/>
      <c r="S1071" s="1916"/>
      <c r="T1071" s="1916"/>
      <c r="U1071" s="1916"/>
      <c r="V1071" s="1916"/>
      <c r="W1071" s="1916"/>
      <c r="X1071" s="1916"/>
      <c r="Y1071" s="1916"/>
      <c r="Z1071" s="1916"/>
      <c r="AA1071" s="1916"/>
      <c r="AB1071" s="1916"/>
      <c r="AC1071" s="1916"/>
      <c r="AD1071" s="1916"/>
      <c r="AE1071" s="1916"/>
      <c r="AF1071" s="1916"/>
      <c r="AG1071" s="1916"/>
      <c r="AH1071" s="1916"/>
      <c r="AI1071" s="1916"/>
      <c r="AJ1071" s="1916"/>
      <c r="AK1071" s="1916"/>
    </row>
    <row r="1072" spans="1:96" ht="12.6" customHeight="1">
      <c r="A1072" s="62"/>
      <c r="B1072" s="317"/>
      <c r="C1072" s="13"/>
      <c r="D1072" s="1916"/>
      <c r="E1072" s="1916"/>
      <c r="F1072" s="1916"/>
      <c r="G1072" s="1916"/>
      <c r="H1072" s="1916"/>
      <c r="I1072" s="1916"/>
      <c r="J1072" s="1916"/>
      <c r="K1072" s="1916"/>
      <c r="L1072" s="1916"/>
      <c r="M1072" s="1916"/>
      <c r="N1072" s="1916"/>
      <c r="O1072" s="1916"/>
      <c r="P1072" s="1916"/>
      <c r="Q1072" s="1916"/>
      <c r="R1072" s="1916"/>
      <c r="S1072" s="1916"/>
      <c r="T1072" s="1916"/>
      <c r="U1072" s="1916"/>
      <c r="V1072" s="1916"/>
      <c r="W1072" s="1916"/>
      <c r="X1072" s="1916"/>
      <c r="Y1072" s="1916"/>
      <c r="Z1072" s="1916"/>
      <c r="AA1072" s="1916"/>
      <c r="AB1072" s="1916"/>
      <c r="AC1072" s="1916"/>
      <c r="AD1072" s="1916"/>
      <c r="AE1072" s="1916"/>
      <c r="AF1072" s="1916"/>
      <c r="AG1072" s="1916"/>
      <c r="AH1072" s="1916"/>
      <c r="AI1072" s="1916"/>
      <c r="AJ1072" s="1916"/>
      <c r="AK1072" s="1916"/>
    </row>
    <row r="1073" spans="1:96" ht="12.6" customHeight="1">
      <c r="A1073" s="62"/>
      <c r="B1073" s="66"/>
      <c r="C1073" s="13"/>
      <c r="D1073" s="1916"/>
      <c r="E1073" s="1916"/>
      <c r="F1073" s="1916"/>
      <c r="G1073" s="1916"/>
      <c r="H1073" s="1916"/>
      <c r="I1073" s="1916"/>
      <c r="J1073" s="1916"/>
      <c r="K1073" s="1916"/>
      <c r="L1073" s="1916"/>
      <c r="M1073" s="1916"/>
      <c r="N1073" s="1916"/>
      <c r="O1073" s="1916"/>
      <c r="P1073" s="1916"/>
      <c r="Q1073" s="1916"/>
      <c r="R1073" s="1916"/>
      <c r="S1073" s="1916"/>
      <c r="T1073" s="1916"/>
      <c r="U1073" s="1916"/>
      <c r="V1073" s="1916"/>
      <c r="W1073" s="1916"/>
      <c r="X1073" s="1916"/>
      <c r="Y1073" s="1916"/>
      <c r="Z1073" s="1916"/>
      <c r="AA1073" s="1916"/>
      <c r="AB1073" s="1916"/>
      <c r="AC1073" s="1916"/>
      <c r="AD1073" s="1916"/>
      <c r="AE1073" s="1916"/>
      <c r="AF1073" s="1916"/>
      <c r="AG1073" s="1916"/>
      <c r="AH1073" s="1916"/>
      <c r="AI1073" s="1916"/>
      <c r="AJ1073" s="1916"/>
      <c r="AK1073" s="1916"/>
    </row>
    <row r="1074" spans="1:96" ht="12.6" customHeight="1">
      <c r="A1074" s="2050" t="s">
        <v>626</v>
      </c>
      <c r="B1074" s="2050"/>
      <c r="C1074" s="318">
        <v>7</v>
      </c>
      <c r="D1074" s="1916" t="s">
        <v>1211</v>
      </c>
      <c r="E1074" s="1916"/>
      <c r="F1074" s="1916"/>
      <c r="G1074" s="1916"/>
      <c r="H1074" s="1916"/>
      <c r="I1074" s="1916"/>
      <c r="J1074" s="1916"/>
      <c r="K1074" s="1916"/>
      <c r="L1074" s="1916"/>
      <c r="M1074" s="1916"/>
      <c r="N1074" s="1916"/>
      <c r="O1074" s="1916"/>
      <c r="P1074" s="1916"/>
      <c r="Q1074" s="1916"/>
      <c r="R1074" s="1916"/>
      <c r="S1074" s="1916"/>
      <c r="T1074" s="1916"/>
      <c r="U1074" s="1916"/>
      <c r="V1074" s="1916"/>
      <c r="W1074" s="1916"/>
      <c r="X1074" s="1916"/>
      <c r="Y1074" s="1916"/>
      <c r="Z1074" s="1916"/>
      <c r="AA1074" s="1916"/>
      <c r="AB1074" s="1916"/>
      <c r="AC1074" s="1916"/>
      <c r="AD1074" s="1916"/>
      <c r="AE1074" s="1916"/>
      <c r="AF1074" s="1916"/>
      <c r="AG1074" s="1916"/>
      <c r="AH1074" s="1916"/>
      <c r="AI1074" s="1916"/>
      <c r="AJ1074" s="1916"/>
      <c r="AK1074" s="1916"/>
      <c r="AL1074" s="32"/>
      <c r="AM1074" s="1510"/>
      <c r="AN1074" s="1510"/>
      <c r="AO1074" s="1510"/>
      <c r="AP1074" s="1510"/>
      <c r="AQ1074" s="1510"/>
      <c r="AR1074" s="1510"/>
      <c r="AS1074" s="1510"/>
      <c r="AT1074" s="1510"/>
      <c r="AU1074" s="1510"/>
      <c r="AV1074" s="1510"/>
      <c r="AW1074" s="1510"/>
      <c r="AX1074" s="1510"/>
      <c r="AY1074" s="1510"/>
    </row>
    <row r="1075" spans="1:96" ht="12.6" customHeight="1">
      <c r="A1075" s="235"/>
      <c r="B1075" s="235"/>
      <c r="C1075" s="319"/>
      <c r="D1075" s="1916"/>
      <c r="E1075" s="1916"/>
      <c r="F1075" s="1916"/>
      <c r="G1075" s="1916"/>
      <c r="H1075" s="1916"/>
      <c r="I1075" s="1916"/>
      <c r="J1075" s="1916"/>
      <c r="K1075" s="1916"/>
      <c r="L1075" s="1916"/>
      <c r="M1075" s="1916"/>
      <c r="N1075" s="1916"/>
      <c r="O1075" s="1916"/>
      <c r="P1075" s="1916"/>
      <c r="Q1075" s="1916"/>
      <c r="R1075" s="1916"/>
      <c r="S1075" s="1916"/>
      <c r="T1075" s="1916"/>
      <c r="U1075" s="1916"/>
      <c r="V1075" s="1916"/>
      <c r="W1075" s="1916"/>
      <c r="X1075" s="1916"/>
      <c r="Y1075" s="1916"/>
      <c r="Z1075" s="1916"/>
      <c r="AA1075" s="1916"/>
      <c r="AB1075" s="1916"/>
      <c r="AC1075" s="1916"/>
      <c r="AD1075" s="1916"/>
      <c r="AE1075" s="1916"/>
      <c r="AF1075" s="1916"/>
      <c r="AG1075" s="1916"/>
      <c r="AH1075" s="1916"/>
      <c r="AI1075" s="1916"/>
      <c r="AJ1075" s="1916"/>
      <c r="AK1075" s="1916"/>
    </row>
    <row r="1076" spans="1:96" ht="12.6" customHeight="1">
      <c r="A1076" s="235"/>
      <c r="B1076" s="235"/>
      <c r="C1076" s="319"/>
      <c r="D1076" s="1916"/>
      <c r="E1076" s="1916"/>
      <c r="F1076" s="1916"/>
      <c r="G1076" s="1916"/>
      <c r="H1076" s="1916"/>
      <c r="I1076" s="1916"/>
      <c r="J1076" s="1916"/>
      <c r="K1076" s="1916"/>
      <c r="L1076" s="1916"/>
      <c r="M1076" s="1916"/>
      <c r="N1076" s="1916"/>
      <c r="O1076" s="1916"/>
      <c r="P1076" s="1916"/>
      <c r="Q1076" s="1916"/>
      <c r="R1076" s="1916"/>
      <c r="S1076" s="1916"/>
      <c r="T1076" s="1916"/>
      <c r="U1076" s="1916"/>
      <c r="V1076" s="1916"/>
      <c r="W1076" s="1916"/>
      <c r="X1076" s="1916"/>
      <c r="Y1076" s="1916"/>
      <c r="Z1076" s="1916"/>
      <c r="AA1076" s="1916"/>
      <c r="AB1076" s="1916"/>
      <c r="AC1076" s="1916"/>
      <c r="AD1076" s="1916"/>
      <c r="AE1076" s="1916"/>
      <c r="AF1076" s="1916"/>
      <c r="AG1076" s="1916"/>
      <c r="AH1076" s="1916"/>
      <c r="AI1076" s="1916"/>
      <c r="AJ1076" s="1916"/>
      <c r="AK1076" s="1916"/>
    </row>
    <row r="1077" spans="1:96" s="681" customFormat="1" ht="12.6" customHeight="1">
      <c r="A1077" s="62"/>
      <c r="B1077" s="66"/>
      <c r="C1077" s="318"/>
      <c r="D1077" s="1916"/>
      <c r="E1077" s="1916"/>
      <c r="F1077" s="1916"/>
      <c r="G1077" s="1916"/>
      <c r="H1077" s="1916"/>
      <c r="I1077" s="1916"/>
      <c r="J1077" s="1916"/>
      <c r="K1077" s="1916"/>
      <c r="L1077" s="1916"/>
      <c r="M1077" s="1916"/>
      <c r="N1077" s="1916"/>
      <c r="O1077" s="1916"/>
      <c r="P1077" s="1916"/>
      <c r="Q1077" s="1916"/>
      <c r="R1077" s="1916"/>
      <c r="S1077" s="1916"/>
      <c r="T1077" s="1916"/>
      <c r="U1077" s="1916"/>
      <c r="V1077" s="1916"/>
      <c r="W1077" s="1916"/>
      <c r="X1077" s="1916"/>
      <c r="Y1077" s="1916"/>
      <c r="Z1077" s="1916"/>
      <c r="AA1077" s="1916"/>
      <c r="AB1077" s="1916"/>
      <c r="AC1077" s="1916"/>
      <c r="AD1077" s="1916"/>
      <c r="AE1077" s="1916"/>
      <c r="AF1077" s="1916"/>
      <c r="AG1077" s="1916"/>
      <c r="AH1077" s="1916"/>
      <c r="AI1077" s="1916"/>
      <c r="AJ1077" s="1916"/>
      <c r="AK1077" s="1916"/>
      <c r="AL1077" s="12"/>
      <c r="AM1077" s="39"/>
      <c r="AN1077" s="39"/>
      <c r="AO1077" s="39"/>
      <c r="AP1077" s="39"/>
      <c r="AQ1077" s="39"/>
      <c r="AR1077" s="39"/>
      <c r="AS1077" s="39"/>
      <c r="AT1077" s="39"/>
      <c r="AU1077" s="39"/>
      <c r="AV1077" s="39"/>
      <c r="AW1077" s="39"/>
      <c r="AX1077" s="39"/>
      <c r="AY1077" s="39"/>
      <c r="CR1077" s="25"/>
    </row>
    <row r="1078" spans="1:96" ht="12.6" customHeight="1">
      <c r="A1078" s="2050" t="s">
        <v>626</v>
      </c>
      <c r="B1078" s="2050"/>
      <c r="C1078" s="318">
        <v>8</v>
      </c>
      <c r="D1078" s="2332" t="s">
        <v>2169</v>
      </c>
      <c r="E1078" s="2332"/>
      <c r="F1078" s="2332"/>
      <c r="G1078" s="2332"/>
      <c r="H1078" s="2332"/>
      <c r="I1078" s="2332"/>
      <c r="J1078" s="2332"/>
      <c r="K1078" s="2332"/>
      <c r="L1078" s="2332"/>
      <c r="M1078" s="2332"/>
      <c r="N1078" s="2332"/>
      <c r="O1078" s="2332"/>
      <c r="P1078" s="2332"/>
      <c r="Q1078" s="2332"/>
      <c r="R1078" s="2332"/>
      <c r="S1078" s="2332"/>
      <c r="T1078" s="2332"/>
      <c r="U1078" s="2332"/>
      <c r="V1078" s="2332"/>
      <c r="W1078" s="2332"/>
      <c r="X1078" s="2332"/>
      <c r="Y1078" s="2332"/>
      <c r="Z1078" s="2332"/>
      <c r="AA1078" s="2332"/>
      <c r="AB1078" s="2332"/>
      <c r="AC1078" s="2332"/>
      <c r="AD1078" s="2332"/>
      <c r="AE1078" s="2332"/>
      <c r="AF1078" s="2332"/>
      <c r="AG1078" s="2332"/>
      <c r="AH1078" s="2332"/>
      <c r="AI1078" s="2332"/>
      <c r="AJ1078" s="2332"/>
      <c r="AK1078" s="2332"/>
    </row>
    <row r="1079" spans="1:96" ht="12.6" customHeight="1">
      <c r="A1079" s="235"/>
      <c r="B1079" s="235"/>
      <c r="C1079" s="318"/>
      <c r="D1079" s="2332"/>
      <c r="E1079" s="2332"/>
      <c r="F1079" s="2332"/>
      <c r="G1079" s="2332"/>
      <c r="H1079" s="2332"/>
      <c r="I1079" s="2332"/>
      <c r="J1079" s="2332"/>
      <c r="K1079" s="2332"/>
      <c r="L1079" s="2332"/>
      <c r="M1079" s="2332"/>
      <c r="N1079" s="2332"/>
      <c r="O1079" s="2332"/>
      <c r="P1079" s="2332"/>
      <c r="Q1079" s="2332"/>
      <c r="R1079" s="2332"/>
      <c r="S1079" s="2332"/>
      <c r="T1079" s="2332"/>
      <c r="U1079" s="2332"/>
      <c r="V1079" s="2332"/>
      <c r="W1079" s="2332"/>
      <c r="X1079" s="2332"/>
      <c r="Y1079" s="2332"/>
      <c r="Z1079" s="2332"/>
      <c r="AA1079" s="2332"/>
      <c r="AB1079" s="2332"/>
      <c r="AC1079" s="2332"/>
      <c r="AD1079" s="2332"/>
      <c r="AE1079" s="2332"/>
      <c r="AF1079" s="2332"/>
      <c r="AG1079" s="2332"/>
      <c r="AH1079" s="2332"/>
      <c r="AI1079" s="2332"/>
      <c r="AJ1079" s="2332"/>
      <c r="AK1079" s="2332"/>
    </row>
    <row r="1080" spans="1:96" ht="12.6" customHeight="1">
      <c r="A1080" s="235"/>
      <c r="B1080" s="235"/>
      <c r="C1080" s="318"/>
      <c r="D1080" s="2332"/>
      <c r="E1080" s="2332"/>
      <c r="F1080" s="2332"/>
      <c r="G1080" s="2332"/>
      <c r="H1080" s="2332"/>
      <c r="I1080" s="2332"/>
      <c r="J1080" s="2332"/>
      <c r="K1080" s="2332"/>
      <c r="L1080" s="2332"/>
      <c r="M1080" s="2332"/>
      <c r="N1080" s="2332"/>
      <c r="O1080" s="2332"/>
      <c r="P1080" s="2332"/>
      <c r="Q1080" s="2332"/>
      <c r="R1080" s="2332"/>
      <c r="S1080" s="2332"/>
      <c r="T1080" s="2332"/>
      <c r="U1080" s="2332"/>
      <c r="V1080" s="2332"/>
      <c r="W1080" s="2332"/>
      <c r="X1080" s="2332"/>
      <c r="Y1080" s="2332"/>
      <c r="Z1080" s="2332"/>
      <c r="AA1080" s="2332"/>
      <c r="AB1080" s="2332"/>
      <c r="AC1080" s="2332"/>
      <c r="AD1080" s="2332"/>
      <c r="AE1080" s="2332"/>
      <c r="AF1080" s="2332"/>
      <c r="AG1080" s="2332"/>
      <c r="AH1080" s="2332"/>
      <c r="AI1080" s="2332"/>
      <c r="AJ1080" s="2332"/>
      <c r="AK1080" s="2332"/>
      <c r="AL1080" s="681"/>
    </row>
    <row r="1081" spans="1:96" ht="12" customHeight="1">
      <c r="A1081" s="62"/>
      <c r="B1081" s="66"/>
      <c r="C1081" s="318"/>
      <c r="D1081" s="2332"/>
      <c r="E1081" s="2332"/>
      <c r="F1081" s="2332"/>
      <c r="G1081" s="2332"/>
      <c r="H1081" s="2332"/>
      <c r="I1081" s="2332"/>
      <c r="J1081" s="2332"/>
      <c r="K1081" s="2332"/>
      <c r="L1081" s="2332"/>
      <c r="M1081" s="2332"/>
      <c r="N1081" s="2332"/>
      <c r="O1081" s="2332"/>
      <c r="P1081" s="2332"/>
      <c r="Q1081" s="2332"/>
      <c r="R1081" s="2332"/>
      <c r="S1081" s="2332"/>
      <c r="T1081" s="2332"/>
      <c r="U1081" s="2332"/>
      <c r="V1081" s="2332"/>
      <c r="W1081" s="2332"/>
      <c r="X1081" s="2332"/>
      <c r="Y1081" s="2332"/>
      <c r="Z1081" s="2332"/>
      <c r="AA1081" s="2332"/>
      <c r="AB1081" s="2332"/>
      <c r="AC1081" s="2332"/>
      <c r="AD1081" s="2332"/>
      <c r="AE1081" s="2332"/>
      <c r="AF1081" s="2332"/>
      <c r="AG1081" s="2332"/>
      <c r="AH1081" s="2332"/>
      <c r="AI1081" s="2332"/>
      <c r="AJ1081" s="2332"/>
      <c r="AK1081" s="2332"/>
    </row>
    <row r="1082" spans="1:96" ht="12.6" customHeight="1">
      <c r="A1082" s="2050" t="s">
        <v>626</v>
      </c>
      <c r="B1082" s="2050"/>
      <c r="C1082" s="318">
        <v>9</v>
      </c>
      <c r="D1082" s="1916" t="s">
        <v>1210</v>
      </c>
      <c r="E1082" s="1916"/>
      <c r="F1082" s="1916"/>
      <c r="G1082" s="1916"/>
      <c r="H1082" s="1916"/>
      <c r="I1082" s="1916"/>
      <c r="J1082" s="1916"/>
      <c r="K1082" s="1916"/>
      <c r="L1082" s="1916"/>
      <c r="M1082" s="1916"/>
      <c r="N1082" s="1916"/>
      <c r="O1082" s="1916"/>
      <c r="P1082" s="1916"/>
      <c r="Q1082" s="1916"/>
      <c r="R1082" s="1916"/>
      <c r="S1082" s="1916"/>
      <c r="T1082" s="1916"/>
      <c r="U1082" s="1916"/>
      <c r="V1082" s="1916"/>
      <c r="W1082" s="1916"/>
      <c r="X1082" s="1916"/>
      <c r="Y1082" s="1916"/>
      <c r="Z1082" s="1916"/>
      <c r="AA1082" s="1916"/>
      <c r="AB1082" s="1916"/>
      <c r="AC1082" s="1916"/>
      <c r="AD1082" s="1916"/>
      <c r="AE1082" s="1916"/>
      <c r="AF1082" s="1916"/>
      <c r="AG1082" s="1916"/>
      <c r="AH1082" s="1916"/>
      <c r="AI1082" s="1916"/>
      <c r="AJ1082" s="1916"/>
      <c r="AK1082" s="1916"/>
    </row>
    <row r="1083" spans="1:96" ht="15" customHeight="1">
      <c r="A1083" s="62"/>
      <c r="B1083" s="66"/>
      <c r="C1083" s="318"/>
      <c r="D1083" s="1916"/>
      <c r="E1083" s="1916"/>
      <c r="F1083" s="1916"/>
      <c r="G1083" s="1916"/>
      <c r="H1083" s="1916"/>
      <c r="I1083" s="1916"/>
      <c r="J1083" s="1916"/>
      <c r="K1083" s="1916"/>
      <c r="L1083" s="1916"/>
      <c r="M1083" s="1916"/>
      <c r="N1083" s="1916"/>
      <c r="O1083" s="1916"/>
      <c r="P1083" s="1916"/>
      <c r="Q1083" s="1916"/>
      <c r="R1083" s="1916"/>
      <c r="S1083" s="1916"/>
      <c r="T1083" s="1916"/>
      <c r="U1083" s="1916"/>
      <c r="V1083" s="1916"/>
      <c r="W1083" s="1916"/>
      <c r="X1083" s="1916"/>
      <c r="Y1083" s="1916"/>
      <c r="Z1083" s="1916"/>
      <c r="AA1083" s="1916"/>
      <c r="AB1083" s="1916"/>
      <c r="AC1083" s="1916"/>
      <c r="AD1083" s="1916"/>
      <c r="AE1083" s="1916"/>
      <c r="AF1083" s="1916"/>
      <c r="AG1083" s="1916"/>
      <c r="AH1083" s="1916"/>
      <c r="AI1083" s="1916"/>
      <c r="AJ1083" s="1916"/>
      <c r="AK1083" s="1916"/>
    </row>
    <row r="1084" spans="1:96" ht="15" customHeight="1">
      <c r="D1084" s="1916"/>
      <c r="E1084" s="1916"/>
      <c r="F1084" s="1916"/>
      <c r="G1084" s="1916"/>
      <c r="H1084" s="1916"/>
      <c r="I1084" s="1916"/>
      <c r="J1084" s="1916"/>
      <c r="K1084" s="1916"/>
      <c r="L1084" s="1916"/>
      <c r="M1084" s="1916"/>
      <c r="N1084" s="1916"/>
      <c r="O1084" s="1916"/>
      <c r="P1084" s="1916"/>
      <c r="Q1084" s="1916"/>
      <c r="R1084" s="1916"/>
      <c r="S1084" s="1916"/>
      <c r="T1084" s="1916"/>
      <c r="U1084" s="1916"/>
      <c r="V1084" s="1916"/>
      <c r="W1084" s="1916"/>
      <c r="X1084" s="1916"/>
      <c r="Y1084" s="1916"/>
      <c r="Z1084" s="1916"/>
      <c r="AA1084" s="1916"/>
      <c r="AB1084" s="1916"/>
      <c r="AC1084" s="1916"/>
      <c r="AD1084" s="1916"/>
      <c r="AE1084" s="1916"/>
      <c r="AF1084" s="1916"/>
      <c r="AG1084" s="1916"/>
      <c r="AH1084" s="1916"/>
      <c r="AI1084" s="1916"/>
      <c r="AJ1084" s="1916"/>
      <c r="AK1084" s="1916"/>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594">
    <mergeCell ref="H16:AJ16"/>
    <mergeCell ref="H18:AJ18"/>
    <mergeCell ref="O153:AH153"/>
    <mergeCell ref="O154:AH154"/>
    <mergeCell ref="O156:AH156"/>
    <mergeCell ref="O159:T159"/>
    <mergeCell ref="O160:T160"/>
    <mergeCell ref="O157:X157"/>
    <mergeCell ref="O158:R158"/>
    <mergeCell ref="I185:AE185"/>
    <mergeCell ref="I189:P189"/>
    <mergeCell ref="S401:U401"/>
    <mergeCell ref="CH655:CL655"/>
    <mergeCell ref="CH656:CL656"/>
    <mergeCell ref="CH657:CL657"/>
    <mergeCell ref="CM655:CQ655"/>
    <mergeCell ref="CM656:CQ656"/>
    <mergeCell ref="CM657:CQ657"/>
    <mergeCell ref="BN655:BR655"/>
    <mergeCell ref="BN656:BR656"/>
    <mergeCell ref="BN657:BR657"/>
    <mergeCell ref="BE615:BF615"/>
    <mergeCell ref="D444:AF444"/>
    <mergeCell ref="B513:H514"/>
    <mergeCell ref="AI615:AK615"/>
    <mergeCell ref="T490:X490"/>
    <mergeCell ref="J386:U386"/>
    <mergeCell ref="AC385:AJ385"/>
    <mergeCell ref="T491:X491"/>
    <mergeCell ref="Q392:U392"/>
    <mergeCell ref="Y491:AC491"/>
    <mergeCell ref="AH521:AK521"/>
    <mergeCell ref="BX655:CB655"/>
    <mergeCell ref="CM644:CQ644"/>
    <mergeCell ref="BS653:BW653"/>
    <mergeCell ref="BS656:BW656"/>
    <mergeCell ref="BS657:BW657"/>
    <mergeCell ref="BS649:BW649"/>
    <mergeCell ref="BS650:BW650"/>
    <mergeCell ref="BX649:CB649"/>
    <mergeCell ref="CH649:CL649"/>
    <mergeCell ref="BN648:BR648"/>
    <mergeCell ref="CH651:CL651"/>
    <mergeCell ref="CC651:CG651"/>
    <mergeCell ref="CH648:CL648"/>
    <mergeCell ref="BS654:BW654"/>
    <mergeCell ref="CM653:CQ653"/>
    <mergeCell ref="BS655:BW655"/>
    <mergeCell ref="CH654:CL654"/>
    <mergeCell ref="CH653:CL653"/>
    <mergeCell ref="BS652:BW652"/>
    <mergeCell ref="AG617:AH617"/>
    <mergeCell ref="O538:AA538"/>
    <mergeCell ref="AH546:AK546"/>
    <mergeCell ref="AH541:AK541"/>
    <mergeCell ref="T563:V563"/>
    <mergeCell ref="AM576:AS576"/>
    <mergeCell ref="AM571:AS571"/>
    <mergeCell ref="AM569:AS569"/>
    <mergeCell ref="Z570:AD570"/>
    <mergeCell ref="Z567:AD567"/>
    <mergeCell ref="AH542:AK542"/>
    <mergeCell ref="AI570:AL570"/>
    <mergeCell ref="BE613:BF613"/>
    <mergeCell ref="BE612:BF612"/>
    <mergeCell ref="N601:O601"/>
    <mergeCell ref="AA583:AK583"/>
    <mergeCell ref="Z604:AK604"/>
    <mergeCell ref="AE565:AH565"/>
    <mergeCell ref="BE614:BF614"/>
    <mergeCell ref="H616:R616"/>
    <mergeCell ref="P615:R615"/>
    <mergeCell ref="T567:V567"/>
    <mergeCell ref="AM563:AS563"/>
    <mergeCell ref="AM567:AS567"/>
    <mergeCell ref="AM564:AS564"/>
    <mergeCell ref="AM572:AS572"/>
    <mergeCell ref="Q563:S563"/>
    <mergeCell ref="AE568:AH568"/>
    <mergeCell ref="AG585:AH585"/>
    <mergeCell ref="AE575:AH575"/>
    <mergeCell ref="W569:Y569"/>
    <mergeCell ref="W570:Y570"/>
    <mergeCell ref="A350:AL351"/>
    <mergeCell ref="AC384:AJ384"/>
    <mergeCell ref="AG376:AH376"/>
    <mergeCell ref="E417:G417"/>
    <mergeCell ref="AD410:AE410"/>
    <mergeCell ref="F426:AH427"/>
    <mergeCell ref="AC522:AF522"/>
    <mergeCell ref="Z579:AK579"/>
    <mergeCell ref="Z572:AD572"/>
    <mergeCell ref="Z573:AD573"/>
    <mergeCell ref="AI575:AL575"/>
    <mergeCell ref="AA608:AK608"/>
    <mergeCell ref="B526:H528"/>
    <mergeCell ref="AI563:AL563"/>
    <mergeCell ref="A556:AS557"/>
    <mergeCell ref="AC553:AF553"/>
    <mergeCell ref="W564:Y564"/>
    <mergeCell ref="W565:Y565"/>
    <mergeCell ref="AC550:AF550"/>
    <mergeCell ref="T570:V570"/>
    <mergeCell ref="G607:L607"/>
    <mergeCell ref="B532:H554"/>
    <mergeCell ref="Q564:S564"/>
    <mergeCell ref="Z582:AE582"/>
    <mergeCell ref="AM575:AS575"/>
    <mergeCell ref="AI565:AL565"/>
    <mergeCell ref="AI572:AL572"/>
    <mergeCell ref="Z568:AD568"/>
    <mergeCell ref="Z569:AD569"/>
    <mergeCell ref="B515:H520"/>
    <mergeCell ref="AA600:AK600"/>
    <mergeCell ref="Z603:AK603"/>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J387:U387"/>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AC768:AG771"/>
    <mergeCell ref="E419:AJ419"/>
    <mergeCell ref="P424:Q424"/>
    <mergeCell ref="I417:K417"/>
    <mergeCell ref="Z431:AA431"/>
    <mergeCell ref="AC455:AF455"/>
    <mergeCell ref="D443:AF443"/>
    <mergeCell ref="S412:T412"/>
    <mergeCell ref="Q567:S567"/>
    <mergeCell ref="Q568:S568"/>
    <mergeCell ref="G598:R598"/>
    <mergeCell ref="G595:R595"/>
    <mergeCell ref="G603:R603"/>
    <mergeCell ref="G588:R588"/>
    <mergeCell ref="G611:R611"/>
    <mergeCell ref="AD1037:AK1037"/>
    <mergeCell ref="AD1035:AK1035"/>
    <mergeCell ref="B1037:Y1037"/>
    <mergeCell ref="D469:V469"/>
    <mergeCell ref="AC889:AH889"/>
    <mergeCell ref="C891:AB891"/>
    <mergeCell ref="C892:AB892"/>
    <mergeCell ref="T774:W774"/>
    <mergeCell ref="T775:W775"/>
    <mergeCell ref="X782:AB785"/>
    <mergeCell ref="X786:AB786"/>
    <mergeCell ref="G590:R590"/>
    <mergeCell ref="M507:P507"/>
    <mergeCell ref="AH507:AK507"/>
    <mergeCell ref="W866:AC866"/>
    <mergeCell ref="AC883:AH883"/>
    <mergeCell ref="Z899:AE899"/>
    <mergeCell ref="W857:AC857"/>
    <mergeCell ref="W861:AC861"/>
    <mergeCell ref="AC773:AG773"/>
    <mergeCell ref="G612:R612"/>
    <mergeCell ref="AD1036:AK1036"/>
    <mergeCell ref="Z598:AK598"/>
    <mergeCell ref="AH513:AK513"/>
    <mergeCell ref="B1034:Y1034"/>
    <mergeCell ref="X791:AB791"/>
    <mergeCell ref="X792:AB792"/>
    <mergeCell ref="AH554:AK554"/>
    <mergeCell ref="W566:Y566"/>
    <mergeCell ref="AI564:AL564"/>
    <mergeCell ref="AI566:AL566"/>
    <mergeCell ref="W568:Y568"/>
    <mergeCell ref="W574:Y574"/>
    <mergeCell ref="Q566:S566"/>
    <mergeCell ref="AC540:AF540"/>
    <mergeCell ref="O541:AA541"/>
    <mergeCell ref="AH538:AK538"/>
    <mergeCell ref="G580:R580"/>
    <mergeCell ref="G581:R581"/>
    <mergeCell ref="AM573:AS573"/>
    <mergeCell ref="AM568:AS568"/>
    <mergeCell ref="AH527:AK527"/>
    <mergeCell ref="AC528:AF528"/>
    <mergeCell ref="T568:V568"/>
    <mergeCell ref="T569:V569"/>
    <mergeCell ref="AH551:AK551"/>
    <mergeCell ref="AE569:AH569"/>
    <mergeCell ref="AI569:AL569"/>
    <mergeCell ref="AE570:AH570"/>
    <mergeCell ref="AC544:AF544"/>
    <mergeCell ref="AC545:AF545"/>
    <mergeCell ref="AH545:AK545"/>
    <mergeCell ref="AH547:AK547"/>
    <mergeCell ref="AI571:AL571"/>
    <mergeCell ref="AE572:AH572"/>
    <mergeCell ref="Z574:AD574"/>
    <mergeCell ref="Z575:AD575"/>
    <mergeCell ref="Z564:AD564"/>
    <mergeCell ref="Z565:AD565"/>
    <mergeCell ref="AC548:AF548"/>
    <mergeCell ref="AC527:AF527"/>
    <mergeCell ref="Q569:S569"/>
    <mergeCell ref="Q570:S570"/>
    <mergeCell ref="Q565:S565"/>
    <mergeCell ref="AH533:AK533"/>
    <mergeCell ref="AC529:AF529"/>
    <mergeCell ref="AC543:AF543"/>
    <mergeCell ref="AH543:AK543"/>
    <mergeCell ref="AH515:AK515"/>
    <mergeCell ref="AH522:AK522"/>
    <mergeCell ref="AI568:AL568"/>
    <mergeCell ref="A478:AL479"/>
    <mergeCell ref="AC536:AF536"/>
    <mergeCell ref="T489:X489"/>
    <mergeCell ref="T484:X485"/>
    <mergeCell ref="Y487:AC487"/>
    <mergeCell ref="O547:AA547"/>
    <mergeCell ref="AH548:AK548"/>
    <mergeCell ref="AH553:AK553"/>
    <mergeCell ref="AC547:AF547"/>
    <mergeCell ref="AE563:AH563"/>
    <mergeCell ref="AH549:AK549"/>
    <mergeCell ref="AC549:AF549"/>
    <mergeCell ref="T565:V565"/>
    <mergeCell ref="T566:V566"/>
    <mergeCell ref="AE564:AH564"/>
    <mergeCell ref="Z566:AD566"/>
    <mergeCell ref="AC533:AF533"/>
    <mergeCell ref="O535:AA535"/>
    <mergeCell ref="AE567:AH567"/>
    <mergeCell ref="AH535:AK535"/>
    <mergeCell ref="AC534:AF534"/>
    <mergeCell ref="Y486:AC486"/>
    <mergeCell ref="C574:P574"/>
    <mergeCell ref="AD494:AH494"/>
    <mergeCell ref="AC514:AF514"/>
    <mergeCell ref="AH512:AK512"/>
    <mergeCell ref="Q501:R502"/>
    <mergeCell ref="AC531:AF531"/>
    <mergeCell ref="AC519:AF519"/>
    <mergeCell ref="AH519:AK519"/>
    <mergeCell ref="AC530:AF530"/>
    <mergeCell ref="AH536:AK536"/>
    <mergeCell ref="AH537:AK537"/>
    <mergeCell ref="AH532:AK532"/>
    <mergeCell ref="T564:V564"/>
    <mergeCell ref="B563:P563"/>
    <mergeCell ref="C570:P570"/>
    <mergeCell ref="AE571:AH571"/>
    <mergeCell ref="AH544:AK544"/>
    <mergeCell ref="T573:V573"/>
    <mergeCell ref="Z571:AD571"/>
    <mergeCell ref="O532:AA532"/>
    <mergeCell ref="AI567:AL567"/>
    <mergeCell ref="AC537:AF537"/>
    <mergeCell ref="AE566:AH566"/>
    <mergeCell ref="AC546:AF546"/>
    <mergeCell ref="AC542:AF542"/>
    <mergeCell ref="C573:P573"/>
    <mergeCell ref="AC539:AF539"/>
    <mergeCell ref="AC535:AF535"/>
    <mergeCell ref="W563:Y563"/>
    <mergeCell ref="AH540:AK540"/>
    <mergeCell ref="AH516:AK516"/>
    <mergeCell ref="AC526:AF526"/>
    <mergeCell ref="BX663:CB663"/>
    <mergeCell ref="CH640:CL640"/>
    <mergeCell ref="CH632:CL632"/>
    <mergeCell ref="CH644:CL644"/>
    <mergeCell ref="BX620:CB620"/>
    <mergeCell ref="BG626:BH626"/>
    <mergeCell ref="BE627:BF627"/>
    <mergeCell ref="BI630:BJ630"/>
    <mergeCell ref="BK630:BL630"/>
    <mergeCell ref="BN630:BR630"/>
    <mergeCell ref="BN658:BR658"/>
    <mergeCell ref="BS658:BW658"/>
    <mergeCell ref="BX658:CB658"/>
    <mergeCell ref="CC658:CG658"/>
    <mergeCell ref="CH658:CL658"/>
    <mergeCell ref="BG634:BH634"/>
    <mergeCell ref="BI634:BJ634"/>
    <mergeCell ref="BN634:BR634"/>
    <mergeCell ref="BN641:BR641"/>
    <mergeCell ref="CH626:CL626"/>
    <mergeCell ref="CH627:CL627"/>
    <mergeCell ref="BI627:BJ627"/>
    <mergeCell ref="BS640:BW640"/>
    <mergeCell ref="BN640:BR640"/>
    <mergeCell ref="BE634:BF634"/>
    <mergeCell ref="BK621:BL621"/>
    <mergeCell ref="BG629:BH629"/>
    <mergeCell ref="CC652:CG652"/>
    <mergeCell ref="CC653:CG653"/>
    <mergeCell ref="CC655:CG655"/>
    <mergeCell ref="CC656:CG656"/>
    <mergeCell ref="CC657:CG657"/>
    <mergeCell ref="AM574:AS574"/>
    <mergeCell ref="Z563:AD563"/>
    <mergeCell ref="AM566:AS566"/>
    <mergeCell ref="B576:AL576"/>
    <mergeCell ref="CC634:CG634"/>
    <mergeCell ref="BX633:CB633"/>
    <mergeCell ref="AI573:AL573"/>
    <mergeCell ref="CC630:CG630"/>
    <mergeCell ref="CC632:CG632"/>
    <mergeCell ref="BX632:CB632"/>
    <mergeCell ref="BN632:BR632"/>
    <mergeCell ref="BS632:BW632"/>
    <mergeCell ref="BG631:BH631"/>
    <mergeCell ref="BI631:BJ631"/>
    <mergeCell ref="BK631:BL631"/>
    <mergeCell ref="AM565:AS565"/>
    <mergeCell ref="AH550:AK550"/>
    <mergeCell ref="AH552:AK552"/>
    <mergeCell ref="AC552:AF552"/>
    <mergeCell ref="AC551:AF551"/>
    <mergeCell ref="AC554:AF554"/>
    <mergeCell ref="W567:Y567"/>
    <mergeCell ref="Z578:AK578"/>
    <mergeCell ref="Z580:AK580"/>
    <mergeCell ref="AM570:AS570"/>
    <mergeCell ref="T571:V571"/>
    <mergeCell ref="T572:V572"/>
    <mergeCell ref="BE610:BF610"/>
    <mergeCell ref="H583:R583"/>
    <mergeCell ref="AG593:AH593"/>
    <mergeCell ref="AI591:AK591"/>
    <mergeCell ref="P599:R599"/>
    <mergeCell ref="AI574:AL574"/>
    <mergeCell ref="AI599:AK599"/>
    <mergeCell ref="BE620:BF620"/>
    <mergeCell ref="BE623:BF623"/>
    <mergeCell ref="CH624:CL624"/>
    <mergeCell ref="AO644:AS644"/>
    <mergeCell ref="BX640:CB640"/>
    <mergeCell ref="BX635:CB635"/>
    <mergeCell ref="CC635:CG635"/>
    <mergeCell ref="CC640:CG640"/>
    <mergeCell ref="BN631:BR631"/>
    <mergeCell ref="BS631:BW631"/>
    <mergeCell ref="BX644:CB644"/>
    <mergeCell ref="CC644:CG644"/>
    <mergeCell ref="CC642:CG642"/>
    <mergeCell ref="CH641:CL641"/>
    <mergeCell ref="BE630:BF630"/>
    <mergeCell ref="BG630:BH630"/>
    <mergeCell ref="BK632:BL632"/>
    <mergeCell ref="BG635:BH635"/>
    <mergeCell ref="BK635:BL635"/>
    <mergeCell ref="BN635:BR635"/>
    <mergeCell ref="BS635:BW635"/>
    <mergeCell ref="BK634:BL634"/>
    <mergeCell ref="BE631:BF631"/>
    <mergeCell ref="BE632:BF632"/>
    <mergeCell ref="BE617:BF617"/>
    <mergeCell ref="BS620:BW620"/>
    <mergeCell ref="CH625:CL625"/>
    <mergeCell ref="BE626:BF626"/>
    <mergeCell ref="BE624:BF624"/>
    <mergeCell ref="BI621:BJ621"/>
    <mergeCell ref="AE574:AH574"/>
    <mergeCell ref="BS641:BW641"/>
    <mergeCell ref="Z587:AK587"/>
    <mergeCell ref="T574:V574"/>
    <mergeCell ref="T575:V575"/>
    <mergeCell ref="BE618:BF618"/>
    <mergeCell ref="BE616:BF616"/>
    <mergeCell ref="BE625:BF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BI629:BJ629"/>
    <mergeCell ref="BK629:BL629"/>
    <mergeCell ref="BG620:BH620"/>
    <mergeCell ref="BI620:BJ620"/>
    <mergeCell ref="BK620:BL620"/>
    <mergeCell ref="BN620:BR620"/>
    <mergeCell ref="BI618:BJ618"/>
    <mergeCell ref="BS623:BW623"/>
    <mergeCell ref="BG617:BH617"/>
    <mergeCell ref="BX621:CB621"/>
    <mergeCell ref="CC621:CG621"/>
    <mergeCell ref="BG621:BH621"/>
    <mergeCell ref="CH621:CL621"/>
    <mergeCell ref="CH622:CL622"/>
    <mergeCell ref="BG619:BH619"/>
    <mergeCell ref="BI625:BJ625"/>
    <mergeCell ref="BK625:BL625"/>
    <mergeCell ref="BG618:BH618"/>
    <mergeCell ref="CC619:CG619"/>
    <mergeCell ref="BE622:BF622"/>
    <mergeCell ref="BE621:BF621"/>
    <mergeCell ref="BG622:BH622"/>
    <mergeCell ref="BK622:BL622"/>
    <mergeCell ref="BG625:BH625"/>
    <mergeCell ref="BN622:BR622"/>
    <mergeCell ref="BN623:BR623"/>
    <mergeCell ref="CC624:CG624"/>
    <mergeCell ref="BE619:BF619"/>
    <mergeCell ref="BS617:BW617"/>
    <mergeCell ref="BK618:BL618"/>
    <mergeCell ref="CM632:CQ632"/>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S630:BW630"/>
    <mergeCell ref="BN625:BR625"/>
    <mergeCell ref="CM625:CQ625"/>
    <mergeCell ref="BS629:BW629"/>
    <mergeCell ref="BN626:BR626"/>
    <mergeCell ref="BK614:BL614"/>
    <mergeCell ref="BK613:BL613"/>
    <mergeCell ref="CH613:CL613"/>
    <mergeCell ref="BS611:BW611"/>
    <mergeCell ref="CH615:CL615"/>
    <mergeCell ref="CM620:CQ620"/>
    <mergeCell ref="CM613:CQ613"/>
    <mergeCell ref="CM614:CQ614"/>
    <mergeCell ref="CM615:CQ615"/>
    <mergeCell ref="CM616:CQ616"/>
    <mergeCell ref="CH620:CL620"/>
    <mergeCell ref="CH609:CL609"/>
    <mergeCell ref="CH610:CL610"/>
    <mergeCell ref="CH611:CL611"/>
    <mergeCell ref="CH616:CL616"/>
    <mergeCell ref="BN617:BR617"/>
    <mergeCell ref="CH617:CL617"/>
    <mergeCell ref="CC616:CG616"/>
    <mergeCell ref="BX616:CB616"/>
    <mergeCell ref="BS616:BW616"/>
    <mergeCell ref="BK616:BL616"/>
    <mergeCell ref="AI582:AK582"/>
    <mergeCell ref="BG609:BH609"/>
    <mergeCell ref="BN610:BR610"/>
    <mergeCell ref="BG610:BH610"/>
    <mergeCell ref="BI610:BJ610"/>
    <mergeCell ref="BK609:BL609"/>
    <mergeCell ref="BX609:CB609"/>
    <mergeCell ref="CC613:CG613"/>
    <mergeCell ref="BN614:BR614"/>
    <mergeCell ref="BN613:BR613"/>
    <mergeCell ref="CM609:CQ609"/>
    <mergeCell ref="CM610:CQ610"/>
    <mergeCell ref="CM611:CQ611"/>
    <mergeCell ref="CM612:CQ612"/>
    <mergeCell ref="CM617:CQ617"/>
    <mergeCell ref="CM618:CQ618"/>
    <mergeCell ref="BI611:BJ611"/>
    <mergeCell ref="BK612:BL612"/>
    <mergeCell ref="BN612:BR612"/>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C618:CG618"/>
    <mergeCell ref="BG613:BH613"/>
    <mergeCell ref="BS609:BW609"/>
    <mergeCell ref="BN616:BR616"/>
    <mergeCell ref="BX612:CB612"/>
    <mergeCell ref="CC612:CG612"/>
    <mergeCell ref="Z607:AE607"/>
    <mergeCell ref="Z605:AK605"/>
    <mergeCell ref="Z591:AE591"/>
    <mergeCell ref="CC609:CG609"/>
    <mergeCell ref="Z596:AK596"/>
    <mergeCell ref="BG611:BH611"/>
    <mergeCell ref="BK611:BL611"/>
    <mergeCell ref="BG612:BH612"/>
    <mergeCell ref="BN611:BR611"/>
    <mergeCell ref="BI612:BJ612"/>
    <mergeCell ref="BG616:BH616"/>
    <mergeCell ref="BI616:BJ616"/>
    <mergeCell ref="BE611:BF611"/>
    <mergeCell ref="AA616:AK616"/>
    <mergeCell ref="BS612:BW612"/>
    <mergeCell ref="CC611:CG611"/>
    <mergeCell ref="BX613:CB613"/>
    <mergeCell ref="CC610:CG610"/>
    <mergeCell ref="BX611:CB611"/>
    <mergeCell ref="BK610:BL610"/>
    <mergeCell ref="BS610:BW610"/>
    <mergeCell ref="BX610:CB610"/>
    <mergeCell ref="Z613:AK613"/>
    <mergeCell ref="BS615:BW615"/>
    <mergeCell ref="BX615:CB615"/>
    <mergeCell ref="CC615:CG615"/>
    <mergeCell ref="Z597:AK597"/>
    <mergeCell ref="T487:X487"/>
    <mergeCell ref="AH514:AK514"/>
    <mergeCell ref="AC515:AF515"/>
    <mergeCell ref="AH531:AK531"/>
    <mergeCell ref="AC511:AK511"/>
    <mergeCell ref="Y488:AC488"/>
    <mergeCell ref="AH518:AK518"/>
    <mergeCell ref="AD487:AH487"/>
    <mergeCell ref="Y489:AC489"/>
    <mergeCell ref="AC538:AF538"/>
    <mergeCell ref="Q505:AK505"/>
    <mergeCell ref="Q499:AK499"/>
    <mergeCell ref="T494:X494"/>
    <mergeCell ref="Y495:AC495"/>
    <mergeCell ref="Y492:AC492"/>
    <mergeCell ref="T493:X493"/>
    <mergeCell ref="AC517:AF517"/>
    <mergeCell ref="AH520:AK520"/>
    <mergeCell ref="AC524:AF524"/>
    <mergeCell ref="AH524:AK524"/>
    <mergeCell ref="AC521:AF521"/>
    <mergeCell ref="AH534:AK534"/>
    <mergeCell ref="AC532:AF532"/>
    <mergeCell ref="AH517:AK517"/>
    <mergeCell ref="Q497:AK497"/>
    <mergeCell ref="AC525:AF525"/>
    <mergeCell ref="AH525:AK525"/>
    <mergeCell ref="AH530:AK530"/>
    <mergeCell ref="AH526:AK526"/>
    <mergeCell ref="AH528:AK528"/>
    <mergeCell ref="AC513:AF513"/>
    <mergeCell ref="Q503:AK503"/>
    <mergeCell ref="AC541:AF541"/>
    <mergeCell ref="AH539:AK539"/>
    <mergeCell ref="O544:AA544"/>
    <mergeCell ref="Y493:AC493"/>
    <mergeCell ref="G589:R589"/>
    <mergeCell ref="Z581:AK581"/>
    <mergeCell ref="C575:P575"/>
    <mergeCell ref="AH529:AK529"/>
    <mergeCell ref="AD484:AH485"/>
    <mergeCell ref="B501:P502"/>
    <mergeCell ref="AC518:AF518"/>
    <mergeCell ref="AG400:AJ400"/>
    <mergeCell ref="AG438:AJ438"/>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15:L615"/>
    <mergeCell ref="Z623:AE623"/>
    <mergeCell ref="G604:R604"/>
    <mergeCell ref="Z588:AK588"/>
    <mergeCell ref="G587:R587"/>
    <mergeCell ref="AE401:AJ401"/>
    <mergeCell ref="K403:AJ403"/>
    <mergeCell ref="W468:Y468"/>
    <mergeCell ref="I391:N391"/>
    <mergeCell ref="H413:AE414"/>
    <mergeCell ref="Q393:U393"/>
    <mergeCell ref="D437:AF437"/>
    <mergeCell ref="D438:AF438"/>
    <mergeCell ref="AG378:AH378"/>
    <mergeCell ref="AC516:AF516"/>
    <mergeCell ref="AC520:AF520"/>
    <mergeCell ref="AG441:AJ441"/>
    <mergeCell ref="AG440:AJ440"/>
    <mergeCell ref="D441:AF441"/>
    <mergeCell ref="T486:X486"/>
    <mergeCell ref="W417:Y417"/>
    <mergeCell ref="D447:AF447"/>
    <mergeCell ref="AG444:AJ444"/>
    <mergeCell ref="AG445:AJ445"/>
    <mergeCell ref="D439:AF439"/>
    <mergeCell ref="AG437:AJ437"/>
    <mergeCell ref="AE423:AF423"/>
    <mergeCell ref="I420:K420"/>
    <mergeCell ref="Y484:AC485"/>
    <mergeCell ref="D466:V466"/>
    <mergeCell ref="AE424:AF424"/>
    <mergeCell ref="D467:V467"/>
    <mergeCell ref="N370:Q370"/>
    <mergeCell ref="V381:W381"/>
    <mergeCell ref="AF417:AH417"/>
    <mergeCell ref="D449:AF449"/>
    <mergeCell ref="D450:AJ451"/>
    <mergeCell ref="W469:Y469"/>
    <mergeCell ref="AD492:AH492"/>
    <mergeCell ref="AC512:AF512"/>
    <mergeCell ref="W464:Y464"/>
    <mergeCell ref="T492:X492"/>
    <mergeCell ref="T495:X495"/>
    <mergeCell ref="D470:V470"/>
    <mergeCell ref="AG390:AJ390"/>
    <mergeCell ref="N372:AF373"/>
    <mergeCell ref="D445:AF445"/>
    <mergeCell ref="D446:AF446"/>
    <mergeCell ref="AG448:AJ448"/>
    <mergeCell ref="D464:V464"/>
    <mergeCell ref="W467:Y467"/>
    <mergeCell ref="AG446:AJ446"/>
    <mergeCell ref="D405:AJ406"/>
    <mergeCell ref="S404:AJ404"/>
    <mergeCell ref="AG447:AJ447"/>
    <mergeCell ref="AD486:AH486"/>
    <mergeCell ref="Y490:AC490"/>
    <mergeCell ref="AD488:AH488"/>
    <mergeCell ref="Q428:R428"/>
    <mergeCell ref="AG442:AJ442"/>
    <mergeCell ref="AG443:AJ443"/>
    <mergeCell ref="AC453:AF453"/>
    <mergeCell ref="Z433:AA433"/>
    <mergeCell ref="AD411:AE411"/>
    <mergeCell ref="D436:AF436"/>
    <mergeCell ref="D448:AF448"/>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H315:M315"/>
    <mergeCell ref="AI322:AK322"/>
    <mergeCell ref="AA319:AK319"/>
    <mergeCell ref="AA336:AK336"/>
    <mergeCell ref="H326:R326"/>
    <mergeCell ref="AA332:AK332"/>
    <mergeCell ref="H338:M338"/>
    <mergeCell ref="AA316:AK316"/>
    <mergeCell ref="L279:AD279"/>
    <mergeCell ref="AA291:AF291"/>
    <mergeCell ref="AB275:AD275"/>
    <mergeCell ref="Y277:AD277"/>
    <mergeCell ref="AA294:AK294"/>
    <mergeCell ref="L274:AD274"/>
    <mergeCell ref="H289:R289"/>
    <mergeCell ref="L278:AD278"/>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I290:AK290"/>
    <mergeCell ref="H291:M291"/>
    <mergeCell ref="AA292:AK292"/>
    <mergeCell ref="L276:AD276"/>
    <mergeCell ref="T277:V277"/>
    <mergeCell ref="M242:AE242"/>
    <mergeCell ref="AI314:AK314"/>
    <mergeCell ref="M258:AE258"/>
    <mergeCell ref="AA256:AK256"/>
    <mergeCell ref="AA303:AK303"/>
    <mergeCell ref="AA237:AK237"/>
    <mergeCell ref="AA307:AF307"/>
    <mergeCell ref="AA311:AK311"/>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H287:R287"/>
    <mergeCell ref="AA289:AK289"/>
    <mergeCell ref="AI298:AK298"/>
    <mergeCell ref="H313:R313"/>
    <mergeCell ref="AI306:AK306"/>
    <mergeCell ref="M256:T256"/>
    <mergeCell ref="M255:AE255"/>
    <mergeCell ref="AF258:AK258"/>
    <mergeCell ref="AC260:AE260"/>
    <mergeCell ref="M260:T260"/>
    <mergeCell ref="W260:X260"/>
    <mergeCell ref="U262:W262"/>
    <mergeCell ref="AH253:AK253"/>
    <mergeCell ref="AH261:AK261"/>
    <mergeCell ref="M262:R262"/>
    <mergeCell ref="M264:T264"/>
    <mergeCell ref="H294:R294"/>
    <mergeCell ref="H295:R295"/>
    <mergeCell ref="V275:W275"/>
    <mergeCell ref="H288:R288"/>
    <mergeCell ref="H290:M290"/>
    <mergeCell ref="AA298:AF298"/>
    <mergeCell ref="AA286:AK286"/>
    <mergeCell ref="T266:X266"/>
    <mergeCell ref="A169:AL170"/>
    <mergeCell ref="H297:R297"/>
    <mergeCell ref="T189:AE189"/>
    <mergeCell ref="T194:U194"/>
    <mergeCell ref="E187:AE188"/>
    <mergeCell ref="Y198:Z198"/>
    <mergeCell ref="AF250:AK250"/>
    <mergeCell ref="M243:AE243"/>
    <mergeCell ref="M252:T252"/>
    <mergeCell ref="M253:AE253"/>
    <mergeCell ref="M254:R254"/>
    <mergeCell ref="P204:U204"/>
    <mergeCell ref="M238:AE238"/>
    <mergeCell ref="X176:Y176"/>
    <mergeCell ref="X180:Y180"/>
    <mergeCell ref="AC244:AE244"/>
    <mergeCell ref="M245:AE245"/>
    <mergeCell ref="J173:S173"/>
    <mergeCell ref="AH196:AI196"/>
    <mergeCell ref="H319:R319"/>
    <mergeCell ref="A21:AL21"/>
    <mergeCell ref="F150:T150"/>
    <mergeCell ref="C124:K124"/>
    <mergeCell ref="W244:X244"/>
    <mergeCell ref="U246:W246"/>
    <mergeCell ref="M236:AE236"/>
    <mergeCell ref="AI226:AJ226"/>
    <mergeCell ref="I190:N190"/>
    <mergeCell ref="H296:R296"/>
    <mergeCell ref="U175:V175"/>
    <mergeCell ref="I184:AE184"/>
    <mergeCell ref="AI178:AK178"/>
    <mergeCell ref="J174:Z174"/>
    <mergeCell ref="M233:T233"/>
    <mergeCell ref="W233:X233"/>
    <mergeCell ref="M263:AE263"/>
    <mergeCell ref="AA264:AK264"/>
    <mergeCell ref="T190:AE190"/>
    <mergeCell ref="M231:AK231"/>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10:AL10"/>
    <mergeCell ref="D203:M203"/>
    <mergeCell ref="P203:U203"/>
    <mergeCell ref="A20:AL20"/>
    <mergeCell ref="AH194:AI194"/>
    <mergeCell ref="AH195:AI195"/>
    <mergeCell ref="U176:V176"/>
    <mergeCell ref="Y126:AK126"/>
    <mergeCell ref="AC252:AE252"/>
    <mergeCell ref="M248:T248"/>
    <mergeCell ref="W252:X252"/>
    <mergeCell ref="M250:AE250"/>
    <mergeCell ref="AA248:AK248"/>
    <mergeCell ref="M246:R246"/>
    <mergeCell ref="M251:AE251"/>
    <mergeCell ref="Y132:AK132"/>
    <mergeCell ref="A11:AL11"/>
    <mergeCell ref="O155:AH155"/>
    <mergeCell ref="AI228:AJ228"/>
    <mergeCell ref="M235:R235"/>
    <mergeCell ref="Z235:AE235"/>
    <mergeCell ref="A221:AL222"/>
    <mergeCell ref="M237:T237"/>
    <mergeCell ref="Z203:AF205"/>
    <mergeCell ref="A12:AL12"/>
    <mergeCell ref="G122:H122"/>
    <mergeCell ref="L122:N122"/>
    <mergeCell ref="Y129:AK129"/>
    <mergeCell ref="M26:Q26"/>
    <mergeCell ref="O161:AH161"/>
    <mergeCell ref="D164:AH164"/>
    <mergeCell ref="W159:X159"/>
    <mergeCell ref="AA337:AK337"/>
    <mergeCell ref="P342:AE342"/>
    <mergeCell ref="H320:R320"/>
    <mergeCell ref="H321:R321"/>
    <mergeCell ref="AA330:AF330"/>
    <mergeCell ref="S376:T376"/>
    <mergeCell ref="AG394:AJ394"/>
    <mergeCell ref="AI391:AJ391"/>
    <mergeCell ref="AG392:AJ392"/>
    <mergeCell ref="AA334:AK334"/>
    <mergeCell ref="H327:R327"/>
    <mergeCell ref="Y363:Z363"/>
    <mergeCell ref="Q364:AG364"/>
    <mergeCell ref="J366:K366"/>
    <mergeCell ref="P348:AE348"/>
    <mergeCell ref="AC369:AF369"/>
    <mergeCell ref="P347:Z347"/>
    <mergeCell ref="AA322:AF322"/>
    <mergeCell ref="P322:R322"/>
    <mergeCell ref="H322:M322"/>
    <mergeCell ref="AA340:AK340"/>
    <mergeCell ref="M354:N354"/>
    <mergeCell ref="AG389:AJ389"/>
    <mergeCell ref="J384:U384"/>
    <mergeCell ref="V380:W380"/>
    <mergeCell ref="AC346:AE346"/>
    <mergeCell ref="AA321:AK321"/>
    <mergeCell ref="H335:R335"/>
    <mergeCell ref="AG379:AH379"/>
    <mergeCell ref="N377:P377"/>
    <mergeCell ref="AG393:AJ393"/>
    <mergeCell ref="AJ354:AK354"/>
    <mergeCell ref="AE704:AF704"/>
    <mergeCell ref="G661:R661"/>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B529:H531"/>
    <mergeCell ref="Q498:AK498"/>
    <mergeCell ref="L520:AB520"/>
    <mergeCell ref="Y494:AC494"/>
    <mergeCell ref="P423:Q423"/>
    <mergeCell ref="Q504:AK504"/>
    <mergeCell ref="AD493:AH493"/>
    <mergeCell ref="H340:R340"/>
    <mergeCell ref="H337:R337"/>
    <mergeCell ref="AA324:AK324"/>
    <mergeCell ref="J795:N795"/>
    <mergeCell ref="O795:S795"/>
    <mergeCell ref="O796:S796"/>
    <mergeCell ref="T792:W792"/>
    <mergeCell ref="Z657:AE657"/>
    <mergeCell ref="G685:R685"/>
    <mergeCell ref="AA658:AK658"/>
    <mergeCell ref="H658:R658"/>
    <mergeCell ref="G657:L657"/>
    <mergeCell ref="P657:R657"/>
    <mergeCell ref="AI657:AK657"/>
    <mergeCell ref="T729:X729"/>
    <mergeCell ref="T730:X730"/>
    <mergeCell ref="K736:N736"/>
    <mergeCell ref="AM738:AO738"/>
    <mergeCell ref="K729:N729"/>
    <mergeCell ref="N659:O659"/>
    <mergeCell ref="AE708:AI708"/>
    <mergeCell ref="G670:R670"/>
    <mergeCell ref="T731:X731"/>
    <mergeCell ref="N683:O683"/>
    <mergeCell ref="G662:R662"/>
    <mergeCell ref="Z689:AE689"/>
    <mergeCell ref="AA682:AK682"/>
    <mergeCell ref="AA674:AK674"/>
    <mergeCell ref="Z694:AK694"/>
    <mergeCell ref="H690:R690"/>
    <mergeCell ref="Z680:AK680"/>
    <mergeCell ref="G688:R688"/>
    <mergeCell ref="G697:L697"/>
    <mergeCell ref="AG699:AH699"/>
    <mergeCell ref="AE703:AF703"/>
    <mergeCell ref="Z697:AE697"/>
    <mergeCell ref="G694:R694"/>
    <mergeCell ref="H674:R674"/>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O745:S745"/>
    <mergeCell ref="G749:J749"/>
    <mergeCell ref="G748:J748"/>
    <mergeCell ref="G747:J747"/>
    <mergeCell ref="G745:J745"/>
    <mergeCell ref="G746:J746"/>
    <mergeCell ref="Y821:AB822"/>
    <mergeCell ref="AC745:AG745"/>
    <mergeCell ref="AC746:AG746"/>
    <mergeCell ref="AC747:AG747"/>
    <mergeCell ref="O790:S790"/>
    <mergeCell ref="Z815:AE815"/>
    <mergeCell ref="Q821:T822"/>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J778:K778"/>
    <mergeCell ref="J786:N786"/>
    <mergeCell ref="J776:N776"/>
    <mergeCell ref="U823:X823"/>
    <mergeCell ref="Q825:T825"/>
    <mergeCell ref="U825:X825"/>
    <mergeCell ref="Y824:AB824"/>
    <mergeCell ref="AC824:AF824"/>
    <mergeCell ref="T772:W772"/>
    <mergeCell ref="AC825:AF825"/>
    <mergeCell ref="AC776:AG776"/>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X772:AB772"/>
    <mergeCell ref="AC774:AG774"/>
    <mergeCell ref="AC782:AG785"/>
    <mergeCell ref="X793:AB793"/>
    <mergeCell ref="T795:W795"/>
    <mergeCell ref="X773:AB773"/>
    <mergeCell ref="Z807:AE807"/>
    <mergeCell ref="Q824:T824"/>
    <mergeCell ref="AC794:AG794"/>
    <mergeCell ref="M824:P8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742:F742"/>
    <mergeCell ref="B735:F735"/>
    <mergeCell ref="B734:F734"/>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AC734:AG734"/>
    <mergeCell ref="AC730:AG730"/>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U928:Z928"/>
    <mergeCell ref="AG821:AJ822"/>
    <mergeCell ref="W852:AC852"/>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R715:T715"/>
    <mergeCell ref="G728:J728"/>
    <mergeCell ref="W713:AK713"/>
    <mergeCell ref="K728:N728"/>
    <mergeCell ref="M859:V859"/>
    <mergeCell ref="W869:AC86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C731:AG731"/>
    <mergeCell ref="T724:X727"/>
    <mergeCell ref="AC724:AG727"/>
    <mergeCell ref="J788:N788"/>
    <mergeCell ref="O788:S788"/>
    <mergeCell ref="AH745:AL745"/>
    <mergeCell ref="AH746:AL746"/>
    <mergeCell ref="O793:S793"/>
    <mergeCell ref="J790:N790"/>
    <mergeCell ref="Y748:AB748"/>
    <mergeCell ref="AI673:AK673"/>
    <mergeCell ref="Z671:AK671"/>
    <mergeCell ref="Z679:AK679"/>
    <mergeCell ref="G663:R663"/>
    <mergeCell ref="AO646:AS646"/>
    <mergeCell ref="AO637:AS63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G654:R654"/>
    <mergeCell ref="Z655:AK655"/>
    <mergeCell ref="G653:R653"/>
    <mergeCell ref="CC620:CG620"/>
    <mergeCell ref="BS621:BW621"/>
    <mergeCell ref="BN621:BR621"/>
    <mergeCell ref="BI617:BJ617"/>
    <mergeCell ref="BN615:BR615"/>
    <mergeCell ref="DR622:DV622"/>
    <mergeCell ref="CS621:CW621"/>
    <mergeCell ref="CX621:DB621"/>
    <mergeCell ref="CS622:CW622"/>
    <mergeCell ref="AO649:AS649"/>
    <mergeCell ref="BI619:BJ619"/>
    <mergeCell ref="BG623:BH623"/>
    <mergeCell ref="CC627:CG627"/>
    <mergeCell ref="BN628:BR628"/>
    <mergeCell ref="BG628:BH628"/>
    <mergeCell ref="BI628:BJ628"/>
    <mergeCell ref="AO648:AS648"/>
    <mergeCell ref="AO639:AS639"/>
    <mergeCell ref="AO634:AS636"/>
    <mergeCell ref="BX623:CB623"/>
    <mergeCell ref="CC623:CG623"/>
    <mergeCell ref="BK623:BL623"/>
    <mergeCell ref="BN619:BR619"/>
    <mergeCell ref="BI623:BJ623"/>
    <mergeCell ref="CH630:CL630"/>
    <mergeCell ref="BK624:BL624"/>
    <mergeCell ref="BN624:BR624"/>
    <mergeCell ref="CM623:CQ623"/>
    <mergeCell ref="CM624:CQ624"/>
    <mergeCell ref="CH623:CL623"/>
    <mergeCell ref="BI624:BJ624"/>
    <mergeCell ref="BG624:BH624"/>
    <mergeCell ref="BX630:CB630"/>
    <mergeCell ref="BE629:BF629"/>
    <mergeCell ref="BS619:BW619"/>
    <mergeCell ref="CH619:CL619"/>
    <mergeCell ref="CM619:CQ619"/>
    <mergeCell ref="G582:L582"/>
    <mergeCell ref="G597:R597"/>
    <mergeCell ref="U642:W642"/>
    <mergeCell ref="AO640:AS640"/>
    <mergeCell ref="DM613:DQ613"/>
    <mergeCell ref="G620:R620"/>
    <mergeCell ref="BS613:BW613"/>
    <mergeCell ref="BI622:BJ622"/>
    <mergeCell ref="BG614:BH614"/>
    <mergeCell ref="BI614:BJ614"/>
    <mergeCell ref="CC622:CG622"/>
    <mergeCell ref="BK627:BL627"/>
    <mergeCell ref="BI626:BJ626"/>
    <mergeCell ref="BK626:BL626"/>
    <mergeCell ref="BS624:BW624"/>
    <mergeCell ref="BX624:CB624"/>
    <mergeCell ref="BS622:BW622"/>
    <mergeCell ref="BX622:CB622"/>
    <mergeCell ref="BX627:CB627"/>
    <mergeCell ref="BS626:BW626"/>
    <mergeCell ref="AK640:AN640"/>
    <mergeCell ref="CS620:CW620"/>
    <mergeCell ref="CX615:DB615"/>
    <mergeCell ref="DC618:DG618"/>
    <mergeCell ref="DH618:DL618"/>
    <mergeCell ref="DM622:DQ622"/>
    <mergeCell ref="BI613:BJ613"/>
    <mergeCell ref="BG615:BH615"/>
    <mergeCell ref="BI615:BJ615"/>
    <mergeCell ref="BK615:BL615"/>
    <mergeCell ref="CM621:CQ621"/>
    <mergeCell ref="CM622:CQ622"/>
    <mergeCell ref="H624:R624"/>
    <mergeCell ref="AP204:AQ204"/>
    <mergeCell ref="CH629:CL629"/>
    <mergeCell ref="O634:Q636"/>
    <mergeCell ref="R634:T636"/>
    <mergeCell ref="B634:N636"/>
    <mergeCell ref="C638:N638"/>
    <mergeCell ref="C639:N639"/>
    <mergeCell ref="C640:N640"/>
    <mergeCell ref="C641:N641"/>
    <mergeCell ref="C642:N642"/>
    <mergeCell ref="H334:R334"/>
    <mergeCell ref="M357:N357"/>
    <mergeCell ref="P417:R417"/>
    <mergeCell ref="P343:AE343"/>
    <mergeCell ref="AI330:AK330"/>
    <mergeCell ref="AF639:AJ639"/>
    <mergeCell ref="AF640:AJ640"/>
    <mergeCell ref="BX619:CB619"/>
    <mergeCell ref="BK619:BL619"/>
    <mergeCell ref="AK639:AN639"/>
    <mergeCell ref="AF638:AJ638"/>
    <mergeCell ref="AF641:AJ641"/>
    <mergeCell ref="AF642:AJ642"/>
    <mergeCell ref="Z612:AK612"/>
    <mergeCell ref="AF637:AJ637"/>
    <mergeCell ref="P345:AE345"/>
    <mergeCell ref="H330:M330"/>
    <mergeCell ref="Q390:U390"/>
    <mergeCell ref="AD376:AE376"/>
    <mergeCell ref="J385:U385"/>
    <mergeCell ref="O639:Q639"/>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18:AK318"/>
    <mergeCell ref="P338:R338"/>
    <mergeCell ref="N362:O362"/>
    <mergeCell ref="S391:U391"/>
    <mergeCell ref="M356:N356"/>
    <mergeCell ref="R410:S410"/>
    <mergeCell ref="Q388:U388"/>
    <mergeCell ref="P346:Z346"/>
    <mergeCell ref="AJ356:AK356"/>
    <mergeCell ref="AA329:AK329"/>
    <mergeCell ref="CS612:CW612"/>
    <mergeCell ref="CX612:DB612"/>
    <mergeCell ref="DC612:DG612"/>
    <mergeCell ref="DH612:DL612"/>
    <mergeCell ref="P344:AE344"/>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S614:CW614"/>
    <mergeCell ref="CX614:DB614"/>
    <mergeCell ref="DR610:DV610"/>
    <mergeCell ref="CS609:CW609"/>
    <mergeCell ref="DC611:DG611"/>
    <mergeCell ref="DM611:DQ611"/>
    <mergeCell ref="DR613:DV613"/>
    <mergeCell ref="W575:Y575"/>
    <mergeCell ref="DM614:DQ614"/>
    <mergeCell ref="CS623:CW623"/>
    <mergeCell ref="DC623:DG623"/>
    <mergeCell ref="DR611:DV611"/>
    <mergeCell ref="DM612:DQ612"/>
    <mergeCell ref="DC609:DG609"/>
    <mergeCell ref="CX611:DB611"/>
    <mergeCell ref="DM616:DQ616"/>
    <mergeCell ref="DR616:DV616"/>
    <mergeCell ref="DH609:DL609"/>
    <mergeCell ref="CX622:DB622"/>
    <mergeCell ref="DC622:DG622"/>
    <mergeCell ref="DH622:DL622"/>
    <mergeCell ref="DC621:DG621"/>
    <mergeCell ref="DM623:DQ623"/>
    <mergeCell ref="DR623:DV623"/>
    <mergeCell ref="DH619:DL619"/>
    <mergeCell ref="DM621:DQ621"/>
    <mergeCell ref="DR621:DV621"/>
    <mergeCell ref="CX620:DB620"/>
    <mergeCell ref="DC620:DG620"/>
    <mergeCell ref="DH620:DL620"/>
    <mergeCell ref="DM619:DQ619"/>
    <mergeCell ref="DR619:DV619"/>
    <mergeCell ref="DM620:DQ620"/>
    <mergeCell ref="DR620:DV620"/>
    <mergeCell ref="CX613:DB613"/>
    <mergeCell ref="DR618:DV618"/>
    <mergeCell ref="DC619:DG619"/>
    <mergeCell ref="DM618:DQ618"/>
    <mergeCell ref="DH621:DL621"/>
    <mergeCell ref="CX623:DB623"/>
    <mergeCell ref="DR612:DV612"/>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7:DQ627"/>
    <mergeCell ref="DM628:DQ628"/>
    <mergeCell ref="DR628:DV628"/>
    <mergeCell ref="CX627:DB627"/>
    <mergeCell ref="DC627:DG627"/>
    <mergeCell ref="DH627:DL627"/>
    <mergeCell ref="DH626:DL626"/>
    <mergeCell ref="DC625:DG625"/>
    <mergeCell ref="DR629:DV629"/>
    <mergeCell ref="CX629:DB629"/>
    <mergeCell ref="DH625:DL625"/>
    <mergeCell ref="DM629:DQ629"/>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644:N644"/>
    <mergeCell ref="AK644:AN644"/>
    <mergeCell ref="O640:Q640"/>
    <mergeCell ref="O641:Q641"/>
    <mergeCell ref="G664:R66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1078:B1078"/>
    <mergeCell ref="G743:J743"/>
    <mergeCell ref="A1071:B1071"/>
    <mergeCell ref="X1035:AC1035"/>
    <mergeCell ref="BD905:BE905"/>
    <mergeCell ref="Z898:AE898"/>
    <mergeCell ref="X1036:AC1036"/>
    <mergeCell ref="AM741:AO741"/>
    <mergeCell ref="AE944:AK944"/>
    <mergeCell ref="AE945:AK945"/>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04:AE804"/>
    <mergeCell ref="Z805:AE805"/>
    <mergeCell ref="AM742:AO742"/>
    <mergeCell ref="W860:AC860"/>
    <mergeCell ref="W847:AC847"/>
    <mergeCell ref="U827:X827"/>
    <mergeCell ref="Y746:AB746"/>
    <mergeCell ref="AF755:AH755"/>
    <mergeCell ref="AG824:AJ824"/>
    <mergeCell ref="AG823:AJ823"/>
    <mergeCell ref="AC793:AG793"/>
    <mergeCell ref="M869:V869"/>
    <mergeCell ref="M829:P829"/>
    <mergeCell ref="Q823:T823"/>
    <mergeCell ref="O734:S734"/>
    <mergeCell ref="AM740:AO740"/>
    <mergeCell ref="Z812:AE812"/>
    <mergeCell ref="W843:AC843"/>
    <mergeCell ref="AM733:AO733"/>
    <mergeCell ref="AM729:AO729"/>
    <mergeCell ref="AC728:AG728"/>
    <mergeCell ref="G686:R686"/>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O730:S730"/>
    <mergeCell ref="AM728:AO728"/>
    <mergeCell ref="AM732:AO732"/>
    <mergeCell ref="Y731:AB731"/>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G680:R680"/>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C645:N645"/>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N675:O675"/>
    <mergeCell ref="T742:X742"/>
    <mergeCell ref="T743:X743"/>
    <mergeCell ref="T744:X744"/>
    <mergeCell ref="AH728:AL728"/>
    <mergeCell ref="G739:J739"/>
    <mergeCell ref="J787:N787"/>
    <mergeCell ref="T745:X745"/>
    <mergeCell ref="T746:X746"/>
    <mergeCell ref="O740:S740"/>
    <mergeCell ref="O741:S741"/>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J774:N774"/>
    <mergeCell ref="AC751:AG751"/>
    <mergeCell ref="AC752:AG752"/>
    <mergeCell ref="AJ972:AQ972"/>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H750:AL750"/>
    <mergeCell ref="AH751:AL751"/>
    <mergeCell ref="AH747:AL747"/>
    <mergeCell ref="AC750:AG750"/>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H644:EL644"/>
    <mergeCell ref="EM644:EQ644"/>
    <mergeCell ref="ER644:EV644"/>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M655:EQ655"/>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ER661:EV661"/>
    <mergeCell ref="O644:Q644"/>
    <mergeCell ref="O638:Q638"/>
    <mergeCell ref="AO642:AS642"/>
    <mergeCell ref="DM635:DQ635"/>
    <mergeCell ref="DC634:DG634"/>
    <mergeCell ref="DM634:DQ634"/>
    <mergeCell ref="DH634:DL634"/>
    <mergeCell ref="DR634:DV634"/>
    <mergeCell ref="O642:Q642"/>
    <mergeCell ref="DR635:DV635"/>
    <mergeCell ref="U638:W638"/>
    <mergeCell ref="U639:W639"/>
    <mergeCell ref="EC646:EG646"/>
    <mergeCell ref="EH646:EL646"/>
    <mergeCell ref="EM646:EQ646"/>
    <mergeCell ref="DX640:EB640"/>
    <mergeCell ref="EC640:EG640"/>
    <mergeCell ref="EH640:EL640"/>
    <mergeCell ref="EH643:EL643"/>
    <mergeCell ref="EM643:EQ643"/>
    <mergeCell ref="DX642:EB642"/>
    <mergeCell ref="EC642:EG642"/>
    <mergeCell ref="EH642:EL642"/>
    <mergeCell ref="EM642:EQ642"/>
    <mergeCell ref="U646:W646"/>
    <mergeCell ref="X637:AB637"/>
    <mergeCell ref="DC635:DG635"/>
    <mergeCell ref="DH635:DL635"/>
    <mergeCell ref="EM640:EQ640"/>
    <mergeCell ref="DX644:EB644"/>
    <mergeCell ref="U637:W637"/>
    <mergeCell ref="R637:T637"/>
    <mergeCell ref="R642:T642"/>
    <mergeCell ref="U641:W641"/>
    <mergeCell ref="U640:W640"/>
    <mergeCell ref="AO638:AS638"/>
    <mergeCell ref="AO641:AS641"/>
    <mergeCell ref="AK645:AN645"/>
    <mergeCell ref="R640:T640"/>
    <mergeCell ref="R641:T641"/>
    <mergeCell ref="R643:T643"/>
    <mergeCell ref="R644:T644"/>
    <mergeCell ref="CM636:CQ636"/>
    <mergeCell ref="CC633:CG633"/>
    <mergeCell ref="AK641:AN641"/>
    <mergeCell ref="AK642:AN642"/>
    <mergeCell ref="AK643:AN643"/>
    <mergeCell ref="BI633:BJ633"/>
    <mergeCell ref="X639:AB639"/>
    <mergeCell ref="X640:AB640"/>
    <mergeCell ref="R638:T638"/>
    <mergeCell ref="R639:T639"/>
    <mergeCell ref="BE633:BF633"/>
    <mergeCell ref="CM633:CQ633"/>
    <mergeCell ref="CM634:CQ634"/>
    <mergeCell ref="CM635:CQ635"/>
    <mergeCell ref="CM640:CQ640"/>
    <mergeCell ref="CH633:CL633"/>
    <mergeCell ref="BS634:BW634"/>
    <mergeCell ref="BS633:BW633"/>
    <mergeCell ref="BG633:BH633"/>
    <mergeCell ref="BK633:BL633"/>
    <mergeCell ref="CC641:CG641"/>
    <mergeCell ref="BN633:BR633"/>
    <mergeCell ref="C646:N646"/>
    <mergeCell ref="ER643:EV643"/>
    <mergeCell ref="ER642:EV642"/>
    <mergeCell ref="AK646:AN646"/>
    <mergeCell ref="ER648:EV648"/>
    <mergeCell ref="C643:N643"/>
    <mergeCell ref="O646:Q646"/>
    <mergeCell ref="O647:Q647"/>
    <mergeCell ref="O648:Q648"/>
    <mergeCell ref="X644:AB644"/>
    <mergeCell ref="X645:AB645"/>
    <mergeCell ref="R646:T646"/>
    <mergeCell ref="DX646:EB646"/>
    <mergeCell ref="X641:AB641"/>
    <mergeCell ref="X642:AB642"/>
    <mergeCell ref="X643:AB643"/>
    <mergeCell ref="AF643:AJ643"/>
    <mergeCell ref="X648:AB648"/>
    <mergeCell ref="R645:T645"/>
    <mergeCell ref="BS642:BW642"/>
    <mergeCell ref="BS643:BW643"/>
    <mergeCell ref="BX642:CB642"/>
    <mergeCell ref="BX643:CB643"/>
    <mergeCell ref="CC643:CG643"/>
    <mergeCell ref="CH643:CL643"/>
    <mergeCell ref="CM643:CQ643"/>
    <mergeCell ref="BN642:BR642"/>
    <mergeCell ref="BN643:BR643"/>
    <mergeCell ref="BN644:BR644"/>
    <mergeCell ref="BS644:BW644"/>
    <mergeCell ref="R647:T647"/>
    <mergeCell ref="O645:Q645"/>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CX619:DB619"/>
    <mergeCell ref="CS617:CW617"/>
    <mergeCell ref="CX617:DB617"/>
    <mergeCell ref="CS615:CW615"/>
    <mergeCell ref="W572:Y572"/>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AF644:AJ644"/>
    <mergeCell ref="AF645:AJ645"/>
    <mergeCell ref="AO645:AS645"/>
    <mergeCell ref="AO643:AS643"/>
    <mergeCell ref="AC639:AE639"/>
    <mergeCell ref="W573:Y573"/>
    <mergeCell ref="CS629:CW629"/>
    <mergeCell ref="CS619:CW619"/>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DM630:DQ630"/>
    <mergeCell ref="DH648:DL648"/>
    <mergeCell ref="DM648:DQ648"/>
    <mergeCell ref="DR648:DV648"/>
    <mergeCell ref="X647:AB647"/>
    <mergeCell ref="AC638:AE638"/>
    <mergeCell ref="AC637:AE637"/>
    <mergeCell ref="DM633:DQ633"/>
    <mergeCell ref="U647:W647"/>
    <mergeCell ref="AK647:AN647"/>
    <mergeCell ref="AK648:AN648"/>
    <mergeCell ref="DM624:DQ624"/>
    <mergeCell ref="DR624:DV624"/>
    <mergeCell ref="CS632:CW632"/>
    <mergeCell ref="CX632:DB632"/>
    <mergeCell ref="DH623:DL623"/>
    <mergeCell ref="DH654:DL654"/>
    <mergeCell ref="DM654:DQ654"/>
    <mergeCell ref="DR630:DV630"/>
    <mergeCell ref="CS630:CW630"/>
    <mergeCell ref="CX630:DB630"/>
    <mergeCell ref="DC630:DG630"/>
    <mergeCell ref="DH630:DL630"/>
    <mergeCell ref="CS652:CW652"/>
    <mergeCell ref="CS631:CW631"/>
    <mergeCell ref="CX631:DB631"/>
    <mergeCell ref="DC631:DG631"/>
    <mergeCell ref="DH631:DL631"/>
    <mergeCell ref="ER653:EV653"/>
    <mergeCell ref="EC652:EG652"/>
    <mergeCell ref="EH653:EL653"/>
    <mergeCell ref="EM653:EQ653"/>
    <mergeCell ref="DC649:DG649"/>
    <mergeCell ref="EH632:EL632"/>
    <mergeCell ref="DR633:DV633"/>
    <mergeCell ref="DH633:DL633"/>
    <mergeCell ref="DM631:DQ631"/>
    <mergeCell ref="DR631:DV631"/>
    <mergeCell ref="DM632:DQ632"/>
    <mergeCell ref="DR632:DV632"/>
    <mergeCell ref="EM632:EQ632"/>
    <mergeCell ref="ER632:EV632"/>
    <mergeCell ref="EC648:EG648"/>
    <mergeCell ref="EH648:EL648"/>
    <mergeCell ref="EM648:EQ648"/>
    <mergeCell ref="DC632:DG632"/>
    <mergeCell ref="DH632:DL632"/>
    <mergeCell ref="DX656:EB656"/>
    <mergeCell ref="EC656:EG656"/>
    <mergeCell ref="ER658:EV658"/>
    <mergeCell ref="DH651:DL651"/>
    <mergeCell ref="DM651:DQ651"/>
    <mergeCell ref="DR651:DV651"/>
    <mergeCell ref="EC651:EG651"/>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A698:AK698"/>
    <mergeCell ref="BS663:BW663"/>
    <mergeCell ref="CC663:CG663"/>
    <mergeCell ref="CM663:CQ663"/>
    <mergeCell ref="CM652:CQ652"/>
    <mergeCell ref="CS650:CW650"/>
    <mergeCell ref="CX650:DB650"/>
    <mergeCell ref="DC650:DG650"/>
    <mergeCell ref="CX658:DB658"/>
    <mergeCell ref="DC658:DG658"/>
    <mergeCell ref="DH658:DL658"/>
    <mergeCell ref="DM658:DQ658"/>
    <mergeCell ref="DR658:DV65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34:AO734"/>
    <mergeCell ref="CS655:CW655"/>
    <mergeCell ref="CX655:DB655"/>
    <mergeCell ref="DC655:DG655"/>
    <mergeCell ref="DC653:DG653"/>
    <mergeCell ref="DH653:DL653"/>
    <mergeCell ref="DM653:DQ653"/>
    <mergeCell ref="DR653:DV653"/>
    <mergeCell ref="BX651:CB651"/>
    <mergeCell ref="AO651:AS651"/>
    <mergeCell ref="CM658:CQ658"/>
    <mergeCell ref="BX656:CB656"/>
    <mergeCell ref="BX657:CB657"/>
  </mergeCells>
  <phoneticPr fontId="0" type="noConversion"/>
  <conditionalFormatting sqref="AF1000">
    <cfRule type="cellIs" dxfId="140" priority="4" stopIfTrue="1" operator="equal">
      <formula>"Please Enter Amount:"</formula>
    </cfRule>
  </conditionalFormatting>
  <conditionalFormatting sqref="AJ1024">
    <cfRule type="cellIs" dxfId="139" priority="7" stopIfTrue="1" operator="equal">
      <formula>"#DIV/0!"</formula>
    </cfRule>
  </conditionalFormatting>
  <conditionalFormatting sqref="AG440:AJ440">
    <cfRule type="expression" dxfId="138" priority="8" stopIfTrue="1">
      <formula>"iserror(d31)"</formula>
    </cfRule>
  </conditionalFormatting>
  <conditionalFormatting sqref="AF1012">
    <cfRule type="cellIs" dxfId="137" priority="2" stopIfTrue="1" operator="equal">
      <formula>"Please Enter Amount:"</formula>
    </cfRule>
  </conditionalFormatting>
  <conditionalFormatting sqref="AF1005">
    <cfRule type="cellIs" dxfId="13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6" zoomScaleNormal="100" zoomScaleSheetLayoutView="100" workbookViewId="0">
      <selection activeCell="C7" sqref="C7"/>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82" t="s">
        <v>656</v>
      </c>
      <c r="G1" s="2583"/>
      <c r="H1" s="2583"/>
      <c r="I1" s="2583"/>
      <c r="J1" s="2583"/>
      <c r="K1" s="2583"/>
      <c r="L1" s="2583"/>
      <c r="M1" s="2583"/>
      <c r="N1" s="2583"/>
      <c r="O1" s="2583"/>
      <c r="P1" s="2583"/>
      <c r="Q1" s="2583"/>
      <c r="R1" s="2584"/>
      <c r="S1" s="168"/>
      <c r="T1" s="167"/>
      <c r="U1" s="169"/>
    </row>
    <row r="2" spans="1:21" s="208" customFormat="1" ht="71.25" customHeight="1">
      <c r="A2" s="207"/>
      <c r="B2" s="208" t="s">
        <v>24</v>
      </c>
      <c r="C2" s="208" t="s">
        <v>392</v>
      </c>
      <c r="D2" s="208" t="s">
        <v>391</v>
      </c>
      <c r="E2" s="208" t="s">
        <v>25</v>
      </c>
      <c r="F2" s="209" t="str">
        <f>Application!B637&amp;Application!C637</f>
        <v>1)CCRC</v>
      </c>
      <c r="G2" s="209" t="str">
        <f>Application!B638&amp;Application!C638</f>
        <v xml:space="preserve">2)State of CA HCD NPLH											</v>
      </c>
      <c r="H2" s="209" t="str">
        <f>Application!B639&amp;Application!C639</f>
        <v>3)Orange County</v>
      </c>
      <c r="I2" s="209" t="str">
        <f>Application!B640&amp;Application!C640</f>
        <v>4)CalHFA SNHP</v>
      </c>
      <c r="J2" s="209" t="str">
        <f>Application!B641&amp;Application!C641</f>
        <v>5)OCHFT</v>
      </c>
      <c r="K2" s="209" t="str">
        <f>Application!B642&amp;Application!C642</f>
        <v>6)AHP</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8">
        <f>SUM(E4:Q4)</f>
        <v>0</v>
      </c>
      <c r="S4" s="218"/>
      <c r="T4" s="218"/>
      <c r="U4" s="213"/>
    </row>
    <row r="5" spans="1:21" s="214" customFormat="1">
      <c r="A5" s="215" t="s">
        <v>29</v>
      </c>
      <c r="B5" s="216">
        <f>SUM(C5+D5)</f>
        <v>279850</v>
      </c>
      <c r="C5" s="217">
        <v>279850</v>
      </c>
      <c r="D5" s="217"/>
      <c r="E5" s="217">
        <f>+C5</f>
        <v>279850</v>
      </c>
      <c r="F5" s="217"/>
      <c r="G5" s="217"/>
      <c r="H5" s="217"/>
      <c r="I5" s="217"/>
      <c r="J5" s="217"/>
      <c r="K5" s="217"/>
      <c r="L5" s="217"/>
      <c r="M5" s="217"/>
      <c r="N5" s="217"/>
      <c r="O5" s="217"/>
      <c r="P5" s="217"/>
      <c r="Q5" s="217"/>
      <c r="R5" s="878">
        <f>SUM(E5:Q5)</f>
        <v>279850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8">
        <f>SUM(E6:Q6)</f>
        <v>0</v>
      </c>
      <c r="S6" s="218"/>
      <c r="T6" s="218"/>
      <c r="U6" s="213"/>
    </row>
    <row r="7" spans="1:21" s="214" customFormat="1">
      <c r="A7" s="215" t="s">
        <v>102</v>
      </c>
      <c r="B7" s="216">
        <f>SUM(C7+D7)</f>
        <v>2927262</v>
      </c>
      <c r="C7" s="217">
        <f>140000+1320486+1072014+167475+167475+29906+29906</f>
        <v>2927262</v>
      </c>
      <c r="D7" s="217"/>
      <c r="E7" s="217">
        <f>+C7-F7</f>
        <v>1544222</v>
      </c>
      <c r="F7" s="217">
        <v>1383040</v>
      </c>
      <c r="G7" s="217"/>
      <c r="H7" s="217"/>
      <c r="I7" s="217"/>
      <c r="J7" s="217"/>
      <c r="K7" s="217"/>
      <c r="L7" s="217"/>
      <c r="M7" s="217"/>
      <c r="N7" s="217"/>
      <c r="O7" s="217"/>
      <c r="P7" s="217"/>
      <c r="Q7" s="217"/>
      <c r="R7" s="878">
        <f>SUM(E7:Q7)</f>
        <v>2927262</v>
      </c>
      <c r="S7" s="218"/>
      <c r="T7" s="218"/>
      <c r="U7" s="213"/>
    </row>
    <row r="8" spans="1:21" s="214" customFormat="1">
      <c r="A8" s="219" t="s">
        <v>628</v>
      </c>
      <c r="B8" s="216">
        <f>SUM(C8:D8)</f>
        <v>3207112</v>
      </c>
      <c r="C8" s="216">
        <f t="shared" ref="C8:Q8" si="0">SUM(C4:C7)</f>
        <v>3207112</v>
      </c>
      <c r="D8" s="216">
        <f t="shared" si="0"/>
        <v>0</v>
      </c>
      <c r="E8" s="216">
        <f t="shared" si="0"/>
        <v>1824072</v>
      </c>
      <c r="F8" s="216">
        <f t="shared" si="0"/>
        <v>1383040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3">
        <f>SUM(R4:R7)</f>
        <v>3207112</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8">
        <f>SUM(E9:Q9)</f>
        <v>0</v>
      </c>
      <c r="S9" s="218"/>
      <c r="T9" s="217"/>
      <c r="U9" s="213"/>
    </row>
    <row r="10" spans="1:21" s="214" customFormat="1">
      <c r="A10" s="215" t="s">
        <v>630</v>
      </c>
      <c r="B10" s="216">
        <f>SUM(C10+D10)</f>
        <v>640532</v>
      </c>
      <c r="C10" s="217">
        <v>640532</v>
      </c>
      <c r="D10" s="217"/>
      <c r="E10" s="217">
        <f>C10</f>
        <v>640532</v>
      </c>
      <c r="F10" s="217"/>
      <c r="G10" s="217"/>
      <c r="H10" s="217"/>
      <c r="I10" s="217"/>
      <c r="J10" s="217"/>
      <c r="K10" s="217"/>
      <c r="L10" s="217"/>
      <c r="M10" s="217"/>
      <c r="N10" s="217"/>
      <c r="O10" s="217"/>
      <c r="P10" s="217"/>
      <c r="Q10" s="217"/>
      <c r="R10" s="878">
        <f>SUM(E10:Q10)</f>
        <v>640532</v>
      </c>
      <c r="S10" s="217">
        <f>R10</f>
        <v>640532</v>
      </c>
      <c r="T10" s="217"/>
      <c r="U10" s="213"/>
    </row>
    <row r="11" spans="1:21" s="214" customFormat="1">
      <c r="A11" s="219" t="s">
        <v>631</v>
      </c>
      <c r="B11" s="216">
        <f>SUM(C11:D11)</f>
        <v>640532</v>
      </c>
      <c r="C11" s="216">
        <f t="shared" ref="C11:Q11" si="1">SUM(C9:C10)</f>
        <v>640532</v>
      </c>
      <c r="D11" s="216">
        <f t="shared" si="1"/>
        <v>0</v>
      </c>
      <c r="E11" s="216">
        <f t="shared" si="1"/>
        <v>640532</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3">
        <f>SUM(R9:R10)</f>
        <v>640532</v>
      </c>
      <c r="S11" s="218"/>
      <c r="T11" s="220">
        <f>SUM(T9:T10)</f>
        <v>0</v>
      </c>
      <c r="U11" s="213"/>
    </row>
    <row r="12" spans="1:21" s="214" customFormat="1">
      <c r="A12" s="219" t="s">
        <v>89</v>
      </c>
      <c r="B12" s="216">
        <f t="shared" ref="B12:Q12" si="2">SUM(B8+B11)</f>
        <v>3847644</v>
      </c>
      <c r="C12" s="216">
        <f t="shared" si="2"/>
        <v>3847644</v>
      </c>
      <c r="D12" s="216">
        <f t="shared" si="2"/>
        <v>0</v>
      </c>
      <c r="E12" s="216">
        <f t="shared" si="2"/>
        <v>2464604</v>
      </c>
      <c r="F12" s="216">
        <f t="shared" si="2"/>
        <v>1383040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3">
        <f>SUM(R8+R11)</f>
        <v>3847644</v>
      </c>
      <c r="S12" s="218"/>
      <c r="T12" s="218"/>
      <c r="U12" s="213"/>
    </row>
    <row r="13" spans="1:21" s="214" customFormat="1">
      <c r="A13" s="448" t="s">
        <v>971</v>
      </c>
      <c r="B13" s="216">
        <f>SUM(C13+D13)</f>
        <v>0</v>
      </c>
      <c r="C13" s="217"/>
      <c r="D13" s="217"/>
      <c r="E13" s="217"/>
      <c r="F13" s="217"/>
      <c r="G13" s="217"/>
      <c r="H13" s="217"/>
      <c r="I13" s="217"/>
      <c r="J13" s="217"/>
      <c r="K13" s="217"/>
      <c r="L13" s="217"/>
      <c r="M13" s="217"/>
      <c r="N13" s="217"/>
      <c r="O13" s="217"/>
      <c r="P13" s="217"/>
      <c r="Q13" s="217"/>
      <c r="R13" s="878">
        <f>SUM(E13:Q13)</f>
        <v>0</v>
      </c>
      <c r="S13" s="217"/>
      <c r="T13" s="217"/>
      <c r="U13" s="213"/>
    </row>
    <row r="14" spans="1:21" s="214" customFormat="1" ht="24">
      <c r="A14" s="449" t="s">
        <v>1997</v>
      </c>
      <c r="B14" s="216">
        <f>SUM(C14+D14)</f>
        <v>0</v>
      </c>
      <c r="C14" s="217"/>
      <c r="D14" s="217"/>
      <c r="E14" s="217"/>
      <c r="F14" s="217"/>
      <c r="G14" s="217"/>
      <c r="H14" s="217"/>
      <c r="I14" s="217"/>
      <c r="J14" s="217"/>
      <c r="K14" s="217"/>
      <c r="L14" s="217"/>
      <c r="M14" s="217"/>
      <c r="N14" s="217"/>
      <c r="O14" s="217"/>
      <c r="P14" s="217"/>
      <c r="Q14" s="217"/>
      <c r="R14" s="878">
        <f>SUM(E14:Q14)</f>
        <v>0</v>
      </c>
      <c r="S14" s="217"/>
      <c r="T14" s="217"/>
      <c r="U14" s="213"/>
    </row>
    <row r="15" spans="1:21" s="214" customFormat="1">
      <c r="A15" s="449" t="s">
        <v>1356</v>
      </c>
      <c r="B15" s="216">
        <f>SUM(C15+D15)</f>
        <v>0</v>
      </c>
      <c r="C15" s="217"/>
      <c r="D15" s="217"/>
      <c r="E15" s="217"/>
      <c r="F15" s="217"/>
      <c r="G15" s="217"/>
      <c r="H15" s="217"/>
      <c r="I15" s="217"/>
      <c r="J15" s="217"/>
      <c r="K15" s="217"/>
      <c r="L15" s="217"/>
      <c r="M15" s="217"/>
      <c r="N15" s="217"/>
      <c r="O15" s="217"/>
      <c r="P15" s="217"/>
      <c r="Q15" s="217"/>
      <c r="R15" s="878">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8">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8">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8">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8">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8">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8">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8">
        <f t="shared" si="4"/>
        <v>0</v>
      </c>
      <c r="S23" s="217"/>
      <c r="T23" s="217"/>
      <c r="U23" s="213"/>
    </row>
    <row r="24" spans="1:21" s="214" customFormat="1">
      <c r="A24" s="857" t="s">
        <v>1994</v>
      </c>
      <c r="B24" s="216">
        <f t="shared" si="3"/>
        <v>0</v>
      </c>
      <c r="C24" s="217"/>
      <c r="D24" s="217"/>
      <c r="E24" s="217"/>
      <c r="F24" s="217"/>
      <c r="G24" s="217"/>
      <c r="H24" s="217"/>
      <c r="I24" s="217"/>
      <c r="J24" s="217"/>
      <c r="K24" s="217"/>
      <c r="L24" s="217"/>
      <c r="M24" s="217"/>
      <c r="N24" s="217"/>
      <c r="O24" s="217"/>
      <c r="P24" s="217"/>
      <c r="Q24" s="217"/>
      <c r="R24" s="878"/>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8">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3">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8">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2581150</v>
      </c>
      <c r="C29" s="1701">
        <f>3901636-1320486</f>
        <v>2581150</v>
      </c>
      <c r="D29" s="217"/>
      <c r="E29" s="217">
        <f>+C29</f>
        <v>2581150</v>
      </c>
      <c r="F29" s="217"/>
      <c r="G29" s="217"/>
      <c r="H29" s="217"/>
      <c r="I29" s="217"/>
      <c r="J29" s="217"/>
      <c r="K29" s="217"/>
      <c r="L29" s="217"/>
      <c r="M29" s="217"/>
      <c r="N29" s="217"/>
      <c r="O29" s="217"/>
      <c r="P29" s="217"/>
      <c r="Q29" s="217"/>
      <c r="R29" s="878">
        <f t="shared" ref="R29:R37" si="7">SUM(E29:Q29)</f>
        <v>2581150</v>
      </c>
      <c r="S29" s="1701">
        <f>R29</f>
        <v>2581150</v>
      </c>
      <c r="T29" s="217"/>
      <c r="U29" s="213"/>
    </row>
    <row r="30" spans="1:21" s="214" customFormat="1">
      <c r="A30" s="215" t="s">
        <v>634</v>
      </c>
      <c r="B30" s="216">
        <f t="shared" si="6"/>
        <v>12429011</v>
      </c>
      <c r="C30" s="217">
        <f>13501025-1072014</f>
        <v>12429011</v>
      </c>
      <c r="D30" s="217"/>
      <c r="E30" s="217"/>
      <c r="F30" s="1871">
        <f>6486000-1383040</f>
        <v>5102960</v>
      </c>
      <c r="G30" s="1871">
        <v>4806018</v>
      </c>
      <c r="H30" s="1871">
        <v>500000</v>
      </c>
      <c r="I30" s="1871">
        <v>1168161</v>
      </c>
      <c r="J30" s="1871">
        <v>792060</v>
      </c>
      <c r="K30" s="217">
        <v>59812</v>
      </c>
      <c r="L30" s="217"/>
      <c r="M30" s="217"/>
      <c r="N30" s="217"/>
      <c r="O30" s="217"/>
      <c r="P30" s="217"/>
      <c r="Q30" s="217"/>
      <c r="R30" s="878">
        <f t="shared" si="7"/>
        <v>12429011</v>
      </c>
      <c r="S30" s="1701">
        <f>R30</f>
        <v>12429011</v>
      </c>
      <c r="T30" s="217"/>
      <c r="U30" s="213"/>
    </row>
    <row r="31" spans="1:21" s="214" customFormat="1">
      <c r="A31" s="215" t="s">
        <v>635</v>
      </c>
      <c r="B31" s="216">
        <f t="shared" si="6"/>
        <v>1115138</v>
      </c>
      <c r="C31" s="217">
        <f>1282613-167475</f>
        <v>1115138</v>
      </c>
      <c r="D31" s="217"/>
      <c r="E31" s="217">
        <f>252850+68321</f>
        <v>321171</v>
      </c>
      <c r="F31" s="217"/>
      <c r="G31" s="217"/>
      <c r="H31" s="217"/>
      <c r="I31" s="217">
        <f>+C31-E31</f>
        <v>793967</v>
      </c>
      <c r="J31" s="217"/>
      <c r="K31" s="217"/>
      <c r="L31" s="217"/>
      <c r="M31" s="217"/>
      <c r="N31" s="217"/>
      <c r="O31" s="217"/>
      <c r="P31" s="217"/>
      <c r="Q31" s="217"/>
      <c r="R31" s="878">
        <f t="shared" si="7"/>
        <v>1115138</v>
      </c>
      <c r="S31" s="1701">
        <f>+R31</f>
        <v>1115138</v>
      </c>
      <c r="T31" s="217"/>
      <c r="U31" s="213"/>
    </row>
    <row r="32" spans="1:21" s="214" customFormat="1">
      <c r="A32" s="215" t="s">
        <v>142</v>
      </c>
      <c r="B32" s="216">
        <f t="shared" si="6"/>
        <v>557568</v>
      </c>
      <c r="C32" s="217">
        <f>641307-83739</f>
        <v>557568</v>
      </c>
      <c r="D32" s="217"/>
      <c r="E32" s="217"/>
      <c r="F32" s="217"/>
      <c r="G32" s="217"/>
      <c r="H32" s="217"/>
      <c r="I32" s="217">
        <f>+C32</f>
        <v>557568</v>
      </c>
      <c r="J32" s="217"/>
      <c r="K32" s="217"/>
      <c r="L32" s="217"/>
      <c r="M32" s="217"/>
      <c r="N32" s="217"/>
      <c r="O32" s="217"/>
      <c r="P32" s="217"/>
      <c r="Q32" s="217"/>
      <c r="R32" s="878">
        <f t="shared" si="7"/>
        <v>557568</v>
      </c>
      <c r="S32" s="1701">
        <f>R32</f>
        <v>557568</v>
      </c>
      <c r="T32" s="217"/>
      <c r="U32" s="213"/>
    </row>
    <row r="33" spans="1:21" s="214" customFormat="1">
      <c r="A33" s="215" t="s">
        <v>143</v>
      </c>
      <c r="B33" s="216">
        <f t="shared" si="6"/>
        <v>557568</v>
      </c>
      <c r="C33" s="217">
        <f>641306-83738</f>
        <v>557568</v>
      </c>
      <c r="D33" s="217"/>
      <c r="E33" s="217">
        <f>+C33-I33</f>
        <v>557568</v>
      </c>
      <c r="F33" s="217"/>
      <c r="G33" s="217"/>
      <c r="H33" s="217"/>
      <c r="I33" s="217"/>
      <c r="J33" s="217"/>
      <c r="K33" s="217"/>
      <c r="L33" s="217"/>
      <c r="M33" s="217"/>
      <c r="N33" s="217"/>
      <c r="O33" s="217"/>
      <c r="P33" s="217"/>
      <c r="Q33" s="217"/>
      <c r="R33" s="878">
        <f t="shared" si="7"/>
        <v>557568</v>
      </c>
      <c r="S33" s="1701">
        <f>S32</f>
        <v>557568</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8">
        <f t="shared" si="7"/>
        <v>0</v>
      </c>
      <c r="S34" s="1701">
        <f t="shared" ref="S34:S36" si="8">R34</f>
        <v>0</v>
      </c>
      <c r="T34" s="217"/>
      <c r="U34" s="213"/>
    </row>
    <row r="35" spans="1:21" s="214" customFormat="1">
      <c r="A35" s="215" t="s">
        <v>145</v>
      </c>
      <c r="B35" s="216">
        <f t="shared" si="6"/>
        <v>361618</v>
      </c>
      <c r="C35" s="217">
        <f>210715+210715-29906-29906</f>
        <v>361618</v>
      </c>
      <c r="D35" s="217"/>
      <c r="E35" s="217"/>
      <c r="F35" s="217"/>
      <c r="G35" s="217"/>
      <c r="H35" s="217"/>
      <c r="I35" s="217"/>
      <c r="J35" s="217"/>
      <c r="K35" s="217">
        <f>+C35</f>
        <v>361618</v>
      </c>
      <c r="L35" s="217"/>
      <c r="M35" s="217"/>
      <c r="N35" s="217"/>
      <c r="O35" s="217"/>
      <c r="P35" s="217"/>
      <c r="Q35" s="217"/>
      <c r="R35" s="878">
        <f t="shared" si="7"/>
        <v>361618</v>
      </c>
      <c r="S35" s="1701">
        <f>+R35</f>
        <v>361618</v>
      </c>
      <c r="T35" s="217"/>
      <c r="U35" s="213"/>
    </row>
    <row r="36" spans="1:21" s="214" customFormat="1">
      <c r="A36" s="1808" t="s">
        <v>1994</v>
      </c>
      <c r="B36" s="216">
        <f t="shared" si="6"/>
        <v>0</v>
      </c>
      <c r="C36" s="217"/>
      <c r="D36" s="217"/>
      <c r="E36" s="217"/>
      <c r="F36" s="217"/>
      <c r="G36" s="217"/>
      <c r="H36" s="217"/>
      <c r="I36" s="217"/>
      <c r="J36" s="217"/>
      <c r="K36" s="217"/>
      <c r="L36" s="217"/>
      <c r="M36" s="217"/>
      <c r="N36" s="217"/>
      <c r="O36" s="217"/>
      <c r="P36" s="217"/>
      <c r="Q36" s="217"/>
      <c r="R36" s="878">
        <f t="shared" si="7"/>
        <v>0</v>
      </c>
      <c r="S36" s="1701">
        <f t="shared" si="8"/>
        <v>0</v>
      </c>
      <c r="T36" s="217"/>
      <c r="U36" s="213"/>
    </row>
    <row r="37" spans="1:21" s="214" customFormat="1">
      <c r="A37" s="222" t="s">
        <v>35</v>
      </c>
      <c r="B37" s="216">
        <f t="shared" si="6"/>
        <v>0</v>
      </c>
      <c r="C37" s="217"/>
      <c r="D37" s="217"/>
      <c r="E37" s="217">
        <f>C37</f>
        <v>0</v>
      </c>
      <c r="F37" s="217"/>
      <c r="G37" s="217"/>
      <c r="H37" s="217"/>
      <c r="I37" s="217"/>
      <c r="J37" s="217"/>
      <c r="K37" s="217"/>
      <c r="L37" s="217"/>
      <c r="M37" s="217"/>
      <c r="N37" s="217"/>
      <c r="O37" s="217"/>
      <c r="P37" s="217"/>
      <c r="Q37" s="217"/>
      <c r="R37" s="878">
        <f t="shared" si="7"/>
        <v>0</v>
      </c>
      <c r="S37" s="1701">
        <v>0</v>
      </c>
      <c r="T37" s="217"/>
      <c r="U37" s="213"/>
    </row>
    <row r="38" spans="1:21" s="214" customFormat="1">
      <c r="A38" s="219" t="s">
        <v>148</v>
      </c>
      <c r="B38" s="216">
        <f t="shared" si="6"/>
        <v>17602053</v>
      </c>
      <c r="C38" s="216">
        <f>SUM(C29:C37)</f>
        <v>17602053</v>
      </c>
      <c r="D38" s="216">
        <f t="shared" ref="D38:Q38" si="9">SUM(D29:D37)</f>
        <v>0</v>
      </c>
      <c r="E38" s="216">
        <f t="shared" si="9"/>
        <v>3459889</v>
      </c>
      <c r="F38" s="216">
        <f t="shared" si="9"/>
        <v>5102960</v>
      </c>
      <c r="G38" s="216">
        <f t="shared" si="9"/>
        <v>4806018</v>
      </c>
      <c r="H38" s="216">
        <f t="shared" si="9"/>
        <v>500000</v>
      </c>
      <c r="I38" s="216">
        <f t="shared" si="9"/>
        <v>2519696</v>
      </c>
      <c r="J38" s="216">
        <f t="shared" si="9"/>
        <v>792060</v>
      </c>
      <c r="K38" s="216">
        <f t="shared" si="9"/>
        <v>421430</v>
      </c>
      <c r="L38" s="216">
        <f t="shared" si="9"/>
        <v>0</v>
      </c>
      <c r="M38" s="216">
        <f t="shared" si="9"/>
        <v>0</v>
      </c>
      <c r="N38" s="216">
        <f t="shared" si="9"/>
        <v>0</v>
      </c>
      <c r="O38" s="216">
        <f t="shared" si="9"/>
        <v>0</v>
      </c>
      <c r="P38" s="216">
        <f t="shared" si="9"/>
        <v>0</v>
      </c>
      <c r="Q38" s="216">
        <f t="shared" si="9"/>
        <v>0</v>
      </c>
      <c r="R38" s="533">
        <f>SUM(R29:R37)</f>
        <v>17602053</v>
      </c>
      <c r="S38" s="220">
        <f>SUM(S29:S37)</f>
        <v>17602053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950000</v>
      </c>
      <c r="C40" s="217">
        <v>950000</v>
      </c>
      <c r="D40" s="217"/>
      <c r="E40" s="217">
        <f>C40-K40</f>
        <v>731430</v>
      </c>
      <c r="F40" s="217"/>
      <c r="G40" s="217"/>
      <c r="H40" s="217"/>
      <c r="I40" s="217"/>
      <c r="J40" s="217"/>
      <c r="K40" s="217">
        <v>218570</v>
      </c>
      <c r="L40" s="217"/>
      <c r="M40" s="217"/>
      <c r="N40" s="217"/>
      <c r="O40" s="217"/>
      <c r="P40" s="217"/>
      <c r="Q40" s="217"/>
      <c r="R40" s="878">
        <f>SUM(E40:Q40)</f>
        <v>950000</v>
      </c>
      <c r="S40" s="217">
        <v>950000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8">
        <f>SUM(E41:Q41)</f>
        <v>0</v>
      </c>
      <c r="S41" s="217"/>
      <c r="T41" s="217"/>
      <c r="U41" s="213"/>
    </row>
    <row r="42" spans="1:21" s="214" customFormat="1">
      <c r="A42" s="219" t="s">
        <v>152</v>
      </c>
      <c r="B42" s="216">
        <f>SUM(C42:D42)</f>
        <v>950000</v>
      </c>
      <c r="C42" s="216">
        <f>SUM(C39:C41)</f>
        <v>950000</v>
      </c>
      <c r="D42" s="216">
        <f>SUM(D39:D41)</f>
        <v>0</v>
      </c>
      <c r="E42" s="216">
        <f t="shared" ref="E42:T42" si="10">SUM(E40:E41)</f>
        <v>731430</v>
      </c>
      <c r="F42" s="216">
        <f t="shared" si="10"/>
        <v>0</v>
      </c>
      <c r="G42" s="216">
        <f t="shared" si="10"/>
        <v>0</v>
      </c>
      <c r="H42" s="216">
        <f t="shared" si="10"/>
        <v>0</v>
      </c>
      <c r="I42" s="216">
        <f t="shared" si="10"/>
        <v>0</v>
      </c>
      <c r="J42" s="216">
        <f t="shared" si="10"/>
        <v>0</v>
      </c>
      <c r="K42" s="216">
        <f t="shared" si="10"/>
        <v>218570</v>
      </c>
      <c r="L42" s="216">
        <f t="shared" si="10"/>
        <v>0</v>
      </c>
      <c r="M42" s="216">
        <f t="shared" si="10"/>
        <v>0</v>
      </c>
      <c r="N42" s="216">
        <f t="shared" si="10"/>
        <v>0</v>
      </c>
      <c r="O42" s="216">
        <f t="shared" si="10"/>
        <v>0</v>
      </c>
      <c r="P42" s="216">
        <f t="shared" si="10"/>
        <v>0</v>
      </c>
      <c r="Q42" s="216">
        <f t="shared" si="10"/>
        <v>0</v>
      </c>
      <c r="R42" s="533">
        <f>SUM(R40:R41)</f>
        <v>950000</v>
      </c>
      <c r="S42" s="220">
        <f t="shared" si="10"/>
        <v>950000</v>
      </c>
      <c r="T42" s="220">
        <f t="shared" si="10"/>
        <v>0</v>
      </c>
      <c r="U42" s="213"/>
    </row>
    <row r="43" spans="1:21" s="214" customFormat="1">
      <c r="A43" s="219" t="s">
        <v>153</v>
      </c>
      <c r="B43" s="216">
        <f>SUM(C43:D43)</f>
        <v>190000</v>
      </c>
      <c r="C43" s="217">
        <v>190000</v>
      </c>
      <c r="D43" s="217"/>
      <c r="E43" s="217">
        <f>C43</f>
        <v>190000</v>
      </c>
      <c r="F43" s="217"/>
      <c r="G43" s="217"/>
      <c r="H43" s="217"/>
      <c r="I43" s="217"/>
      <c r="J43" s="217"/>
      <c r="K43" s="217"/>
      <c r="L43" s="217"/>
      <c r="M43" s="217"/>
      <c r="N43" s="217"/>
      <c r="O43" s="217"/>
      <c r="P43" s="217"/>
      <c r="Q43" s="217"/>
      <c r="R43" s="878">
        <f>SUM(E43:Q43)</f>
        <v>190000</v>
      </c>
      <c r="S43" s="217">
        <v>190000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1316937</v>
      </c>
      <c r="C45" s="217">
        <f>846602+470335</f>
        <v>1316937</v>
      </c>
      <c r="D45" s="217"/>
      <c r="E45" s="217">
        <f>C45</f>
        <v>1316937</v>
      </c>
      <c r="F45" s="217"/>
      <c r="G45" s="217"/>
      <c r="H45" s="217"/>
      <c r="I45" s="217"/>
      <c r="J45" s="217"/>
      <c r="K45" s="217"/>
      <c r="L45" s="217"/>
      <c r="M45" s="217"/>
      <c r="N45" s="217"/>
      <c r="O45" s="217"/>
      <c r="P45" s="217"/>
      <c r="Q45" s="217"/>
      <c r="R45" s="878">
        <f t="shared" ref="R45:R53" si="12">SUM(E45:Q45)</f>
        <v>1316937</v>
      </c>
      <c r="S45" s="1701">
        <v>846602</v>
      </c>
      <c r="T45" s="217"/>
      <c r="U45" s="213"/>
    </row>
    <row r="46" spans="1:21" s="214" customFormat="1">
      <c r="A46" s="215" t="s">
        <v>156</v>
      </c>
      <c r="B46" s="216">
        <f t="shared" si="11"/>
        <v>249000</v>
      </c>
      <c r="C46" s="217">
        <v>249000</v>
      </c>
      <c r="D46" s="217"/>
      <c r="E46" s="217">
        <f>C46</f>
        <v>249000</v>
      </c>
      <c r="F46" s="217"/>
      <c r="G46" s="217"/>
      <c r="H46" s="217"/>
      <c r="I46" s="217"/>
      <c r="J46" s="217"/>
      <c r="K46" s="217"/>
      <c r="L46" s="217"/>
      <c r="M46" s="217"/>
      <c r="N46" s="217"/>
      <c r="O46" s="217"/>
      <c r="P46" s="217"/>
      <c r="Q46" s="217"/>
      <c r="R46" s="878">
        <f t="shared" si="12"/>
        <v>249000</v>
      </c>
      <c r="S46" s="1701">
        <v>74700</v>
      </c>
      <c r="T46" s="217"/>
      <c r="U46" s="213"/>
    </row>
    <row r="47" spans="1:21" s="214" customFormat="1">
      <c r="A47" s="297" t="s">
        <v>157</v>
      </c>
      <c r="B47" s="216">
        <f t="shared" si="11"/>
        <v>0</v>
      </c>
      <c r="C47" s="217"/>
      <c r="D47" s="217"/>
      <c r="E47" s="217"/>
      <c r="F47" s="217"/>
      <c r="G47" s="217"/>
      <c r="H47" s="217"/>
      <c r="I47" s="217"/>
      <c r="J47" s="217"/>
      <c r="K47" s="217"/>
      <c r="L47" s="217"/>
      <c r="M47" s="217"/>
      <c r="N47" s="217"/>
      <c r="O47" s="217"/>
      <c r="P47" s="217"/>
      <c r="Q47" s="217"/>
      <c r="R47" s="878">
        <f t="shared" si="12"/>
        <v>0</v>
      </c>
      <c r="S47" s="1701"/>
      <c r="T47" s="217"/>
      <c r="U47" s="213"/>
    </row>
    <row r="48" spans="1:21" s="214" customFormat="1">
      <c r="A48" s="215" t="s">
        <v>158</v>
      </c>
      <c r="B48" s="216">
        <f t="shared" si="11"/>
        <v>0</v>
      </c>
      <c r="C48" s="217"/>
      <c r="D48" s="217"/>
      <c r="E48" s="217"/>
      <c r="F48" s="217"/>
      <c r="G48" s="217"/>
      <c r="H48" s="217"/>
      <c r="I48" s="217"/>
      <c r="J48" s="217"/>
      <c r="K48" s="217"/>
      <c r="L48" s="217"/>
      <c r="M48" s="217"/>
      <c r="N48" s="217"/>
      <c r="O48" s="217"/>
      <c r="P48" s="217"/>
      <c r="Q48" s="217"/>
      <c r="R48" s="878">
        <f t="shared" si="12"/>
        <v>0</v>
      </c>
      <c r="S48" s="1701"/>
      <c r="T48" s="217"/>
      <c r="U48" s="213"/>
    </row>
    <row r="49" spans="1:21" s="214" customFormat="1">
      <c r="A49" s="215" t="s">
        <v>60</v>
      </c>
      <c r="B49" s="216">
        <f t="shared" si="11"/>
        <v>0</v>
      </c>
      <c r="C49" s="217"/>
      <c r="D49" s="217"/>
      <c r="E49" s="217"/>
      <c r="F49" s="217"/>
      <c r="G49" s="217"/>
      <c r="H49" s="217"/>
      <c r="I49" s="217"/>
      <c r="J49" s="217"/>
      <c r="K49" s="217"/>
      <c r="L49" s="217"/>
      <c r="M49" s="217"/>
      <c r="N49" s="217"/>
      <c r="O49" s="217"/>
      <c r="P49" s="217"/>
      <c r="Q49" s="217"/>
      <c r="R49" s="878">
        <f t="shared" si="12"/>
        <v>0</v>
      </c>
      <c r="S49" s="1701"/>
      <c r="T49" s="217"/>
      <c r="U49" s="213"/>
    </row>
    <row r="50" spans="1:21" s="214" customFormat="1">
      <c r="A50" s="215" t="s">
        <v>161</v>
      </c>
      <c r="B50" s="216">
        <f t="shared" si="11"/>
        <v>60000</v>
      </c>
      <c r="C50" s="217">
        <v>60000</v>
      </c>
      <c r="D50" s="217"/>
      <c r="E50" s="217">
        <f>C50</f>
        <v>60000</v>
      </c>
      <c r="F50" s="217"/>
      <c r="G50" s="217"/>
      <c r="H50" s="217"/>
      <c r="I50" s="217"/>
      <c r="J50" s="217"/>
      <c r="K50" s="217"/>
      <c r="L50" s="217"/>
      <c r="M50" s="217"/>
      <c r="N50" s="217"/>
      <c r="O50" s="217"/>
      <c r="P50" s="217"/>
      <c r="Q50" s="217"/>
      <c r="R50" s="878">
        <f t="shared" si="12"/>
        <v>60000</v>
      </c>
      <c r="S50" s="1701">
        <f>R50</f>
        <v>60000</v>
      </c>
      <c r="T50" s="217"/>
      <c r="U50" s="213"/>
    </row>
    <row r="51" spans="1:21" s="214" customFormat="1">
      <c r="A51" s="439" t="s">
        <v>159</v>
      </c>
      <c r="B51" s="216">
        <f t="shared" si="11"/>
        <v>10000</v>
      </c>
      <c r="C51" s="217">
        <v>10000</v>
      </c>
      <c r="D51" s="217"/>
      <c r="E51" s="217">
        <f>C51</f>
        <v>10000</v>
      </c>
      <c r="F51" s="217"/>
      <c r="G51" s="217"/>
      <c r="H51" s="217"/>
      <c r="I51" s="217"/>
      <c r="J51" s="217"/>
      <c r="K51" s="217"/>
      <c r="L51" s="217"/>
      <c r="M51" s="217"/>
      <c r="N51" s="217"/>
      <c r="O51" s="217"/>
      <c r="P51" s="217"/>
      <c r="Q51" s="217"/>
      <c r="R51" s="878">
        <f t="shared" si="12"/>
        <v>10000</v>
      </c>
      <c r="S51" s="1701">
        <f>R51</f>
        <v>10000</v>
      </c>
      <c r="T51" s="217"/>
      <c r="U51" s="213"/>
    </row>
    <row r="52" spans="1:21" s="214" customFormat="1">
      <c r="A52" s="215" t="s">
        <v>160</v>
      </c>
      <c r="B52" s="216">
        <f t="shared" si="11"/>
        <v>0</v>
      </c>
      <c r="C52" s="217"/>
      <c r="D52" s="217"/>
      <c r="E52" s="217"/>
      <c r="F52" s="217"/>
      <c r="G52" s="217"/>
      <c r="H52" s="217"/>
      <c r="I52" s="217"/>
      <c r="J52" s="217"/>
      <c r="K52" s="217"/>
      <c r="L52" s="217"/>
      <c r="M52" s="217"/>
      <c r="N52" s="217"/>
      <c r="O52" s="217"/>
      <c r="P52" s="217"/>
      <c r="Q52" s="217"/>
      <c r="R52" s="878">
        <f t="shared" si="12"/>
        <v>0</v>
      </c>
      <c r="S52" s="1701"/>
      <c r="T52" s="217"/>
      <c r="U52" s="213"/>
    </row>
    <row r="53" spans="1:21" s="214" customFormat="1">
      <c r="A53" s="1870" t="s">
        <v>2658</v>
      </c>
      <c r="B53" s="216">
        <f t="shared" si="11"/>
        <v>25000</v>
      </c>
      <c r="C53" s="217">
        <v>25000</v>
      </c>
      <c r="D53" s="217"/>
      <c r="E53" s="217">
        <f>C53</f>
        <v>25000</v>
      </c>
      <c r="F53" s="217"/>
      <c r="G53" s="217"/>
      <c r="H53" s="217"/>
      <c r="I53" s="217"/>
      <c r="J53" s="217"/>
      <c r="K53" s="217"/>
      <c r="L53" s="217"/>
      <c r="M53" s="217"/>
      <c r="N53" s="217"/>
      <c r="O53" s="217"/>
      <c r="P53" s="217"/>
      <c r="Q53" s="217"/>
      <c r="R53" s="878">
        <f t="shared" si="12"/>
        <v>25000</v>
      </c>
      <c r="S53" s="1701">
        <f>R53</f>
        <v>25000</v>
      </c>
      <c r="T53" s="217"/>
      <c r="U53" s="213"/>
    </row>
    <row r="54" spans="1:21" s="224" customFormat="1">
      <c r="A54" s="219" t="s">
        <v>162</v>
      </c>
      <c r="B54" s="220">
        <f>SUM(C54:D54)</f>
        <v>1660937</v>
      </c>
      <c r="C54" s="220">
        <f t="shared" ref="C54:T54" si="13">SUM(C45:C53)</f>
        <v>1660937</v>
      </c>
      <c r="D54" s="220">
        <f t="shared" si="13"/>
        <v>0</v>
      </c>
      <c r="E54" s="220">
        <f t="shared" si="13"/>
        <v>1660937</v>
      </c>
      <c r="F54" s="220">
        <f t="shared" si="13"/>
        <v>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3">
        <f t="shared" si="13"/>
        <v>1660937</v>
      </c>
      <c r="S54" s="220">
        <f t="shared" si="13"/>
        <v>1016302</v>
      </c>
      <c r="T54" s="220">
        <f t="shared" si="13"/>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90057</v>
      </c>
      <c r="C56" s="217">
        <v>90057</v>
      </c>
      <c r="D56" s="217"/>
      <c r="E56" s="217">
        <f>C56</f>
        <v>90057</v>
      </c>
      <c r="F56" s="217"/>
      <c r="G56" s="217"/>
      <c r="H56" s="217"/>
      <c r="I56" s="217"/>
      <c r="J56" s="217"/>
      <c r="K56" s="217"/>
      <c r="L56" s="217"/>
      <c r="M56" s="217"/>
      <c r="N56" s="217"/>
      <c r="O56" s="217"/>
      <c r="P56" s="217"/>
      <c r="Q56" s="217"/>
      <c r="R56" s="878">
        <f t="shared" ref="R56:R61" si="15">SUM(E56:Q56)</f>
        <v>90057</v>
      </c>
      <c r="S56" s="218"/>
      <c r="T56" s="218"/>
      <c r="U56" s="213"/>
    </row>
    <row r="57" spans="1:21" s="303" customFormat="1">
      <c r="A57" s="297" t="s">
        <v>157</v>
      </c>
      <c r="B57" s="304">
        <f t="shared" si="14"/>
        <v>0</v>
      </c>
      <c r="C57" s="301"/>
      <c r="D57" s="301"/>
      <c r="E57" s="301"/>
      <c r="F57" s="301"/>
      <c r="G57" s="301"/>
      <c r="H57" s="301"/>
      <c r="I57" s="301"/>
      <c r="J57" s="301"/>
      <c r="K57" s="301"/>
      <c r="L57" s="301"/>
      <c r="M57" s="301"/>
      <c r="N57" s="301"/>
      <c r="O57" s="301"/>
      <c r="P57" s="301"/>
      <c r="Q57" s="301"/>
      <c r="R57" s="878">
        <f t="shared" si="15"/>
        <v>0</v>
      </c>
      <c r="S57" s="305"/>
      <c r="T57" s="305"/>
      <c r="U57" s="302"/>
    </row>
    <row r="58" spans="1:21" s="214" customFormat="1">
      <c r="A58" s="215" t="s">
        <v>161</v>
      </c>
      <c r="B58" s="216">
        <f t="shared" si="14"/>
        <v>10000</v>
      </c>
      <c r="C58" s="217">
        <v>10000</v>
      </c>
      <c r="D58" s="217"/>
      <c r="E58" s="217">
        <f>C58</f>
        <v>10000</v>
      </c>
      <c r="F58" s="217"/>
      <c r="G58" s="217"/>
      <c r="H58" s="217"/>
      <c r="I58" s="217"/>
      <c r="J58" s="217"/>
      <c r="K58" s="217"/>
      <c r="L58" s="217"/>
      <c r="M58" s="217"/>
      <c r="N58" s="217"/>
      <c r="O58" s="217"/>
      <c r="P58" s="217"/>
      <c r="Q58" s="217"/>
      <c r="R58" s="878">
        <f t="shared" si="15"/>
        <v>10000</v>
      </c>
      <c r="S58" s="218"/>
      <c r="T58" s="218"/>
      <c r="U58" s="213"/>
    </row>
    <row r="59" spans="1:21" s="214" customFormat="1">
      <c r="A59" s="439" t="s">
        <v>159</v>
      </c>
      <c r="B59" s="216">
        <f t="shared" si="14"/>
        <v>0</v>
      </c>
      <c r="C59" s="217"/>
      <c r="D59" s="217"/>
      <c r="E59" s="217"/>
      <c r="F59" s="217"/>
      <c r="G59" s="217"/>
      <c r="H59" s="217"/>
      <c r="I59" s="217"/>
      <c r="J59" s="217"/>
      <c r="K59" s="217"/>
      <c r="L59" s="217"/>
      <c r="M59" s="217"/>
      <c r="N59" s="217"/>
      <c r="O59" s="217"/>
      <c r="P59" s="217"/>
      <c r="Q59" s="217"/>
      <c r="R59" s="878">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78">
        <f t="shared" si="15"/>
        <v>0</v>
      </c>
      <c r="S60" s="218"/>
      <c r="T60" s="218"/>
      <c r="U60" s="213"/>
    </row>
    <row r="61" spans="1:21" s="214" customFormat="1">
      <c r="A61" s="222" t="s">
        <v>35</v>
      </c>
      <c r="B61" s="216">
        <f t="shared" si="14"/>
        <v>0</v>
      </c>
      <c r="C61" s="217"/>
      <c r="D61" s="217"/>
      <c r="E61" s="217"/>
      <c r="F61" s="217"/>
      <c r="G61" s="217"/>
      <c r="H61" s="217"/>
      <c r="I61" s="217"/>
      <c r="J61" s="217"/>
      <c r="K61" s="217"/>
      <c r="L61" s="217"/>
      <c r="M61" s="217"/>
      <c r="N61" s="217"/>
      <c r="O61" s="217"/>
      <c r="P61" s="217"/>
      <c r="Q61" s="217"/>
      <c r="R61" s="878">
        <f t="shared" si="15"/>
        <v>0</v>
      </c>
      <c r="S61" s="218"/>
      <c r="T61" s="218"/>
      <c r="U61" s="213"/>
    </row>
    <row r="62" spans="1:21" s="214" customFormat="1" ht="13.7" customHeight="1">
      <c r="A62" s="219" t="s">
        <v>309</v>
      </c>
      <c r="B62" s="216">
        <f>SUM(C62:D62)</f>
        <v>100057</v>
      </c>
      <c r="C62" s="216">
        <f t="shared" ref="C62:R62" si="16">SUM(C56:C61)</f>
        <v>100057</v>
      </c>
      <c r="D62" s="216">
        <f t="shared" si="16"/>
        <v>0</v>
      </c>
      <c r="E62" s="216">
        <f t="shared" si="16"/>
        <v>100057</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3">
        <f t="shared" si="16"/>
        <v>100057</v>
      </c>
      <c r="S62" s="218"/>
      <c r="T62" s="218"/>
      <c r="U62" s="213"/>
    </row>
    <row r="63" spans="1:21" s="214" customFormat="1">
      <c r="A63" s="225" t="s">
        <v>310</v>
      </c>
      <c r="B63" s="216">
        <f t="shared" ref="B63:R63" si="17">SUM(B8+B11+B13+B14+B15+B26+B27+B38+B42+B43+B54+B62)</f>
        <v>24350691</v>
      </c>
      <c r="C63" s="216">
        <f t="shared" si="17"/>
        <v>24350691</v>
      </c>
      <c r="D63" s="216">
        <f t="shared" si="17"/>
        <v>0</v>
      </c>
      <c r="E63" s="216">
        <f t="shared" si="17"/>
        <v>8606917</v>
      </c>
      <c r="F63" s="216">
        <f t="shared" si="17"/>
        <v>6486000</v>
      </c>
      <c r="G63" s="216">
        <f t="shared" si="17"/>
        <v>4806018</v>
      </c>
      <c r="H63" s="216">
        <f t="shared" si="17"/>
        <v>500000</v>
      </c>
      <c r="I63" s="216">
        <f t="shared" si="17"/>
        <v>2519696</v>
      </c>
      <c r="J63" s="216">
        <f t="shared" si="17"/>
        <v>792060</v>
      </c>
      <c r="K63" s="216">
        <f t="shared" si="17"/>
        <v>640000</v>
      </c>
      <c r="L63" s="216">
        <f t="shared" si="17"/>
        <v>0</v>
      </c>
      <c r="M63" s="216">
        <f t="shared" si="17"/>
        <v>0</v>
      </c>
      <c r="N63" s="216">
        <f t="shared" si="17"/>
        <v>0</v>
      </c>
      <c r="O63" s="216">
        <f t="shared" si="17"/>
        <v>0</v>
      </c>
      <c r="P63" s="216">
        <f t="shared" si="17"/>
        <v>0</v>
      </c>
      <c r="Q63" s="216">
        <f t="shared" si="17"/>
        <v>0</v>
      </c>
      <c r="R63" s="533">
        <f t="shared" si="17"/>
        <v>24350691</v>
      </c>
      <c r="S63" s="216">
        <f>SUM(S10+S13+S14+S15+S26+S27+S38+S42+S43+S54)</f>
        <v>20398887</v>
      </c>
      <c r="T63" s="216">
        <f>SUM(T11+T13+T14+T15+T26+T27+T38+T42+T43+T54)</f>
        <v>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217">
        <v>100000</v>
      </c>
      <c r="D65" s="217"/>
      <c r="E65" s="217">
        <f>C65</f>
        <v>100000</v>
      </c>
      <c r="F65" s="217"/>
      <c r="G65" s="217"/>
      <c r="H65" s="217"/>
      <c r="I65" s="217"/>
      <c r="J65" s="217"/>
      <c r="K65" s="217"/>
      <c r="L65" s="217"/>
      <c r="M65" s="217"/>
      <c r="N65" s="217"/>
      <c r="O65" s="217"/>
      <c r="P65" s="217"/>
      <c r="Q65" s="217"/>
      <c r="R65" s="878">
        <f>SUM(E65:Q65)</f>
        <v>100000</v>
      </c>
      <c r="S65" s="217">
        <v>50000</v>
      </c>
      <c r="T65" s="217"/>
      <c r="U65" s="213"/>
    </row>
    <row r="66" spans="1:21" s="214" customFormat="1" ht="24" customHeight="1">
      <c r="A66" s="439" t="s">
        <v>1995</v>
      </c>
      <c r="B66" s="216">
        <f t="shared" ref="B66:B69" si="18">SUM(C66+D66)</f>
        <v>0</v>
      </c>
      <c r="C66" s="217"/>
      <c r="D66" s="217"/>
      <c r="E66" s="217"/>
      <c r="F66" s="217"/>
      <c r="G66" s="217"/>
      <c r="H66" s="217"/>
      <c r="I66" s="217"/>
      <c r="J66" s="217"/>
      <c r="K66" s="217"/>
      <c r="L66" s="217"/>
      <c r="M66" s="217"/>
      <c r="N66" s="217"/>
      <c r="O66" s="217"/>
      <c r="P66" s="217"/>
      <c r="Q66" s="217"/>
      <c r="R66" s="878">
        <f t="shared" ref="R66:R68" si="19">SUM(E66:Q66)</f>
        <v>0</v>
      </c>
      <c r="S66" s="217"/>
      <c r="T66" s="217"/>
      <c r="U66" s="213"/>
    </row>
    <row r="67" spans="1:21" s="214" customFormat="1" ht="24" customHeight="1">
      <c r="A67" s="439" t="s">
        <v>1996</v>
      </c>
      <c r="B67" s="216">
        <f t="shared" si="18"/>
        <v>0</v>
      </c>
      <c r="C67" s="217"/>
      <c r="D67" s="217"/>
      <c r="E67" s="217"/>
      <c r="F67" s="217"/>
      <c r="G67" s="217"/>
      <c r="H67" s="217"/>
      <c r="I67" s="217"/>
      <c r="J67" s="217"/>
      <c r="K67" s="217"/>
      <c r="L67" s="217"/>
      <c r="M67" s="217"/>
      <c r="N67" s="217"/>
      <c r="O67" s="217"/>
      <c r="P67" s="217"/>
      <c r="Q67" s="217"/>
      <c r="R67" s="878">
        <f t="shared" si="19"/>
        <v>0</v>
      </c>
      <c r="S67" s="217"/>
      <c r="T67" s="217"/>
      <c r="U67" s="213"/>
    </row>
    <row r="68" spans="1:21" s="214" customFormat="1" ht="12" customHeight="1">
      <c r="A68" s="439" t="s">
        <v>2002</v>
      </c>
      <c r="B68" s="216">
        <f t="shared" si="18"/>
        <v>0</v>
      </c>
      <c r="C68" s="217"/>
      <c r="D68" s="217"/>
      <c r="E68" s="217"/>
      <c r="F68" s="217"/>
      <c r="G68" s="217"/>
      <c r="H68" s="217"/>
      <c r="I68" s="217"/>
      <c r="J68" s="217"/>
      <c r="K68" s="217"/>
      <c r="L68" s="217"/>
      <c r="M68" s="217"/>
      <c r="N68" s="217"/>
      <c r="O68" s="217"/>
      <c r="P68" s="217"/>
      <c r="Q68" s="217"/>
      <c r="R68" s="878">
        <f t="shared" si="19"/>
        <v>0</v>
      </c>
      <c r="S68" s="217"/>
      <c r="T68" s="217"/>
      <c r="U68" s="213"/>
    </row>
    <row r="69" spans="1:21" s="214" customFormat="1">
      <c r="A69" s="1870" t="s">
        <v>2659</v>
      </c>
      <c r="B69" s="216">
        <f t="shared" si="18"/>
        <v>115000</v>
      </c>
      <c r="C69" s="217">
        <v>115000</v>
      </c>
      <c r="D69" s="217"/>
      <c r="E69" s="217">
        <f>C69</f>
        <v>115000</v>
      </c>
      <c r="F69" s="217"/>
      <c r="G69" s="217"/>
      <c r="H69" s="217"/>
      <c r="I69" s="217"/>
      <c r="J69" s="217"/>
      <c r="K69" s="217"/>
      <c r="L69" s="217"/>
      <c r="M69" s="217"/>
      <c r="N69" s="217"/>
      <c r="O69" s="217"/>
      <c r="P69" s="217"/>
      <c r="Q69" s="217"/>
      <c r="R69" s="878">
        <f>SUM(E69:Q69)</f>
        <v>115000</v>
      </c>
      <c r="S69" s="217">
        <v>60000</v>
      </c>
      <c r="T69" s="217"/>
      <c r="U69" s="213"/>
    </row>
    <row r="70" spans="1:21" s="214" customFormat="1">
      <c r="A70" s="219" t="s">
        <v>1999</v>
      </c>
      <c r="B70" s="216">
        <f>SUM(C70:D70)</f>
        <v>215000</v>
      </c>
      <c r="C70" s="216">
        <f>SUM(C65:C69)</f>
        <v>215000</v>
      </c>
      <c r="D70" s="216">
        <f>SUM(D65:D69)</f>
        <v>0</v>
      </c>
      <c r="E70" s="216">
        <f t="shared" ref="E70:T70" si="20">SUM(E65:E69)</f>
        <v>215000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3">
        <f t="shared" si="20"/>
        <v>215000</v>
      </c>
      <c r="S70" s="220">
        <f t="shared" si="20"/>
        <v>110000</v>
      </c>
      <c r="T70" s="220">
        <f t="shared" si="20"/>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50000</v>
      </c>
      <c r="C72" s="217">
        <v>50000</v>
      </c>
      <c r="D72" s="217"/>
      <c r="E72" s="217">
        <f>C72</f>
        <v>50000</v>
      </c>
      <c r="F72" s="217"/>
      <c r="G72" s="217"/>
      <c r="H72" s="217"/>
      <c r="I72" s="217"/>
      <c r="J72" s="217"/>
      <c r="K72" s="217"/>
      <c r="L72" s="217"/>
      <c r="M72" s="217"/>
      <c r="N72" s="217"/>
      <c r="O72" s="217"/>
      <c r="P72" s="217"/>
      <c r="Q72" s="217"/>
      <c r="R72" s="878">
        <f>SUM(E72:Q72)</f>
        <v>50000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8">
        <f>SUM(E73:Q73)</f>
        <v>0</v>
      </c>
      <c r="S73" s="218"/>
      <c r="T73" s="218"/>
      <c r="U73" s="213"/>
    </row>
    <row r="74" spans="1:21" s="214" customFormat="1">
      <c r="A74" s="737" t="s">
        <v>1086</v>
      </c>
      <c r="B74" s="216">
        <f>SUM(C74+D74)</f>
        <v>342320</v>
      </c>
      <c r="C74" s="217">
        <v>342320</v>
      </c>
      <c r="D74" s="217"/>
      <c r="E74" s="217">
        <f>C74</f>
        <v>342320</v>
      </c>
      <c r="F74" s="217"/>
      <c r="G74" s="217"/>
      <c r="H74" s="217"/>
      <c r="I74" s="217"/>
      <c r="J74" s="217"/>
      <c r="K74" s="217"/>
      <c r="L74" s="217"/>
      <c r="M74" s="217"/>
      <c r="N74" s="217"/>
      <c r="O74" s="217"/>
      <c r="P74" s="217"/>
      <c r="Q74" s="217"/>
      <c r="R74" s="878">
        <f>SUM(E74:Q74)</f>
        <v>342320</v>
      </c>
      <c r="S74" s="218"/>
      <c r="T74" s="218"/>
      <c r="U74" s="213"/>
    </row>
    <row r="75" spans="1:21" s="214" customFormat="1">
      <c r="A75" s="215" t="s">
        <v>640</v>
      </c>
      <c r="B75" s="216">
        <f>SUM(C75+D75)</f>
        <v>233599</v>
      </c>
      <c r="C75" s="217">
        <v>233599</v>
      </c>
      <c r="D75" s="217"/>
      <c r="E75" s="217">
        <f>C75</f>
        <v>233599</v>
      </c>
      <c r="F75" s="217"/>
      <c r="G75" s="217"/>
      <c r="H75" s="217"/>
      <c r="I75" s="217"/>
      <c r="J75" s="217"/>
      <c r="K75" s="217"/>
      <c r="L75" s="217"/>
      <c r="M75" s="217"/>
      <c r="N75" s="217"/>
      <c r="O75" s="217"/>
      <c r="P75" s="217"/>
      <c r="Q75" s="217"/>
      <c r="R75" s="878">
        <f>SUM(E75:Q75)</f>
        <v>233599</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8">
        <f>SUM(E76:Q76)</f>
        <v>0</v>
      </c>
      <c r="S76" s="218"/>
      <c r="T76" s="218"/>
      <c r="U76" s="213"/>
    </row>
    <row r="77" spans="1:21" s="214" customFormat="1">
      <c r="A77" s="219" t="s">
        <v>641</v>
      </c>
      <c r="B77" s="216">
        <f>SUM(C77:D77)</f>
        <v>625919</v>
      </c>
      <c r="C77" s="216">
        <f>SUM(C72:C76)</f>
        <v>625919</v>
      </c>
      <c r="D77" s="216">
        <f>SUM(D72:D76)</f>
        <v>0</v>
      </c>
      <c r="E77" s="216">
        <f t="shared" ref="E77:Q77" si="21">SUM(E72:E76)</f>
        <v>625919</v>
      </c>
      <c r="F77" s="216">
        <f t="shared" si="21"/>
        <v>0</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33">
        <f>SUM(R72:R76)</f>
        <v>625919</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1422</v>
      </c>
      <c r="B79" s="216">
        <f>SUM(C79:D79)</f>
        <v>916152</v>
      </c>
      <c r="C79" s="217">
        <v>916152</v>
      </c>
      <c r="D79" s="217"/>
      <c r="E79" s="217">
        <f>C79</f>
        <v>916152</v>
      </c>
      <c r="F79" s="217"/>
      <c r="G79" s="217"/>
      <c r="H79" s="217"/>
      <c r="I79" s="217"/>
      <c r="J79" s="217"/>
      <c r="K79" s="217"/>
      <c r="L79" s="217"/>
      <c r="M79" s="217"/>
      <c r="N79" s="217"/>
      <c r="O79" s="217"/>
      <c r="P79" s="217"/>
      <c r="Q79" s="217"/>
      <c r="R79" s="878">
        <f>SUM(E79:Q79)</f>
        <v>916152</v>
      </c>
      <c r="S79" s="1701">
        <f>R79</f>
        <v>916152</v>
      </c>
      <c r="T79" s="217"/>
      <c r="U79" s="213"/>
    </row>
    <row r="80" spans="1:21" s="214" customFormat="1">
      <c r="A80" s="439" t="s">
        <v>61</v>
      </c>
      <c r="B80" s="216">
        <f>SUM(C80:D80)</f>
        <v>100000</v>
      </c>
      <c r="C80" s="217">
        <v>100000</v>
      </c>
      <c r="D80" s="217"/>
      <c r="E80" s="217">
        <f>C80</f>
        <v>100000</v>
      </c>
      <c r="F80" s="217"/>
      <c r="G80" s="217"/>
      <c r="H80" s="217"/>
      <c r="I80" s="217"/>
      <c r="J80" s="217"/>
      <c r="K80" s="217"/>
      <c r="L80" s="217"/>
      <c r="M80" s="217"/>
      <c r="N80" s="217"/>
      <c r="O80" s="217"/>
      <c r="P80" s="217"/>
      <c r="Q80" s="217"/>
      <c r="R80" s="878">
        <f>SUM(E80:Q80)</f>
        <v>100000</v>
      </c>
      <c r="S80" s="1701">
        <f>R80</f>
        <v>100000</v>
      </c>
      <c r="T80" s="217"/>
      <c r="U80" s="213"/>
    </row>
    <row r="81" spans="1:21" s="214" customFormat="1">
      <c r="A81" s="219" t="s">
        <v>1419</v>
      </c>
      <c r="B81" s="216">
        <f>SUM(C81:D81)</f>
        <v>1016152</v>
      </c>
      <c r="C81" s="858">
        <f>SUM(C79:C80)</f>
        <v>1016152</v>
      </c>
      <c r="D81" s="858">
        <f t="shared" ref="D81:T81" si="22">SUM(D79:D80)</f>
        <v>0</v>
      </c>
      <c r="E81" s="858">
        <f t="shared" si="22"/>
        <v>1016152</v>
      </c>
      <c r="F81" s="858">
        <f t="shared" si="22"/>
        <v>0</v>
      </c>
      <c r="G81" s="858">
        <f t="shared" si="22"/>
        <v>0</v>
      </c>
      <c r="H81" s="858">
        <f t="shared" si="22"/>
        <v>0</v>
      </c>
      <c r="I81" s="858">
        <f t="shared" si="22"/>
        <v>0</v>
      </c>
      <c r="J81" s="858">
        <f t="shared" si="22"/>
        <v>0</v>
      </c>
      <c r="K81" s="858">
        <f t="shared" si="22"/>
        <v>0</v>
      </c>
      <c r="L81" s="858">
        <f t="shared" si="22"/>
        <v>0</v>
      </c>
      <c r="M81" s="858">
        <f t="shared" si="22"/>
        <v>0</v>
      </c>
      <c r="N81" s="858">
        <f t="shared" si="22"/>
        <v>0</v>
      </c>
      <c r="O81" s="858">
        <f t="shared" si="22"/>
        <v>0</v>
      </c>
      <c r="P81" s="858">
        <f t="shared" si="22"/>
        <v>0</v>
      </c>
      <c r="Q81" s="858">
        <f t="shared" si="22"/>
        <v>0</v>
      </c>
      <c r="R81" s="858">
        <f t="shared" si="22"/>
        <v>1016152</v>
      </c>
      <c r="S81" s="858">
        <f t="shared" si="22"/>
        <v>1016152</v>
      </c>
      <c r="T81" s="858">
        <f t="shared" si="22"/>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7" customHeight="1">
      <c r="A83" s="215" t="s">
        <v>824</v>
      </c>
      <c r="B83" s="216">
        <f t="shared" ref="B83:B95" si="23">SUM(C83+D83)</f>
        <v>69720</v>
      </c>
      <c r="C83" s="217">
        <f>69719+1</f>
        <v>69720</v>
      </c>
      <c r="D83" s="217"/>
      <c r="E83" s="217">
        <f>C83</f>
        <v>69720</v>
      </c>
      <c r="F83" s="217"/>
      <c r="G83" s="217"/>
      <c r="H83" s="217"/>
      <c r="I83" s="217"/>
      <c r="J83" s="217"/>
      <c r="K83" s="217"/>
      <c r="L83" s="217"/>
      <c r="M83" s="217"/>
      <c r="N83" s="217"/>
      <c r="O83" s="217"/>
      <c r="P83" s="217"/>
      <c r="Q83" s="217"/>
      <c r="R83" s="878">
        <f t="shared" ref="R83:R95" si="24">SUM(E83:Q83)</f>
        <v>69720</v>
      </c>
      <c r="S83" s="218"/>
      <c r="T83" s="218"/>
      <c r="U83" s="213"/>
    </row>
    <row r="84" spans="1:21" s="214" customFormat="1">
      <c r="A84" s="215" t="s">
        <v>825</v>
      </c>
      <c r="B84" s="216">
        <f t="shared" si="23"/>
        <v>62000</v>
      </c>
      <c r="C84" s="217">
        <v>62000</v>
      </c>
      <c r="D84" s="217"/>
      <c r="E84" s="217">
        <f t="shared" ref="E84:E95" si="25">C84</f>
        <v>62000</v>
      </c>
      <c r="F84" s="217"/>
      <c r="G84" s="217"/>
      <c r="H84" s="217"/>
      <c r="I84" s="217"/>
      <c r="J84" s="217"/>
      <c r="K84" s="217"/>
      <c r="L84" s="217"/>
      <c r="M84" s="217"/>
      <c r="N84" s="217"/>
      <c r="O84" s="217"/>
      <c r="P84" s="217"/>
      <c r="Q84" s="217"/>
      <c r="R84" s="878">
        <f t="shared" si="24"/>
        <v>62000</v>
      </c>
      <c r="S84" s="1701">
        <f>R84</f>
        <v>62000</v>
      </c>
      <c r="T84" s="217"/>
      <c r="U84" s="213"/>
    </row>
    <row r="85" spans="1:21" s="214" customFormat="1">
      <c r="A85" s="215" t="s">
        <v>826</v>
      </c>
      <c r="B85" s="216">
        <f t="shared" si="23"/>
        <v>584053</v>
      </c>
      <c r="C85" s="217">
        <v>584053</v>
      </c>
      <c r="D85" s="217"/>
      <c r="E85" s="217">
        <f>+C85</f>
        <v>584053</v>
      </c>
      <c r="F85" s="217"/>
      <c r="G85" s="217"/>
      <c r="H85" s="217"/>
      <c r="I85" s="217"/>
      <c r="J85" s="217"/>
      <c r="K85" s="217"/>
      <c r="L85" s="217"/>
      <c r="M85" s="217"/>
      <c r="N85" s="217"/>
      <c r="O85" s="217"/>
      <c r="P85" s="217"/>
      <c r="Q85" s="217"/>
      <c r="R85" s="878">
        <f t="shared" si="24"/>
        <v>584053</v>
      </c>
      <c r="S85" s="1701">
        <f>R85</f>
        <v>584053</v>
      </c>
      <c r="T85" s="217"/>
      <c r="U85" s="213"/>
    </row>
    <row r="86" spans="1:21" s="214" customFormat="1">
      <c r="A86" s="215" t="s">
        <v>827</v>
      </c>
      <c r="B86" s="216">
        <f t="shared" si="23"/>
        <v>140695</v>
      </c>
      <c r="C86" s="217">
        <v>140695</v>
      </c>
      <c r="D86" s="217"/>
      <c r="E86" s="217">
        <f t="shared" si="25"/>
        <v>140695</v>
      </c>
      <c r="F86" s="217"/>
      <c r="G86" s="217"/>
      <c r="H86" s="217"/>
      <c r="I86" s="217"/>
      <c r="J86" s="217"/>
      <c r="K86" s="217"/>
      <c r="L86" s="217"/>
      <c r="M86" s="217"/>
      <c r="N86" s="217"/>
      <c r="O86" s="217"/>
      <c r="P86" s="217"/>
      <c r="Q86" s="217"/>
      <c r="R86" s="878">
        <f t="shared" si="24"/>
        <v>140695</v>
      </c>
      <c r="S86" s="1701">
        <f>R86</f>
        <v>140695</v>
      </c>
      <c r="T86" s="217"/>
      <c r="U86" s="213"/>
    </row>
    <row r="87" spans="1:21" s="214" customFormat="1">
      <c r="A87" s="215" t="s">
        <v>828</v>
      </c>
      <c r="B87" s="216">
        <f t="shared" si="23"/>
        <v>75000</v>
      </c>
      <c r="C87" s="217">
        <v>75000</v>
      </c>
      <c r="D87" s="217"/>
      <c r="E87" s="217">
        <f t="shared" si="25"/>
        <v>75000</v>
      </c>
      <c r="F87" s="217"/>
      <c r="G87" s="217"/>
      <c r="H87" s="217"/>
      <c r="I87" s="217"/>
      <c r="J87" s="217"/>
      <c r="K87" s="217"/>
      <c r="L87" s="217"/>
      <c r="M87" s="217"/>
      <c r="N87" s="217"/>
      <c r="O87" s="217"/>
      <c r="P87" s="217"/>
      <c r="Q87" s="217"/>
      <c r="R87" s="878">
        <f t="shared" si="24"/>
        <v>75000</v>
      </c>
      <c r="S87" s="1701">
        <f>R87</f>
        <v>75000</v>
      </c>
      <c r="T87" s="217"/>
      <c r="U87" s="213"/>
    </row>
    <row r="88" spans="1:21" s="214" customFormat="1">
      <c r="A88" s="215" t="s">
        <v>829</v>
      </c>
      <c r="B88" s="216">
        <f t="shared" si="23"/>
        <v>30000</v>
      </c>
      <c r="C88" s="217">
        <v>30000</v>
      </c>
      <c r="D88" s="217"/>
      <c r="E88" s="217">
        <f t="shared" si="25"/>
        <v>30000</v>
      </c>
      <c r="F88" s="217"/>
      <c r="G88" s="217"/>
      <c r="H88" s="217"/>
      <c r="I88" s="217"/>
      <c r="J88" s="217"/>
      <c r="K88" s="217"/>
      <c r="L88" s="217"/>
      <c r="M88" s="217"/>
      <c r="N88" s="217"/>
      <c r="O88" s="217"/>
      <c r="P88" s="217"/>
      <c r="Q88" s="217"/>
      <c r="R88" s="878">
        <f t="shared" si="24"/>
        <v>30000</v>
      </c>
      <c r="S88" s="218"/>
      <c r="T88" s="218"/>
      <c r="U88" s="213"/>
    </row>
    <row r="89" spans="1:21" s="214" customFormat="1">
      <c r="A89" s="215" t="s">
        <v>830</v>
      </c>
      <c r="B89" s="216">
        <f t="shared" si="23"/>
        <v>200000</v>
      </c>
      <c r="C89" s="217">
        <v>200000</v>
      </c>
      <c r="D89" s="217"/>
      <c r="E89" s="217">
        <f t="shared" si="25"/>
        <v>200000</v>
      </c>
      <c r="F89" s="217"/>
      <c r="G89" s="217"/>
      <c r="H89" s="217"/>
      <c r="I89" s="217"/>
      <c r="J89" s="217"/>
      <c r="K89" s="217"/>
      <c r="L89" s="217"/>
      <c r="M89" s="217"/>
      <c r="N89" s="217"/>
      <c r="O89" s="217"/>
      <c r="P89" s="217"/>
      <c r="Q89" s="217"/>
      <c r="R89" s="878">
        <f t="shared" si="24"/>
        <v>200000</v>
      </c>
      <c r="S89" s="1701">
        <f>R89</f>
        <v>200000</v>
      </c>
      <c r="T89" s="217"/>
      <c r="U89" s="213"/>
    </row>
    <row r="90" spans="1:21" s="214" customFormat="1">
      <c r="A90" s="215" t="s">
        <v>831</v>
      </c>
      <c r="B90" s="216">
        <f t="shared" si="23"/>
        <v>21250</v>
      </c>
      <c r="C90" s="217">
        <v>21250</v>
      </c>
      <c r="D90" s="217"/>
      <c r="E90" s="217">
        <f t="shared" si="25"/>
        <v>21250</v>
      </c>
      <c r="F90" s="217"/>
      <c r="G90" s="217"/>
      <c r="H90" s="217"/>
      <c r="I90" s="217"/>
      <c r="J90" s="217"/>
      <c r="K90" s="217"/>
      <c r="L90" s="217"/>
      <c r="M90" s="217"/>
      <c r="N90" s="217"/>
      <c r="O90" s="217"/>
      <c r="P90" s="217"/>
      <c r="Q90" s="217"/>
      <c r="R90" s="878">
        <f t="shared" si="24"/>
        <v>21250</v>
      </c>
      <c r="S90" s="1701">
        <f t="shared" ref="S90:S94" si="26">R90</f>
        <v>21250</v>
      </c>
      <c r="T90" s="217"/>
      <c r="U90" s="213"/>
    </row>
    <row r="91" spans="1:21" s="214" customFormat="1">
      <c r="A91" s="1809" t="s">
        <v>390</v>
      </c>
      <c r="B91" s="216">
        <f t="shared" si="23"/>
        <v>50000</v>
      </c>
      <c r="C91" s="217">
        <v>50000</v>
      </c>
      <c r="D91" s="217"/>
      <c r="E91" s="217">
        <f t="shared" si="25"/>
        <v>50000</v>
      </c>
      <c r="F91" s="217"/>
      <c r="G91" s="217"/>
      <c r="H91" s="217"/>
      <c r="I91" s="217"/>
      <c r="J91" s="217"/>
      <c r="K91" s="217"/>
      <c r="L91" s="217"/>
      <c r="M91" s="217"/>
      <c r="N91" s="217"/>
      <c r="O91" s="217"/>
      <c r="P91" s="217"/>
      <c r="Q91" s="217"/>
      <c r="R91" s="878">
        <f t="shared" si="24"/>
        <v>50000</v>
      </c>
      <c r="S91" s="1701">
        <f t="shared" si="26"/>
        <v>50000</v>
      </c>
      <c r="T91" s="217"/>
      <c r="U91" s="213"/>
    </row>
    <row r="92" spans="1:21" s="214" customFormat="1">
      <c r="A92" s="1808" t="s">
        <v>1421</v>
      </c>
      <c r="B92" s="216">
        <f t="shared" si="23"/>
        <v>21250</v>
      </c>
      <c r="C92" s="217">
        <v>21250</v>
      </c>
      <c r="D92" s="217"/>
      <c r="E92" s="217">
        <f t="shared" si="25"/>
        <v>21250</v>
      </c>
      <c r="F92" s="217"/>
      <c r="G92" s="217"/>
      <c r="H92" s="217"/>
      <c r="I92" s="217"/>
      <c r="J92" s="217"/>
      <c r="K92" s="217"/>
      <c r="L92" s="217"/>
      <c r="M92" s="217"/>
      <c r="N92" s="217"/>
      <c r="O92" s="217"/>
      <c r="P92" s="217"/>
      <c r="Q92" s="217"/>
      <c r="R92" s="878">
        <f t="shared" si="24"/>
        <v>21250</v>
      </c>
      <c r="S92" s="1701">
        <f t="shared" si="26"/>
        <v>21250</v>
      </c>
      <c r="T92" s="217"/>
      <c r="U92" s="213"/>
    </row>
    <row r="93" spans="1:21" s="214" customFormat="1">
      <c r="A93" s="1870" t="s">
        <v>2660</v>
      </c>
      <c r="B93" s="216">
        <f t="shared" si="23"/>
        <v>25000</v>
      </c>
      <c r="C93" s="217">
        <v>25000</v>
      </c>
      <c r="D93" s="217"/>
      <c r="E93" s="217">
        <f t="shared" si="25"/>
        <v>25000</v>
      </c>
      <c r="F93" s="217"/>
      <c r="G93" s="217"/>
      <c r="H93" s="217"/>
      <c r="I93" s="217"/>
      <c r="J93" s="217"/>
      <c r="K93" s="217"/>
      <c r="L93" s="217"/>
      <c r="M93" s="217"/>
      <c r="N93" s="217"/>
      <c r="O93" s="217"/>
      <c r="P93" s="217"/>
      <c r="Q93" s="217"/>
      <c r="R93" s="878">
        <f t="shared" si="24"/>
        <v>25000</v>
      </c>
      <c r="S93" s="1701">
        <f t="shared" si="26"/>
        <v>25000</v>
      </c>
      <c r="T93" s="217"/>
      <c r="U93" s="213"/>
    </row>
    <row r="94" spans="1:21" s="214" customFormat="1">
      <c r="A94" s="1870" t="s">
        <v>2661</v>
      </c>
      <c r="B94" s="216">
        <f t="shared" si="23"/>
        <v>150000</v>
      </c>
      <c r="C94" s="217">
        <v>150000</v>
      </c>
      <c r="D94" s="217"/>
      <c r="E94" s="217">
        <f t="shared" si="25"/>
        <v>150000</v>
      </c>
      <c r="F94" s="217"/>
      <c r="G94" s="217"/>
      <c r="H94" s="217"/>
      <c r="I94" s="217"/>
      <c r="J94" s="217"/>
      <c r="K94" s="217"/>
      <c r="L94" s="217"/>
      <c r="M94" s="217"/>
      <c r="N94" s="217"/>
      <c r="O94" s="217"/>
      <c r="P94" s="217"/>
      <c r="Q94" s="217"/>
      <c r="R94" s="878">
        <f t="shared" si="24"/>
        <v>150000</v>
      </c>
      <c r="S94" s="1701">
        <f t="shared" si="26"/>
        <v>150000</v>
      </c>
      <c r="T94" s="217"/>
      <c r="U94" s="213"/>
    </row>
    <row r="95" spans="1:21" s="214" customFormat="1">
      <c r="A95" s="1870" t="s">
        <v>2662</v>
      </c>
      <c r="B95" s="216">
        <f t="shared" si="23"/>
        <v>141348</v>
      </c>
      <c r="C95" s="217">
        <f>103349+38000-1</f>
        <v>141348</v>
      </c>
      <c r="D95" s="217"/>
      <c r="E95" s="217">
        <f t="shared" si="25"/>
        <v>141348</v>
      </c>
      <c r="F95" s="217"/>
      <c r="G95" s="217"/>
      <c r="H95" s="217"/>
      <c r="I95" s="217"/>
      <c r="J95" s="217"/>
      <c r="K95" s="217"/>
      <c r="L95" s="217"/>
      <c r="M95" s="217"/>
      <c r="N95" s="217"/>
      <c r="O95" s="217"/>
      <c r="P95" s="217"/>
      <c r="Q95" s="217"/>
      <c r="R95" s="878">
        <f t="shared" si="24"/>
        <v>141348</v>
      </c>
      <c r="S95" s="1701">
        <v>38000</v>
      </c>
      <c r="T95" s="217"/>
      <c r="U95" s="213"/>
    </row>
    <row r="96" spans="1:21" s="214" customFormat="1">
      <c r="A96" s="219" t="s">
        <v>832</v>
      </c>
      <c r="B96" s="216">
        <f>SUM(C96:D96)</f>
        <v>1570316</v>
      </c>
      <c r="C96" s="216">
        <f t="shared" ref="C96:R96" si="27">SUM(C83:C95)</f>
        <v>1570316</v>
      </c>
      <c r="D96" s="216">
        <f t="shared" si="27"/>
        <v>0</v>
      </c>
      <c r="E96" s="216">
        <f t="shared" si="27"/>
        <v>1570316</v>
      </c>
      <c r="F96" s="216">
        <f t="shared" si="27"/>
        <v>0</v>
      </c>
      <c r="G96" s="216">
        <f t="shared" si="27"/>
        <v>0</v>
      </c>
      <c r="H96" s="216">
        <f t="shared" si="27"/>
        <v>0</v>
      </c>
      <c r="I96" s="216">
        <f t="shared" si="27"/>
        <v>0</v>
      </c>
      <c r="J96" s="216">
        <f t="shared" si="27"/>
        <v>0</v>
      </c>
      <c r="K96" s="216">
        <f t="shared" si="27"/>
        <v>0</v>
      </c>
      <c r="L96" s="216">
        <f t="shared" si="27"/>
        <v>0</v>
      </c>
      <c r="M96" s="216">
        <f t="shared" si="27"/>
        <v>0</v>
      </c>
      <c r="N96" s="216">
        <f t="shared" si="27"/>
        <v>0</v>
      </c>
      <c r="O96" s="216">
        <f t="shared" si="27"/>
        <v>0</v>
      </c>
      <c r="P96" s="216">
        <f t="shared" si="27"/>
        <v>0</v>
      </c>
      <c r="Q96" s="216">
        <f t="shared" si="27"/>
        <v>0</v>
      </c>
      <c r="R96" s="533">
        <f t="shared" si="27"/>
        <v>1570316</v>
      </c>
      <c r="S96" s="220">
        <f>SUM(S84:S87,S89:S95)</f>
        <v>1367248</v>
      </c>
      <c r="T96" s="216">
        <f>SUM(T84:T87,T89:T95)</f>
        <v>0</v>
      </c>
      <c r="U96" s="213"/>
    </row>
    <row r="97" spans="1:21" s="214" customFormat="1">
      <c r="A97" s="219" t="s">
        <v>833</v>
      </c>
      <c r="B97" s="216">
        <f>SUM(C97:D97)</f>
        <v>27778078</v>
      </c>
      <c r="C97" s="216">
        <f t="shared" ref="C97:R97" si="28">SUM(C63+C70+C77+C81+C96)</f>
        <v>27778078</v>
      </c>
      <c r="D97" s="216">
        <f t="shared" si="28"/>
        <v>0</v>
      </c>
      <c r="E97" s="216">
        <f t="shared" si="28"/>
        <v>12034304</v>
      </c>
      <c r="F97" s="216">
        <f t="shared" si="28"/>
        <v>6486000</v>
      </c>
      <c r="G97" s="216">
        <f t="shared" si="28"/>
        <v>4806018</v>
      </c>
      <c r="H97" s="216">
        <f t="shared" si="28"/>
        <v>500000</v>
      </c>
      <c r="I97" s="216">
        <f t="shared" si="28"/>
        <v>2519696</v>
      </c>
      <c r="J97" s="216">
        <f t="shared" si="28"/>
        <v>792060</v>
      </c>
      <c r="K97" s="216">
        <f t="shared" si="28"/>
        <v>640000</v>
      </c>
      <c r="L97" s="216">
        <f t="shared" si="28"/>
        <v>0</v>
      </c>
      <c r="M97" s="216">
        <f t="shared" si="28"/>
        <v>0</v>
      </c>
      <c r="N97" s="216">
        <f t="shared" si="28"/>
        <v>0</v>
      </c>
      <c r="O97" s="216">
        <f t="shared" si="28"/>
        <v>0</v>
      </c>
      <c r="P97" s="216">
        <f t="shared" si="28"/>
        <v>0</v>
      </c>
      <c r="Q97" s="216">
        <f t="shared" si="28"/>
        <v>0</v>
      </c>
      <c r="R97" s="216">
        <f t="shared" si="28"/>
        <v>27778078</v>
      </c>
      <c r="S97" s="216">
        <f>SUM(S63+S70+S81+S96)</f>
        <v>22892287</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2500000</v>
      </c>
      <c r="C99" s="1701">
        <v>2500000</v>
      </c>
      <c r="D99" s="1701"/>
      <c r="E99" s="1701">
        <f>C99</f>
        <v>2500000</v>
      </c>
      <c r="F99" s="217"/>
      <c r="G99" s="217"/>
      <c r="H99" s="217"/>
      <c r="I99" s="217"/>
      <c r="J99" s="217"/>
      <c r="K99" s="217"/>
      <c r="L99" s="217"/>
      <c r="M99" s="217"/>
      <c r="N99" s="217"/>
      <c r="O99" s="217"/>
      <c r="P99" s="217"/>
      <c r="Q99" s="217"/>
      <c r="R99" s="878">
        <f t="shared" ref="R99:R103" si="29">SUM(E99:Q99)</f>
        <v>2500000</v>
      </c>
      <c r="S99" s="217">
        <v>2500000</v>
      </c>
      <c r="T99" s="217"/>
      <c r="U99" s="213"/>
    </row>
    <row r="100" spans="1:21" s="214" customFormat="1">
      <c r="A100" s="439" t="s">
        <v>2000</v>
      </c>
      <c r="B100" s="216">
        <f t="shared" ref="B100:B103" si="30">SUM(C100+D100)</f>
        <v>0</v>
      </c>
      <c r="C100" s="217"/>
      <c r="D100" s="217"/>
      <c r="E100" s="217"/>
      <c r="F100" s="217"/>
      <c r="G100" s="217"/>
      <c r="H100" s="217"/>
      <c r="I100" s="217"/>
      <c r="J100" s="217"/>
      <c r="K100" s="217"/>
      <c r="L100" s="217"/>
      <c r="M100" s="217"/>
      <c r="N100" s="217"/>
      <c r="O100" s="217"/>
      <c r="P100" s="217"/>
      <c r="Q100" s="217"/>
      <c r="R100" s="878">
        <f t="shared" si="29"/>
        <v>0</v>
      </c>
      <c r="S100" s="217"/>
      <c r="T100" s="217"/>
      <c r="U100" s="213"/>
    </row>
    <row r="101" spans="1:21" s="214" customFormat="1" ht="12" customHeight="1">
      <c r="A101" s="215" t="s">
        <v>836</v>
      </c>
      <c r="B101" s="216">
        <f t="shared" si="30"/>
        <v>0</v>
      </c>
      <c r="C101" s="217"/>
      <c r="D101" s="217"/>
      <c r="E101" s="217"/>
      <c r="F101" s="217"/>
      <c r="G101" s="217"/>
      <c r="H101" s="217"/>
      <c r="I101" s="217"/>
      <c r="J101" s="217"/>
      <c r="K101" s="217"/>
      <c r="L101" s="217"/>
      <c r="M101" s="217"/>
      <c r="N101" s="217"/>
      <c r="O101" s="217"/>
      <c r="P101" s="217"/>
      <c r="Q101" s="217"/>
      <c r="R101" s="878">
        <f t="shared" si="29"/>
        <v>0</v>
      </c>
      <c r="S101" s="217"/>
      <c r="T101" s="217"/>
      <c r="U101" s="213"/>
    </row>
    <row r="102" spans="1:21" s="214" customFormat="1">
      <c r="A102" s="439" t="s">
        <v>2001</v>
      </c>
      <c r="B102" s="216">
        <f t="shared" si="30"/>
        <v>0</v>
      </c>
      <c r="C102" s="217"/>
      <c r="D102" s="217"/>
      <c r="E102" s="217"/>
      <c r="F102" s="217"/>
      <c r="G102" s="217"/>
      <c r="H102" s="217"/>
      <c r="I102" s="217"/>
      <c r="J102" s="217"/>
      <c r="K102" s="217"/>
      <c r="L102" s="217"/>
      <c r="M102" s="217"/>
      <c r="N102" s="217"/>
      <c r="O102" s="217"/>
      <c r="P102" s="217"/>
      <c r="Q102" s="217"/>
      <c r="R102" s="878">
        <f t="shared" si="29"/>
        <v>0</v>
      </c>
      <c r="S102" s="217"/>
      <c r="T102" s="217"/>
      <c r="U102" s="213"/>
    </row>
    <row r="103" spans="1:21" s="214" customFormat="1">
      <c r="A103" s="222" t="s">
        <v>35</v>
      </c>
      <c r="B103" s="216">
        <f t="shared" si="30"/>
        <v>0</v>
      </c>
      <c r="C103" s="217"/>
      <c r="D103" s="217"/>
      <c r="E103" s="217"/>
      <c r="F103" s="217"/>
      <c r="G103" s="217"/>
      <c r="H103" s="217"/>
      <c r="I103" s="217"/>
      <c r="J103" s="217"/>
      <c r="K103" s="217"/>
      <c r="L103" s="217"/>
      <c r="M103" s="217"/>
      <c r="N103" s="217"/>
      <c r="O103" s="217"/>
      <c r="P103" s="217"/>
      <c r="Q103" s="217"/>
      <c r="R103" s="878">
        <f t="shared" si="29"/>
        <v>0</v>
      </c>
      <c r="S103" s="217"/>
      <c r="T103" s="217"/>
      <c r="U103" s="213"/>
    </row>
    <row r="104" spans="1:21" s="214" customFormat="1">
      <c r="A104" s="219" t="s">
        <v>837</v>
      </c>
      <c r="B104" s="216">
        <f>SUM(C104:D104)</f>
        <v>2500000</v>
      </c>
      <c r="C104" s="216">
        <f>SUM(C99:C103)</f>
        <v>2500000</v>
      </c>
      <c r="D104" s="216">
        <f t="shared" ref="D104:T104" si="31">SUM(D99:D103)</f>
        <v>0</v>
      </c>
      <c r="E104" s="216">
        <f t="shared" si="31"/>
        <v>2500000</v>
      </c>
      <c r="F104" s="216">
        <f t="shared" si="31"/>
        <v>0</v>
      </c>
      <c r="G104" s="216">
        <f t="shared" si="31"/>
        <v>0</v>
      </c>
      <c r="H104" s="216">
        <f t="shared" si="31"/>
        <v>0</v>
      </c>
      <c r="I104" s="216">
        <f t="shared" si="31"/>
        <v>0</v>
      </c>
      <c r="J104" s="216">
        <f t="shared" si="31"/>
        <v>0</v>
      </c>
      <c r="K104" s="216">
        <f t="shared" si="31"/>
        <v>0</v>
      </c>
      <c r="L104" s="216">
        <f t="shared" si="31"/>
        <v>0</v>
      </c>
      <c r="M104" s="216">
        <f t="shared" si="31"/>
        <v>0</v>
      </c>
      <c r="N104" s="216">
        <f t="shared" si="31"/>
        <v>0</v>
      </c>
      <c r="O104" s="216">
        <f t="shared" si="31"/>
        <v>0</v>
      </c>
      <c r="P104" s="216">
        <f t="shared" si="31"/>
        <v>0</v>
      </c>
      <c r="Q104" s="216">
        <f t="shared" si="31"/>
        <v>0</v>
      </c>
      <c r="R104" s="533">
        <f t="shared" si="31"/>
        <v>2500000</v>
      </c>
      <c r="S104" s="220">
        <f t="shared" si="31"/>
        <v>2500000</v>
      </c>
      <c r="T104" s="220">
        <f t="shared" si="31"/>
        <v>0</v>
      </c>
      <c r="U104" s="213"/>
    </row>
    <row r="105" spans="1:21" s="214" customFormat="1">
      <c r="A105" s="219" t="s">
        <v>838</v>
      </c>
      <c r="B105" s="220">
        <f>SUM(C105:D105)</f>
        <v>30278078</v>
      </c>
      <c r="C105" s="220">
        <f t="shared" ref="C105:R105" si="32">SUM(C97+C104)</f>
        <v>30278078</v>
      </c>
      <c r="D105" s="220">
        <f t="shared" si="32"/>
        <v>0</v>
      </c>
      <c r="E105" s="220">
        <f t="shared" si="32"/>
        <v>14534304</v>
      </c>
      <c r="F105" s="220">
        <f t="shared" si="32"/>
        <v>6486000</v>
      </c>
      <c r="G105" s="220">
        <f t="shared" si="32"/>
        <v>4806018</v>
      </c>
      <c r="H105" s="220">
        <f t="shared" si="32"/>
        <v>500000</v>
      </c>
      <c r="I105" s="220">
        <f t="shared" si="32"/>
        <v>2519696</v>
      </c>
      <c r="J105" s="220">
        <f t="shared" si="32"/>
        <v>792060</v>
      </c>
      <c r="K105" s="220">
        <f t="shared" si="32"/>
        <v>640000</v>
      </c>
      <c r="L105" s="220">
        <f t="shared" si="32"/>
        <v>0</v>
      </c>
      <c r="M105" s="220">
        <f t="shared" si="32"/>
        <v>0</v>
      </c>
      <c r="N105" s="220">
        <f t="shared" si="32"/>
        <v>0</v>
      </c>
      <c r="O105" s="220">
        <f t="shared" si="32"/>
        <v>0</v>
      </c>
      <c r="P105" s="220">
        <f t="shared" si="32"/>
        <v>0</v>
      </c>
      <c r="Q105" s="220">
        <f t="shared" si="32"/>
        <v>0</v>
      </c>
      <c r="R105" s="533">
        <f t="shared" si="32"/>
        <v>30278078</v>
      </c>
      <c r="S105" s="220">
        <f>S97+S104</f>
        <v>25392287</v>
      </c>
      <c r="T105" s="220">
        <f>T97+T104</f>
        <v>0</v>
      </c>
      <c r="U105" s="213"/>
    </row>
    <row r="106" spans="1:21">
      <c r="A106" s="865"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25392287</v>
      </c>
      <c r="T107" s="234">
        <f>T105+T106</f>
        <v>0</v>
      </c>
    </row>
    <row r="108" spans="1:21" s="300" customFormat="1">
      <c r="A108" s="233" t="s">
        <v>944</v>
      </c>
      <c r="B108" s="228"/>
      <c r="C108" s="228"/>
      <c r="D108" s="228"/>
      <c r="E108" s="463">
        <f>Application!AO650</f>
        <v>14534304</v>
      </c>
      <c r="F108" s="463">
        <f>Application!AO637</f>
        <v>6486000</v>
      </c>
      <c r="G108" s="463">
        <f>Application!AO638</f>
        <v>4806018</v>
      </c>
      <c r="H108" s="463">
        <f>Application!AO639</f>
        <v>500000</v>
      </c>
      <c r="I108" s="463">
        <f>Application!AO640</f>
        <v>2519696</v>
      </c>
      <c r="J108" s="463">
        <f>Application!AO641</f>
        <v>792060</v>
      </c>
      <c r="K108" s="463">
        <f>Application!AO642</f>
        <v>640000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4"/>
      <c r="B112" s="228"/>
      <c r="C112" s="228"/>
      <c r="D112" s="228"/>
    </row>
    <row r="113" spans="1:21">
      <c r="A113" s="227" t="s">
        <v>1127</v>
      </c>
      <c r="B113" s="228"/>
      <c r="C113" s="228"/>
      <c r="D113" s="228"/>
    </row>
    <row r="114" spans="1:21">
      <c r="A114" s="227" t="s">
        <v>1128</v>
      </c>
      <c r="B114" s="228"/>
      <c r="C114" s="228"/>
      <c r="D114" s="228"/>
    </row>
    <row r="115" spans="1:21" ht="12" customHeight="1">
      <c r="A115" s="484"/>
      <c r="B115" s="228"/>
      <c r="C115" s="228"/>
      <c r="D115" s="228"/>
    </row>
    <row r="116" spans="1:21">
      <c r="A116" s="536" t="s">
        <v>1135</v>
      </c>
      <c r="B116" s="228"/>
      <c r="C116" s="228"/>
      <c r="D116" s="228"/>
    </row>
    <row r="117" spans="1:21">
      <c r="A117" s="536" t="s">
        <v>1438</v>
      </c>
      <c r="B117" s="228"/>
      <c r="C117" s="228"/>
      <c r="D117" s="228"/>
    </row>
    <row r="118" spans="1:21">
      <c r="A118" s="536" t="s">
        <v>1134</v>
      </c>
      <c r="B118" s="228"/>
      <c r="C118" s="228"/>
      <c r="D118" s="228"/>
    </row>
    <row r="119" spans="1:21">
      <c r="A119" s="536" t="s">
        <v>1136</v>
      </c>
      <c r="B119" s="228"/>
      <c r="C119" s="228"/>
      <c r="D119" s="228"/>
    </row>
    <row r="120" spans="1:21" ht="12" customHeight="1">
      <c r="A120" s="535"/>
      <c r="B120" s="228"/>
      <c r="C120" s="228"/>
      <c r="D120" s="228"/>
    </row>
    <row r="121" spans="1:21" ht="15.75">
      <c r="A121" s="529" t="s">
        <v>1111</v>
      </c>
      <c r="B121" s="228"/>
      <c r="C121" s="228"/>
      <c r="D121" s="228"/>
    </row>
    <row r="122" spans="1:21">
      <c r="A122" s="514" t="s">
        <v>1095</v>
      </c>
      <c r="B122" s="513"/>
      <c r="C122" s="513"/>
      <c r="D122" s="2588" t="s">
        <v>1096</v>
      </c>
      <c r="E122" s="2588"/>
      <c r="F122" s="2588"/>
      <c r="G122" s="513"/>
      <c r="H122" s="513"/>
      <c r="I122" s="513"/>
      <c r="J122" s="513"/>
      <c r="K122" s="513"/>
      <c r="L122" s="513"/>
      <c r="M122" s="513"/>
      <c r="N122" s="513"/>
      <c r="O122" s="513"/>
      <c r="P122" s="513"/>
      <c r="Q122" s="513"/>
      <c r="R122" s="513"/>
      <c r="S122" s="513"/>
      <c r="T122" s="513"/>
      <c r="U122" s="515"/>
    </row>
    <row r="123" spans="1:21">
      <c r="A123" s="513" t="s">
        <v>1097</v>
      </c>
      <c r="B123" s="522"/>
      <c r="C123" s="513"/>
      <c r="D123" s="2591" t="s">
        <v>1439</v>
      </c>
      <c r="E123" s="2592"/>
      <c r="F123" s="2592"/>
      <c r="G123" s="2592"/>
      <c r="H123" s="2592"/>
      <c r="I123" s="2592"/>
      <c r="J123" s="2592"/>
      <c r="K123" s="2592"/>
      <c r="L123" s="2592"/>
      <c r="M123" s="2592"/>
      <c r="N123" s="2592"/>
      <c r="O123" s="2592"/>
      <c r="P123" s="2592"/>
      <c r="Q123" s="2592"/>
      <c r="R123" s="2592"/>
      <c r="S123" s="2592"/>
      <c r="T123" s="513"/>
      <c r="U123" s="515"/>
    </row>
    <row r="124" spans="1:21" ht="12.75">
      <c r="A124" s="512" t="s">
        <v>1098</v>
      </c>
      <c r="B124" s="522"/>
      <c r="C124" s="512"/>
      <c r="D124" s="2592"/>
      <c r="E124" s="2592"/>
      <c r="F124" s="2592"/>
      <c r="G124" s="2592"/>
      <c r="H124" s="2592"/>
      <c r="I124" s="2592"/>
      <c r="J124" s="2592"/>
      <c r="K124" s="2592"/>
      <c r="L124" s="2592"/>
      <c r="M124" s="2592"/>
      <c r="N124" s="2592"/>
      <c r="O124" s="2592"/>
      <c r="P124" s="2592"/>
      <c r="Q124" s="2592"/>
      <c r="R124" s="2592"/>
      <c r="S124" s="2592"/>
      <c r="T124" s="513"/>
      <c r="U124" s="515"/>
    </row>
    <row r="125" spans="1:21" ht="12.75">
      <c r="A125" s="512" t="s">
        <v>1099</v>
      </c>
      <c r="B125" s="522"/>
      <c r="C125" s="512"/>
      <c r="D125" s="2592"/>
      <c r="E125" s="2592"/>
      <c r="F125" s="2592"/>
      <c r="G125" s="2592"/>
      <c r="H125" s="2592"/>
      <c r="I125" s="2592"/>
      <c r="J125" s="2592"/>
      <c r="K125" s="2592"/>
      <c r="L125" s="2592"/>
      <c r="M125" s="2592"/>
      <c r="N125" s="2592"/>
      <c r="O125" s="2592"/>
      <c r="P125" s="2592"/>
      <c r="Q125" s="2592"/>
      <c r="R125" s="2592"/>
      <c r="S125" s="2592"/>
      <c r="T125" s="513"/>
      <c r="U125" s="515"/>
    </row>
    <row r="126" spans="1:21" ht="12.75">
      <c r="A126" s="512" t="s">
        <v>1100</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2.75">
      <c r="A127" s="512" t="s">
        <v>1101</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2.75">
      <c r="A128" s="512" t="s">
        <v>1102</v>
      </c>
      <c r="B128" s="522"/>
      <c r="C128" s="512"/>
      <c r="D128" s="2585"/>
      <c r="E128" s="2585"/>
      <c r="F128" s="2585"/>
      <c r="G128" s="2585"/>
      <c r="H128" s="2585"/>
      <c r="I128" s="512"/>
      <c r="J128" s="2586"/>
      <c r="K128" s="2586"/>
      <c r="L128" s="512"/>
      <c r="M128" s="512"/>
      <c r="N128" s="512"/>
      <c r="O128" s="512"/>
      <c r="P128" s="512"/>
      <c r="Q128" s="512"/>
      <c r="R128" s="512"/>
      <c r="S128" s="512"/>
      <c r="T128" s="513"/>
      <c r="U128" s="515"/>
    </row>
    <row r="129" spans="1:21" ht="12.75">
      <c r="A129" s="512" t="s">
        <v>308</v>
      </c>
      <c r="B129" s="522"/>
      <c r="C129" s="512"/>
      <c r="D129" s="2587" t="s">
        <v>1103</v>
      </c>
      <c r="E129" s="2587"/>
      <c r="F129" s="2587"/>
      <c r="G129" s="2587"/>
      <c r="H129" s="2587"/>
      <c r="I129" s="512"/>
      <c r="J129" s="512" t="s">
        <v>1104</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2.75">
      <c r="A131" s="525" t="s">
        <v>1105</v>
      </c>
      <c r="B131" s="523">
        <f>SUM(B123:B129)</f>
        <v>0</v>
      </c>
      <c r="C131" s="512"/>
      <c r="D131" s="2509"/>
      <c r="E131" s="2509"/>
      <c r="F131" s="2509"/>
      <c r="G131" s="2509"/>
      <c r="H131" s="2509"/>
      <c r="I131" s="512"/>
      <c r="J131" s="2509"/>
      <c r="K131" s="2509"/>
      <c r="L131" s="2509"/>
      <c r="M131" s="2509"/>
      <c r="N131" s="512"/>
      <c r="O131" s="512"/>
      <c r="P131" s="512"/>
      <c r="Q131" s="512"/>
      <c r="R131" s="512"/>
      <c r="S131" s="512"/>
      <c r="T131" s="513"/>
      <c r="U131" s="515"/>
    </row>
    <row r="132" spans="1:21" ht="12" customHeight="1">
      <c r="A132" s="526"/>
      <c r="B132" s="512"/>
      <c r="C132" s="512"/>
      <c r="D132" s="2593" t="s">
        <v>1106</v>
      </c>
      <c r="E132" s="2593"/>
      <c r="F132" s="2593"/>
      <c r="G132" s="2593"/>
      <c r="H132" s="2593"/>
      <c r="I132" s="512"/>
      <c r="J132" s="2593" t="s">
        <v>1107</v>
      </c>
      <c r="K132" s="2593"/>
      <c r="L132" s="2593"/>
      <c r="M132" s="2593"/>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75">
      <c r="A134" s="527" t="s">
        <v>1108</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2.75">
      <c r="A135" s="484" t="s">
        <v>1109</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7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94"/>
      <c r="B138" s="2595"/>
      <c r="C138" s="2595"/>
      <c r="D138" s="517"/>
      <c r="E138" s="2586"/>
      <c r="F138" s="2586"/>
      <c r="G138" s="512"/>
      <c r="H138" s="512"/>
      <c r="I138" s="512"/>
      <c r="J138" s="512"/>
      <c r="K138" s="512"/>
      <c r="L138" s="512"/>
      <c r="M138" s="512"/>
      <c r="N138" s="512"/>
      <c r="O138" s="512"/>
      <c r="P138" s="512"/>
      <c r="Q138" s="512"/>
      <c r="R138" s="512"/>
      <c r="S138" s="512"/>
      <c r="T138" s="519"/>
      <c r="U138" s="520"/>
    </row>
    <row r="139" spans="1:21" ht="12.75">
      <c r="A139" s="2589" t="s">
        <v>1110</v>
      </c>
      <c r="B139" s="2590"/>
      <c r="C139" s="2590"/>
      <c r="D139" s="517"/>
      <c r="E139" s="512" t="s">
        <v>1104</v>
      </c>
      <c r="F139" s="512"/>
      <c r="G139" s="512"/>
      <c r="H139" s="512"/>
      <c r="I139" s="512"/>
      <c r="J139" s="512"/>
      <c r="K139" s="512"/>
      <c r="L139" s="512"/>
      <c r="M139" s="512"/>
      <c r="N139" s="512"/>
      <c r="O139" s="512"/>
      <c r="P139" s="512"/>
      <c r="Q139" s="512"/>
      <c r="R139" s="512"/>
      <c r="S139" s="512"/>
      <c r="T139" s="519"/>
      <c r="U139" s="520"/>
    </row>
    <row r="140" spans="1:21" ht="12.75">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5" priority="263" stopIfTrue="1">
      <formula>T9&gt;C9</formula>
    </cfRule>
  </conditionalFormatting>
  <conditionalFormatting sqref="S10">
    <cfRule type="expression" dxfId="134" priority="262" stopIfTrue="1">
      <formula>(S10+T10)&gt;C10</formula>
    </cfRule>
  </conditionalFormatting>
  <conditionalFormatting sqref="R8">
    <cfRule type="cellIs" dxfId="133" priority="251" stopIfTrue="1" operator="notEqual">
      <formula>$B8</formula>
    </cfRule>
    <cfRule type="cellIs" priority="254" stopIfTrue="1" operator="notEqual">
      <formula>$B8</formula>
    </cfRule>
  </conditionalFormatting>
  <conditionalFormatting sqref="R4:R7 R56:R61 R45:R53 R83:R95 R99:R103">
    <cfRule type="cellIs" dxfId="132" priority="253" stopIfTrue="1" operator="notEqual">
      <formula>$B4</formula>
    </cfRule>
  </conditionalFormatting>
  <conditionalFormatting sqref="R9:R10">
    <cfRule type="cellIs" dxfId="131" priority="252" stopIfTrue="1" operator="notEqual">
      <formula>$B9</formula>
    </cfRule>
  </conditionalFormatting>
  <conditionalFormatting sqref="R11:R12">
    <cfRule type="cellIs" dxfId="130" priority="249" stopIfTrue="1" operator="notEqual">
      <formula>$B11</formula>
    </cfRule>
    <cfRule type="cellIs" priority="250" stopIfTrue="1" operator="notEqual">
      <formula>$B11</formula>
    </cfRule>
  </conditionalFormatting>
  <conditionalFormatting sqref="R13:R15">
    <cfRule type="cellIs" dxfId="129" priority="248" stopIfTrue="1" operator="notEqual">
      <formula>$B13</formula>
    </cfRule>
  </conditionalFormatting>
  <conditionalFormatting sqref="R26">
    <cfRule type="cellIs" dxfId="128" priority="246" stopIfTrue="1" operator="notEqual">
      <formula>$B26</formula>
    </cfRule>
    <cfRule type="cellIs" priority="247" stopIfTrue="1" operator="notEqual">
      <formula>$B26</formula>
    </cfRule>
  </conditionalFormatting>
  <conditionalFormatting sqref="R17:R25">
    <cfRule type="cellIs" dxfId="127" priority="245" stopIfTrue="1" operator="notEqual">
      <formula>$B17</formula>
    </cfRule>
  </conditionalFormatting>
  <conditionalFormatting sqref="R27">
    <cfRule type="cellIs" dxfId="126" priority="244" stopIfTrue="1" operator="notEqual">
      <formula>$B27</formula>
    </cfRule>
  </conditionalFormatting>
  <conditionalFormatting sqref="R38">
    <cfRule type="cellIs" dxfId="125" priority="242" stopIfTrue="1" operator="notEqual">
      <formula>$B38</formula>
    </cfRule>
    <cfRule type="cellIs" priority="243" stopIfTrue="1" operator="notEqual">
      <formula>$B38</formula>
    </cfRule>
  </conditionalFormatting>
  <conditionalFormatting sqref="R29:R37">
    <cfRule type="cellIs" dxfId="124" priority="241" stopIfTrue="1" operator="notEqual">
      <formula>$B29</formula>
    </cfRule>
  </conditionalFormatting>
  <conditionalFormatting sqref="R42">
    <cfRule type="cellIs" dxfId="123" priority="239" stopIfTrue="1" operator="notEqual">
      <formula>$B42</formula>
    </cfRule>
    <cfRule type="cellIs" priority="240" stopIfTrue="1" operator="notEqual">
      <formula>$B42</formula>
    </cfRule>
  </conditionalFormatting>
  <conditionalFormatting sqref="R40:R41">
    <cfRule type="cellIs" dxfId="122" priority="238" stopIfTrue="1" operator="notEqual">
      <formula>$B40</formula>
    </cfRule>
  </conditionalFormatting>
  <conditionalFormatting sqref="R43">
    <cfRule type="cellIs" dxfId="121" priority="237" stopIfTrue="1" operator="notEqual">
      <formula>$B43</formula>
    </cfRule>
  </conditionalFormatting>
  <conditionalFormatting sqref="R54">
    <cfRule type="cellIs" dxfId="120" priority="235" stopIfTrue="1" operator="notEqual">
      <formula>$B54</formula>
    </cfRule>
    <cfRule type="cellIs" priority="236" stopIfTrue="1" operator="notEqual">
      <formula>$B54</formula>
    </cfRule>
  </conditionalFormatting>
  <conditionalFormatting sqref="R62:R63">
    <cfRule type="cellIs" dxfId="119" priority="232" stopIfTrue="1" operator="notEqual">
      <formula>$B62</formula>
    </cfRule>
    <cfRule type="cellIs" priority="233" stopIfTrue="1" operator="notEqual">
      <formula>$B62</formula>
    </cfRule>
  </conditionalFormatting>
  <conditionalFormatting sqref="R70">
    <cfRule type="cellIs" dxfId="118" priority="229" stopIfTrue="1" operator="notEqual">
      <formula>$B70</formula>
    </cfRule>
    <cfRule type="cellIs" priority="230" stopIfTrue="1" operator="notEqual">
      <formula>$B70</formula>
    </cfRule>
  </conditionalFormatting>
  <conditionalFormatting sqref="R65:R69">
    <cfRule type="cellIs" dxfId="117" priority="228" stopIfTrue="1" operator="notEqual">
      <formula>$B65</formula>
    </cfRule>
  </conditionalFormatting>
  <conditionalFormatting sqref="R77">
    <cfRule type="cellIs" dxfId="116" priority="226" stopIfTrue="1" operator="notEqual">
      <formula>$B77</formula>
    </cfRule>
    <cfRule type="cellIs" priority="227" stopIfTrue="1" operator="notEqual">
      <formula>$B77</formula>
    </cfRule>
  </conditionalFormatting>
  <conditionalFormatting sqref="R96">
    <cfRule type="cellIs" dxfId="115" priority="224" stopIfTrue="1" operator="notEqual">
      <formula>$B96</formula>
    </cfRule>
    <cfRule type="cellIs" priority="225" stopIfTrue="1" operator="notEqual">
      <formula>$B96</formula>
    </cfRule>
  </conditionalFormatting>
  <conditionalFormatting sqref="R72:R76">
    <cfRule type="cellIs" dxfId="114" priority="223" stopIfTrue="1" operator="notEqual">
      <formula>$B72</formula>
    </cfRule>
  </conditionalFormatting>
  <conditionalFormatting sqref="R79:R80">
    <cfRule type="cellIs" dxfId="113" priority="222" stopIfTrue="1" operator="notEqual">
      <formula>$B79</formula>
    </cfRule>
  </conditionalFormatting>
  <conditionalFormatting sqref="R104:R105">
    <cfRule type="cellIs" dxfId="112" priority="219" stopIfTrue="1" operator="notEqual">
      <formula>$B104</formula>
    </cfRule>
    <cfRule type="cellIs" priority="220" stopIfTrue="1" operator="notEqual">
      <formula>$B104</formula>
    </cfRule>
  </conditionalFormatting>
  <conditionalFormatting sqref="E105:Q105">
    <cfRule type="cellIs" dxfId="111" priority="217" stopIfTrue="1" operator="notEqual">
      <formula>E$108</formula>
    </cfRule>
  </conditionalFormatting>
  <conditionalFormatting sqref="S13">
    <cfRule type="expression" dxfId="110" priority="214" stopIfTrue="1">
      <formula>(S13+T13)&gt;C13</formula>
    </cfRule>
  </conditionalFormatting>
  <conditionalFormatting sqref="S14">
    <cfRule type="expression" dxfId="109" priority="211" stopIfTrue="1">
      <formula>(S14+T14)&gt;C14</formula>
    </cfRule>
  </conditionalFormatting>
  <conditionalFormatting sqref="S17">
    <cfRule type="expression" dxfId="108" priority="210" stopIfTrue="1">
      <formula>(S17+T17)&gt;C17</formula>
    </cfRule>
  </conditionalFormatting>
  <conditionalFormatting sqref="S18">
    <cfRule type="expression" dxfId="107" priority="202" stopIfTrue="1">
      <formula>(S18+T18)&gt;C18</formula>
    </cfRule>
  </conditionalFormatting>
  <conditionalFormatting sqref="S19">
    <cfRule type="expression" dxfId="106" priority="200" stopIfTrue="1">
      <formula>(S19+T19)&gt;C19</formula>
    </cfRule>
  </conditionalFormatting>
  <conditionalFormatting sqref="S20">
    <cfRule type="expression" dxfId="105" priority="199" stopIfTrue="1">
      <formula>(S20+T20)&gt;C20</formula>
    </cfRule>
  </conditionalFormatting>
  <conditionalFormatting sqref="S21">
    <cfRule type="expression" dxfId="104" priority="198" stopIfTrue="1">
      <formula>(S21+T21)&gt;C21</formula>
    </cfRule>
  </conditionalFormatting>
  <conditionalFormatting sqref="S22">
    <cfRule type="expression" dxfId="103" priority="197" stopIfTrue="1">
      <formula>(S22+T22)&gt;C22</formula>
    </cfRule>
  </conditionalFormatting>
  <conditionalFormatting sqref="S23:S24">
    <cfRule type="expression" dxfId="102" priority="196" stopIfTrue="1">
      <formula>(S23+T23)&gt;C23</formula>
    </cfRule>
  </conditionalFormatting>
  <conditionalFormatting sqref="S25">
    <cfRule type="expression" dxfId="101" priority="195" stopIfTrue="1">
      <formula>(S25+T25)&gt;C25</formula>
    </cfRule>
  </conditionalFormatting>
  <conditionalFormatting sqref="S27">
    <cfRule type="expression" dxfId="100" priority="188" stopIfTrue="1">
      <formula>(S27+T27)&gt;C27</formula>
    </cfRule>
  </conditionalFormatting>
  <conditionalFormatting sqref="S40">
    <cfRule type="expression" dxfId="99" priority="170" stopIfTrue="1">
      <formula>(S40+T40)&gt;C40</formula>
    </cfRule>
  </conditionalFormatting>
  <conditionalFormatting sqref="S41">
    <cfRule type="expression" dxfId="98" priority="169" stopIfTrue="1">
      <formula>(S41+T41)&gt;C41</formula>
    </cfRule>
  </conditionalFormatting>
  <conditionalFormatting sqref="S43">
    <cfRule type="expression" dxfId="97" priority="166" stopIfTrue="1">
      <formula>(S43+T43)&gt;C43</formula>
    </cfRule>
  </conditionalFormatting>
  <conditionalFormatting sqref="S65:S68">
    <cfRule type="expression" dxfId="96" priority="141" stopIfTrue="1">
      <formula>(S65+T65)&gt;C65</formula>
    </cfRule>
  </conditionalFormatting>
  <conditionalFormatting sqref="S69">
    <cfRule type="expression" dxfId="95" priority="140" stopIfTrue="1">
      <formula>(S69+T69)&gt;C69</formula>
    </cfRule>
  </conditionalFormatting>
  <conditionalFormatting sqref="S99">
    <cfRule type="expression" dxfId="94" priority="107" stopIfTrue="1">
      <formula>(S99+T99)&gt;C99</formula>
    </cfRule>
  </conditionalFormatting>
  <conditionalFormatting sqref="S100">
    <cfRule type="expression" dxfId="93" priority="106" stopIfTrue="1">
      <formula>(S100+T100)&gt;C100</formula>
    </cfRule>
  </conditionalFormatting>
  <conditionalFormatting sqref="S101">
    <cfRule type="expression" dxfId="92" priority="104" stopIfTrue="1">
      <formula>(S101+T101)&gt;C101</formula>
    </cfRule>
  </conditionalFormatting>
  <conditionalFormatting sqref="S102">
    <cfRule type="expression" dxfId="91" priority="103" stopIfTrue="1">
      <formula>(S102+T102)&gt;C102</formula>
    </cfRule>
  </conditionalFormatting>
  <conditionalFormatting sqref="S103">
    <cfRule type="expression" dxfId="90" priority="102" stopIfTrue="1">
      <formula>(S103+T103)&gt;C103</formula>
    </cfRule>
  </conditionalFormatting>
  <conditionalFormatting sqref="C10">
    <cfRule type="expression" dxfId="89" priority="94">
      <formula>"(S10+T10)&gt;C10 "</formula>
    </cfRule>
  </conditionalFormatting>
  <conditionalFormatting sqref="T10">
    <cfRule type="expression" dxfId="88" priority="92" stopIfTrue="1">
      <formula>(S10+T10)&gt;C10</formula>
    </cfRule>
  </conditionalFormatting>
  <conditionalFormatting sqref="T13">
    <cfRule type="expression" dxfId="87" priority="90" stopIfTrue="1">
      <formula>(S13+T13)&gt;C13</formula>
    </cfRule>
  </conditionalFormatting>
  <conditionalFormatting sqref="T14">
    <cfRule type="expression" dxfId="86" priority="89" stopIfTrue="1">
      <formula>(S14+T14)&gt;C14</formula>
    </cfRule>
  </conditionalFormatting>
  <conditionalFormatting sqref="T17">
    <cfRule type="expression" dxfId="85" priority="88" stopIfTrue="1">
      <formula>(S17+T17)&gt;C17</formula>
    </cfRule>
  </conditionalFormatting>
  <conditionalFormatting sqref="T18">
    <cfRule type="expression" dxfId="84" priority="71" stopIfTrue="1">
      <formula>(S18+T18)&gt;C18</formula>
    </cfRule>
  </conditionalFormatting>
  <conditionalFormatting sqref="T19">
    <cfRule type="expression" dxfId="83" priority="70" stopIfTrue="1">
      <formula>(S19+T19)&gt;C19</formula>
    </cfRule>
  </conditionalFormatting>
  <conditionalFormatting sqref="T20">
    <cfRule type="expression" dxfId="82" priority="69" stopIfTrue="1">
      <formula>(S20+T20)&gt;C20</formula>
    </cfRule>
  </conditionalFormatting>
  <conditionalFormatting sqref="T21">
    <cfRule type="expression" dxfId="81" priority="68" stopIfTrue="1">
      <formula>(S21+T21)&gt;C21</formula>
    </cfRule>
  </conditionalFormatting>
  <conditionalFormatting sqref="T22">
    <cfRule type="expression" dxfId="80" priority="67" stopIfTrue="1">
      <formula>(S22+T22)&gt;C22</formula>
    </cfRule>
  </conditionalFormatting>
  <conditionalFormatting sqref="T23:T24">
    <cfRule type="expression" dxfId="79" priority="66" stopIfTrue="1">
      <formula>(S23+T23)&gt;C23</formula>
    </cfRule>
  </conditionalFormatting>
  <conditionalFormatting sqref="T25">
    <cfRule type="expression" dxfId="78" priority="65" stopIfTrue="1">
      <formula>(S25+T25)&gt;C25</formula>
    </cfRule>
  </conditionalFormatting>
  <conditionalFormatting sqref="T27">
    <cfRule type="expression" dxfId="77" priority="63" stopIfTrue="1">
      <formula>(S27+T27)&gt;C27</formula>
    </cfRule>
  </conditionalFormatting>
  <conditionalFormatting sqref="T29">
    <cfRule type="expression" dxfId="76" priority="62" stopIfTrue="1">
      <formula>(S29+T29)&gt;C29</formula>
    </cfRule>
  </conditionalFormatting>
  <conditionalFormatting sqref="T30">
    <cfRule type="expression" dxfId="75" priority="60" stopIfTrue="1">
      <formula>(S30+T30)&gt;C30</formula>
    </cfRule>
  </conditionalFormatting>
  <conditionalFormatting sqref="T31">
    <cfRule type="expression" dxfId="74" priority="59" stopIfTrue="1">
      <formula>(S31+T31)&gt;C31</formula>
    </cfRule>
  </conditionalFormatting>
  <conditionalFormatting sqref="T32">
    <cfRule type="expression" dxfId="73" priority="58" stopIfTrue="1">
      <formula>(S32+T32)&gt;C32</formula>
    </cfRule>
  </conditionalFormatting>
  <conditionalFormatting sqref="T33">
    <cfRule type="expression" dxfId="72" priority="57" stopIfTrue="1">
      <formula>(S33+T33)&gt;C33</formula>
    </cfRule>
  </conditionalFormatting>
  <conditionalFormatting sqref="T34">
    <cfRule type="expression" dxfId="71" priority="56" stopIfTrue="1">
      <formula>(S34+T34)&gt;C34</formula>
    </cfRule>
  </conditionalFormatting>
  <conditionalFormatting sqref="T35:T36">
    <cfRule type="expression" dxfId="70" priority="55" stopIfTrue="1">
      <formula>(S35+T35)&gt;C35</formula>
    </cfRule>
  </conditionalFormatting>
  <conditionalFormatting sqref="T37">
    <cfRule type="expression" dxfId="69" priority="54" stopIfTrue="1">
      <formula>(S37+T37)&gt;C37</formula>
    </cfRule>
  </conditionalFormatting>
  <conditionalFormatting sqref="T40">
    <cfRule type="expression" dxfId="68" priority="53" stopIfTrue="1">
      <formula>(S40+T40)&gt;C40</formula>
    </cfRule>
  </conditionalFormatting>
  <conditionalFormatting sqref="T41">
    <cfRule type="expression" dxfId="67" priority="52" stopIfTrue="1">
      <formula>(S41+T41)&gt;C41</formula>
    </cfRule>
  </conditionalFormatting>
  <conditionalFormatting sqref="T43">
    <cfRule type="expression" dxfId="66" priority="51" stopIfTrue="1">
      <formula>(S43+T43)&gt;C43</formula>
    </cfRule>
  </conditionalFormatting>
  <conditionalFormatting sqref="T45">
    <cfRule type="expression" dxfId="65" priority="50" stopIfTrue="1">
      <formula>(S45+T45)&gt;C45</formula>
    </cfRule>
  </conditionalFormatting>
  <conditionalFormatting sqref="T46">
    <cfRule type="expression" dxfId="64" priority="49" stopIfTrue="1">
      <formula>(S46+T46)&gt;C46</formula>
    </cfRule>
  </conditionalFormatting>
  <conditionalFormatting sqref="T47">
    <cfRule type="expression" dxfId="63" priority="48" stopIfTrue="1">
      <formula>(S47+T47)&gt;C47</formula>
    </cfRule>
  </conditionalFormatting>
  <conditionalFormatting sqref="T48">
    <cfRule type="expression" dxfId="62" priority="47" stopIfTrue="1">
      <formula>(S48+T48)&gt;C48</formula>
    </cfRule>
  </conditionalFormatting>
  <conditionalFormatting sqref="T49">
    <cfRule type="expression" dxfId="61" priority="46" stopIfTrue="1">
      <formula>(S49+T49)&gt;C49</formula>
    </cfRule>
  </conditionalFormatting>
  <conditionalFormatting sqref="T50">
    <cfRule type="expression" dxfId="60" priority="45" stopIfTrue="1">
      <formula>(S50+T50)&gt;C50</formula>
    </cfRule>
  </conditionalFormatting>
  <conditionalFormatting sqref="T51">
    <cfRule type="expression" dxfId="59" priority="44" stopIfTrue="1">
      <formula>(S51+T51)&gt;C51</formula>
    </cfRule>
  </conditionalFormatting>
  <conditionalFormatting sqref="T52">
    <cfRule type="expression" dxfId="58" priority="43" stopIfTrue="1">
      <formula>(S52+T52)&gt;C52</formula>
    </cfRule>
  </conditionalFormatting>
  <conditionalFormatting sqref="T53">
    <cfRule type="expression" dxfId="57" priority="41" stopIfTrue="1">
      <formula>(S53+T53)&gt;C53</formula>
    </cfRule>
  </conditionalFormatting>
  <conditionalFormatting sqref="T65:T68">
    <cfRule type="expression" dxfId="56" priority="40" stopIfTrue="1">
      <formula>(S65+T65)&gt;C65</formula>
    </cfRule>
  </conditionalFormatting>
  <conditionalFormatting sqref="T69">
    <cfRule type="expression" dxfId="55" priority="39" stopIfTrue="1">
      <formula>(S69+T69)&gt;C69</formula>
    </cfRule>
  </conditionalFormatting>
  <conditionalFormatting sqref="T79">
    <cfRule type="expression" dxfId="54" priority="38" stopIfTrue="1">
      <formula>(S79+T79)&gt;C79</formula>
    </cfRule>
  </conditionalFormatting>
  <conditionalFormatting sqref="T80">
    <cfRule type="expression" dxfId="53" priority="37" stopIfTrue="1">
      <formula>(S80+T80)&gt;C80</formula>
    </cfRule>
  </conditionalFormatting>
  <conditionalFormatting sqref="T84">
    <cfRule type="expression" dxfId="52" priority="36" stopIfTrue="1">
      <formula>(S84+T84)&gt;C84</formula>
    </cfRule>
  </conditionalFormatting>
  <conditionalFormatting sqref="T85">
    <cfRule type="expression" dxfId="51" priority="35" stopIfTrue="1">
      <formula>(S85+T85)&gt;C85</formula>
    </cfRule>
  </conditionalFormatting>
  <conditionalFormatting sqref="T86">
    <cfRule type="expression" dxfId="50" priority="34" stopIfTrue="1">
      <formula>(S86+T86)&gt;C86</formula>
    </cfRule>
  </conditionalFormatting>
  <conditionalFormatting sqref="T87">
    <cfRule type="expression" dxfId="49" priority="33" stopIfTrue="1">
      <formula>(S87+T87)&gt;C87</formula>
    </cfRule>
  </conditionalFormatting>
  <conditionalFormatting sqref="T89">
    <cfRule type="expression" dxfId="48" priority="32" stopIfTrue="1">
      <formula>(S89+T89)&gt;C89</formula>
    </cfRule>
  </conditionalFormatting>
  <conditionalFormatting sqref="T90">
    <cfRule type="expression" dxfId="47" priority="31" stopIfTrue="1">
      <formula>(S90+T90)&gt;C90</formula>
    </cfRule>
  </conditionalFormatting>
  <conditionalFormatting sqref="T91">
    <cfRule type="expression" dxfId="46" priority="30" stopIfTrue="1">
      <formula>(S91+T91)&gt;C91</formula>
    </cfRule>
  </conditionalFormatting>
  <conditionalFormatting sqref="T92">
    <cfRule type="expression" dxfId="45" priority="29" stopIfTrue="1">
      <formula>(S92+T92)&gt;C92</formula>
    </cfRule>
  </conditionalFormatting>
  <conditionalFormatting sqref="T93">
    <cfRule type="expression" dxfId="44" priority="28" stopIfTrue="1">
      <formula>(S93+T93)&gt;C93</formula>
    </cfRule>
  </conditionalFormatting>
  <conditionalFormatting sqref="T94">
    <cfRule type="expression" dxfId="43" priority="27" stopIfTrue="1">
      <formula>(S94+T94)&gt;C94</formula>
    </cfRule>
  </conditionalFormatting>
  <conditionalFormatting sqref="T95">
    <cfRule type="expression" dxfId="42" priority="26" stopIfTrue="1">
      <formula>(S95+T95)&gt;C95</formula>
    </cfRule>
  </conditionalFormatting>
  <conditionalFormatting sqref="T99">
    <cfRule type="expression" dxfId="41" priority="23" stopIfTrue="1">
      <formula>(S99+T99)&gt;C99</formula>
    </cfRule>
  </conditionalFormatting>
  <conditionalFormatting sqref="T100">
    <cfRule type="expression" dxfId="40" priority="22" stopIfTrue="1">
      <formula>(S100+T100)&gt;C100</formula>
    </cfRule>
  </conditionalFormatting>
  <conditionalFormatting sqref="T101">
    <cfRule type="expression" dxfId="39" priority="20" stopIfTrue="1">
      <formula>(S101+T101)&gt;C101</formula>
    </cfRule>
  </conditionalFormatting>
  <conditionalFormatting sqref="T102">
    <cfRule type="expression" dxfId="38" priority="19" stopIfTrue="1">
      <formula>(S102+T102)&gt;C102</formula>
    </cfRule>
  </conditionalFormatting>
  <conditionalFormatting sqref="T103">
    <cfRule type="expression" dxfId="37" priority="18" stopIfTrue="1">
      <formula>(S103+T103)&gt;C103</formula>
    </cfRule>
  </conditionalFormatting>
  <conditionalFormatting sqref="S29:S37">
    <cfRule type="expression" dxfId="36" priority="17" stopIfTrue="1">
      <formula>(S29+T29)&gt;C29</formula>
    </cfRule>
  </conditionalFormatting>
  <conditionalFormatting sqref="S45">
    <cfRule type="expression" dxfId="35" priority="16" stopIfTrue="1">
      <formula>(S45+T45)&gt;C45</formula>
    </cfRule>
  </conditionalFormatting>
  <conditionalFormatting sqref="S46">
    <cfRule type="expression" dxfId="34" priority="15" stopIfTrue="1">
      <formula>(S46+T46)&gt;C46</formula>
    </cfRule>
  </conditionalFormatting>
  <conditionalFormatting sqref="S47">
    <cfRule type="expression" dxfId="33" priority="14" stopIfTrue="1">
      <formula>(S47+T47)&gt;C47</formula>
    </cfRule>
  </conditionalFormatting>
  <conditionalFormatting sqref="S48">
    <cfRule type="expression" dxfId="32" priority="13" stopIfTrue="1">
      <formula>(S48+T48)&gt;C48</formula>
    </cfRule>
  </conditionalFormatting>
  <conditionalFormatting sqref="S49">
    <cfRule type="expression" dxfId="31" priority="12" stopIfTrue="1">
      <formula>(S49+T49)&gt;C49</formula>
    </cfRule>
  </conditionalFormatting>
  <conditionalFormatting sqref="S50">
    <cfRule type="expression" dxfId="30" priority="11" stopIfTrue="1">
      <formula>(S50+T50)&gt;C50</formula>
    </cfRule>
  </conditionalFormatting>
  <conditionalFormatting sqref="S51">
    <cfRule type="expression" dxfId="29" priority="10" stopIfTrue="1">
      <formula>(S51+T51)&gt;C51</formula>
    </cfRule>
  </conditionalFormatting>
  <conditionalFormatting sqref="S52">
    <cfRule type="expression" dxfId="28" priority="9" stopIfTrue="1">
      <formula>(S52+T52)&gt;C52</formula>
    </cfRule>
  </conditionalFormatting>
  <conditionalFormatting sqref="S53">
    <cfRule type="expression" dxfId="27" priority="8" stopIfTrue="1">
      <formula>(S53+T53)&gt;C53</formula>
    </cfRule>
  </conditionalFormatting>
  <conditionalFormatting sqref="S79">
    <cfRule type="expression" dxfId="26" priority="7" stopIfTrue="1">
      <formula>(S79+T79)&gt;C79</formula>
    </cfRule>
  </conditionalFormatting>
  <conditionalFormatting sqref="S80">
    <cfRule type="expression" dxfId="25" priority="6" stopIfTrue="1">
      <formula>(S80+T80)&gt;C80</formula>
    </cfRule>
  </conditionalFormatting>
  <conditionalFormatting sqref="S84">
    <cfRule type="expression" dxfId="24" priority="5" stopIfTrue="1">
      <formula>(S84+T84)&gt;C84</formula>
    </cfRule>
  </conditionalFormatting>
  <conditionalFormatting sqref="S85">
    <cfRule type="expression" dxfId="23" priority="4" stopIfTrue="1">
      <formula>(S85+T85)&gt;C85</formula>
    </cfRule>
  </conditionalFormatting>
  <conditionalFormatting sqref="S86">
    <cfRule type="expression" dxfId="22" priority="3" stopIfTrue="1">
      <formula>(S86+T86)&gt;C86</formula>
    </cfRule>
  </conditionalFormatting>
  <conditionalFormatting sqref="S87">
    <cfRule type="expression" dxfId="21" priority="2" stopIfTrue="1">
      <formula>(S87+T87)&gt;C87</formula>
    </cfRule>
  </conditionalFormatting>
  <conditionalFormatting sqref="S89:S95">
    <cfRule type="expression" dxfId="20" priority="1" stopIfTrue="1">
      <formula>(S89+T89)&gt;C89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94" zoomScaleNormal="100" zoomScaleSheetLayoutView="100" workbookViewId="0">
      <selection sqref="A1:J1"/>
    </sheetView>
  </sheetViews>
  <sheetFormatPr defaultColWidth="0" defaultRowHeight="12" zeroHeight="1"/>
  <cols>
    <col min="1" max="1" width="32.7109375" style="609" customWidth="1"/>
    <col min="2" max="3" width="12.140625" style="602" customWidth="1"/>
    <col min="4" max="6" width="12.85546875" style="602" customWidth="1"/>
    <col min="7" max="9" width="12.140625" style="602" customWidth="1"/>
    <col min="10" max="10" width="12.140625" style="603" customWidth="1"/>
    <col min="11" max="11" width="8.85546875" style="604" hidden="1" customWidth="1"/>
    <col min="12" max="21" width="8.85546875" style="602" hidden="1" customWidth="1"/>
    <col min="22" max="23" width="0" style="602" hidden="1"/>
    <col min="24" max="256" width="8.85546875" style="602" hidden="1"/>
    <col min="257" max="257" width="32.7109375" style="602" hidden="1" customWidth="1"/>
    <col min="258" max="259" width="12.140625" style="602" hidden="1" customWidth="1"/>
    <col min="260" max="260" width="12.85546875" style="602" hidden="1" customWidth="1"/>
    <col min="261" max="266" width="12.140625" style="602" hidden="1" customWidth="1"/>
    <col min="267" max="277" width="8.85546875" style="602" hidden="1" customWidth="1"/>
    <col min="278" max="512" width="8.85546875" style="602" hidden="1"/>
    <col min="513" max="513" width="32.7109375" style="602" hidden="1" customWidth="1"/>
    <col min="514" max="515" width="12.140625" style="602" hidden="1" customWidth="1"/>
    <col min="516" max="516" width="12.85546875" style="602" hidden="1" customWidth="1"/>
    <col min="517" max="522" width="12.140625" style="602" hidden="1" customWidth="1"/>
    <col min="523" max="533" width="8.85546875" style="602" hidden="1" customWidth="1"/>
    <col min="534" max="768" width="8.85546875" style="602" hidden="1"/>
    <col min="769" max="769" width="32.7109375" style="602" hidden="1" customWidth="1"/>
    <col min="770" max="771" width="12.140625" style="602" hidden="1" customWidth="1"/>
    <col min="772" max="772" width="12.85546875" style="602" hidden="1" customWidth="1"/>
    <col min="773" max="778" width="12.140625" style="602" hidden="1" customWidth="1"/>
    <col min="779" max="789" width="8.85546875" style="602" hidden="1" customWidth="1"/>
    <col min="790" max="1024" width="8.85546875" style="602" hidden="1"/>
    <col min="1025" max="1025" width="32.7109375" style="602" hidden="1" customWidth="1"/>
    <col min="1026" max="1027" width="12.140625" style="602" hidden="1" customWidth="1"/>
    <col min="1028" max="1028" width="12.85546875" style="602" hidden="1" customWidth="1"/>
    <col min="1029" max="1034" width="12.140625" style="602" hidden="1" customWidth="1"/>
    <col min="1035" max="1045" width="8.85546875" style="602" hidden="1" customWidth="1"/>
    <col min="1046" max="1280" width="8.85546875" style="602" hidden="1"/>
    <col min="1281" max="1281" width="32.7109375" style="602" hidden="1" customWidth="1"/>
    <col min="1282" max="1283" width="12.140625" style="602" hidden="1" customWidth="1"/>
    <col min="1284" max="1284" width="12.85546875" style="602" hidden="1" customWidth="1"/>
    <col min="1285" max="1290" width="12.140625" style="602" hidden="1" customWidth="1"/>
    <col min="1291" max="1301" width="8.85546875" style="602" hidden="1" customWidth="1"/>
    <col min="1302" max="1536" width="8.85546875" style="602" hidden="1"/>
    <col min="1537" max="1537" width="32.7109375" style="602" hidden="1" customWidth="1"/>
    <col min="1538" max="1539" width="12.140625" style="602" hidden="1" customWidth="1"/>
    <col min="1540" max="1540" width="12.85546875" style="602" hidden="1" customWidth="1"/>
    <col min="1541" max="1546" width="12.140625" style="602" hidden="1" customWidth="1"/>
    <col min="1547" max="1557" width="8.85546875" style="602" hidden="1" customWidth="1"/>
    <col min="1558" max="1792" width="8.85546875" style="602" hidden="1"/>
    <col min="1793" max="1793" width="32.7109375" style="602" hidden="1" customWidth="1"/>
    <col min="1794" max="1795" width="12.140625" style="602" hidden="1" customWidth="1"/>
    <col min="1796" max="1796" width="12.85546875" style="602" hidden="1" customWidth="1"/>
    <col min="1797" max="1802" width="12.140625" style="602" hidden="1" customWidth="1"/>
    <col min="1803" max="1813" width="8.85546875" style="602" hidden="1" customWidth="1"/>
    <col min="1814" max="2048" width="8.85546875" style="602" hidden="1"/>
    <col min="2049" max="2049" width="32.7109375" style="602" hidden="1" customWidth="1"/>
    <col min="2050" max="2051" width="12.140625" style="602" hidden="1" customWidth="1"/>
    <col min="2052" max="2052" width="12.85546875" style="602" hidden="1" customWidth="1"/>
    <col min="2053" max="2058" width="12.140625" style="602" hidden="1" customWidth="1"/>
    <col min="2059" max="2069" width="8.85546875" style="602" hidden="1" customWidth="1"/>
    <col min="2070" max="2304" width="8.85546875" style="602" hidden="1"/>
    <col min="2305" max="2305" width="32.7109375" style="602" hidden="1" customWidth="1"/>
    <col min="2306" max="2307" width="12.140625" style="602" hidden="1" customWidth="1"/>
    <col min="2308" max="2308" width="12.85546875" style="602" hidden="1" customWidth="1"/>
    <col min="2309" max="2314" width="12.140625" style="602" hidden="1" customWidth="1"/>
    <col min="2315" max="2325" width="8.85546875" style="602" hidden="1" customWidth="1"/>
    <col min="2326" max="2560" width="8.85546875" style="602" hidden="1"/>
    <col min="2561" max="2561" width="32.7109375" style="602" hidden="1" customWidth="1"/>
    <col min="2562" max="2563" width="12.140625" style="602" hidden="1" customWidth="1"/>
    <col min="2564" max="2564" width="12.85546875" style="602" hidden="1" customWidth="1"/>
    <col min="2565" max="2570" width="12.140625" style="602" hidden="1" customWidth="1"/>
    <col min="2571" max="2581" width="8.85546875" style="602" hidden="1" customWidth="1"/>
    <col min="2582" max="2816" width="8.85546875" style="602" hidden="1"/>
    <col min="2817" max="2817" width="32.7109375" style="602" hidden="1" customWidth="1"/>
    <col min="2818" max="2819" width="12.140625" style="602" hidden="1" customWidth="1"/>
    <col min="2820" max="2820" width="12.85546875" style="602" hidden="1" customWidth="1"/>
    <col min="2821" max="2826" width="12.140625" style="602" hidden="1" customWidth="1"/>
    <col min="2827" max="2837" width="8.85546875" style="602" hidden="1" customWidth="1"/>
    <col min="2838" max="3072" width="8.85546875" style="602" hidden="1"/>
    <col min="3073" max="3073" width="32.7109375" style="602" hidden="1" customWidth="1"/>
    <col min="3074" max="3075" width="12.140625" style="602" hidden="1" customWidth="1"/>
    <col min="3076" max="3076" width="12.85546875" style="602" hidden="1" customWidth="1"/>
    <col min="3077" max="3082" width="12.140625" style="602" hidden="1" customWidth="1"/>
    <col min="3083" max="3093" width="8.85546875" style="602" hidden="1" customWidth="1"/>
    <col min="3094" max="3328" width="8.85546875" style="602" hidden="1"/>
    <col min="3329" max="3329" width="32.7109375" style="602" hidden="1" customWidth="1"/>
    <col min="3330" max="3331" width="12.140625" style="602" hidden="1" customWidth="1"/>
    <col min="3332" max="3332" width="12.85546875" style="602" hidden="1" customWidth="1"/>
    <col min="3333" max="3338" width="12.140625" style="602" hidden="1" customWidth="1"/>
    <col min="3339" max="3349" width="8.85546875" style="602" hidden="1" customWidth="1"/>
    <col min="3350" max="3584" width="8.85546875" style="602" hidden="1"/>
    <col min="3585" max="3585" width="32.7109375" style="602" hidden="1" customWidth="1"/>
    <col min="3586" max="3587" width="12.140625" style="602" hidden="1" customWidth="1"/>
    <col min="3588" max="3588" width="12.85546875" style="602" hidden="1" customWidth="1"/>
    <col min="3589" max="3594" width="12.140625" style="602" hidden="1" customWidth="1"/>
    <col min="3595" max="3605" width="8.85546875" style="602" hidden="1" customWidth="1"/>
    <col min="3606" max="3840" width="8.85546875" style="602" hidden="1"/>
    <col min="3841" max="3841" width="32.7109375" style="602" hidden="1" customWidth="1"/>
    <col min="3842" max="3843" width="12.140625" style="602" hidden="1" customWidth="1"/>
    <col min="3844" max="3844" width="12.85546875" style="602" hidden="1" customWidth="1"/>
    <col min="3845" max="3850" width="12.140625" style="602" hidden="1" customWidth="1"/>
    <col min="3851" max="3861" width="8.85546875" style="602" hidden="1" customWidth="1"/>
    <col min="3862" max="4096" width="8.85546875" style="602" hidden="1"/>
    <col min="4097" max="4097" width="32.7109375" style="602" hidden="1" customWidth="1"/>
    <col min="4098" max="4099" width="12.140625" style="602" hidden="1" customWidth="1"/>
    <col min="4100" max="4100" width="12.85546875" style="602" hidden="1" customWidth="1"/>
    <col min="4101" max="4106" width="12.140625" style="602" hidden="1" customWidth="1"/>
    <col min="4107" max="4117" width="8.85546875" style="602" hidden="1" customWidth="1"/>
    <col min="4118" max="4352" width="8.85546875" style="602" hidden="1"/>
    <col min="4353" max="4353" width="32.7109375" style="602" hidden="1" customWidth="1"/>
    <col min="4354" max="4355" width="12.140625" style="602" hidden="1" customWidth="1"/>
    <col min="4356" max="4356" width="12.85546875" style="602" hidden="1" customWidth="1"/>
    <col min="4357" max="4362" width="12.140625" style="602" hidden="1" customWidth="1"/>
    <col min="4363" max="4373" width="8.85546875" style="602" hidden="1" customWidth="1"/>
    <col min="4374" max="4608" width="8.85546875" style="602" hidden="1"/>
    <col min="4609" max="4609" width="32.7109375" style="602" hidden="1" customWidth="1"/>
    <col min="4610" max="4611" width="12.140625" style="602" hidden="1" customWidth="1"/>
    <col min="4612" max="4612" width="12.85546875" style="602" hidden="1" customWidth="1"/>
    <col min="4613" max="4618" width="12.140625" style="602" hidden="1" customWidth="1"/>
    <col min="4619" max="4629" width="8.85546875" style="602" hidden="1" customWidth="1"/>
    <col min="4630" max="4864" width="8.85546875" style="602" hidden="1"/>
    <col min="4865" max="4865" width="32.7109375" style="602" hidden="1" customWidth="1"/>
    <col min="4866" max="4867" width="12.140625" style="602" hidden="1" customWidth="1"/>
    <col min="4868" max="4868" width="12.85546875" style="602" hidden="1" customWidth="1"/>
    <col min="4869" max="4874" width="12.140625" style="602" hidden="1" customWidth="1"/>
    <col min="4875" max="4885" width="8.85546875" style="602" hidden="1" customWidth="1"/>
    <col min="4886" max="5120" width="8.85546875" style="602" hidden="1"/>
    <col min="5121" max="5121" width="32.7109375" style="602" hidden="1" customWidth="1"/>
    <col min="5122" max="5123" width="12.140625" style="602" hidden="1" customWidth="1"/>
    <col min="5124" max="5124" width="12.85546875" style="602" hidden="1" customWidth="1"/>
    <col min="5125" max="5130" width="12.140625" style="602" hidden="1" customWidth="1"/>
    <col min="5131" max="5141" width="8.85546875" style="602" hidden="1" customWidth="1"/>
    <col min="5142" max="5376" width="8.85546875" style="602" hidden="1"/>
    <col min="5377" max="5377" width="32.7109375" style="602" hidden="1" customWidth="1"/>
    <col min="5378" max="5379" width="12.140625" style="602" hidden="1" customWidth="1"/>
    <col min="5380" max="5380" width="12.85546875" style="602" hidden="1" customWidth="1"/>
    <col min="5381" max="5386" width="12.140625" style="602" hidden="1" customWidth="1"/>
    <col min="5387" max="5397" width="8.85546875" style="602" hidden="1" customWidth="1"/>
    <col min="5398" max="5632" width="8.85546875" style="602" hidden="1"/>
    <col min="5633" max="5633" width="32.7109375" style="602" hidden="1" customWidth="1"/>
    <col min="5634" max="5635" width="12.140625" style="602" hidden="1" customWidth="1"/>
    <col min="5636" max="5636" width="12.85546875" style="602" hidden="1" customWidth="1"/>
    <col min="5637" max="5642" width="12.140625" style="602" hidden="1" customWidth="1"/>
    <col min="5643" max="5653" width="8.85546875" style="602" hidden="1" customWidth="1"/>
    <col min="5654" max="5888" width="8.85546875" style="602" hidden="1"/>
    <col min="5889" max="5889" width="32.7109375" style="602" hidden="1" customWidth="1"/>
    <col min="5890" max="5891" width="12.140625" style="602" hidden="1" customWidth="1"/>
    <col min="5892" max="5892" width="12.85546875" style="602" hidden="1" customWidth="1"/>
    <col min="5893" max="5898" width="12.140625" style="602" hidden="1" customWidth="1"/>
    <col min="5899" max="5909" width="8.85546875" style="602" hidden="1" customWidth="1"/>
    <col min="5910" max="6144" width="8.85546875" style="602" hidden="1"/>
    <col min="6145" max="6145" width="32.7109375" style="602" hidden="1" customWidth="1"/>
    <col min="6146" max="6147" width="12.140625" style="602" hidden="1" customWidth="1"/>
    <col min="6148" max="6148" width="12.85546875" style="602" hidden="1" customWidth="1"/>
    <col min="6149" max="6154" width="12.140625" style="602" hidden="1" customWidth="1"/>
    <col min="6155" max="6165" width="8.85546875" style="602" hidden="1" customWidth="1"/>
    <col min="6166" max="6400" width="8.85546875" style="602" hidden="1"/>
    <col min="6401" max="6401" width="32.7109375" style="602" hidden="1" customWidth="1"/>
    <col min="6402" max="6403" width="12.140625" style="602" hidden="1" customWidth="1"/>
    <col min="6404" max="6404" width="12.85546875" style="602" hidden="1" customWidth="1"/>
    <col min="6405" max="6410" width="12.140625" style="602" hidden="1" customWidth="1"/>
    <col min="6411" max="6421" width="8.85546875" style="602" hidden="1" customWidth="1"/>
    <col min="6422" max="6656" width="8.85546875" style="602" hidden="1"/>
    <col min="6657" max="6657" width="32.7109375" style="602" hidden="1" customWidth="1"/>
    <col min="6658" max="6659" width="12.140625" style="602" hidden="1" customWidth="1"/>
    <col min="6660" max="6660" width="12.85546875" style="602" hidden="1" customWidth="1"/>
    <col min="6661" max="6666" width="12.140625" style="602" hidden="1" customWidth="1"/>
    <col min="6667" max="6677" width="8.85546875" style="602" hidden="1" customWidth="1"/>
    <col min="6678" max="6912" width="8.85546875" style="602" hidden="1"/>
    <col min="6913" max="6913" width="32.7109375" style="602" hidden="1" customWidth="1"/>
    <col min="6914" max="6915" width="12.140625" style="602" hidden="1" customWidth="1"/>
    <col min="6916" max="6916" width="12.85546875" style="602" hidden="1" customWidth="1"/>
    <col min="6917" max="6922" width="12.140625" style="602" hidden="1" customWidth="1"/>
    <col min="6923" max="6933" width="8.85546875" style="602" hidden="1" customWidth="1"/>
    <col min="6934" max="7168" width="8.85546875" style="602" hidden="1"/>
    <col min="7169" max="7169" width="32.7109375" style="602" hidden="1" customWidth="1"/>
    <col min="7170" max="7171" width="12.140625" style="602" hidden="1" customWidth="1"/>
    <col min="7172" max="7172" width="12.85546875" style="602" hidden="1" customWidth="1"/>
    <col min="7173" max="7178" width="12.140625" style="602" hidden="1" customWidth="1"/>
    <col min="7179" max="7189" width="8.85546875" style="602" hidden="1" customWidth="1"/>
    <col min="7190" max="7424" width="8.85546875" style="602" hidden="1"/>
    <col min="7425" max="7425" width="32.7109375" style="602" hidden="1" customWidth="1"/>
    <col min="7426" max="7427" width="12.140625" style="602" hidden="1" customWidth="1"/>
    <col min="7428" max="7428" width="12.85546875" style="602" hidden="1" customWidth="1"/>
    <col min="7429" max="7434" width="12.140625" style="602" hidden="1" customWidth="1"/>
    <col min="7435" max="7445" width="8.85546875" style="602" hidden="1" customWidth="1"/>
    <col min="7446" max="7680" width="8.85546875" style="602" hidden="1"/>
    <col min="7681" max="7681" width="32.7109375" style="602" hidden="1" customWidth="1"/>
    <col min="7682" max="7683" width="12.140625" style="602" hidden="1" customWidth="1"/>
    <col min="7684" max="7684" width="12.85546875" style="602" hidden="1" customWidth="1"/>
    <col min="7685" max="7690" width="12.140625" style="602" hidden="1" customWidth="1"/>
    <col min="7691" max="7701" width="8.85546875" style="602" hidden="1" customWidth="1"/>
    <col min="7702" max="7936" width="8.85546875" style="602" hidden="1"/>
    <col min="7937" max="7937" width="32.7109375" style="602" hidden="1" customWidth="1"/>
    <col min="7938" max="7939" width="12.140625" style="602" hidden="1" customWidth="1"/>
    <col min="7940" max="7940" width="12.85546875" style="602" hidden="1" customWidth="1"/>
    <col min="7941" max="7946" width="12.140625" style="602" hidden="1" customWidth="1"/>
    <col min="7947" max="7957" width="8.85546875" style="602" hidden="1" customWidth="1"/>
    <col min="7958" max="8192" width="8.85546875" style="602" hidden="1"/>
    <col min="8193" max="8193" width="32.7109375" style="602" hidden="1" customWidth="1"/>
    <col min="8194" max="8195" width="12.140625" style="602" hidden="1" customWidth="1"/>
    <col min="8196" max="8196" width="12.85546875" style="602" hidden="1" customWidth="1"/>
    <col min="8197" max="8202" width="12.140625" style="602" hidden="1" customWidth="1"/>
    <col min="8203" max="8213" width="8.85546875" style="602" hidden="1" customWidth="1"/>
    <col min="8214" max="8448" width="8.85546875" style="602" hidden="1"/>
    <col min="8449" max="8449" width="32.7109375" style="602" hidden="1" customWidth="1"/>
    <col min="8450" max="8451" width="12.140625" style="602" hidden="1" customWidth="1"/>
    <col min="8452" max="8452" width="12.85546875" style="602" hidden="1" customWidth="1"/>
    <col min="8453" max="8458" width="12.140625" style="602" hidden="1" customWidth="1"/>
    <col min="8459" max="8469" width="8.85546875" style="602" hidden="1" customWidth="1"/>
    <col min="8470" max="8704" width="8.85546875" style="602" hidden="1"/>
    <col min="8705" max="8705" width="32.7109375" style="602" hidden="1" customWidth="1"/>
    <col min="8706" max="8707" width="12.140625" style="602" hidden="1" customWidth="1"/>
    <col min="8708" max="8708" width="12.85546875" style="602" hidden="1" customWidth="1"/>
    <col min="8709" max="8714" width="12.140625" style="602" hidden="1" customWidth="1"/>
    <col min="8715" max="8725" width="8.85546875" style="602" hidden="1" customWidth="1"/>
    <col min="8726" max="8960" width="8.85546875" style="602" hidden="1"/>
    <col min="8961" max="8961" width="32.7109375" style="602" hidden="1" customWidth="1"/>
    <col min="8962" max="8963" width="12.140625" style="602" hidden="1" customWidth="1"/>
    <col min="8964" max="8964" width="12.85546875" style="602" hidden="1" customWidth="1"/>
    <col min="8965" max="8970" width="12.140625" style="602" hidden="1" customWidth="1"/>
    <col min="8971" max="8981" width="8.85546875" style="602" hidden="1" customWidth="1"/>
    <col min="8982" max="9216" width="8.85546875" style="602" hidden="1"/>
    <col min="9217" max="9217" width="32.7109375" style="602" hidden="1" customWidth="1"/>
    <col min="9218" max="9219" width="12.140625" style="602" hidden="1" customWidth="1"/>
    <col min="9220" max="9220" width="12.85546875" style="602" hidden="1" customWidth="1"/>
    <col min="9221" max="9226" width="12.140625" style="602" hidden="1" customWidth="1"/>
    <col min="9227" max="9237" width="8.85546875" style="602" hidden="1" customWidth="1"/>
    <col min="9238" max="9472" width="8.85546875" style="602" hidden="1"/>
    <col min="9473" max="9473" width="32.7109375" style="602" hidden="1" customWidth="1"/>
    <col min="9474" max="9475" width="12.140625" style="602" hidden="1" customWidth="1"/>
    <col min="9476" max="9476" width="12.85546875" style="602" hidden="1" customWidth="1"/>
    <col min="9477" max="9482" width="12.140625" style="602" hidden="1" customWidth="1"/>
    <col min="9483" max="9493" width="8.85546875" style="602" hidden="1" customWidth="1"/>
    <col min="9494" max="9728" width="8.85546875" style="602" hidden="1"/>
    <col min="9729" max="9729" width="32.7109375" style="602" hidden="1" customWidth="1"/>
    <col min="9730" max="9731" width="12.140625" style="602" hidden="1" customWidth="1"/>
    <col min="9732" max="9732" width="12.85546875" style="602" hidden="1" customWidth="1"/>
    <col min="9733" max="9738" width="12.140625" style="602" hidden="1" customWidth="1"/>
    <col min="9739" max="9749" width="8.85546875" style="602" hidden="1" customWidth="1"/>
    <col min="9750" max="9984" width="8.85546875" style="602" hidden="1"/>
    <col min="9985" max="9985" width="32.7109375" style="602" hidden="1" customWidth="1"/>
    <col min="9986" max="9987" width="12.140625" style="602" hidden="1" customWidth="1"/>
    <col min="9988" max="9988" width="12.85546875" style="602" hidden="1" customWidth="1"/>
    <col min="9989" max="9994" width="12.140625" style="602" hidden="1" customWidth="1"/>
    <col min="9995" max="10005" width="8.85546875" style="602" hidden="1" customWidth="1"/>
    <col min="10006" max="10240" width="8.85546875" style="602" hidden="1"/>
    <col min="10241" max="10241" width="32.7109375" style="602" hidden="1" customWidth="1"/>
    <col min="10242" max="10243" width="12.140625" style="602" hidden="1" customWidth="1"/>
    <col min="10244" max="10244" width="12.85546875" style="602" hidden="1" customWidth="1"/>
    <col min="10245" max="10250" width="12.140625" style="602" hidden="1" customWidth="1"/>
    <col min="10251" max="10261" width="8.85546875" style="602" hidden="1" customWidth="1"/>
    <col min="10262" max="10496" width="8.85546875" style="602" hidden="1"/>
    <col min="10497" max="10497" width="32.7109375" style="602" hidden="1" customWidth="1"/>
    <col min="10498" max="10499" width="12.140625" style="602" hidden="1" customWidth="1"/>
    <col min="10500" max="10500" width="12.85546875" style="602" hidden="1" customWidth="1"/>
    <col min="10501" max="10506" width="12.140625" style="602" hidden="1" customWidth="1"/>
    <col min="10507" max="10517" width="8.85546875" style="602" hidden="1" customWidth="1"/>
    <col min="10518" max="10752" width="8.85546875" style="602" hidden="1"/>
    <col min="10753" max="10753" width="32.7109375" style="602" hidden="1" customWidth="1"/>
    <col min="10754" max="10755" width="12.140625" style="602" hidden="1" customWidth="1"/>
    <col min="10756" max="10756" width="12.85546875" style="602" hidden="1" customWidth="1"/>
    <col min="10757" max="10762" width="12.140625" style="602" hidden="1" customWidth="1"/>
    <col min="10763" max="10773" width="8.85546875" style="602" hidden="1" customWidth="1"/>
    <col min="10774" max="11008" width="8.85546875" style="602" hidden="1"/>
    <col min="11009" max="11009" width="32.7109375" style="602" hidden="1" customWidth="1"/>
    <col min="11010" max="11011" width="12.140625" style="602" hidden="1" customWidth="1"/>
    <col min="11012" max="11012" width="12.85546875" style="602" hidden="1" customWidth="1"/>
    <col min="11013" max="11018" width="12.140625" style="602" hidden="1" customWidth="1"/>
    <col min="11019" max="11029" width="8.85546875" style="602" hidden="1" customWidth="1"/>
    <col min="11030" max="11264" width="8.85546875" style="602" hidden="1"/>
    <col min="11265" max="11265" width="32.7109375" style="602" hidden="1" customWidth="1"/>
    <col min="11266" max="11267" width="12.140625" style="602" hidden="1" customWidth="1"/>
    <col min="11268" max="11268" width="12.85546875" style="602" hidden="1" customWidth="1"/>
    <col min="11269" max="11274" width="12.140625" style="602" hidden="1" customWidth="1"/>
    <col min="11275" max="11285" width="8.85546875" style="602" hidden="1" customWidth="1"/>
    <col min="11286" max="11520" width="8.85546875" style="602" hidden="1"/>
    <col min="11521" max="11521" width="32.7109375" style="602" hidden="1" customWidth="1"/>
    <col min="11522" max="11523" width="12.140625" style="602" hidden="1" customWidth="1"/>
    <col min="11524" max="11524" width="12.85546875" style="602" hidden="1" customWidth="1"/>
    <col min="11525" max="11530" width="12.140625" style="602" hidden="1" customWidth="1"/>
    <col min="11531" max="11541" width="8.85546875" style="602" hidden="1" customWidth="1"/>
    <col min="11542" max="11776" width="8.85546875" style="602" hidden="1"/>
    <col min="11777" max="11777" width="32.7109375" style="602" hidden="1" customWidth="1"/>
    <col min="11778" max="11779" width="12.140625" style="602" hidden="1" customWidth="1"/>
    <col min="11780" max="11780" width="12.85546875" style="602" hidden="1" customWidth="1"/>
    <col min="11781" max="11786" width="12.140625" style="602" hidden="1" customWidth="1"/>
    <col min="11787" max="11797" width="8.85546875" style="602" hidden="1" customWidth="1"/>
    <col min="11798" max="12032" width="8.85546875" style="602" hidden="1"/>
    <col min="12033" max="12033" width="32.7109375" style="602" hidden="1" customWidth="1"/>
    <col min="12034" max="12035" width="12.140625" style="602" hidden="1" customWidth="1"/>
    <col min="12036" max="12036" width="12.85546875" style="602" hidden="1" customWidth="1"/>
    <col min="12037" max="12042" width="12.140625" style="602" hidden="1" customWidth="1"/>
    <col min="12043" max="12053" width="8.85546875" style="602" hidden="1" customWidth="1"/>
    <col min="12054" max="12288" width="8.85546875" style="602" hidden="1"/>
    <col min="12289" max="12289" width="32.7109375" style="602" hidden="1" customWidth="1"/>
    <col min="12290" max="12291" width="12.140625" style="602" hidden="1" customWidth="1"/>
    <col min="12292" max="12292" width="12.85546875" style="602" hidden="1" customWidth="1"/>
    <col min="12293" max="12298" width="12.140625" style="602" hidden="1" customWidth="1"/>
    <col min="12299" max="12309" width="8.85546875" style="602" hidden="1" customWidth="1"/>
    <col min="12310" max="12544" width="8.85546875" style="602" hidden="1"/>
    <col min="12545" max="12545" width="32.7109375" style="602" hidden="1" customWidth="1"/>
    <col min="12546" max="12547" width="12.140625" style="602" hidden="1" customWidth="1"/>
    <col min="12548" max="12548" width="12.85546875" style="602" hidden="1" customWidth="1"/>
    <col min="12549" max="12554" width="12.140625" style="602" hidden="1" customWidth="1"/>
    <col min="12555" max="12565" width="8.85546875" style="602" hidden="1" customWidth="1"/>
    <col min="12566" max="12800" width="8.85546875" style="602" hidden="1"/>
    <col min="12801" max="12801" width="32.7109375" style="602" hidden="1" customWidth="1"/>
    <col min="12802" max="12803" width="12.140625" style="602" hidden="1" customWidth="1"/>
    <col min="12804" max="12804" width="12.85546875" style="602" hidden="1" customWidth="1"/>
    <col min="12805" max="12810" width="12.140625" style="602" hidden="1" customWidth="1"/>
    <col min="12811" max="12821" width="8.85546875" style="602" hidden="1" customWidth="1"/>
    <col min="12822" max="13056" width="8.85546875" style="602" hidden="1"/>
    <col min="13057" max="13057" width="32.7109375" style="602" hidden="1" customWidth="1"/>
    <col min="13058" max="13059" width="12.140625" style="602" hidden="1" customWidth="1"/>
    <col min="13060" max="13060" width="12.85546875" style="602" hidden="1" customWidth="1"/>
    <col min="13061" max="13066" width="12.140625" style="602" hidden="1" customWidth="1"/>
    <col min="13067" max="13077" width="8.85546875" style="602" hidden="1" customWidth="1"/>
    <col min="13078" max="13312" width="8.85546875" style="602" hidden="1"/>
    <col min="13313" max="13313" width="32.7109375" style="602" hidden="1" customWidth="1"/>
    <col min="13314" max="13315" width="12.140625" style="602" hidden="1" customWidth="1"/>
    <col min="13316" max="13316" width="12.85546875" style="602" hidden="1" customWidth="1"/>
    <col min="13317" max="13322" width="12.140625" style="602" hidden="1" customWidth="1"/>
    <col min="13323" max="13333" width="8.85546875" style="602" hidden="1" customWidth="1"/>
    <col min="13334" max="13568" width="8.85546875" style="602" hidden="1"/>
    <col min="13569" max="13569" width="32.7109375" style="602" hidden="1" customWidth="1"/>
    <col min="13570" max="13571" width="12.140625" style="602" hidden="1" customWidth="1"/>
    <col min="13572" max="13572" width="12.85546875" style="602" hidden="1" customWidth="1"/>
    <col min="13573" max="13578" width="12.140625" style="602" hidden="1" customWidth="1"/>
    <col min="13579" max="13589" width="8.85546875" style="602" hidden="1" customWidth="1"/>
    <col min="13590" max="13824" width="8.85546875" style="602" hidden="1"/>
    <col min="13825" max="13825" width="32.7109375" style="602" hidden="1" customWidth="1"/>
    <col min="13826" max="13827" width="12.140625" style="602" hidden="1" customWidth="1"/>
    <col min="13828" max="13828" width="12.85546875" style="602" hidden="1" customWidth="1"/>
    <col min="13829" max="13834" width="12.140625" style="602" hidden="1" customWidth="1"/>
    <col min="13835" max="13845" width="8.85546875" style="602" hidden="1" customWidth="1"/>
    <col min="13846" max="14080" width="8.85546875" style="602" hidden="1"/>
    <col min="14081" max="14081" width="32.7109375" style="602" hidden="1" customWidth="1"/>
    <col min="14082" max="14083" width="12.140625" style="602" hidden="1" customWidth="1"/>
    <col min="14084" max="14084" width="12.85546875" style="602" hidden="1" customWidth="1"/>
    <col min="14085" max="14090" width="12.140625" style="602" hidden="1" customWidth="1"/>
    <col min="14091" max="14101" width="8.85546875" style="602" hidden="1" customWidth="1"/>
    <col min="14102" max="14336" width="8.85546875" style="602" hidden="1"/>
    <col min="14337" max="14337" width="32.7109375" style="602" hidden="1" customWidth="1"/>
    <col min="14338" max="14339" width="12.140625" style="602" hidden="1" customWidth="1"/>
    <col min="14340" max="14340" width="12.85546875" style="602" hidden="1" customWidth="1"/>
    <col min="14341" max="14346" width="12.140625" style="602" hidden="1" customWidth="1"/>
    <col min="14347" max="14357" width="8.85546875" style="602" hidden="1" customWidth="1"/>
    <col min="14358" max="14592" width="8.85546875" style="602" hidden="1"/>
    <col min="14593" max="14593" width="32.7109375" style="602" hidden="1" customWidth="1"/>
    <col min="14594" max="14595" width="12.140625" style="602" hidden="1" customWidth="1"/>
    <col min="14596" max="14596" width="12.85546875" style="602" hidden="1" customWidth="1"/>
    <col min="14597" max="14602" width="12.140625" style="602" hidden="1" customWidth="1"/>
    <col min="14603" max="14613" width="8.85546875" style="602" hidden="1" customWidth="1"/>
    <col min="14614" max="14848" width="8.85546875" style="602" hidden="1"/>
    <col min="14849" max="14849" width="32.7109375" style="602" hidden="1" customWidth="1"/>
    <col min="14850" max="14851" width="12.140625" style="602" hidden="1" customWidth="1"/>
    <col min="14852" max="14852" width="12.85546875" style="602" hidden="1" customWidth="1"/>
    <col min="14853" max="14858" width="12.140625" style="602" hidden="1" customWidth="1"/>
    <col min="14859" max="14869" width="8.85546875" style="602" hidden="1" customWidth="1"/>
    <col min="14870" max="15104" width="8.85546875" style="602" hidden="1"/>
    <col min="15105" max="15105" width="32.7109375" style="602" hidden="1" customWidth="1"/>
    <col min="15106" max="15107" width="12.140625" style="602" hidden="1" customWidth="1"/>
    <col min="15108" max="15108" width="12.85546875" style="602" hidden="1" customWidth="1"/>
    <col min="15109" max="15114" width="12.140625" style="602" hidden="1" customWidth="1"/>
    <col min="15115" max="15125" width="8.85546875" style="602" hidden="1" customWidth="1"/>
    <col min="15126" max="15360" width="8.85546875" style="602" hidden="1"/>
    <col min="15361" max="15361" width="32.7109375" style="602" hidden="1" customWidth="1"/>
    <col min="15362" max="15363" width="12.140625" style="602" hidden="1" customWidth="1"/>
    <col min="15364" max="15364" width="12.85546875" style="602" hidden="1" customWidth="1"/>
    <col min="15365" max="15370" width="12.140625" style="602" hidden="1" customWidth="1"/>
    <col min="15371" max="15381" width="8.85546875" style="602" hidden="1" customWidth="1"/>
    <col min="15382" max="15616" width="8.85546875" style="602" hidden="1"/>
    <col min="15617" max="15617" width="32.7109375" style="602" hidden="1" customWidth="1"/>
    <col min="15618" max="15619" width="12.140625" style="602" hidden="1" customWidth="1"/>
    <col min="15620" max="15620" width="12.85546875" style="602" hidden="1" customWidth="1"/>
    <col min="15621" max="15626" width="12.140625" style="602" hidden="1" customWidth="1"/>
    <col min="15627" max="15637" width="8.85546875" style="602" hidden="1" customWidth="1"/>
    <col min="15638" max="15872" width="8.85546875" style="602" hidden="1"/>
    <col min="15873" max="15873" width="32.7109375" style="602" hidden="1" customWidth="1"/>
    <col min="15874" max="15875" width="12.140625" style="602" hidden="1" customWidth="1"/>
    <col min="15876" max="15876" width="12.85546875" style="602" hidden="1" customWidth="1"/>
    <col min="15877" max="15882" width="12.140625" style="602" hidden="1" customWidth="1"/>
    <col min="15883" max="15893" width="8.85546875" style="602" hidden="1" customWidth="1"/>
    <col min="15894" max="16128" width="8.85546875" style="602" hidden="1"/>
    <col min="16129" max="16129" width="32.7109375" style="602" hidden="1" customWidth="1"/>
    <col min="16130" max="16131" width="12.140625" style="602" hidden="1" customWidth="1"/>
    <col min="16132" max="16132" width="12.85546875" style="602" hidden="1" customWidth="1"/>
    <col min="16133" max="16138" width="12.140625" style="602" hidden="1" customWidth="1"/>
    <col min="16139" max="16149" width="8.85546875" style="602" hidden="1" customWidth="1"/>
    <col min="16150" max="16384" width="8.85546875" style="602" hidden="1"/>
  </cols>
  <sheetData>
    <row r="1" spans="1:11" s="559" customFormat="1" ht="12.75">
      <c r="A1" s="2602" t="s">
        <v>1442</v>
      </c>
      <c r="B1" s="2603"/>
      <c r="C1" s="2603"/>
      <c r="D1" s="2603"/>
      <c r="E1" s="2603"/>
      <c r="F1" s="2603"/>
      <c r="G1" s="2603"/>
      <c r="H1" s="2603"/>
      <c r="I1" s="2603"/>
      <c r="J1" s="2604"/>
      <c r="K1" s="558"/>
    </row>
    <row r="2" spans="1:11" s="614" customFormat="1" ht="72">
      <c r="A2" s="610"/>
      <c r="B2" s="611" t="s">
        <v>1140</v>
      </c>
      <c r="C2" s="611" t="s">
        <v>1444</v>
      </c>
      <c r="D2" s="612" t="s">
        <v>1445</v>
      </c>
      <c r="E2" s="611" t="s">
        <v>1352</v>
      </c>
      <c r="F2" s="611" t="s">
        <v>1446</v>
      </c>
      <c r="G2" s="611" t="s">
        <v>1447</v>
      </c>
      <c r="H2" s="611" t="s">
        <v>1141</v>
      </c>
      <c r="I2" s="611" t="s">
        <v>1448</v>
      </c>
      <c r="J2" s="611" t="s">
        <v>1449</v>
      </c>
      <c r="K2" s="613"/>
    </row>
    <row r="3" spans="1:11" s="563" customFormat="1">
      <c r="A3" s="560" t="s">
        <v>27</v>
      </c>
      <c r="B3" s="561"/>
      <c r="C3" s="561"/>
      <c r="D3" s="561"/>
      <c r="E3" s="561"/>
      <c r="F3" s="561"/>
      <c r="G3" s="561"/>
      <c r="H3" s="561"/>
      <c r="I3" s="561"/>
      <c r="J3" s="561"/>
      <c r="K3" s="562"/>
    </row>
    <row r="4" spans="1:11" s="563" customFormat="1">
      <c r="A4" s="567" t="s">
        <v>28</v>
      </c>
      <c r="B4" s="564">
        <f>'Sources and Uses Budget'!C4</f>
        <v>0</v>
      </c>
      <c r="C4" s="565"/>
      <c r="D4" s="565"/>
      <c r="E4" s="566"/>
      <c r="F4" s="566"/>
      <c r="G4" s="566"/>
      <c r="H4" s="566"/>
      <c r="I4" s="566"/>
      <c r="J4" s="566"/>
      <c r="K4" s="562"/>
    </row>
    <row r="5" spans="1:11" s="563" customFormat="1">
      <c r="A5" s="567" t="s">
        <v>29</v>
      </c>
      <c r="B5" s="564">
        <f>'Sources and Uses Budget'!C5</f>
        <v>279850</v>
      </c>
      <c r="C5" s="565"/>
      <c r="D5" s="565">
        <f>B5</f>
        <v>279850</v>
      </c>
      <c r="E5" s="566"/>
      <c r="F5" s="566"/>
      <c r="G5" s="566"/>
      <c r="H5" s="566"/>
      <c r="I5" s="566"/>
      <c r="J5" s="566"/>
      <c r="K5" s="562"/>
    </row>
    <row r="6" spans="1:11" s="563" customFormat="1">
      <c r="A6" s="567" t="s">
        <v>30</v>
      </c>
      <c r="B6" s="564">
        <f>'Sources and Uses Budget'!C6</f>
        <v>0</v>
      </c>
      <c r="C6" s="565"/>
      <c r="D6" s="565"/>
      <c r="E6" s="566"/>
      <c r="F6" s="566"/>
      <c r="G6" s="566"/>
      <c r="H6" s="566"/>
      <c r="I6" s="566"/>
      <c r="J6" s="566"/>
      <c r="K6" s="562"/>
    </row>
    <row r="7" spans="1:11" s="563" customFormat="1">
      <c r="A7" s="567" t="s">
        <v>102</v>
      </c>
      <c r="B7" s="564">
        <f>'Sources and Uses Budget'!C7</f>
        <v>2927262</v>
      </c>
      <c r="C7" s="565"/>
      <c r="D7" s="565">
        <f>B7</f>
        <v>2927262</v>
      </c>
      <c r="E7" s="566"/>
      <c r="F7" s="566"/>
      <c r="G7" s="566"/>
      <c r="H7" s="566"/>
      <c r="I7" s="566"/>
      <c r="J7" s="566"/>
      <c r="K7" s="562"/>
    </row>
    <row r="8" spans="1:11" s="563" customFormat="1">
      <c r="A8" s="568" t="s">
        <v>628</v>
      </c>
      <c r="B8" s="564">
        <f>'Sources and Uses Budget'!C8</f>
        <v>3207112</v>
      </c>
      <c r="C8" s="564">
        <f>SUM(C4:C7)</f>
        <v>0</v>
      </c>
      <c r="D8" s="564">
        <f>SUM(D4:D7)</f>
        <v>3207112</v>
      </c>
      <c r="E8" s="566"/>
      <c r="F8" s="566"/>
      <c r="G8" s="566"/>
      <c r="H8" s="566"/>
      <c r="I8" s="566"/>
      <c r="J8" s="566"/>
      <c r="K8" s="562"/>
    </row>
    <row r="9" spans="1:11" s="563" customFormat="1">
      <c r="A9" s="567" t="s">
        <v>629</v>
      </c>
      <c r="B9" s="564">
        <f>'Sources and Uses Budget'!C9</f>
        <v>0</v>
      </c>
      <c r="C9" s="565"/>
      <c r="D9" s="565"/>
      <c r="E9" s="566"/>
      <c r="F9" s="566"/>
      <c r="G9" s="566"/>
      <c r="H9" s="564">
        <f>'Sources and Uses Budget'!T9</f>
        <v>0</v>
      </c>
      <c r="I9" s="565"/>
      <c r="J9" s="565"/>
      <c r="K9" s="562"/>
    </row>
    <row r="10" spans="1:11" s="563" customFormat="1">
      <c r="A10" s="567" t="s">
        <v>630</v>
      </c>
      <c r="B10" s="564">
        <f>'Sources and Uses Budget'!C10</f>
        <v>640532</v>
      </c>
      <c r="C10" s="565"/>
      <c r="D10" s="565">
        <f>B10</f>
        <v>640532</v>
      </c>
      <c r="E10" s="564">
        <f>'Sources and Uses Budget'!S10</f>
        <v>640532</v>
      </c>
      <c r="F10" s="565"/>
      <c r="G10" s="565">
        <f>E10</f>
        <v>640532</v>
      </c>
      <c r="H10" s="564">
        <f>'Sources and Uses Budget'!T10</f>
        <v>0</v>
      </c>
      <c r="I10" s="565"/>
      <c r="J10" s="565"/>
      <c r="K10" s="562"/>
    </row>
    <row r="11" spans="1:11" s="563" customFormat="1">
      <c r="A11" s="568" t="s">
        <v>631</v>
      </c>
      <c r="B11" s="564">
        <f>'Sources and Uses Budget'!C11</f>
        <v>640532</v>
      </c>
      <c r="C11" s="564">
        <f>SUM(C9:C10)</f>
        <v>0</v>
      </c>
      <c r="D11" s="564">
        <f>SUM(D9:D10)</f>
        <v>640532</v>
      </c>
      <c r="E11" s="566"/>
      <c r="F11" s="566"/>
      <c r="G11" s="566"/>
      <c r="H11" s="564">
        <f>'Sources and Uses Budget'!T11</f>
        <v>0</v>
      </c>
      <c r="I11" s="564">
        <f>SUM(I9:I10)</f>
        <v>0</v>
      </c>
      <c r="J11" s="564">
        <f>SUM(J9:J10)</f>
        <v>0</v>
      </c>
      <c r="K11" s="562"/>
    </row>
    <row r="12" spans="1:11" s="563" customFormat="1">
      <c r="A12" s="568" t="s">
        <v>89</v>
      </c>
      <c r="B12" s="564">
        <f>'Sources and Uses Budget'!C12</f>
        <v>3847644</v>
      </c>
      <c r="C12" s="564">
        <f>SUM(C8+C11)</f>
        <v>0</v>
      </c>
      <c r="D12" s="564">
        <f>SUM(D8+D11)</f>
        <v>3847644</v>
      </c>
      <c r="E12" s="566"/>
      <c r="F12" s="566"/>
      <c r="G12" s="566"/>
      <c r="H12" s="566"/>
      <c r="I12" s="566"/>
      <c r="J12" s="566"/>
      <c r="K12" s="562"/>
    </row>
    <row r="13" spans="1:11" s="563" customFormat="1">
      <c r="A13" s="569" t="s">
        <v>971</v>
      </c>
      <c r="B13" s="564">
        <f>'Sources and Uses Budget'!C13</f>
        <v>0</v>
      </c>
      <c r="C13" s="565"/>
      <c r="D13" s="565"/>
      <c r="E13" s="564">
        <f>'Sources and Uses Budget'!S13</f>
        <v>0</v>
      </c>
      <c r="F13" s="565"/>
      <c r="G13" s="565"/>
      <c r="H13" s="564">
        <f>'Sources and Uses Budget'!T13</f>
        <v>0</v>
      </c>
      <c r="I13" s="565"/>
      <c r="J13" s="565"/>
      <c r="K13" s="562"/>
    </row>
    <row r="14" spans="1:11" s="563" customFormat="1" ht="24">
      <c r="A14" s="570" t="s">
        <v>972</v>
      </c>
      <c r="B14" s="564">
        <f>'Sources and Uses Budget'!C14</f>
        <v>0</v>
      </c>
      <c r="C14" s="565"/>
      <c r="D14" s="565"/>
      <c r="E14" s="564">
        <f>'Sources and Uses Budget'!S14</f>
        <v>0</v>
      </c>
      <c r="F14" s="565"/>
      <c r="G14" s="565"/>
      <c r="H14" s="564">
        <f>'Sources and Uses Budget'!T14</f>
        <v>0</v>
      </c>
      <c r="I14" s="565"/>
      <c r="J14" s="565"/>
      <c r="K14" s="562"/>
    </row>
    <row r="15" spans="1:11" s="563" customFormat="1">
      <c r="A15" s="570" t="s">
        <v>1356</v>
      </c>
      <c r="B15" s="564">
        <f>'Sources and Uses Budget'!C15</f>
        <v>0</v>
      </c>
      <c r="C15" s="565"/>
      <c r="D15" s="565"/>
      <c r="E15" s="566">
        <f>'Sources and Uses Budget'!S15</f>
        <v>0</v>
      </c>
      <c r="F15" s="566"/>
      <c r="G15" s="566"/>
      <c r="H15" s="566">
        <f>'Sources and Uses Budget'!T15</f>
        <v>0</v>
      </c>
      <c r="I15" s="566"/>
      <c r="J15" s="566"/>
      <c r="K15" s="562"/>
    </row>
    <row r="16" spans="1:11" s="563" customFormat="1">
      <c r="A16" s="560" t="s">
        <v>632</v>
      </c>
      <c r="B16" s="561"/>
      <c r="C16" s="561"/>
      <c r="D16" s="561"/>
      <c r="E16" s="561"/>
      <c r="F16" s="561"/>
      <c r="G16" s="561"/>
      <c r="H16" s="561"/>
      <c r="I16" s="561"/>
      <c r="J16" s="561"/>
      <c r="K16" s="562"/>
    </row>
    <row r="17" spans="1:11" s="563" customFormat="1">
      <c r="A17" s="567" t="s">
        <v>633</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634</v>
      </c>
      <c r="B18" s="564">
        <f>'Sources and Uses Budget'!C18</f>
        <v>0</v>
      </c>
      <c r="C18" s="565"/>
      <c r="D18" s="565"/>
      <c r="E18" s="564">
        <f>'Sources and Uses Budget'!S18</f>
        <v>0</v>
      </c>
      <c r="F18" s="565"/>
      <c r="G18" s="565"/>
      <c r="H18" s="564">
        <f>'Sources and Uses Budget'!T18</f>
        <v>0</v>
      </c>
      <c r="I18" s="565"/>
      <c r="J18" s="565"/>
      <c r="K18" s="562"/>
    </row>
    <row r="19" spans="1:11" s="563" customFormat="1">
      <c r="A19" s="567" t="s">
        <v>635</v>
      </c>
      <c r="B19" s="564">
        <f>'Sources and Uses Budget'!C19</f>
        <v>0</v>
      </c>
      <c r="C19" s="565"/>
      <c r="D19" s="565"/>
      <c r="E19" s="564">
        <f>'Sources and Uses Budget'!S19</f>
        <v>0</v>
      </c>
      <c r="F19" s="565"/>
      <c r="G19" s="565"/>
      <c r="H19" s="564">
        <f>'Sources and Uses Budget'!T19</f>
        <v>0</v>
      </c>
      <c r="I19" s="565"/>
      <c r="J19" s="565"/>
      <c r="K19" s="562"/>
    </row>
    <row r="20" spans="1:11" s="563" customFormat="1">
      <c r="A20" s="567" t="s">
        <v>142</v>
      </c>
      <c r="B20" s="564">
        <f>'Sources and Uses Budget'!C20</f>
        <v>0</v>
      </c>
      <c r="C20" s="565"/>
      <c r="D20" s="565"/>
      <c r="E20" s="564">
        <f>'Sources and Uses Budget'!S20</f>
        <v>0</v>
      </c>
      <c r="F20" s="565"/>
      <c r="G20" s="565"/>
      <c r="H20" s="564">
        <f>'Sources and Uses Budget'!T20</f>
        <v>0</v>
      </c>
      <c r="I20" s="565"/>
      <c r="J20" s="565"/>
      <c r="K20" s="562"/>
    </row>
    <row r="21" spans="1:11" s="563" customFormat="1">
      <c r="A21" s="567" t="s">
        <v>143</v>
      </c>
      <c r="B21" s="564">
        <f>'Sources and Uses Budget'!C21</f>
        <v>0</v>
      </c>
      <c r="C21" s="565"/>
      <c r="D21" s="565"/>
      <c r="E21" s="564">
        <f>'Sources and Uses Budget'!S21</f>
        <v>0</v>
      </c>
      <c r="F21" s="565"/>
      <c r="G21" s="565"/>
      <c r="H21" s="564">
        <f>'Sources and Uses Budget'!T21</f>
        <v>0</v>
      </c>
      <c r="I21" s="565"/>
      <c r="J21" s="565"/>
      <c r="K21" s="562"/>
    </row>
    <row r="22" spans="1:11" s="563" customFormat="1">
      <c r="A22" s="567" t="s">
        <v>144</v>
      </c>
      <c r="B22" s="564">
        <f>'Sources and Uses Budget'!C22</f>
        <v>0</v>
      </c>
      <c r="C22" s="565"/>
      <c r="D22" s="565"/>
      <c r="E22" s="564">
        <f>'Sources and Uses Budget'!S22</f>
        <v>0</v>
      </c>
      <c r="F22" s="565"/>
      <c r="G22" s="565"/>
      <c r="H22" s="564">
        <f>'Sources and Uses Budget'!T22</f>
        <v>0</v>
      </c>
      <c r="I22" s="565"/>
      <c r="J22" s="565"/>
      <c r="K22" s="562"/>
    </row>
    <row r="23" spans="1:11" s="563" customFormat="1">
      <c r="A23" s="567" t="s">
        <v>145</v>
      </c>
      <c r="B23" s="564">
        <f>'Sources and Uses Budget'!C23</f>
        <v>0</v>
      </c>
      <c r="C23" s="565"/>
      <c r="D23" s="565"/>
      <c r="E23" s="564">
        <f>'Sources and Uses Budget'!S23</f>
        <v>0</v>
      </c>
      <c r="F23" s="565"/>
      <c r="G23" s="565"/>
      <c r="H23" s="564">
        <f>'Sources and Uses Budget'!T23</f>
        <v>0</v>
      </c>
      <c r="I23" s="565"/>
      <c r="J23" s="565"/>
      <c r="K23" s="562"/>
    </row>
    <row r="24" spans="1:11" s="563" customFormat="1">
      <c r="A24" s="857" t="s">
        <v>1994</v>
      </c>
      <c r="B24" s="564">
        <f>'Sources and Uses Budget'!C24</f>
        <v>0</v>
      </c>
      <c r="C24" s="565"/>
      <c r="D24" s="565"/>
      <c r="E24" s="564">
        <f>'Sources and Uses Budget'!S24</f>
        <v>0</v>
      </c>
      <c r="F24" s="565"/>
      <c r="G24" s="565"/>
      <c r="H24" s="564">
        <f>'Sources and Uses Budget'!T24</f>
        <v>0</v>
      </c>
      <c r="I24" s="565"/>
      <c r="J24" s="565"/>
      <c r="K24" s="562"/>
    </row>
    <row r="25" spans="1:11" s="563" customFormat="1">
      <c r="A25" s="570" t="str">
        <f>'Sources and Uses Budget'!$A25</f>
        <v>Other: (Specify)</v>
      </c>
      <c r="B25" s="564">
        <f>'Sources and Uses Budget'!C25</f>
        <v>0</v>
      </c>
      <c r="C25" s="565"/>
      <c r="D25" s="565"/>
      <c r="E25" s="564">
        <f>'Sources and Uses Budget'!S25</f>
        <v>0</v>
      </c>
      <c r="F25" s="565"/>
      <c r="G25" s="565"/>
      <c r="H25" s="564">
        <f>'Sources and Uses Budget'!T25</f>
        <v>0</v>
      </c>
      <c r="I25" s="565"/>
      <c r="J25" s="565"/>
      <c r="K25" s="562"/>
    </row>
    <row r="26" spans="1:11" s="563" customFormat="1">
      <c r="A26" s="568" t="s">
        <v>138</v>
      </c>
      <c r="B26" s="564">
        <f>'Sources and Uses Budget'!C26</f>
        <v>0</v>
      </c>
      <c r="C26" s="564">
        <f>SUM(C17:C25)</f>
        <v>0</v>
      </c>
      <c r="D26" s="564">
        <f>SUM(D17:D25)</f>
        <v>0</v>
      </c>
      <c r="E26" s="564">
        <f>'Sources and Uses Budget'!S26</f>
        <v>0</v>
      </c>
      <c r="F26" s="571">
        <f>SUM(F17:F25)</f>
        <v>0</v>
      </c>
      <c r="G26" s="571">
        <f>SUM(G17:G25)</f>
        <v>0</v>
      </c>
      <c r="H26" s="564">
        <f>'Sources and Uses Budget'!T26</f>
        <v>0</v>
      </c>
      <c r="I26" s="571">
        <f>SUM(I17:I25)</f>
        <v>0</v>
      </c>
      <c r="J26" s="571">
        <f>SUM(J17:J25)</f>
        <v>0</v>
      </c>
      <c r="K26" s="562"/>
    </row>
    <row r="27" spans="1:11" s="563" customFormat="1">
      <c r="A27" s="568" t="s">
        <v>146</v>
      </c>
      <c r="B27" s="564">
        <f>'Sources and Uses Budget'!C27</f>
        <v>0</v>
      </c>
      <c r="C27" s="565"/>
      <c r="D27" s="565"/>
      <c r="E27" s="564">
        <f>'Sources and Uses Budget'!S27</f>
        <v>0</v>
      </c>
      <c r="F27" s="565"/>
      <c r="G27" s="565"/>
      <c r="H27" s="564">
        <f>'Sources and Uses Budget'!T27</f>
        <v>0</v>
      </c>
      <c r="I27" s="565"/>
      <c r="J27" s="565"/>
      <c r="K27" s="562"/>
    </row>
    <row r="28" spans="1:11" s="563" customFormat="1">
      <c r="A28" s="560" t="s">
        <v>147</v>
      </c>
      <c r="B28" s="561"/>
      <c r="C28" s="561"/>
      <c r="D28" s="561"/>
      <c r="E28" s="561"/>
      <c r="F28" s="561"/>
      <c r="G28" s="561"/>
      <c r="H28" s="561"/>
      <c r="I28" s="561"/>
      <c r="J28" s="561"/>
      <c r="K28" s="562"/>
    </row>
    <row r="29" spans="1:11" s="563" customFormat="1">
      <c r="A29" s="215" t="s">
        <v>633</v>
      </c>
      <c r="B29" s="564">
        <f>'Sources and Uses Budget'!C29</f>
        <v>2581150</v>
      </c>
      <c r="C29" s="565"/>
      <c r="D29" s="565">
        <f>B29</f>
        <v>2581150</v>
      </c>
      <c r="E29" s="564">
        <f>'Sources and Uses Budget'!S29</f>
        <v>2581150</v>
      </c>
      <c r="F29" s="565"/>
      <c r="G29" s="565">
        <f>E29</f>
        <v>2581150</v>
      </c>
      <c r="H29" s="564">
        <f>'Sources and Uses Budget'!T29</f>
        <v>0</v>
      </c>
      <c r="I29" s="565"/>
      <c r="J29" s="565"/>
      <c r="K29" s="562"/>
    </row>
    <row r="30" spans="1:11" s="563" customFormat="1">
      <c r="A30" s="215" t="s">
        <v>634</v>
      </c>
      <c r="B30" s="564">
        <f>'Sources and Uses Budget'!C30</f>
        <v>12429011</v>
      </c>
      <c r="C30" s="565"/>
      <c r="D30" s="565">
        <f t="shared" ref="D30:D37" si="0">B30</f>
        <v>12429011</v>
      </c>
      <c r="E30" s="564">
        <f>'Sources and Uses Budget'!S30</f>
        <v>12429011</v>
      </c>
      <c r="F30" s="565"/>
      <c r="G30" s="565">
        <f t="shared" ref="G30:G36" si="1">E30</f>
        <v>12429011</v>
      </c>
      <c r="H30" s="564">
        <f>'Sources and Uses Budget'!T30</f>
        <v>0</v>
      </c>
      <c r="I30" s="565"/>
      <c r="J30" s="565"/>
      <c r="K30" s="562"/>
    </row>
    <row r="31" spans="1:11" s="563" customFormat="1">
      <c r="A31" s="215" t="s">
        <v>635</v>
      </c>
      <c r="B31" s="564">
        <f>'Sources and Uses Budget'!C31</f>
        <v>1115138</v>
      </c>
      <c r="C31" s="565"/>
      <c r="D31" s="565">
        <f t="shared" si="0"/>
        <v>1115138</v>
      </c>
      <c r="E31" s="564">
        <f>'Sources and Uses Budget'!S31</f>
        <v>1115138</v>
      </c>
      <c r="F31" s="565"/>
      <c r="G31" s="565">
        <f t="shared" si="1"/>
        <v>1115138</v>
      </c>
      <c r="H31" s="564">
        <f>'Sources and Uses Budget'!T31</f>
        <v>0</v>
      </c>
      <c r="I31" s="565"/>
      <c r="J31" s="565"/>
      <c r="K31" s="562"/>
    </row>
    <row r="32" spans="1:11" s="563" customFormat="1">
      <c r="A32" s="215" t="s">
        <v>142</v>
      </c>
      <c r="B32" s="564">
        <f>'Sources and Uses Budget'!C32</f>
        <v>557568</v>
      </c>
      <c r="C32" s="565"/>
      <c r="D32" s="565">
        <f t="shared" si="0"/>
        <v>557568</v>
      </c>
      <c r="E32" s="564">
        <f>'Sources and Uses Budget'!S32</f>
        <v>557568</v>
      </c>
      <c r="F32" s="565"/>
      <c r="G32" s="565">
        <f t="shared" si="1"/>
        <v>557568</v>
      </c>
      <c r="H32" s="564">
        <f>'Sources and Uses Budget'!T32</f>
        <v>0</v>
      </c>
      <c r="I32" s="565"/>
      <c r="J32" s="565"/>
      <c r="K32" s="562"/>
    </row>
    <row r="33" spans="1:11" s="563" customFormat="1">
      <c r="A33" s="215" t="s">
        <v>143</v>
      </c>
      <c r="B33" s="564">
        <f>'Sources and Uses Budget'!C33</f>
        <v>557568</v>
      </c>
      <c r="C33" s="565"/>
      <c r="D33" s="565">
        <f t="shared" si="0"/>
        <v>557568</v>
      </c>
      <c r="E33" s="564">
        <f>'Sources and Uses Budget'!S33</f>
        <v>557568</v>
      </c>
      <c r="F33" s="565"/>
      <c r="G33" s="565">
        <f t="shared" si="1"/>
        <v>557568</v>
      </c>
      <c r="H33" s="564">
        <f>'Sources and Uses Budget'!T33</f>
        <v>0</v>
      </c>
      <c r="I33" s="565"/>
      <c r="J33" s="565"/>
      <c r="K33" s="562"/>
    </row>
    <row r="34" spans="1:11" s="563" customFormat="1">
      <c r="A34" s="215" t="s">
        <v>144</v>
      </c>
      <c r="B34" s="564">
        <f>'Sources and Uses Budget'!C34</f>
        <v>0</v>
      </c>
      <c r="C34" s="565"/>
      <c r="D34" s="565">
        <f t="shared" si="0"/>
        <v>0</v>
      </c>
      <c r="E34" s="564">
        <f>'Sources and Uses Budget'!S34</f>
        <v>0</v>
      </c>
      <c r="F34" s="565"/>
      <c r="G34" s="565">
        <f t="shared" si="1"/>
        <v>0</v>
      </c>
      <c r="H34" s="564">
        <f>'Sources and Uses Budget'!T34</f>
        <v>0</v>
      </c>
      <c r="I34" s="565"/>
      <c r="J34" s="565"/>
      <c r="K34" s="562"/>
    </row>
    <row r="35" spans="1:11" s="563" customFormat="1">
      <c r="A35" s="215" t="s">
        <v>145</v>
      </c>
      <c r="B35" s="564">
        <f>'Sources and Uses Budget'!C35</f>
        <v>361618</v>
      </c>
      <c r="C35" s="565"/>
      <c r="D35" s="565">
        <f t="shared" si="0"/>
        <v>361618</v>
      </c>
      <c r="E35" s="564">
        <f>'Sources and Uses Budget'!S35</f>
        <v>361618</v>
      </c>
      <c r="F35" s="565"/>
      <c r="G35" s="565">
        <f t="shared" si="1"/>
        <v>361618</v>
      </c>
      <c r="H35" s="564">
        <f>'Sources and Uses Budget'!T35</f>
        <v>0</v>
      </c>
      <c r="I35" s="565"/>
      <c r="J35" s="565"/>
      <c r="K35" s="562"/>
    </row>
    <row r="36" spans="1:11" s="563" customFormat="1">
      <c r="A36" s="857" t="s">
        <v>1994</v>
      </c>
      <c r="B36" s="564">
        <f>'Sources and Uses Budget'!C36</f>
        <v>0</v>
      </c>
      <c r="C36" s="565"/>
      <c r="D36" s="565">
        <f t="shared" si="0"/>
        <v>0</v>
      </c>
      <c r="E36" s="564">
        <f>'Sources and Uses Budget'!S36</f>
        <v>0</v>
      </c>
      <c r="F36" s="565"/>
      <c r="G36" s="565">
        <f t="shared" si="1"/>
        <v>0</v>
      </c>
      <c r="H36" s="564">
        <f>'Sources and Uses Budget'!T36</f>
        <v>0</v>
      </c>
      <c r="I36" s="565"/>
      <c r="J36" s="565"/>
      <c r="K36" s="562"/>
    </row>
    <row r="37" spans="1:11" s="563" customFormat="1">
      <c r="A37" s="570" t="str">
        <f>'Sources and Uses Budget'!$A37</f>
        <v>Other: (Specify)</v>
      </c>
      <c r="B37" s="564">
        <f>'Sources and Uses Budget'!C37</f>
        <v>0</v>
      </c>
      <c r="C37" s="565"/>
      <c r="D37" s="565">
        <f t="shared" si="0"/>
        <v>0</v>
      </c>
      <c r="E37" s="564">
        <f>'Sources and Uses Budget'!S37</f>
        <v>0</v>
      </c>
      <c r="F37" s="565"/>
      <c r="G37" s="565">
        <f>E37</f>
        <v>0</v>
      </c>
      <c r="H37" s="564">
        <f>'Sources and Uses Budget'!T37</f>
        <v>0</v>
      </c>
      <c r="I37" s="565"/>
      <c r="J37" s="565"/>
      <c r="K37" s="562"/>
    </row>
    <row r="38" spans="1:11" s="563" customFormat="1">
      <c r="A38" s="572" t="s">
        <v>148</v>
      </c>
      <c r="B38" s="564">
        <f>'Sources and Uses Budget'!C38</f>
        <v>17602053</v>
      </c>
      <c r="C38" s="564">
        <f>SUM(C29:C37)</f>
        <v>0</v>
      </c>
      <c r="D38" s="564">
        <f>SUM(D29:D37)</f>
        <v>17602053</v>
      </c>
      <c r="E38" s="564">
        <f>'Sources and Uses Budget'!S38</f>
        <v>17602053</v>
      </c>
      <c r="F38" s="571">
        <f>SUM(F29:F37)</f>
        <v>0</v>
      </c>
      <c r="G38" s="571">
        <f>SUM(G29:G37)</f>
        <v>17602053</v>
      </c>
      <c r="H38" s="564">
        <f>'Sources and Uses Budget'!T38</f>
        <v>0</v>
      </c>
      <c r="I38" s="571">
        <f>SUM(I29:I37)</f>
        <v>0</v>
      </c>
      <c r="J38" s="571">
        <f>SUM(J29:J37)</f>
        <v>0</v>
      </c>
      <c r="K38" s="562"/>
    </row>
    <row r="39" spans="1:11" s="563" customFormat="1">
      <c r="A39" s="560" t="s">
        <v>149</v>
      </c>
      <c r="B39" s="561"/>
      <c r="C39" s="561"/>
      <c r="D39" s="561"/>
      <c r="E39" s="561"/>
      <c r="F39" s="561"/>
      <c r="G39" s="561"/>
      <c r="H39" s="561"/>
      <c r="I39" s="561"/>
      <c r="J39" s="561"/>
      <c r="K39" s="562"/>
    </row>
    <row r="40" spans="1:11" s="563" customFormat="1">
      <c r="A40" s="567" t="s">
        <v>150</v>
      </c>
      <c r="B40" s="564">
        <f>'Sources and Uses Budget'!C40</f>
        <v>950000</v>
      </c>
      <c r="C40" s="565"/>
      <c r="D40" s="565">
        <f>B40</f>
        <v>950000</v>
      </c>
      <c r="E40" s="564">
        <f>'Sources and Uses Budget'!S40</f>
        <v>950000</v>
      </c>
      <c r="F40" s="565"/>
      <c r="G40" s="565">
        <f>E40</f>
        <v>950000</v>
      </c>
      <c r="H40" s="564">
        <f>'Sources and Uses Budget'!T40</f>
        <v>0</v>
      </c>
      <c r="I40" s="565"/>
      <c r="J40" s="565"/>
      <c r="K40" s="562"/>
    </row>
    <row r="41" spans="1:11" s="563" customFormat="1">
      <c r="A41" s="567" t="s">
        <v>151</v>
      </c>
      <c r="B41" s="564">
        <f>'Sources and Uses Budget'!C41</f>
        <v>0</v>
      </c>
      <c r="C41" s="565"/>
      <c r="D41" s="565"/>
      <c r="E41" s="564">
        <f>'Sources and Uses Budget'!S41</f>
        <v>0</v>
      </c>
      <c r="F41" s="565"/>
      <c r="G41" s="565"/>
      <c r="H41" s="564">
        <f>'Sources and Uses Budget'!T41</f>
        <v>0</v>
      </c>
      <c r="I41" s="565"/>
      <c r="J41" s="565"/>
      <c r="K41" s="562"/>
    </row>
    <row r="42" spans="1:11" s="563" customFormat="1">
      <c r="A42" s="568" t="s">
        <v>152</v>
      </c>
      <c r="B42" s="564">
        <f>'Sources and Uses Budget'!C42</f>
        <v>950000</v>
      </c>
      <c r="C42" s="564">
        <f>SUM(C39:C41)</f>
        <v>0</v>
      </c>
      <c r="D42" s="564">
        <f>SUM(D39:D41)</f>
        <v>950000</v>
      </c>
      <c r="E42" s="564">
        <f>'Sources and Uses Budget'!S42</f>
        <v>950000</v>
      </c>
      <c r="F42" s="571">
        <f>SUM(F40:F41)</f>
        <v>0</v>
      </c>
      <c r="G42" s="571">
        <f>SUM(G40:G41)</f>
        <v>950000</v>
      </c>
      <c r="H42" s="564">
        <f>'Sources and Uses Budget'!T42</f>
        <v>0</v>
      </c>
      <c r="I42" s="571">
        <f>SUM(I40:I41)</f>
        <v>0</v>
      </c>
      <c r="J42" s="571">
        <f>SUM(J40:J41)</f>
        <v>0</v>
      </c>
      <c r="K42" s="562"/>
    </row>
    <row r="43" spans="1:11" s="563" customFormat="1">
      <c r="A43" s="568" t="s">
        <v>153</v>
      </c>
      <c r="B43" s="564">
        <f>'Sources and Uses Budget'!C43</f>
        <v>190000</v>
      </c>
      <c r="C43" s="565"/>
      <c r="D43" s="565">
        <f>B43</f>
        <v>190000</v>
      </c>
      <c r="E43" s="564">
        <f>'Sources and Uses Budget'!S43</f>
        <v>190000</v>
      </c>
      <c r="F43" s="565"/>
      <c r="G43" s="565">
        <f>E43</f>
        <v>190000</v>
      </c>
      <c r="H43" s="564">
        <f>'Sources and Uses Budget'!T43</f>
        <v>0</v>
      </c>
      <c r="I43" s="565"/>
      <c r="J43" s="565"/>
      <c r="K43" s="562"/>
    </row>
    <row r="44" spans="1:11" s="563" customFormat="1">
      <c r="A44" s="560" t="s">
        <v>154</v>
      </c>
      <c r="B44" s="561"/>
      <c r="C44" s="561"/>
      <c r="D44" s="561"/>
      <c r="E44" s="561"/>
      <c r="F44" s="561"/>
      <c r="G44" s="561"/>
      <c r="H44" s="561"/>
      <c r="I44" s="561"/>
      <c r="J44" s="561"/>
      <c r="K44" s="562"/>
    </row>
    <row r="45" spans="1:11" s="563" customFormat="1">
      <c r="A45" s="567" t="s">
        <v>155</v>
      </c>
      <c r="B45" s="564">
        <f>'Sources and Uses Budget'!C45</f>
        <v>1316937</v>
      </c>
      <c r="C45" s="565"/>
      <c r="D45" s="565">
        <f>B45</f>
        <v>1316937</v>
      </c>
      <c r="E45" s="564">
        <f>'Sources and Uses Budget'!S45</f>
        <v>846602</v>
      </c>
      <c r="F45" s="565"/>
      <c r="G45" s="565">
        <f>E45</f>
        <v>846602</v>
      </c>
      <c r="H45" s="564">
        <f>'Sources and Uses Budget'!T45</f>
        <v>0</v>
      </c>
      <c r="I45" s="565"/>
      <c r="J45" s="565"/>
      <c r="K45" s="562"/>
    </row>
    <row r="46" spans="1:11" s="563" customFormat="1">
      <c r="A46" s="567" t="s">
        <v>156</v>
      </c>
      <c r="B46" s="564">
        <f>'Sources and Uses Budget'!C46</f>
        <v>249000</v>
      </c>
      <c r="C46" s="565"/>
      <c r="D46" s="565">
        <f>B46</f>
        <v>249000</v>
      </c>
      <c r="E46" s="564">
        <f>'Sources and Uses Budget'!S46</f>
        <v>74700</v>
      </c>
      <c r="F46" s="565"/>
      <c r="G46" s="565">
        <f>E46</f>
        <v>74700</v>
      </c>
      <c r="H46" s="564">
        <f>'Sources and Uses Budget'!T46</f>
        <v>0</v>
      </c>
      <c r="I46" s="565"/>
      <c r="J46" s="565"/>
      <c r="K46" s="562"/>
    </row>
    <row r="47" spans="1:11" s="563" customFormat="1" ht="12" customHeight="1">
      <c r="A47" s="567" t="s">
        <v>157</v>
      </c>
      <c r="B47" s="564">
        <f>'Sources and Uses Budget'!C47</f>
        <v>0</v>
      </c>
      <c r="C47" s="565"/>
      <c r="D47" s="565"/>
      <c r="E47" s="564">
        <f>'Sources and Uses Budget'!S47</f>
        <v>0</v>
      </c>
      <c r="F47" s="565"/>
      <c r="G47" s="565"/>
      <c r="H47" s="564">
        <f>'Sources and Uses Budget'!T47</f>
        <v>0</v>
      </c>
      <c r="I47" s="565"/>
      <c r="J47" s="565"/>
      <c r="K47" s="562"/>
    </row>
    <row r="48" spans="1:11" s="563" customFormat="1">
      <c r="A48" s="567" t="s">
        <v>158</v>
      </c>
      <c r="B48" s="564">
        <f>'Sources and Uses Budget'!C48</f>
        <v>0</v>
      </c>
      <c r="C48" s="565"/>
      <c r="D48" s="565"/>
      <c r="E48" s="564">
        <f>'Sources and Uses Budget'!S48</f>
        <v>0</v>
      </c>
      <c r="F48" s="565"/>
      <c r="G48" s="565"/>
      <c r="H48" s="564">
        <f>'Sources and Uses Budget'!T48</f>
        <v>0</v>
      </c>
      <c r="I48" s="565"/>
      <c r="J48" s="565"/>
      <c r="K48" s="562"/>
    </row>
    <row r="49" spans="1:11" s="563" customFormat="1">
      <c r="A49" s="439" t="s">
        <v>60</v>
      </c>
      <c r="B49" s="564">
        <f>'Sources and Uses Budget'!C49</f>
        <v>0</v>
      </c>
      <c r="C49" s="565"/>
      <c r="D49" s="565"/>
      <c r="E49" s="564">
        <f>'Sources and Uses Budget'!S49</f>
        <v>0</v>
      </c>
      <c r="F49" s="565"/>
      <c r="G49" s="565"/>
      <c r="H49" s="564">
        <f>'Sources and Uses Budget'!T49</f>
        <v>0</v>
      </c>
      <c r="I49" s="565"/>
      <c r="J49" s="565"/>
      <c r="K49" s="562"/>
    </row>
    <row r="50" spans="1:11" s="563" customFormat="1">
      <c r="A50" s="567" t="s">
        <v>161</v>
      </c>
      <c r="B50" s="564">
        <f>'Sources and Uses Budget'!C50</f>
        <v>60000</v>
      </c>
      <c r="C50" s="565"/>
      <c r="D50" s="565">
        <f>B50</f>
        <v>60000</v>
      </c>
      <c r="E50" s="564">
        <f>'Sources and Uses Budget'!S50</f>
        <v>60000</v>
      </c>
      <c r="F50" s="565"/>
      <c r="G50" s="565">
        <f>E50</f>
        <v>60000</v>
      </c>
      <c r="H50" s="564">
        <f>'Sources and Uses Budget'!T50</f>
        <v>0</v>
      </c>
      <c r="I50" s="565"/>
      <c r="J50" s="565"/>
      <c r="K50" s="562"/>
    </row>
    <row r="51" spans="1:11" s="563" customFormat="1">
      <c r="A51" s="567" t="s">
        <v>159</v>
      </c>
      <c r="B51" s="564">
        <f>'Sources and Uses Budget'!C51</f>
        <v>10000</v>
      </c>
      <c r="C51" s="565"/>
      <c r="D51" s="565">
        <f>B51</f>
        <v>10000</v>
      </c>
      <c r="E51" s="564">
        <f>'Sources and Uses Budget'!S51</f>
        <v>10000</v>
      </c>
      <c r="F51" s="565"/>
      <c r="G51" s="565">
        <f>E51</f>
        <v>10000</v>
      </c>
      <c r="H51" s="564">
        <f>'Sources and Uses Budget'!T51</f>
        <v>0</v>
      </c>
      <c r="I51" s="565"/>
      <c r="J51" s="565"/>
      <c r="K51" s="562"/>
    </row>
    <row r="52" spans="1:11" s="563" customFormat="1">
      <c r="A52" s="567" t="s">
        <v>160</v>
      </c>
      <c r="B52" s="564">
        <f>'Sources and Uses Budget'!C52</f>
        <v>0</v>
      </c>
      <c r="C52" s="565"/>
      <c r="D52" s="565"/>
      <c r="E52" s="564">
        <f>'Sources and Uses Budget'!S52</f>
        <v>0</v>
      </c>
      <c r="F52" s="565"/>
      <c r="G52" s="565"/>
      <c r="H52" s="564">
        <f>'Sources and Uses Budget'!T52</f>
        <v>0</v>
      </c>
      <c r="I52" s="565"/>
      <c r="J52" s="565"/>
      <c r="K52" s="562"/>
    </row>
    <row r="53" spans="1:11" s="563" customFormat="1">
      <c r="A53" s="570" t="str">
        <f>'Sources and Uses Budget'!$A53</f>
        <v>Other: (Inspection fees)</v>
      </c>
      <c r="B53" s="564">
        <f>'Sources and Uses Budget'!C53</f>
        <v>25000</v>
      </c>
      <c r="C53" s="565"/>
      <c r="D53" s="565">
        <f>B53</f>
        <v>25000</v>
      </c>
      <c r="E53" s="564">
        <f>'Sources and Uses Budget'!S53</f>
        <v>25000</v>
      </c>
      <c r="F53" s="565"/>
      <c r="G53" s="565">
        <f>E53</f>
        <v>25000</v>
      </c>
      <c r="H53" s="564">
        <f>'Sources and Uses Budget'!T53</f>
        <v>0</v>
      </c>
      <c r="I53" s="565"/>
      <c r="J53" s="565"/>
      <c r="K53" s="562"/>
    </row>
    <row r="54" spans="1:11" s="574" customFormat="1">
      <c r="A54" s="568" t="s">
        <v>162</v>
      </c>
      <c r="B54" s="564">
        <f>'Sources and Uses Budget'!C54</f>
        <v>1660937</v>
      </c>
      <c r="C54" s="571">
        <f>SUM(C45:C53)</f>
        <v>0</v>
      </c>
      <c r="D54" s="571">
        <f>SUM(D45:D53)</f>
        <v>1660937</v>
      </c>
      <c r="E54" s="564">
        <f>'Sources and Uses Budget'!S54</f>
        <v>1016302</v>
      </c>
      <c r="F54" s="571">
        <f>SUM(F45:F53)</f>
        <v>0</v>
      </c>
      <c r="G54" s="571">
        <f>SUM(G45:G53)</f>
        <v>1016302</v>
      </c>
      <c r="H54" s="564">
        <f>'Sources and Uses Budget'!T54</f>
        <v>0</v>
      </c>
      <c r="I54" s="571">
        <f>SUM(I45:I53)</f>
        <v>0</v>
      </c>
      <c r="J54" s="571">
        <f>SUM(J45:J53)</f>
        <v>0</v>
      </c>
      <c r="K54" s="573"/>
    </row>
    <row r="55" spans="1:11" s="563" customFormat="1">
      <c r="A55" s="560" t="s">
        <v>439</v>
      </c>
      <c r="B55" s="561"/>
      <c r="C55" s="561"/>
      <c r="D55" s="561"/>
      <c r="E55" s="561"/>
      <c r="F55" s="561"/>
      <c r="G55" s="561"/>
      <c r="H55" s="561"/>
      <c r="I55" s="561"/>
      <c r="J55" s="561"/>
      <c r="K55" s="562"/>
    </row>
    <row r="56" spans="1:11" s="563" customFormat="1">
      <c r="A56" s="567" t="s">
        <v>163</v>
      </c>
      <c r="B56" s="564">
        <f>'Sources and Uses Budget'!C56</f>
        <v>90057</v>
      </c>
      <c r="C56" s="565"/>
      <c r="D56" s="565">
        <f>B56</f>
        <v>90057</v>
      </c>
      <c r="E56" s="566"/>
      <c r="F56" s="566"/>
      <c r="G56" s="566"/>
      <c r="H56" s="566"/>
      <c r="I56" s="566"/>
      <c r="J56" s="566"/>
      <c r="K56" s="562"/>
    </row>
    <row r="57" spans="1:11" s="563" customFormat="1" ht="12" customHeight="1">
      <c r="A57" s="567" t="s">
        <v>157</v>
      </c>
      <c r="B57" s="564">
        <f>'Sources and Uses Budget'!C57</f>
        <v>0</v>
      </c>
      <c r="C57" s="565"/>
      <c r="D57" s="565"/>
      <c r="E57" s="566"/>
      <c r="F57" s="566"/>
      <c r="G57" s="566"/>
      <c r="H57" s="566"/>
      <c r="I57" s="566"/>
      <c r="J57" s="566"/>
      <c r="K57" s="562"/>
    </row>
    <row r="58" spans="1:11" s="563" customFormat="1">
      <c r="A58" s="567" t="s">
        <v>161</v>
      </c>
      <c r="B58" s="564">
        <f>'Sources and Uses Budget'!C58</f>
        <v>10000</v>
      </c>
      <c r="C58" s="565"/>
      <c r="D58" s="565">
        <f>B58</f>
        <v>10000</v>
      </c>
      <c r="E58" s="566"/>
      <c r="F58" s="566"/>
      <c r="G58" s="566"/>
      <c r="H58" s="566"/>
      <c r="I58" s="566"/>
      <c r="J58" s="566"/>
      <c r="K58" s="562"/>
    </row>
    <row r="59" spans="1:11" s="563" customFormat="1">
      <c r="A59" s="567" t="s">
        <v>159</v>
      </c>
      <c r="B59" s="564">
        <f>'Sources and Uses Budget'!C59</f>
        <v>0</v>
      </c>
      <c r="C59" s="565"/>
      <c r="D59" s="565"/>
      <c r="E59" s="566"/>
      <c r="F59" s="566"/>
      <c r="G59" s="566"/>
      <c r="H59" s="566"/>
      <c r="I59" s="566"/>
      <c r="J59" s="566"/>
      <c r="K59" s="562"/>
    </row>
    <row r="60" spans="1:11" s="563" customFormat="1">
      <c r="A60" s="567" t="s">
        <v>160</v>
      </c>
      <c r="B60" s="564">
        <f>'Sources and Uses Budget'!C60</f>
        <v>0</v>
      </c>
      <c r="C60" s="565"/>
      <c r="D60" s="565"/>
      <c r="E60" s="566"/>
      <c r="F60" s="566"/>
      <c r="G60" s="566"/>
      <c r="H60" s="566"/>
      <c r="I60" s="566"/>
      <c r="J60" s="566"/>
      <c r="K60" s="562"/>
    </row>
    <row r="61" spans="1:11" s="563" customFormat="1">
      <c r="A61" s="570" t="str">
        <f>'Sources and Uses Budget'!$A61</f>
        <v>Other: (Specify)</v>
      </c>
      <c r="B61" s="564">
        <f>'Sources and Uses Budget'!C61</f>
        <v>0</v>
      </c>
      <c r="C61" s="565"/>
      <c r="D61" s="565"/>
      <c r="E61" s="566"/>
      <c r="F61" s="566"/>
      <c r="G61" s="566"/>
      <c r="H61" s="566"/>
      <c r="I61" s="566"/>
      <c r="J61" s="566"/>
      <c r="K61" s="562"/>
    </row>
    <row r="62" spans="1:11" s="563" customFormat="1" ht="13.7" customHeight="1">
      <c r="A62" s="568" t="s">
        <v>309</v>
      </c>
      <c r="B62" s="564">
        <f>'Sources and Uses Budget'!C62</f>
        <v>100057</v>
      </c>
      <c r="C62" s="564">
        <f>SUM(C56:C61)</f>
        <v>0</v>
      </c>
      <c r="D62" s="564">
        <f>SUM(D56:D61)</f>
        <v>100057</v>
      </c>
      <c r="E62" s="566"/>
      <c r="F62" s="566"/>
      <c r="G62" s="566"/>
      <c r="H62" s="566"/>
      <c r="I62" s="566"/>
      <c r="J62" s="566"/>
      <c r="K62" s="562"/>
    </row>
    <row r="63" spans="1:11" s="563" customFormat="1">
      <c r="A63" s="575" t="s">
        <v>310</v>
      </c>
      <c r="B63" s="564">
        <f>'Sources and Uses Budget'!C63</f>
        <v>24350691</v>
      </c>
      <c r="C63" s="564">
        <f>SUM(C8+C11+C13+C14+C15+C26+C27+C38+C42+C43+C54+C62)</f>
        <v>0</v>
      </c>
      <c r="D63" s="564">
        <f>SUM(D8+D11+D13+D14+D15+D26+D27+D38+D42+D43+D54+D62)</f>
        <v>24350691</v>
      </c>
      <c r="E63" s="564">
        <f>'Sources and Uses Budget'!S63</f>
        <v>20398887</v>
      </c>
      <c r="F63" s="564">
        <f>SUM(F10+F13+F14+F15+F26+F27+F38+F42+F43+F54)</f>
        <v>0</v>
      </c>
      <c r="G63" s="564">
        <f>SUM(G10+G13+G14+G15+G26+G27+G38+G42+G43+G54)</f>
        <v>20398887</v>
      </c>
      <c r="H63" s="564">
        <f>'Sources and Uses Budget'!T63</f>
        <v>0</v>
      </c>
      <c r="I63" s="564">
        <f>SUM(I11+I13+I14+I15+I26+I27+I38+I42+I43+I54)</f>
        <v>0</v>
      </c>
      <c r="J63" s="564">
        <f>SUM(J11+J13+J14+J15+J26+J27+J38+J42+J43+J54)</f>
        <v>0</v>
      </c>
      <c r="K63" s="562"/>
    </row>
    <row r="64" spans="1:11" s="563" customFormat="1" ht="24">
      <c r="A64" s="211" t="s">
        <v>1998</v>
      </c>
      <c r="B64" s="561"/>
      <c r="C64" s="561"/>
      <c r="D64" s="561"/>
      <c r="E64" s="561"/>
      <c r="F64" s="561"/>
      <c r="G64" s="561"/>
      <c r="H64" s="561"/>
      <c r="I64" s="561"/>
      <c r="J64" s="561"/>
      <c r="K64" s="562"/>
    </row>
    <row r="65" spans="1:11" s="563" customFormat="1">
      <c r="A65" s="215" t="s">
        <v>176</v>
      </c>
      <c r="B65" s="564">
        <f>'Sources and Uses Budget'!C65</f>
        <v>100000</v>
      </c>
      <c r="C65" s="565"/>
      <c r="D65" s="565">
        <f>B65</f>
        <v>100000</v>
      </c>
      <c r="E65" s="564">
        <f>'Sources and Uses Budget'!S65</f>
        <v>50000</v>
      </c>
      <c r="F65" s="565"/>
      <c r="G65" s="565">
        <f>E65</f>
        <v>50000</v>
      </c>
      <c r="H65" s="564">
        <f>'Sources and Uses Budget'!T65</f>
        <v>0</v>
      </c>
      <c r="I65" s="565"/>
      <c r="J65" s="565"/>
      <c r="K65" s="562"/>
    </row>
    <row r="66" spans="1:11" s="563" customFormat="1" ht="24">
      <c r="A66" s="439" t="s">
        <v>1995</v>
      </c>
      <c r="B66" s="564">
        <f>'Sources and Uses Budget'!C66</f>
        <v>0</v>
      </c>
      <c r="C66" s="565"/>
      <c r="D66" s="565"/>
      <c r="E66" s="564">
        <f>'Sources and Uses Budget'!S66</f>
        <v>0</v>
      </c>
      <c r="F66" s="565"/>
      <c r="G66" s="565"/>
      <c r="H66" s="564">
        <f>'Sources and Uses Budget'!T66</f>
        <v>0</v>
      </c>
      <c r="I66" s="565"/>
      <c r="J66" s="565"/>
      <c r="K66" s="562"/>
    </row>
    <row r="67" spans="1:11" s="563" customFormat="1" ht="24">
      <c r="A67" s="439" t="s">
        <v>1996</v>
      </c>
      <c r="B67" s="564">
        <f>'Sources and Uses Budget'!C67</f>
        <v>0</v>
      </c>
      <c r="C67" s="565"/>
      <c r="D67" s="565"/>
      <c r="E67" s="564">
        <f>'Sources and Uses Budget'!S67</f>
        <v>0</v>
      </c>
      <c r="F67" s="565"/>
      <c r="G67" s="565"/>
      <c r="H67" s="564">
        <f>'Sources and Uses Budget'!T67</f>
        <v>0</v>
      </c>
      <c r="I67" s="565"/>
      <c r="J67" s="565"/>
      <c r="K67" s="562"/>
    </row>
    <row r="68" spans="1:11" s="563" customFormat="1">
      <c r="A68" s="439" t="s">
        <v>2002</v>
      </c>
      <c r="B68" s="564">
        <f>'Sources and Uses Budget'!C68</f>
        <v>0</v>
      </c>
      <c r="C68" s="565"/>
      <c r="D68" s="565"/>
      <c r="E68" s="564">
        <f>'Sources and Uses Budget'!S68</f>
        <v>0</v>
      </c>
      <c r="F68" s="565"/>
      <c r="G68" s="565"/>
      <c r="H68" s="564">
        <f>'Sources and Uses Budget'!T68</f>
        <v>0</v>
      </c>
      <c r="I68" s="565"/>
      <c r="J68" s="565"/>
      <c r="K68" s="562"/>
    </row>
    <row r="69" spans="1:11" s="563" customFormat="1">
      <c r="A69" s="570" t="str">
        <f>'Sources and Uses Budget'!$A69</f>
        <v>Other: (Syndication Legal Fees)</v>
      </c>
      <c r="B69" s="564">
        <f>'Sources and Uses Budget'!C69</f>
        <v>115000</v>
      </c>
      <c r="C69" s="565"/>
      <c r="D69" s="565">
        <f>B69</f>
        <v>115000</v>
      </c>
      <c r="E69" s="564">
        <f>'Sources and Uses Budget'!S69</f>
        <v>60000</v>
      </c>
      <c r="F69" s="565"/>
      <c r="G69" s="565">
        <f>E69</f>
        <v>60000</v>
      </c>
      <c r="H69" s="564">
        <f>'Sources and Uses Budget'!T69</f>
        <v>0</v>
      </c>
      <c r="I69" s="565"/>
      <c r="J69" s="565"/>
      <c r="K69" s="562"/>
    </row>
    <row r="70" spans="1:11" s="563" customFormat="1">
      <c r="A70" s="568" t="s">
        <v>636</v>
      </c>
      <c r="B70" s="564">
        <f>'Sources and Uses Budget'!C70</f>
        <v>215000</v>
      </c>
      <c r="C70" s="564">
        <f>SUM(C64:C69)</f>
        <v>0</v>
      </c>
      <c r="D70" s="564">
        <f>SUM(D64:D69)</f>
        <v>215000</v>
      </c>
      <c r="E70" s="564">
        <f>'Sources and Uses Budget'!S70</f>
        <v>110000</v>
      </c>
      <c r="F70" s="571">
        <f>SUM(F65:F69)</f>
        <v>0</v>
      </c>
      <c r="G70" s="571">
        <f>SUM(G65:G69)</f>
        <v>110000</v>
      </c>
      <c r="H70" s="564">
        <f>'Sources and Uses Budget'!T70</f>
        <v>0</v>
      </c>
      <c r="I70" s="571">
        <f>SUM(I65:I69)</f>
        <v>0</v>
      </c>
      <c r="J70" s="571">
        <f>SUM(J65:J69)</f>
        <v>0</v>
      </c>
      <c r="K70" s="562"/>
    </row>
    <row r="71" spans="1:11" s="563" customFormat="1">
      <c r="A71" s="560" t="s">
        <v>637</v>
      </c>
      <c r="B71" s="561"/>
      <c r="C71" s="561"/>
      <c r="D71" s="561"/>
      <c r="E71" s="561"/>
      <c r="F71" s="561"/>
      <c r="G71" s="561"/>
      <c r="H71" s="561"/>
      <c r="I71" s="561"/>
      <c r="J71" s="561"/>
      <c r="K71" s="562"/>
    </row>
    <row r="72" spans="1:11" s="563" customFormat="1">
      <c r="A72" s="567" t="s">
        <v>638</v>
      </c>
      <c r="B72" s="564">
        <f>'Sources and Uses Budget'!C72</f>
        <v>50000</v>
      </c>
      <c r="C72" s="565"/>
      <c r="D72" s="565">
        <f>B72</f>
        <v>50000</v>
      </c>
      <c r="E72" s="566"/>
      <c r="F72" s="566"/>
      <c r="G72" s="566"/>
      <c r="H72" s="566"/>
      <c r="I72" s="566"/>
      <c r="J72" s="566"/>
      <c r="K72" s="562"/>
    </row>
    <row r="73" spans="1:11" s="563" customFormat="1">
      <c r="A73" s="567" t="s">
        <v>639</v>
      </c>
      <c r="B73" s="564">
        <f>'Sources and Uses Budget'!C73</f>
        <v>0</v>
      </c>
      <c r="C73" s="565"/>
      <c r="D73" s="565"/>
      <c r="E73" s="566"/>
      <c r="F73" s="566"/>
      <c r="G73" s="566"/>
      <c r="H73" s="566"/>
      <c r="I73" s="566"/>
      <c r="J73" s="566"/>
      <c r="K73" s="562"/>
    </row>
    <row r="74" spans="1:11" s="563" customFormat="1">
      <c r="A74" s="738" t="s">
        <v>1086</v>
      </c>
      <c r="B74" s="564">
        <f>'Sources and Uses Budget'!C74</f>
        <v>342320</v>
      </c>
      <c r="C74" s="565"/>
      <c r="D74" s="565">
        <f>B74</f>
        <v>342320</v>
      </c>
      <c r="E74" s="566"/>
      <c r="F74" s="566"/>
      <c r="G74" s="566"/>
      <c r="H74" s="566"/>
      <c r="I74" s="566"/>
      <c r="J74" s="566"/>
      <c r="K74" s="562"/>
    </row>
    <row r="75" spans="1:11" s="563" customFormat="1">
      <c r="A75" s="567" t="s">
        <v>640</v>
      </c>
      <c r="B75" s="564">
        <f>'Sources and Uses Budget'!C75</f>
        <v>233599</v>
      </c>
      <c r="C75" s="565"/>
      <c r="D75" s="565">
        <f>B75</f>
        <v>233599</v>
      </c>
      <c r="E75" s="566"/>
      <c r="F75" s="566"/>
      <c r="G75" s="566"/>
      <c r="H75" s="566"/>
      <c r="I75" s="566"/>
      <c r="J75" s="566"/>
      <c r="K75" s="562"/>
    </row>
    <row r="76" spans="1:11" s="563" customFormat="1">
      <c r="A76" s="570" t="str">
        <f>'Sources and Uses Budget'!$A76</f>
        <v>Other: (Specify)</v>
      </c>
      <c r="B76" s="564">
        <f>'Sources and Uses Budget'!C76</f>
        <v>0</v>
      </c>
      <c r="C76" s="565"/>
      <c r="D76" s="565"/>
      <c r="E76" s="566"/>
      <c r="F76" s="566"/>
      <c r="G76" s="566"/>
      <c r="H76" s="566"/>
      <c r="I76" s="566"/>
      <c r="J76" s="566"/>
      <c r="K76" s="562"/>
    </row>
    <row r="77" spans="1:11" s="563" customFormat="1">
      <c r="A77" s="568" t="s">
        <v>641</v>
      </c>
      <c r="B77" s="564">
        <f>'Sources and Uses Budget'!C77</f>
        <v>625919</v>
      </c>
      <c r="C77" s="564">
        <f>SUM(C72:C76)</f>
        <v>0</v>
      </c>
      <c r="D77" s="564">
        <f>SUM(D72:D76)</f>
        <v>625919</v>
      </c>
      <c r="E77" s="566"/>
      <c r="F77" s="566"/>
      <c r="G77" s="566"/>
      <c r="H77" s="566"/>
      <c r="I77" s="566"/>
      <c r="J77" s="566"/>
      <c r="K77" s="562"/>
    </row>
    <row r="78" spans="1:11" s="563" customFormat="1">
      <c r="A78" s="560" t="s">
        <v>1420</v>
      </c>
      <c r="B78" s="561"/>
      <c r="C78" s="561"/>
      <c r="D78" s="561"/>
      <c r="E78" s="561"/>
      <c r="F78" s="561"/>
      <c r="G78" s="561"/>
      <c r="H78" s="561"/>
      <c r="I78" s="561"/>
      <c r="J78" s="561"/>
      <c r="K78" s="562"/>
    </row>
    <row r="79" spans="1:11" s="563" customFormat="1">
      <c r="A79" s="567" t="s">
        <v>1422</v>
      </c>
      <c r="B79" s="564">
        <f>'Sources and Uses Budget'!C79</f>
        <v>916152</v>
      </c>
      <c r="C79" s="565"/>
      <c r="D79" s="565">
        <f>B79</f>
        <v>916152</v>
      </c>
      <c r="E79" s="564">
        <f>'Sources and Uses Budget'!S79</f>
        <v>916152</v>
      </c>
      <c r="F79" s="565"/>
      <c r="G79" s="565">
        <f>E79</f>
        <v>916152</v>
      </c>
      <c r="H79" s="564">
        <f>'Sources and Uses Budget'!T79</f>
        <v>0</v>
      </c>
      <c r="I79" s="565"/>
      <c r="J79" s="565"/>
      <c r="K79" s="562"/>
    </row>
    <row r="80" spans="1:11" s="563" customFormat="1">
      <c r="A80" s="567" t="s">
        <v>61</v>
      </c>
      <c r="B80" s="564">
        <f>'Sources and Uses Budget'!C80</f>
        <v>100000</v>
      </c>
      <c r="C80" s="565"/>
      <c r="D80" s="565">
        <f>B80</f>
        <v>100000</v>
      </c>
      <c r="E80" s="564">
        <f>'Sources and Uses Budget'!S80</f>
        <v>100000</v>
      </c>
      <c r="F80" s="565"/>
      <c r="G80" s="565">
        <f>E80</f>
        <v>100000</v>
      </c>
      <c r="H80" s="564">
        <f>'Sources and Uses Budget'!T80</f>
        <v>0</v>
      </c>
      <c r="I80" s="565"/>
      <c r="J80" s="565"/>
      <c r="K80" s="562"/>
    </row>
    <row r="81" spans="1:11" s="563" customFormat="1">
      <c r="A81" s="568" t="s">
        <v>1419</v>
      </c>
      <c r="B81" s="564">
        <f>'Sources and Uses Budget'!C81</f>
        <v>1016152</v>
      </c>
      <c r="C81" s="564">
        <f>SUM(C79:C80)</f>
        <v>0</v>
      </c>
      <c r="D81" s="564">
        <f>SUM(D79:D80)</f>
        <v>1016152</v>
      </c>
      <c r="E81" s="564">
        <f>'Sources and Uses Budget'!S81</f>
        <v>1016152</v>
      </c>
      <c r="F81" s="564">
        <f>SUM(F79:F80)</f>
        <v>0</v>
      </c>
      <c r="G81" s="564">
        <f>SUM(G79:G80)</f>
        <v>1016152</v>
      </c>
      <c r="H81" s="564">
        <f>'Sources and Uses Budget'!T81</f>
        <v>0</v>
      </c>
      <c r="I81" s="564">
        <f>SUM(I79:I80)</f>
        <v>0</v>
      </c>
      <c r="J81" s="564">
        <f>SUM(J79:J80)</f>
        <v>0</v>
      </c>
      <c r="K81" s="562"/>
    </row>
    <row r="82" spans="1:11" s="563" customFormat="1">
      <c r="A82" s="560" t="s">
        <v>823</v>
      </c>
      <c r="B82" s="561"/>
      <c r="C82" s="561"/>
      <c r="D82" s="561"/>
      <c r="E82" s="561"/>
      <c r="F82" s="561"/>
      <c r="G82" s="561"/>
      <c r="H82" s="561"/>
      <c r="I82" s="561"/>
      <c r="J82" s="561"/>
      <c r="K82" s="562"/>
    </row>
    <row r="83" spans="1:11" s="563" customFormat="1" ht="13.7" customHeight="1">
      <c r="A83" s="215" t="s">
        <v>824</v>
      </c>
      <c r="B83" s="564">
        <f>'Sources and Uses Budget'!C83</f>
        <v>69720</v>
      </c>
      <c r="C83" s="565"/>
      <c r="D83" s="565">
        <f>B83</f>
        <v>69720</v>
      </c>
      <c r="E83" s="566"/>
      <c r="F83" s="566"/>
      <c r="G83" s="566"/>
      <c r="H83" s="566"/>
      <c r="I83" s="566"/>
      <c r="J83" s="566"/>
      <c r="K83" s="562"/>
    </row>
    <row r="84" spans="1:11" s="563" customFormat="1">
      <c r="A84" s="215" t="s">
        <v>825</v>
      </c>
      <c r="B84" s="564">
        <f>'Sources and Uses Budget'!C84</f>
        <v>62000</v>
      </c>
      <c r="C84" s="565"/>
      <c r="D84" s="565">
        <f t="shared" ref="D84:D95" si="2">B84</f>
        <v>62000</v>
      </c>
      <c r="E84" s="564">
        <f>'Sources and Uses Budget'!S84</f>
        <v>62000</v>
      </c>
      <c r="F84" s="565"/>
      <c r="G84" s="565">
        <f>E84</f>
        <v>62000</v>
      </c>
      <c r="H84" s="564">
        <f>'Sources and Uses Budget'!T84</f>
        <v>0</v>
      </c>
      <c r="I84" s="565"/>
      <c r="J84" s="565"/>
      <c r="K84" s="562"/>
    </row>
    <row r="85" spans="1:11" s="563" customFormat="1">
      <c r="A85" s="215" t="s">
        <v>826</v>
      </c>
      <c r="B85" s="564">
        <f>'Sources and Uses Budget'!C85</f>
        <v>584053</v>
      </c>
      <c r="C85" s="565"/>
      <c r="D85" s="565">
        <f t="shared" si="2"/>
        <v>584053</v>
      </c>
      <c r="E85" s="564">
        <f>'Sources and Uses Budget'!S85</f>
        <v>584053</v>
      </c>
      <c r="F85" s="565"/>
      <c r="G85" s="565">
        <f t="shared" ref="G85:G87" si="3">E85</f>
        <v>584053</v>
      </c>
      <c r="H85" s="564">
        <f>'Sources and Uses Budget'!T85</f>
        <v>0</v>
      </c>
      <c r="I85" s="565"/>
      <c r="J85" s="565"/>
      <c r="K85" s="562"/>
    </row>
    <row r="86" spans="1:11" s="563" customFormat="1">
      <c r="A86" s="215" t="s">
        <v>827</v>
      </c>
      <c r="B86" s="564">
        <f>'Sources and Uses Budget'!C86</f>
        <v>140695</v>
      </c>
      <c r="C86" s="565"/>
      <c r="D86" s="565">
        <f t="shared" si="2"/>
        <v>140695</v>
      </c>
      <c r="E86" s="564">
        <f>'Sources and Uses Budget'!S86</f>
        <v>140695</v>
      </c>
      <c r="F86" s="565"/>
      <c r="G86" s="565">
        <f t="shared" si="3"/>
        <v>140695</v>
      </c>
      <c r="H86" s="564">
        <f>'Sources and Uses Budget'!T86</f>
        <v>0</v>
      </c>
      <c r="I86" s="565"/>
      <c r="J86" s="565"/>
      <c r="K86" s="562"/>
    </row>
    <row r="87" spans="1:11" s="563" customFormat="1">
      <c r="A87" s="215" t="s">
        <v>828</v>
      </c>
      <c r="B87" s="564">
        <f>'Sources and Uses Budget'!C87</f>
        <v>75000</v>
      </c>
      <c r="C87" s="565"/>
      <c r="D87" s="565">
        <f t="shared" si="2"/>
        <v>75000</v>
      </c>
      <c r="E87" s="564">
        <f>'Sources and Uses Budget'!S87</f>
        <v>75000</v>
      </c>
      <c r="F87" s="565"/>
      <c r="G87" s="565">
        <f t="shared" si="3"/>
        <v>75000</v>
      </c>
      <c r="H87" s="564">
        <f>'Sources and Uses Budget'!T87</f>
        <v>0</v>
      </c>
      <c r="I87" s="565"/>
      <c r="J87" s="565"/>
      <c r="K87" s="562"/>
    </row>
    <row r="88" spans="1:11" s="563" customFormat="1">
      <c r="A88" s="215" t="s">
        <v>829</v>
      </c>
      <c r="B88" s="564">
        <f>'Sources and Uses Budget'!C88</f>
        <v>30000</v>
      </c>
      <c r="C88" s="565"/>
      <c r="D88" s="565">
        <f t="shared" si="2"/>
        <v>30000</v>
      </c>
      <c r="E88" s="566"/>
      <c r="F88" s="566"/>
      <c r="G88" s="566"/>
      <c r="H88" s="566"/>
      <c r="I88" s="566"/>
      <c r="J88" s="566"/>
      <c r="K88" s="562"/>
    </row>
    <row r="89" spans="1:11" s="563" customFormat="1">
      <c r="A89" s="215" t="s">
        <v>830</v>
      </c>
      <c r="B89" s="564">
        <f>'Sources and Uses Budget'!C89</f>
        <v>200000</v>
      </c>
      <c r="C89" s="565"/>
      <c r="D89" s="565">
        <f t="shared" si="2"/>
        <v>200000</v>
      </c>
      <c r="E89" s="564">
        <f>'Sources and Uses Budget'!S89</f>
        <v>200000</v>
      </c>
      <c r="F89" s="565"/>
      <c r="G89" s="565">
        <f>E89</f>
        <v>200000</v>
      </c>
      <c r="H89" s="564">
        <f>'Sources and Uses Budget'!T89</f>
        <v>0</v>
      </c>
      <c r="I89" s="565"/>
      <c r="J89" s="565"/>
      <c r="K89" s="562"/>
    </row>
    <row r="90" spans="1:11" s="563" customFormat="1">
      <c r="A90" s="215" t="s">
        <v>831</v>
      </c>
      <c r="B90" s="564">
        <f>'Sources and Uses Budget'!C90</f>
        <v>21250</v>
      </c>
      <c r="C90" s="565"/>
      <c r="D90" s="565">
        <f t="shared" si="2"/>
        <v>21250</v>
      </c>
      <c r="E90" s="564">
        <f>'Sources and Uses Budget'!S90</f>
        <v>21250</v>
      </c>
      <c r="F90" s="565"/>
      <c r="G90" s="565">
        <f t="shared" ref="G90:G95" si="4">E90</f>
        <v>21250</v>
      </c>
      <c r="H90" s="564">
        <f>'Sources and Uses Budget'!T90</f>
        <v>0</v>
      </c>
      <c r="I90" s="565"/>
      <c r="J90" s="565"/>
      <c r="K90" s="562"/>
    </row>
    <row r="91" spans="1:11" s="563" customFormat="1">
      <c r="A91" s="226" t="s">
        <v>390</v>
      </c>
      <c r="B91" s="564">
        <f>'Sources and Uses Budget'!C91</f>
        <v>50000</v>
      </c>
      <c r="C91" s="565"/>
      <c r="D91" s="565">
        <f t="shared" si="2"/>
        <v>50000</v>
      </c>
      <c r="E91" s="564">
        <f>'Sources and Uses Budget'!S91</f>
        <v>50000</v>
      </c>
      <c r="F91" s="565"/>
      <c r="G91" s="565">
        <f t="shared" si="4"/>
        <v>50000</v>
      </c>
      <c r="H91" s="564">
        <f>'Sources and Uses Budget'!T91</f>
        <v>0</v>
      </c>
      <c r="I91" s="565"/>
      <c r="J91" s="565"/>
      <c r="K91" s="562"/>
    </row>
    <row r="92" spans="1:11" s="563" customFormat="1">
      <c r="A92" s="857" t="s">
        <v>1421</v>
      </c>
      <c r="B92" s="564">
        <f>'Sources and Uses Budget'!C92</f>
        <v>21250</v>
      </c>
      <c r="C92" s="565"/>
      <c r="D92" s="565">
        <f t="shared" si="2"/>
        <v>21250</v>
      </c>
      <c r="E92" s="564">
        <f>'Sources and Uses Budget'!S92</f>
        <v>21250</v>
      </c>
      <c r="F92" s="565"/>
      <c r="G92" s="565">
        <f t="shared" si="4"/>
        <v>21250</v>
      </c>
      <c r="H92" s="564">
        <f>'Sources and Uses Budget'!T92</f>
        <v>0</v>
      </c>
      <c r="I92" s="565"/>
      <c r="J92" s="565"/>
      <c r="K92" s="562"/>
    </row>
    <row r="93" spans="1:11" s="563" customFormat="1">
      <c r="A93" s="570" t="str">
        <f>'Sources and Uses Budget'!$A93</f>
        <v>Other: (Cultural Monitoring)</v>
      </c>
      <c r="B93" s="564">
        <f>'Sources and Uses Budget'!C93</f>
        <v>25000</v>
      </c>
      <c r="C93" s="565"/>
      <c r="D93" s="565">
        <f t="shared" si="2"/>
        <v>25000</v>
      </c>
      <c r="E93" s="564">
        <f>'Sources and Uses Budget'!S93</f>
        <v>25000</v>
      </c>
      <c r="F93" s="565"/>
      <c r="G93" s="565">
        <f t="shared" si="4"/>
        <v>25000</v>
      </c>
      <c r="H93" s="564">
        <f>'Sources and Uses Budget'!T93</f>
        <v>0</v>
      </c>
      <c r="I93" s="565"/>
      <c r="J93" s="565"/>
      <c r="K93" s="562"/>
    </row>
    <row r="94" spans="1:11" s="563" customFormat="1">
      <c r="A94" s="570" t="str">
        <f>'Sources and Uses Budget'!$A94</f>
        <v>Other: (Prevailing Wage Consultant)</v>
      </c>
      <c r="B94" s="564">
        <f>'Sources and Uses Budget'!C94</f>
        <v>150000</v>
      </c>
      <c r="C94" s="565"/>
      <c r="D94" s="565">
        <f t="shared" si="2"/>
        <v>150000</v>
      </c>
      <c r="E94" s="564">
        <f>'Sources and Uses Budget'!S94</f>
        <v>150000</v>
      </c>
      <c r="F94" s="565"/>
      <c r="G94" s="565">
        <f t="shared" si="4"/>
        <v>150000</v>
      </c>
      <c r="H94" s="564">
        <f>'Sources and Uses Budget'!T94</f>
        <v>0</v>
      </c>
      <c r="I94" s="565"/>
      <c r="J94" s="565"/>
      <c r="K94" s="562"/>
    </row>
    <row r="95" spans="1:11" s="563" customFormat="1" ht="24">
      <c r="A95" s="570" t="str">
        <f>'Sources and Uses Budget'!$A95</f>
        <v>Other: (Bond Issuance &amp; CalHFA UW Fees)</v>
      </c>
      <c r="B95" s="564">
        <f>'Sources and Uses Budget'!C95</f>
        <v>141348</v>
      </c>
      <c r="C95" s="565"/>
      <c r="D95" s="565">
        <f t="shared" si="2"/>
        <v>141348</v>
      </c>
      <c r="E95" s="564">
        <f>'Sources and Uses Budget'!S95</f>
        <v>38000</v>
      </c>
      <c r="F95" s="565"/>
      <c r="G95" s="565">
        <f t="shared" si="4"/>
        <v>38000</v>
      </c>
      <c r="H95" s="564">
        <f>'Sources and Uses Budget'!T95</f>
        <v>0</v>
      </c>
      <c r="I95" s="565"/>
      <c r="J95" s="565"/>
      <c r="K95" s="562"/>
    </row>
    <row r="96" spans="1:11" s="563" customFormat="1">
      <c r="A96" s="568" t="s">
        <v>832</v>
      </c>
      <c r="B96" s="564">
        <f>'Sources and Uses Budget'!C96</f>
        <v>1570316</v>
      </c>
      <c r="C96" s="564">
        <f>SUM(C83:C95)</f>
        <v>0</v>
      </c>
      <c r="D96" s="564">
        <f>SUM(D83:D95)</f>
        <v>1570316</v>
      </c>
      <c r="E96" s="564">
        <f>'Sources and Uses Budget'!S96</f>
        <v>1367248</v>
      </c>
      <c r="F96" s="571">
        <f>SUM(F84:F87,F89:F95)</f>
        <v>0</v>
      </c>
      <c r="G96" s="571">
        <f>SUM(G84:G87,G89:G95)</f>
        <v>1367248</v>
      </c>
      <c r="H96" s="564">
        <f>'Sources and Uses Budget'!T96</f>
        <v>0</v>
      </c>
      <c r="I96" s="564">
        <f>SUM(I84:I87,I89:I95)</f>
        <v>0</v>
      </c>
      <c r="J96" s="564">
        <f>SUM(J84:J87,J89:J95)</f>
        <v>0</v>
      </c>
      <c r="K96" s="562"/>
    </row>
    <row r="97" spans="1:11" s="563" customFormat="1">
      <c r="A97" s="568" t="s">
        <v>1142</v>
      </c>
      <c r="B97" s="564">
        <f>'Sources and Uses Budget'!C97</f>
        <v>27778078</v>
      </c>
      <c r="C97" s="564">
        <f>SUM(C63+C70+C77+C81+C96)</f>
        <v>0</v>
      </c>
      <c r="D97" s="564">
        <f>SUM(D63+D70+D77+D81+D96)</f>
        <v>27778078</v>
      </c>
      <c r="E97" s="564">
        <f>'Sources and Uses Budget'!S97</f>
        <v>22892287</v>
      </c>
      <c r="F97" s="571">
        <f>SUM(+F63+F70+F81+F96)</f>
        <v>0</v>
      </c>
      <c r="G97" s="571">
        <f>SUM(+G63+G70+G81+G96)</f>
        <v>22892287</v>
      </c>
      <c r="H97" s="564">
        <f>'Sources and Uses Budget'!T97</f>
        <v>0</v>
      </c>
      <c r="I97" s="571">
        <f>SUM(I63+I70+I81+I96)</f>
        <v>0</v>
      </c>
      <c r="J97" s="571">
        <f>SUM(J63+J70+J81+J96)</f>
        <v>0</v>
      </c>
      <c r="K97" s="562"/>
    </row>
    <row r="98" spans="1:11" s="563" customFormat="1">
      <c r="A98" s="560" t="s">
        <v>834</v>
      </c>
      <c r="B98" s="561"/>
      <c r="C98" s="561"/>
      <c r="D98" s="561"/>
      <c r="E98" s="561"/>
      <c r="F98" s="561"/>
      <c r="G98" s="561"/>
      <c r="H98" s="561"/>
      <c r="I98" s="561"/>
      <c r="J98" s="561"/>
      <c r="K98" s="562"/>
    </row>
    <row r="99" spans="1:11" s="563" customFormat="1">
      <c r="A99" s="215" t="s">
        <v>835</v>
      </c>
      <c r="B99" s="564">
        <f>'Sources and Uses Budget'!C99</f>
        <v>2500000</v>
      </c>
      <c r="C99" s="565"/>
      <c r="D99" s="565">
        <f>B99</f>
        <v>2500000</v>
      </c>
      <c r="E99" s="564">
        <f>'Sources and Uses Budget'!S99</f>
        <v>2500000</v>
      </c>
      <c r="F99" s="565"/>
      <c r="G99" s="565">
        <f>E99</f>
        <v>2500000</v>
      </c>
      <c r="H99" s="564">
        <f>'Sources and Uses Budget'!T99</f>
        <v>0</v>
      </c>
      <c r="I99" s="565"/>
      <c r="J99" s="565"/>
      <c r="K99" s="562"/>
    </row>
    <row r="100" spans="1:11" s="563" customFormat="1">
      <c r="A100" s="439" t="s">
        <v>2000</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836</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2001</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c r="A103" s="570" t="str">
        <f>'Sources and Uses Budget'!$A103</f>
        <v>Other: (Specify)</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837</v>
      </c>
      <c r="B104" s="564">
        <f>'Sources and Uses Budget'!C104</f>
        <v>2500000</v>
      </c>
      <c r="C104" s="564">
        <f>SUM(C99:C103)</f>
        <v>0</v>
      </c>
      <c r="D104" s="564">
        <f>SUM(D99:D103)</f>
        <v>2500000</v>
      </c>
      <c r="E104" s="564">
        <f>'Sources and Uses Budget'!S104</f>
        <v>2500000</v>
      </c>
      <c r="F104" s="571">
        <f>SUM(F99:F103)</f>
        <v>0</v>
      </c>
      <c r="G104" s="571">
        <f>SUM(G99:G103)</f>
        <v>2500000</v>
      </c>
      <c r="H104" s="564">
        <f>'Sources and Uses Budget'!T104</f>
        <v>0</v>
      </c>
      <c r="I104" s="571">
        <f>SUM(I99:I103)</f>
        <v>0</v>
      </c>
      <c r="J104" s="571">
        <f>SUM(J99:J103)</f>
        <v>0</v>
      </c>
      <c r="K104" s="562"/>
    </row>
    <row r="105" spans="1:11" s="563" customFormat="1">
      <c r="A105" s="568" t="s">
        <v>1143</v>
      </c>
      <c r="B105" s="564">
        <f>'Sources and Uses Budget'!C105</f>
        <v>30278078</v>
      </c>
      <c r="C105" s="571">
        <f>SUM(C97+C104)</f>
        <v>0</v>
      </c>
      <c r="D105" s="571">
        <f>SUM(D97+D104)</f>
        <v>30278078</v>
      </c>
      <c r="E105" s="564">
        <f>'Sources and Uses Budget'!S105</f>
        <v>25392287</v>
      </c>
      <c r="F105" s="571">
        <f>F97+F104</f>
        <v>0</v>
      </c>
      <c r="G105" s="571">
        <f>G97+G104</f>
        <v>25392287</v>
      </c>
      <c r="H105" s="564">
        <f>'Sources and Uses Budget'!T105</f>
        <v>0</v>
      </c>
      <c r="I105" s="571">
        <f>I97+I104</f>
        <v>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393</v>
      </c>
      <c r="E107" s="564">
        <f>'Sources and Uses Budget'!S107</f>
        <v>25392287</v>
      </c>
      <c r="F107" s="580">
        <f>F105+F106</f>
        <v>0</v>
      </c>
      <c r="G107" s="580">
        <f>G105+G106</f>
        <v>25392287</v>
      </c>
      <c r="H107" s="564">
        <f>'Sources and Uses Budget'!T107</f>
        <v>0</v>
      </c>
      <c r="I107" s="580">
        <f>I105+I106</f>
        <v>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2.75">
      <c r="A111" s="583"/>
      <c r="B111" s="581"/>
      <c r="C111" s="581"/>
      <c r="D111" s="581"/>
      <c r="J111" s="582"/>
      <c r="K111" s="562"/>
    </row>
    <row r="112" spans="1:11" s="563" customFormat="1" ht="12.75">
      <c r="A112" s="583"/>
      <c r="B112" s="581"/>
      <c r="C112" s="581"/>
      <c r="D112" s="581"/>
      <c r="J112" s="582"/>
      <c r="K112" s="562"/>
    </row>
    <row r="113" spans="1:11" s="563" customFormat="1" ht="14.25">
      <c r="A113" s="584"/>
      <c r="B113" s="581"/>
      <c r="C113" s="581"/>
      <c r="D113" s="581"/>
      <c r="J113" s="582"/>
      <c r="K113" s="562"/>
    </row>
    <row r="114" spans="1:11" s="563" customFormat="1" ht="12.75">
      <c r="A114" s="583"/>
      <c r="J114" s="582"/>
      <c r="K114" s="562"/>
    </row>
    <row r="115" spans="1:11" s="563" customFormat="1" ht="14.25">
      <c r="A115" s="584"/>
      <c r="J115" s="582"/>
      <c r="K115" s="562"/>
    </row>
    <row r="116" spans="1:11" s="563" customFormat="1" ht="14.2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4.25">
      <c r="A121" s="584"/>
      <c r="J121" s="582"/>
      <c r="K121" s="562"/>
    </row>
    <row r="122" spans="1:11" s="587" customFormat="1" ht="15.7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596"/>
      <c r="E124" s="2597"/>
      <c r="F124" s="2597"/>
      <c r="G124" s="2597"/>
      <c r="H124" s="2597"/>
      <c r="I124" s="2597"/>
      <c r="J124" s="582"/>
      <c r="K124" s="562"/>
    </row>
    <row r="125" spans="1:11" s="563" customFormat="1" ht="12.75">
      <c r="A125" s="593"/>
      <c r="B125" s="592"/>
      <c r="C125" s="593"/>
      <c r="D125" s="2597"/>
      <c r="E125" s="2597"/>
      <c r="F125" s="2597"/>
      <c r="G125" s="2597"/>
      <c r="H125" s="2597"/>
      <c r="I125" s="2597"/>
      <c r="J125" s="582"/>
      <c r="K125" s="562"/>
    </row>
    <row r="126" spans="1:11" s="563" customFormat="1" ht="12.75">
      <c r="A126" s="593"/>
      <c r="B126" s="592"/>
      <c r="C126" s="593"/>
      <c r="D126" s="2597"/>
      <c r="E126" s="2597"/>
      <c r="F126" s="2597"/>
      <c r="G126" s="2597"/>
      <c r="H126" s="2597"/>
      <c r="I126" s="2597"/>
      <c r="J126" s="582"/>
      <c r="K126" s="562"/>
    </row>
    <row r="127" spans="1:11" s="563" customFormat="1" ht="12.75">
      <c r="A127" s="593"/>
      <c r="B127" s="592"/>
      <c r="C127" s="593"/>
      <c r="D127" s="594"/>
      <c r="E127" s="593"/>
      <c r="F127" s="593"/>
      <c r="G127" s="593"/>
      <c r="J127" s="582"/>
      <c r="K127" s="562"/>
    </row>
    <row r="128" spans="1:11" s="563" customFormat="1" ht="12.75">
      <c r="A128" s="593"/>
      <c r="B128" s="592"/>
      <c r="C128" s="593"/>
      <c r="D128" s="594"/>
      <c r="E128" s="593"/>
      <c r="F128" s="593"/>
      <c r="G128" s="593"/>
      <c r="J128" s="582"/>
      <c r="K128" s="562"/>
    </row>
    <row r="129" spans="1:11" s="563" customFormat="1" ht="12.75">
      <c r="A129" s="593"/>
      <c r="B129" s="592"/>
      <c r="C129" s="593"/>
      <c r="D129" s="593"/>
      <c r="E129" s="593"/>
      <c r="F129" s="593"/>
      <c r="G129" s="593"/>
      <c r="J129" s="582"/>
      <c r="K129" s="562"/>
    </row>
    <row r="130" spans="1:11" s="563" customFormat="1" ht="12.75">
      <c r="A130" s="593"/>
      <c r="B130" s="592"/>
      <c r="C130" s="593"/>
      <c r="D130" s="593"/>
      <c r="E130" s="593"/>
      <c r="F130" s="593"/>
      <c r="G130" s="593"/>
      <c r="J130" s="582"/>
      <c r="K130" s="562"/>
    </row>
    <row r="131" spans="1:11" s="563" customFormat="1" ht="12.75">
      <c r="A131" s="593"/>
      <c r="B131" s="595"/>
      <c r="C131" s="593"/>
      <c r="D131" s="593"/>
      <c r="E131" s="593"/>
      <c r="F131" s="593"/>
      <c r="G131" s="593"/>
      <c r="J131" s="582"/>
      <c r="K131" s="562"/>
    </row>
    <row r="132" spans="1:11" s="563" customFormat="1" ht="12.75">
      <c r="A132" s="596"/>
      <c r="B132" s="597"/>
      <c r="C132" s="593"/>
      <c r="D132" s="598"/>
      <c r="E132" s="593"/>
      <c r="F132" s="593"/>
      <c r="G132" s="593"/>
      <c r="J132" s="582"/>
      <c r="K132" s="562"/>
    </row>
    <row r="133" spans="1:11" s="563" customFormat="1" ht="12.75">
      <c r="A133" s="599"/>
      <c r="B133" s="593"/>
      <c r="C133" s="593"/>
      <c r="D133" s="593"/>
      <c r="E133" s="593"/>
      <c r="F133" s="593"/>
      <c r="G133" s="593"/>
      <c r="J133" s="582"/>
      <c r="K133" s="562"/>
    </row>
    <row r="134" spans="1:11" s="563" customFormat="1" ht="12.75">
      <c r="A134" s="599"/>
      <c r="B134" s="593"/>
      <c r="C134" s="593"/>
      <c r="D134" s="593"/>
      <c r="E134" s="593"/>
      <c r="F134" s="593"/>
      <c r="G134" s="593"/>
      <c r="J134" s="582"/>
      <c r="K134" s="562"/>
    </row>
    <row r="135" spans="1:11" s="563" customFormat="1" ht="12.75">
      <c r="A135" s="600"/>
      <c r="B135" s="593"/>
      <c r="C135" s="593"/>
      <c r="D135" s="593"/>
      <c r="E135" s="593"/>
      <c r="F135" s="593"/>
      <c r="G135" s="593"/>
      <c r="J135" s="582"/>
      <c r="K135" s="562"/>
    </row>
    <row r="136" spans="1:11" s="563" customFormat="1" ht="12.75">
      <c r="A136" s="601"/>
      <c r="B136" s="593"/>
      <c r="C136" s="593"/>
      <c r="D136" s="593"/>
      <c r="E136" s="593"/>
      <c r="F136" s="593"/>
      <c r="G136" s="593"/>
      <c r="J136" s="582"/>
      <c r="K136" s="562"/>
    </row>
    <row r="137" spans="1:11" ht="12.75">
      <c r="A137" s="599"/>
      <c r="B137" s="593"/>
      <c r="C137" s="593"/>
      <c r="D137" s="593"/>
      <c r="E137" s="593"/>
      <c r="F137" s="593"/>
      <c r="G137" s="593"/>
    </row>
    <row r="138" spans="1:11" ht="12" customHeight="1">
      <c r="A138" s="599"/>
      <c r="B138" s="593"/>
      <c r="C138" s="593"/>
      <c r="D138" s="593"/>
      <c r="E138" s="593"/>
      <c r="F138" s="593"/>
      <c r="G138" s="593"/>
    </row>
    <row r="139" spans="1:11" ht="12" customHeight="1">
      <c r="A139" s="2598"/>
      <c r="B139" s="2599"/>
      <c r="C139" s="2599"/>
      <c r="D139" s="605"/>
      <c r="E139" s="593"/>
      <c r="F139" s="593"/>
      <c r="G139" s="593"/>
    </row>
    <row r="140" spans="1:11" ht="12" customHeight="1">
      <c r="A140" s="2600"/>
      <c r="B140" s="2601"/>
      <c r="C140" s="2601"/>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25" zoomScale="120" zoomScaleNormal="120" workbookViewId="0">
      <selection sqref="A1:BE1"/>
    </sheetView>
  </sheetViews>
  <sheetFormatPr defaultColWidth="2.7109375" defaultRowHeight="15.75" customHeight="1"/>
  <cols>
    <col min="1" max="37" width="2.7109375" style="1525"/>
    <col min="38" max="38" width="3" style="1525" customWidth="1"/>
    <col min="39" max="64" width="2.7109375" style="1525"/>
    <col min="65" max="65" width="6.140625" style="1525" bestFit="1" customWidth="1"/>
    <col min="66" max="70" width="5.5703125" style="1525" bestFit="1" customWidth="1"/>
    <col min="71" max="71" width="6.140625" style="1525" bestFit="1" customWidth="1"/>
    <col min="72" max="76" width="5.5703125" style="1525" bestFit="1" customWidth="1"/>
    <col min="77" max="77" width="6.140625" style="1525" bestFit="1" customWidth="1"/>
    <col min="78" max="78" width="5.5703125" style="1525" bestFit="1" customWidth="1"/>
    <col min="79" max="16384" width="2.7109375" style="1525"/>
  </cols>
  <sheetData>
    <row r="1" spans="1:58" ht="15.75" customHeight="1">
      <c r="A1" s="2987" t="s">
        <v>2033</v>
      </c>
      <c r="B1" s="2988"/>
      <c r="C1" s="2988"/>
      <c r="D1" s="2988"/>
      <c r="E1" s="2988"/>
      <c r="F1" s="2988"/>
      <c r="G1" s="2988"/>
      <c r="H1" s="2988"/>
      <c r="I1" s="2988"/>
      <c r="J1" s="2988"/>
      <c r="K1" s="2988"/>
      <c r="L1" s="2988"/>
      <c r="M1" s="2988"/>
      <c r="N1" s="2988"/>
      <c r="O1" s="2988"/>
      <c r="P1" s="2988"/>
      <c r="Q1" s="2988"/>
      <c r="R1" s="2988"/>
      <c r="S1" s="2988"/>
      <c r="T1" s="2988"/>
      <c r="U1" s="2988"/>
      <c r="V1" s="2988"/>
      <c r="W1" s="2988"/>
      <c r="X1" s="2988"/>
      <c r="Y1" s="2988"/>
      <c r="Z1" s="2988"/>
      <c r="AA1" s="2988"/>
      <c r="AB1" s="2988"/>
      <c r="AC1" s="2988"/>
      <c r="AD1" s="2988"/>
      <c r="AE1" s="2988"/>
      <c r="AF1" s="2988"/>
      <c r="AG1" s="2988"/>
      <c r="AH1" s="2988"/>
      <c r="AI1" s="2988"/>
      <c r="AJ1" s="2988"/>
      <c r="AK1" s="2988"/>
      <c r="AL1" s="2988"/>
      <c r="AM1" s="2988"/>
      <c r="AN1" s="2988"/>
      <c r="AO1" s="2988"/>
      <c r="AP1" s="2988"/>
      <c r="AQ1" s="2988"/>
      <c r="AR1" s="2988"/>
      <c r="AS1" s="2988"/>
      <c r="AT1" s="2988"/>
      <c r="AU1" s="2988"/>
      <c r="AV1" s="2988"/>
      <c r="AW1" s="2988"/>
      <c r="AX1" s="2988"/>
      <c r="AY1" s="2988"/>
      <c r="AZ1" s="2988"/>
      <c r="BA1" s="2988"/>
      <c r="BB1" s="2988"/>
      <c r="BC1" s="2988"/>
      <c r="BD1" s="2988"/>
      <c r="BE1" s="2989"/>
    </row>
    <row r="2" spans="1:58" ht="15.75" customHeight="1">
      <c r="A2" s="2990" t="s">
        <v>2034</v>
      </c>
      <c r="B2" s="2991"/>
      <c r="C2" s="2991"/>
      <c r="D2" s="2991"/>
      <c r="E2" s="2991"/>
      <c r="F2" s="2991"/>
      <c r="G2" s="2991"/>
      <c r="H2" s="2991"/>
      <c r="I2" s="2991"/>
      <c r="J2" s="2991"/>
      <c r="K2" s="2991"/>
      <c r="L2" s="2991"/>
      <c r="M2" s="2991"/>
      <c r="N2" s="2991"/>
      <c r="O2" s="2991"/>
      <c r="P2" s="2991"/>
      <c r="Q2" s="2991"/>
      <c r="R2" s="2991"/>
      <c r="S2" s="2991"/>
      <c r="T2" s="2991"/>
      <c r="U2" s="2991"/>
      <c r="V2" s="2991"/>
      <c r="W2" s="2991"/>
      <c r="X2" s="2991"/>
      <c r="Y2" s="2991"/>
      <c r="Z2" s="2991"/>
      <c r="AA2" s="2991"/>
      <c r="AB2" s="2991"/>
      <c r="AC2" s="2991"/>
      <c r="AD2" s="2991"/>
      <c r="AE2" s="2991"/>
      <c r="AF2" s="2991"/>
      <c r="AG2" s="2991"/>
      <c r="AH2" s="2991"/>
      <c r="AI2" s="2991"/>
      <c r="AJ2" s="2991"/>
      <c r="AK2" s="2991"/>
      <c r="AL2" s="2991"/>
      <c r="AM2" s="2991"/>
      <c r="AN2" s="2991"/>
      <c r="AO2" s="2991"/>
      <c r="AP2" s="2991"/>
      <c r="AQ2" s="2991"/>
      <c r="AR2" s="2991"/>
      <c r="AS2" s="2991"/>
      <c r="AT2" s="2991"/>
      <c r="AU2" s="2991"/>
      <c r="AV2" s="2991"/>
      <c r="AW2" s="2991"/>
      <c r="AX2" s="2991"/>
      <c r="AY2" s="2991"/>
      <c r="AZ2" s="2991"/>
      <c r="BA2" s="2991"/>
      <c r="BB2" s="2991"/>
      <c r="BC2" s="2991"/>
      <c r="BD2" s="2991"/>
      <c r="BE2" s="2992"/>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693</v>
      </c>
      <c r="C4" s="1530"/>
      <c r="D4" s="1530"/>
      <c r="E4" s="1530"/>
      <c r="F4" s="1530"/>
      <c r="G4" s="1528"/>
      <c r="H4" s="1528"/>
      <c r="I4" s="1528"/>
      <c r="J4" s="1528"/>
      <c r="K4" s="1528"/>
      <c r="L4" s="2993" t="str">
        <f>IF(Application!H18="","",Application!H18)</f>
        <v>Santa Angelina Senior Community</v>
      </c>
      <c r="M4" s="2994"/>
      <c r="N4" s="2994"/>
      <c r="O4" s="2994"/>
      <c r="P4" s="2994"/>
      <c r="Q4" s="2994"/>
      <c r="R4" s="2994"/>
      <c r="S4" s="2994"/>
      <c r="T4" s="2994"/>
      <c r="U4" s="2994"/>
      <c r="V4" s="2994"/>
      <c r="W4" s="2994"/>
      <c r="X4" s="2994"/>
      <c r="Y4" s="2994"/>
      <c r="Z4" s="2994"/>
      <c r="AA4" s="2994"/>
      <c r="AB4" s="2994"/>
      <c r="AC4" s="2995"/>
      <c r="AD4" s="1528"/>
      <c r="AE4" s="1528"/>
      <c r="AF4" s="2698" t="s">
        <v>2035</v>
      </c>
      <c r="AG4" s="2699"/>
      <c r="AH4" s="2699"/>
      <c r="AI4" s="2699"/>
      <c r="AJ4" s="2699"/>
      <c r="AK4" s="2699"/>
      <c r="AL4" s="2699"/>
      <c r="AM4" s="2699"/>
      <c r="AN4" s="2699"/>
      <c r="AO4" s="2699"/>
      <c r="AP4" s="2996">
        <v>44197</v>
      </c>
      <c r="AQ4" s="2966"/>
      <c r="AR4" s="2966"/>
      <c r="AS4" s="2966"/>
      <c r="AT4" s="2966"/>
      <c r="AU4" s="2967"/>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715" t="s">
        <v>2036</v>
      </c>
      <c r="AG5" s="2716"/>
      <c r="AH5" s="2716"/>
      <c r="AI5" s="2716"/>
      <c r="AJ5" s="2716"/>
      <c r="AK5" s="2716"/>
      <c r="AL5" s="2716"/>
      <c r="AM5" s="2716"/>
      <c r="AN5" s="2716"/>
      <c r="AO5" s="2716"/>
      <c r="AP5" s="2996">
        <v>44197</v>
      </c>
      <c r="AQ5" s="2966"/>
      <c r="AR5" s="2966"/>
      <c r="AS5" s="2966"/>
      <c r="AT5" s="2966"/>
      <c r="AU5" s="2967"/>
      <c r="AV5" s="1528"/>
      <c r="AW5" s="1528"/>
      <c r="AX5" s="1528"/>
      <c r="AY5" s="1528"/>
      <c r="AZ5" s="1528"/>
      <c r="BA5" s="1528"/>
      <c r="BB5" s="1528"/>
      <c r="BC5" s="1528"/>
      <c r="BD5" s="1528"/>
      <c r="BE5" s="1529"/>
    </row>
    <row r="6" spans="1:58" ht="15.75" customHeight="1" thickBot="1">
      <c r="A6" s="1816"/>
      <c r="B6" s="1530" t="s">
        <v>2037</v>
      </c>
      <c r="C6" s="1528"/>
      <c r="D6" s="1528"/>
      <c r="E6" s="1528"/>
      <c r="F6" s="1528"/>
      <c r="G6" s="1528"/>
      <c r="H6" s="1528"/>
      <c r="I6" s="1528"/>
      <c r="J6" s="1528"/>
      <c r="K6" s="1528"/>
      <c r="L6" s="2972" t="str">
        <f>IF(Application!H16="","",Application!H16)</f>
        <v>National Community Renaissance of California</v>
      </c>
      <c r="M6" s="2973"/>
      <c r="N6" s="2973"/>
      <c r="O6" s="2973"/>
      <c r="P6" s="2973"/>
      <c r="Q6" s="2973"/>
      <c r="R6" s="2973"/>
      <c r="S6" s="2973"/>
      <c r="T6" s="2973"/>
      <c r="U6" s="2973"/>
      <c r="V6" s="2973"/>
      <c r="W6" s="2973"/>
      <c r="X6" s="2973"/>
      <c r="Y6" s="2973"/>
      <c r="Z6" s="2973"/>
      <c r="AA6" s="2973"/>
      <c r="AB6" s="2973"/>
      <c r="AC6" s="2974"/>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thickBot="1">
      <c r="A8" s="1816"/>
      <c r="B8" s="1530" t="s">
        <v>2038</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975" t="str">
        <f>Application!T196</f>
        <v>No</v>
      </c>
      <c r="AC8" s="2976"/>
      <c r="AD8" s="2977"/>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thickBot="1">
      <c r="A10" s="1816"/>
      <c r="B10" s="1530" t="s">
        <v>2040</v>
      </c>
      <c r="C10" s="1530"/>
      <c r="D10" s="1530"/>
      <c r="E10" s="1530"/>
      <c r="F10" s="1530"/>
      <c r="G10" s="1530"/>
      <c r="H10" s="1530"/>
      <c r="I10" s="1530"/>
      <c r="J10" s="1530"/>
      <c r="K10" s="1530"/>
      <c r="L10" s="1530"/>
      <c r="M10" s="1528"/>
      <c r="N10" s="2978" t="e">
        <f>VLOOKUP("CalHFA Permanent Loan",Application!C564:AS575,37,TRUE)</f>
        <v>#N/A</v>
      </c>
      <c r="O10" s="2979"/>
      <c r="P10" s="2979"/>
      <c r="Q10" s="2979"/>
      <c r="R10" s="2979"/>
      <c r="S10" s="2979"/>
      <c r="T10" s="2980"/>
      <c r="U10" s="1528"/>
      <c r="V10" s="1528"/>
      <c r="W10" s="1528"/>
      <c r="X10" s="2700" t="s">
        <v>2041</v>
      </c>
      <c r="Y10" s="2701"/>
      <c r="Z10" s="2701"/>
      <c r="AA10" s="2701"/>
      <c r="AB10" s="2701"/>
      <c r="AC10" s="2701"/>
      <c r="AD10" s="2701"/>
      <c r="AE10" s="2701"/>
      <c r="AF10" s="2701"/>
      <c r="AG10" s="2701"/>
      <c r="AH10" s="2701"/>
      <c r="AI10" s="2701"/>
      <c r="AJ10" s="2701"/>
      <c r="AK10" s="2702"/>
      <c r="AL10" s="3000">
        <f>Application!W471</f>
        <v>0</v>
      </c>
      <c r="AM10" s="3001"/>
      <c r="AN10" s="3001"/>
      <c r="AO10" s="3001"/>
      <c r="AP10" s="3002"/>
      <c r="AQ10" s="1531"/>
      <c r="AR10" s="1531"/>
      <c r="AS10" s="1531"/>
      <c r="AT10" s="1531"/>
      <c r="AU10" s="1531"/>
      <c r="AV10" s="1531"/>
      <c r="AW10" s="1531"/>
      <c r="AX10" s="1528"/>
      <c r="AY10" s="1528"/>
      <c r="AZ10" s="1528"/>
      <c r="BA10" s="1528"/>
      <c r="BB10" s="1528"/>
      <c r="BC10" s="1528"/>
      <c r="BD10" s="1528"/>
      <c r="BE10" s="1529"/>
    </row>
    <row r="11" spans="1:58" thickBot="1">
      <c r="A11" s="1816"/>
      <c r="B11" s="1530" t="s">
        <v>2042</v>
      </c>
      <c r="C11" s="1530"/>
      <c r="D11" s="1530"/>
      <c r="E11" s="1530"/>
      <c r="F11" s="1530"/>
      <c r="G11" s="1530"/>
      <c r="H11" s="1530"/>
      <c r="I11" s="1530"/>
      <c r="J11" s="1530"/>
      <c r="K11" s="1530"/>
      <c r="L11" s="1530"/>
      <c r="M11" s="1528"/>
      <c r="N11" s="2981">
        <f>Application!AA925</f>
        <v>0</v>
      </c>
      <c r="O11" s="2982"/>
      <c r="P11" s="2982"/>
      <c r="Q11" s="2982"/>
      <c r="R11" s="2982"/>
      <c r="S11" s="2982"/>
      <c r="T11" s="2983"/>
      <c r="U11" s="1528"/>
      <c r="V11" s="1528"/>
      <c r="W11" s="1528"/>
      <c r="X11" s="2984" t="s">
        <v>2043</v>
      </c>
      <c r="Y11" s="2985"/>
      <c r="Z11" s="2985"/>
      <c r="AA11" s="2985"/>
      <c r="AB11" s="2985"/>
      <c r="AC11" s="2985"/>
      <c r="AD11" s="2985"/>
      <c r="AE11" s="2985"/>
      <c r="AF11" s="2985"/>
      <c r="AG11" s="2985"/>
      <c r="AH11" s="2985"/>
      <c r="AI11" s="2985"/>
      <c r="AJ11" s="2985"/>
      <c r="AK11" s="2986"/>
      <c r="AL11" s="2997">
        <v>44197</v>
      </c>
      <c r="AM11" s="2998"/>
      <c r="AN11" s="2998"/>
      <c r="AO11" s="2998"/>
      <c r="AP11" s="2999"/>
      <c r="AQ11" s="1532"/>
      <c r="AR11" s="1533"/>
      <c r="AS11" s="1531"/>
      <c r="AT11" s="1531"/>
      <c r="AU11" s="1531"/>
      <c r="AV11" s="1531"/>
      <c r="AW11" s="1531"/>
      <c r="AX11" s="1528"/>
      <c r="AY11" s="1528"/>
      <c r="AZ11" s="1528"/>
      <c r="BA11" s="1528"/>
      <c r="BB11" s="1528"/>
      <c r="BC11" s="1528"/>
      <c r="BD11" s="1528"/>
      <c r="BE11" s="1529"/>
    </row>
    <row r="12" spans="1:58"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700" t="s">
        <v>2044</v>
      </c>
      <c r="Y12" s="2701"/>
      <c r="Z12" s="2701"/>
      <c r="AA12" s="2701"/>
      <c r="AB12" s="2701"/>
      <c r="AC12" s="2701"/>
      <c r="AD12" s="2701"/>
      <c r="AE12" s="2701"/>
      <c r="AF12" s="2701"/>
      <c r="AG12" s="2701"/>
      <c r="AH12" s="2701"/>
      <c r="AI12" s="2701"/>
      <c r="AJ12" s="2701"/>
      <c r="AK12" s="2702"/>
      <c r="AL12" s="2997">
        <v>44197</v>
      </c>
      <c r="AM12" s="2998"/>
      <c r="AN12" s="2998"/>
      <c r="AO12" s="2998"/>
      <c r="AP12" s="2999"/>
      <c r="AQ12" s="1531"/>
      <c r="AR12" s="1531"/>
      <c r="AS12" s="1531"/>
      <c r="AT12" s="1531"/>
      <c r="AU12" s="1531"/>
      <c r="AV12" s="1528"/>
      <c r="AW12" s="1528"/>
      <c r="AX12" s="1528"/>
      <c r="AY12" s="1528"/>
      <c r="AZ12" s="1528"/>
      <c r="BA12" s="1528"/>
      <c r="BB12" s="1528"/>
      <c r="BC12" s="1528"/>
      <c r="BD12" s="1528"/>
      <c r="BE12" s="1534"/>
    </row>
    <row r="13" spans="1:58" thickBot="1">
      <c r="A13" s="1817"/>
      <c r="B13" s="2700" t="s">
        <v>2045</v>
      </c>
      <c r="C13" s="2701"/>
      <c r="D13" s="2701"/>
      <c r="E13" s="2701"/>
      <c r="F13" s="2701"/>
      <c r="G13" s="2701"/>
      <c r="H13" s="2701"/>
      <c r="I13" s="2701"/>
      <c r="J13" s="2701"/>
      <c r="K13" s="2701"/>
      <c r="L13" s="2701"/>
      <c r="M13" s="2701"/>
      <c r="N13" s="2701"/>
      <c r="O13" s="2701"/>
      <c r="P13" s="2702"/>
      <c r="Q13" s="2965" t="s">
        <v>2039</v>
      </c>
      <c r="R13" s="2966"/>
      <c r="S13" s="2966"/>
      <c r="T13" s="2967"/>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17"/>
      <c r="B15" s="2968" t="s">
        <v>2046</v>
      </c>
      <c r="C15" s="2968"/>
      <c r="D15" s="2968"/>
      <c r="E15" s="2968"/>
      <c r="F15" s="2968"/>
      <c r="G15" s="2968"/>
      <c r="H15" s="2968"/>
      <c r="I15" s="2968"/>
      <c r="J15" s="2968"/>
      <c r="K15" s="2968"/>
      <c r="L15" s="2969"/>
      <c r="M15" s="2698" t="s">
        <v>2047</v>
      </c>
      <c r="N15" s="2699"/>
      <c r="O15" s="2699"/>
      <c r="P15" s="2699"/>
      <c r="Q15" s="2699"/>
      <c r="R15" s="2699"/>
      <c r="S15" s="2970" t="str">
        <f>IF(Application!AB214="","",Application!AB214)</f>
        <v>62+</v>
      </c>
      <c r="T15" s="2970"/>
      <c r="U15" s="2970"/>
      <c r="V15" s="2970"/>
      <c r="W15" s="2971"/>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17"/>
      <c r="B17" s="2769" t="s">
        <v>2048</v>
      </c>
      <c r="C17" s="2770"/>
      <c r="D17" s="2770"/>
      <c r="E17" s="2770"/>
      <c r="F17" s="2770"/>
      <c r="G17" s="2770"/>
      <c r="H17" s="2770"/>
      <c r="I17" s="2770"/>
      <c r="J17" s="2770"/>
      <c r="K17" s="2770"/>
      <c r="L17" s="2770"/>
      <c r="M17" s="2770"/>
      <c r="N17" s="2770"/>
      <c r="O17" s="2770"/>
      <c r="P17" s="2770"/>
      <c r="Q17" s="2770"/>
      <c r="R17" s="2770"/>
      <c r="S17" s="2770"/>
      <c r="T17" s="2770"/>
      <c r="U17" s="2770"/>
      <c r="V17" s="2770"/>
      <c r="W17" s="2770"/>
      <c r="X17" s="2770"/>
      <c r="Y17" s="2770"/>
      <c r="Z17" s="2770"/>
      <c r="AA17" s="2770"/>
      <c r="AB17" s="2770"/>
      <c r="AC17" s="2770"/>
      <c r="AD17" s="2770"/>
      <c r="AE17" s="2770"/>
      <c r="AF17" s="2770"/>
      <c r="AG17" s="2770"/>
      <c r="AH17" s="2770"/>
      <c r="AI17" s="2770"/>
      <c r="AJ17" s="2770"/>
      <c r="AK17" s="2770"/>
      <c r="AL17" s="2770"/>
      <c r="AM17" s="2770"/>
      <c r="AN17" s="2770"/>
      <c r="AO17" s="2770"/>
      <c r="AP17" s="2770"/>
      <c r="AQ17" s="2770"/>
      <c r="AR17" s="2770"/>
      <c r="AS17" s="2770"/>
      <c r="AT17" s="2770"/>
      <c r="AU17" s="2770"/>
      <c r="AV17" s="2770"/>
      <c r="AW17" s="2770"/>
      <c r="AX17" s="2770"/>
      <c r="AY17" s="2831"/>
      <c r="AZ17" s="1528"/>
      <c r="BA17" s="1528"/>
      <c r="BB17" s="1528"/>
      <c r="BC17" s="1528"/>
      <c r="BD17" s="1528"/>
      <c r="BE17" s="1534"/>
      <c r="BF17" s="1526"/>
    </row>
    <row r="18" spans="1:58" ht="15.75" customHeight="1">
      <c r="A18" s="1817"/>
      <c r="B18" s="2961" t="s">
        <v>2049</v>
      </c>
      <c r="C18" s="2962"/>
      <c r="D18" s="2962"/>
      <c r="E18" s="2962"/>
      <c r="F18" s="2962"/>
      <c r="G18" s="2962"/>
      <c r="H18" s="2962"/>
      <c r="I18" s="2963"/>
      <c r="J18" s="2947" t="s">
        <v>1881</v>
      </c>
      <c r="K18" s="2948"/>
      <c r="L18" s="2948"/>
      <c r="M18" s="2948"/>
      <c r="N18" s="2948"/>
      <c r="O18" s="2949"/>
      <c r="P18" s="2947" t="s">
        <v>333</v>
      </c>
      <c r="Q18" s="2948"/>
      <c r="R18" s="2948"/>
      <c r="S18" s="2948"/>
      <c r="T18" s="2948"/>
      <c r="U18" s="2949"/>
      <c r="V18" s="2947" t="s">
        <v>334</v>
      </c>
      <c r="W18" s="2948"/>
      <c r="X18" s="2948"/>
      <c r="Y18" s="2948"/>
      <c r="Z18" s="2948"/>
      <c r="AA18" s="2949"/>
      <c r="AB18" s="2947" t="s">
        <v>168</v>
      </c>
      <c r="AC18" s="2948"/>
      <c r="AD18" s="2948"/>
      <c r="AE18" s="2948"/>
      <c r="AF18" s="2948"/>
      <c r="AG18" s="2949"/>
      <c r="AH18" s="2947" t="s">
        <v>169</v>
      </c>
      <c r="AI18" s="2948"/>
      <c r="AJ18" s="2948"/>
      <c r="AK18" s="2948"/>
      <c r="AL18" s="2948"/>
      <c r="AM18" s="2949"/>
      <c r="AN18" s="2947" t="s">
        <v>170</v>
      </c>
      <c r="AO18" s="2948"/>
      <c r="AP18" s="2948"/>
      <c r="AQ18" s="2948"/>
      <c r="AR18" s="2948"/>
      <c r="AS18" s="2949"/>
      <c r="AT18" s="2947" t="s">
        <v>2050</v>
      </c>
      <c r="AU18" s="2948"/>
      <c r="AV18" s="2948"/>
      <c r="AW18" s="2948"/>
      <c r="AX18" s="2948"/>
      <c r="AY18" s="2964"/>
      <c r="AZ18" s="1528"/>
      <c r="BA18" s="1528"/>
      <c r="BB18" s="1528"/>
      <c r="BC18" s="1528"/>
      <c r="BD18" s="1528"/>
      <c r="BE18" s="1534"/>
    </row>
    <row r="19" spans="1:58" ht="15">
      <c r="A19" s="1817"/>
      <c r="B19" s="2959">
        <v>0.2</v>
      </c>
      <c r="C19" s="2960"/>
      <c r="D19" s="2960"/>
      <c r="E19" s="2960"/>
      <c r="F19" s="2960"/>
      <c r="G19" s="2960"/>
      <c r="H19" s="2960"/>
      <c r="I19" s="2960"/>
      <c r="J19" s="2947">
        <f>SUM(P19:AS19)</f>
        <v>0</v>
      </c>
      <c r="K19" s="2948"/>
      <c r="L19" s="2948"/>
      <c r="M19" s="2948"/>
      <c r="N19" s="2948"/>
      <c r="O19" s="2949"/>
      <c r="P19" s="2953" cm="1">
        <f t="array" ref="P19">SUMPRODUCT((Application!$B$728:$B$752 = 'CalHFA Addendum'!P$18)*(Application!$AH$728:$AH$752 = 'CalHFA Addendum'!$B19),Application!$G$728:$G$752)</f>
        <v>0</v>
      </c>
      <c r="Q19" s="2954"/>
      <c r="R19" s="2954"/>
      <c r="S19" s="2954"/>
      <c r="T19" s="2954"/>
      <c r="U19" s="2955"/>
      <c r="V19" s="2953" cm="1">
        <f t="array" ref="V19">SUMPRODUCT((Application!$B$728:$B$752 = 'CalHFA Addendum'!V$18)*(Application!$AH$728:$AH$752 = 'CalHFA Addendum'!$B19),Application!$G$728:$G$752)</f>
        <v>0</v>
      </c>
      <c r="W19" s="2954"/>
      <c r="X19" s="2954"/>
      <c r="Y19" s="2954"/>
      <c r="Z19" s="2954"/>
      <c r="AA19" s="2955"/>
      <c r="AB19" s="2953" cm="1">
        <f t="array" ref="AB19">SUMPRODUCT((Application!$B$728:$B$752 = 'CalHFA Addendum'!AB$18)*(Application!$AH$728:$AH$752 = 'CalHFA Addendum'!$B19),Application!$G$728:$G$752)</f>
        <v>0</v>
      </c>
      <c r="AC19" s="2954"/>
      <c r="AD19" s="2954"/>
      <c r="AE19" s="2954"/>
      <c r="AF19" s="2954"/>
      <c r="AG19" s="2955"/>
      <c r="AH19" s="2953" cm="1">
        <f t="array" ref="AH19">SUMPRODUCT((Application!$B$728:$B$752 = 'CalHFA Addendum'!AH$18)*(Application!$AH$728:$AH$752 = 'CalHFA Addendum'!$B19),Application!$G$728:$G$752)</f>
        <v>0</v>
      </c>
      <c r="AI19" s="2954"/>
      <c r="AJ19" s="2954"/>
      <c r="AK19" s="2954"/>
      <c r="AL19" s="2954"/>
      <c r="AM19" s="2955"/>
      <c r="AN19" s="2953" cm="1">
        <f t="array" ref="AN19">SUMPRODUCT((Application!$B$728:$B$752 = 'CalHFA Addendum'!AN$18)*(Application!$AH$728:$AH$752 = 'CalHFA Addendum'!$B19),Application!$G$728:$G$752)</f>
        <v>0</v>
      </c>
      <c r="AO19" s="2954"/>
      <c r="AP19" s="2954"/>
      <c r="AQ19" s="2954"/>
      <c r="AR19" s="2954"/>
      <c r="AS19" s="2955"/>
      <c r="AT19" s="2956">
        <f t="shared" ref="AT19:AT27" si="0">J19/$J$29</f>
        <v>0</v>
      </c>
      <c r="AU19" s="2957"/>
      <c r="AV19" s="2957"/>
      <c r="AW19" s="2957"/>
      <c r="AX19" s="2957"/>
      <c r="AY19" s="2958"/>
      <c r="AZ19" s="1535"/>
      <c r="BA19" s="1528"/>
      <c r="BB19" s="1528"/>
      <c r="BC19" s="1528"/>
      <c r="BD19" s="1528"/>
      <c r="BE19" s="1534"/>
    </row>
    <row r="20" spans="1:58" ht="15" customHeight="1">
      <c r="A20" s="1817"/>
      <c r="B20" s="2959">
        <v>0.3</v>
      </c>
      <c r="C20" s="2960"/>
      <c r="D20" s="2960"/>
      <c r="E20" s="2960"/>
      <c r="F20" s="2960"/>
      <c r="G20" s="2960"/>
      <c r="H20" s="2960"/>
      <c r="I20" s="2960"/>
      <c r="J20" s="2947">
        <f t="shared" ref="J20:J27" si="1">SUM(P20:AS20)</f>
        <v>22</v>
      </c>
      <c r="K20" s="2948"/>
      <c r="L20" s="2948"/>
      <c r="M20" s="2948"/>
      <c r="N20" s="2948"/>
      <c r="O20" s="2949"/>
      <c r="P20" s="2953" cm="1">
        <f t="array" ref="P20">SUMPRODUCT((Application!$B$728:$B$752 = 'CalHFA Addendum'!P$18)*(Application!$AH$728:$AH$752 = 'CalHFA Addendum'!$B20),Application!$G$728:$G$752)</f>
        <v>0</v>
      </c>
      <c r="Q20" s="2954"/>
      <c r="R20" s="2954"/>
      <c r="S20" s="2954"/>
      <c r="T20" s="2954"/>
      <c r="U20" s="2955"/>
      <c r="V20" s="2953" cm="1">
        <f t="array" ref="V20">SUMPRODUCT((Application!$B$728:$B$752 = 'CalHFA Addendum'!V$18)*(Application!$AH$728:$AH$752 = 'CalHFA Addendum'!$B20),Application!$G$728:$G$752)</f>
        <v>21</v>
      </c>
      <c r="W20" s="2954"/>
      <c r="X20" s="2954"/>
      <c r="Y20" s="2954"/>
      <c r="Z20" s="2954"/>
      <c r="AA20" s="2955"/>
      <c r="AB20" s="2953" cm="1">
        <f t="array" ref="AB20">SUMPRODUCT((Application!$B$728:$B$752 = 'CalHFA Addendum'!AB$18)*(Application!$AH$728:$AH$752 = 'CalHFA Addendum'!$B20),Application!$G$728:$G$752)</f>
        <v>1</v>
      </c>
      <c r="AC20" s="2954"/>
      <c r="AD20" s="2954"/>
      <c r="AE20" s="2954"/>
      <c r="AF20" s="2954"/>
      <c r="AG20" s="2955"/>
      <c r="AH20" s="2953" cm="1">
        <f t="array" ref="AH20">SUMPRODUCT((Application!$B$728:$B$752 = 'CalHFA Addendum'!AH$18)*(Application!$AH$728:$AH$752 = 'CalHFA Addendum'!$B20),Application!$G$728:$G$752)</f>
        <v>0</v>
      </c>
      <c r="AI20" s="2954"/>
      <c r="AJ20" s="2954"/>
      <c r="AK20" s="2954"/>
      <c r="AL20" s="2954"/>
      <c r="AM20" s="2955"/>
      <c r="AN20" s="2953" cm="1">
        <f t="array" ref="AN20">SUMPRODUCT((Application!$B$728:$B$752 = 'CalHFA Addendum'!AN$18)*(Application!$AH$728:$AH$752 = 'CalHFA Addendum'!$B20),Application!$G$728:$G$752)</f>
        <v>0</v>
      </c>
      <c r="AO20" s="2954"/>
      <c r="AP20" s="2954"/>
      <c r="AQ20" s="2954"/>
      <c r="AR20" s="2954"/>
      <c r="AS20" s="2955"/>
      <c r="AT20" s="2956">
        <f t="shared" si="0"/>
        <v>0.40740740740740738</v>
      </c>
      <c r="AU20" s="2957"/>
      <c r="AV20" s="2957"/>
      <c r="AW20" s="2957"/>
      <c r="AX20" s="2957"/>
      <c r="AY20" s="2958"/>
      <c r="AZ20" s="1528"/>
      <c r="BA20" s="1528"/>
      <c r="BB20" s="1528"/>
      <c r="BC20" s="1528"/>
      <c r="BD20" s="1528"/>
      <c r="BE20" s="1534"/>
    </row>
    <row r="21" spans="1:58" ht="15">
      <c r="A21" s="1817"/>
      <c r="B21" s="2959">
        <v>0.4</v>
      </c>
      <c r="C21" s="2960"/>
      <c r="D21" s="2960"/>
      <c r="E21" s="2960"/>
      <c r="F21" s="2960"/>
      <c r="G21" s="2960"/>
      <c r="H21" s="2960"/>
      <c r="I21" s="2960"/>
      <c r="J21" s="2947">
        <f t="shared" si="1"/>
        <v>0</v>
      </c>
      <c r="K21" s="2948"/>
      <c r="L21" s="2948"/>
      <c r="M21" s="2948"/>
      <c r="N21" s="2948"/>
      <c r="O21" s="2949"/>
      <c r="P21" s="2953" cm="1">
        <f t="array" ref="P21">SUMPRODUCT((Application!$B$728:$B$752 = 'CalHFA Addendum'!P$18)*(Application!$AH$728:$AH$752 = 'CalHFA Addendum'!$B21),Application!$G$728:$G$752)</f>
        <v>0</v>
      </c>
      <c r="Q21" s="2954"/>
      <c r="R21" s="2954"/>
      <c r="S21" s="2954"/>
      <c r="T21" s="2954"/>
      <c r="U21" s="2955"/>
      <c r="V21" s="2953" cm="1">
        <f t="array" ref="V21">SUMPRODUCT((Application!$B$728:$B$752 = 'CalHFA Addendum'!V$18)*(Application!$AH$728:$AH$752 = 'CalHFA Addendum'!$B21),Application!$G$728:$G$752)</f>
        <v>0</v>
      </c>
      <c r="W21" s="2954"/>
      <c r="X21" s="2954"/>
      <c r="Y21" s="2954"/>
      <c r="Z21" s="2954"/>
      <c r="AA21" s="2955"/>
      <c r="AB21" s="2953" cm="1">
        <f t="array" ref="AB21">SUMPRODUCT((Application!$B$728:$B$752 = 'CalHFA Addendum'!AB$18)*(Application!$AH$728:$AH$752 = 'CalHFA Addendum'!$B21),Application!$G$728:$G$752)</f>
        <v>0</v>
      </c>
      <c r="AC21" s="2954"/>
      <c r="AD21" s="2954"/>
      <c r="AE21" s="2954"/>
      <c r="AF21" s="2954"/>
      <c r="AG21" s="2955"/>
      <c r="AH21" s="2953" cm="1">
        <f t="array" ref="AH21">SUMPRODUCT((Application!$B$728:$B$752 = 'CalHFA Addendum'!AH$18)*(Application!$AH$728:$AH$752 = 'CalHFA Addendum'!$B21),Application!$G$728:$G$752)</f>
        <v>0</v>
      </c>
      <c r="AI21" s="2954"/>
      <c r="AJ21" s="2954"/>
      <c r="AK21" s="2954"/>
      <c r="AL21" s="2954"/>
      <c r="AM21" s="2955"/>
      <c r="AN21" s="2953" cm="1">
        <f t="array" ref="AN21">SUMPRODUCT((Application!$B$728:$B$752 = 'CalHFA Addendum'!AN$18)*(Application!$AH$728:$AH$752 = 'CalHFA Addendum'!$B21),Application!$G$728:$G$752)</f>
        <v>0</v>
      </c>
      <c r="AO21" s="2954"/>
      <c r="AP21" s="2954"/>
      <c r="AQ21" s="2954"/>
      <c r="AR21" s="2954"/>
      <c r="AS21" s="2955"/>
      <c r="AT21" s="2956">
        <f t="shared" si="0"/>
        <v>0</v>
      </c>
      <c r="AU21" s="2957"/>
      <c r="AV21" s="2957"/>
      <c r="AW21" s="2957"/>
      <c r="AX21" s="2957"/>
      <c r="AY21" s="2958"/>
      <c r="AZ21" s="1528"/>
      <c r="BA21" s="1528"/>
      <c r="BB21" s="1528"/>
      <c r="BC21" s="1528"/>
      <c r="BD21" s="1528"/>
      <c r="BE21" s="1534"/>
    </row>
    <row r="22" spans="1:58" ht="15">
      <c r="A22" s="1817"/>
      <c r="B22" s="2959">
        <v>0.5</v>
      </c>
      <c r="C22" s="2960"/>
      <c r="D22" s="2960"/>
      <c r="E22" s="2960"/>
      <c r="F22" s="2960"/>
      <c r="G22" s="2960"/>
      <c r="H22" s="2960"/>
      <c r="I22" s="2960"/>
      <c r="J22" s="2947">
        <f t="shared" si="1"/>
        <v>18</v>
      </c>
      <c r="K22" s="2948"/>
      <c r="L22" s="2948"/>
      <c r="M22" s="2948"/>
      <c r="N22" s="2948"/>
      <c r="O22" s="2949"/>
      <c r="P22" s="2953" cm="1">
        <f t="array" ref="P22">SUMPRODUCT((Application!$B$728:$B$752 = 'CalHFA Addendum'!P$18)*(Application!$AH$728:$AH$752 = 'CalHFA Addendum'!$B22),Application!$G$728:$G$752)</f>
        <v>0</v>
      </c>
      <c r="Q22" s="2954"/>
      <c r="R22" s="2954"/>
      <c r="S22" s="2954"/>
      <c r="T22" s="2954"/>
      <c r="U22" s="2955"/>
      <c r="V22" s="2953" cm="1">
        <f t="array" ref="V22">SUMPRODUCT((Application!$B$728:$B$752 = 'CalHFA Addendum'!V$18)*(Application!$AH$728:$AH$752 = 'CalHFA Addendum'!$B22),Application!$G$728:$G$752)</f>
        <v>16</v>
      </c>
      <c r="W22" s="2954"/>
      <c r="X22" s="2954"/>
      <c r="Y22" s="2954"/>
      <c r="Z22" s="2954"/>
      <c r="AA22" s="2955"/>
      <c r="AB22" s="2953" cm="1">
        <f t="array" ref="AB22">SUMPRODUCT((Application!$B$728:$B$752 = 'CalHFA Addendum'!AB$18)*(Application!$AH$728:$AH$752 = 'CalHFA Addendum'!$B22),Application!$G$728:$G$752)</f>
        <v>2</v>
      </c>
      <c r="AC22" s="2954"/>
      <c r="AD22" s="2954"/>
      <c r="AE22" s="2954"/>
      <c r="AF22" s="2954"/>
      <c r="AG22" s="2955"/>
      <c r="AH22" s="2953" cm="1">
        <f t="array" ref="AH22">SUMPRODUCT((Application!$B$728:$B$752 = 'CalHFA Addendum'!AH$18)*(Application!$AH$728:$AH$752 = 'CalHFA Addendum'!$B22),Application!$G$728:$G$752)</f>
        <v>0</v>
      </c>
      <c r="AI22" s="2954"/>
      <c r="AJ22" s="2954"/>
      <c r="AK22" s="2954"/>
      <c r="AL22" s="2954"/>
      <c r="AM22" s="2955"/>
      <c r="AN22" s="2953" cm="1">
        <f t="array" ref="AN22">SUMPRODUCT((Application!$B$728:$B$752 = 'CalHFA Addendum'!AN$18)*(Application!$AH$728:$AH$752 = 'CalHFA Addendum'!$B22),Application!$G$728:$G$752)</f>
        <v>0</v>
      </c>
      <c r="AO22" s="2954"/>
      <c r="AP22" s="2954"/>
      <c r="AQ22" s="2954"/>
      <c r="AR22" s="2954"/>
      <c r="AS22" s="2955"/>
      <c r="AT22" s="2956">
        <f t="shared" si="0"/>
        <v>0.33333333333333331</v>
      </c>
      <c r="AU22" s="2957"/>
      <c r="AV22" s="2957"/>
      <c r="AW22" s="2957"/>
      <c r="AX22" s="2957"/>
      <c r="AY22" s="2958"/>
      <c r="AZ22" s="1528"/>
      <c r="BA22" s="1528"/>
      <c r="BB22" s="1528"/>
      <c r="BC22" s="1528"/>
      <c r="BD22" s="1528"/>
      <c r="BE22" s="1534"/>
    </row>
    <row r="23" spans="1:58" ht="15">
      <c r="A23" s="1817"/>
      <c r="B23" s="2959">
        <v>0.6</v>
      </c>
      <c r="C23" s="2960"/>
      <c r="D23" s="2960"/>
      <c r="E23" s="2960"/>
      <c r="F23" s="2960"/>
      <c r="G23" s="2960"/>
      <c r="H23" s="2960"/>
      <c r="I23" s="2960"/>
      <c r="J23" s="2947">
        <f t="shared" si="1"/>
        <v>13</v>
      </c>
      <c r="K23" s="2948"/>
      <c r="L23" s="2948"/>
      <c r="M23" s="2948"/>
      <c r="N23" s="2948"/>
      <c r="O23" s="2949"/>
      <c r="P23" s="2953" cm="1">
        <f t="array" ref="P23">SUMPRODUCT((Application!$B$728:$B$752 = 'CalHFA Addendum'!P$18)*(Application!$AH$728:$AH$752 = 'CalHFA Addendum'!$B23),Application!$G$728:$G$752)</f>
        <v>0</v>
      </c>
      <c r="Q23" s="2954"/>
      <c r="R23" s="2954"/>
      <c r="S23" s="2954"/>
      <c r="T23" s="2954"/>
      <c r="U23" s="2955"/>
      <c r="V23" s="2953" cm="1">
        <f t="array" ref="V23">SUMPRODUCT((Application!$B$728:$B$752 = 'CalHFA Addendum'!V$18)*(Application!$AH$728:$AH$752 = 'CalHFA Addendum'!$B23),Application!$G$728:$G$752)</f>
        <v>13</v>
      </c>
      <c r="W23" s="2954"/>
      <c r="X23" s="2954"/>
      <c r="Y23" s="2954"/>
      <c r="Z23" s="2954"/>
      <c r="AA23" s="2955"/>
      <c r="AB23" s="2953" cm="1">
        <f t="array" ref="AB23">SUMPRODUCT((Application!$B$728:$B$752 = 'CalHFA Addendum'!AB$18)*(Application!$AH$728:$AH$752 = 'CalHFA Addendum'!$B23),Application!$G$728:$G$752)</f>
        <v>0</v>
      </c>
      <c r="AC23" s="2954"/>
      <c r="AD23" s="2954"/>
      <c r="AE23" s="2954"/>
      <c r="AF23" s="2954"/>
      <c r="AG23" s="2955"/>
      <c r="AH23" s="2953" cm="1">
        <f t="array" ref="AH23">SUMPRODUCT((Application!$B$728:$B$752 = 'CalHFA Addendum'!AH$18)*(Application!$AH$728:$AH$752 = 'CalHFA Addendum'!$B23),Application!$G$728:$G$752)</f>
        <v>0</v>
      </c>
      <c r="AI23" s="2954"/>
      <c r="AJ23" s="2954"/>
      <c r="AK23" s="2954"/>
      <c r="AL23" s="2954"/>
      <c r="AM23" s="2955"/>
      <c r="AN23" s="2953" cm="1">
        <f t="array" ref="AN23">SUMPRODUCT((Application!$B$728:$B$752 = 'CalHFA Addendum'!AN$18)*(Application!$AH$728:$AH$752 = 'CalHFA Addendum'!$B23),Application!$G$728:$G$752)</f>
        <v>0</v>
      </c>
      <c r="AO23" s="2954"/>
      <c r="AP23" s="2954"/>
      <c r="AQ23" s="2954"/>
      <c r="AR23" s="2954"/>
      <c r="AS23" s="2955"/>
      <c r="AT23" s="2956">
        <f t="shared" si="0"/>
        <v>0.24074074074074073</v>
      </c>
      <c r="AU23" s="2957"/>
      <c r="AV23" s="2957"/>
      <c r="AW23" s="2957"/>
      <c r="AX23" s="2957"/>
      <c r="AY23" s="2958"/>
      <c r="AZ23" s="1528"/>
      <c r="BA23" s="1528"/>
      <c r="BB23" s="1528"/>
      <c r="BC23" s="1528"/>
      <c r="BD23" s="1528"/>
      <c r="BE23" s="1534"/>
    </row>
    <row r="24" spans="1:58" ht="15">
      <c r="A24" s="1817"/>
      <c r="B24" s="2959">
        <v>0.7</v>
      </c>
      <c r="C24" s="2960"/>
      <c r="D24" s="2960"/>
      <c r="E24" s="2960"/>
      <c r="F24" s="2960"/>
      <c r="G24" s="2960"/>
      <c r="H24" s="2960"/>
      <c r="I24" s="2960"/>
      <c r="J24" s="2947">
        <f t="shared" si="1"/>
        <v>0</v>
      </c>
      <c r="K24" s="2948"/>
      <c r="L24" s="2948"/>
      <c r="M24" s="2948"/>
      <c r="N24" s="2948"/>
      <c r="O24" s="2949"/>
      <c r="P24" s="2953" cm="1">
        <f t="array" ref="P24">SUMPRODUCT((Application!$B$728:$B$752 = 'CalHFA Addendum'!P$18)*(Application!$AH$728:$AH$752 = 'CalHFA Addendum'!$B24),Application!$G$728:$G$752)</f>
        <v>0</v>
      </c>
      <c r="Q24" s="2954"/>
      <c r="R24" s="2954"/>
      <c r="S24" s="2954"/>
      <c r="T24" s="2954"/>
      <c r="U24" s="2955"/>
      <c r="V24" s="2953" cm="1">
        <f t="array" ref="V24">SUMPRODUCT((Application!$B$728:$B$752 = 'CalHFA Addendum'!V$18)*(Application!$AH$728:$AH$752 = 'CalHFA Addendum'!$B24),Application!$G$728:$G$752)</f>
        <v>0</v>
      </c>
      <c r="W24" s="2954"/>
      <c r="X24" s="2954"/>
      <c r="Y24" s="2954"/>
      <c r="Z24" s="2954"/>
      <c r="AA24" s="2955"/>
      <c r="AB24" s="2953" cm="1">
        <f t="array" ref="AB24">SUMPRODUCT((Application!$B$728:$B$752 = 'CalHFA Addendum'!AB$18)*(Application!$AH$728:$AH$752 = 'CalHFA Addendum'!$B24),Application!$G$728:$G$752)</f>
        <v>0</v>
      </c>
      <c r="AC24" s="2954"/>
      <c r="AD24" s="2954"/>
      <c r="AE24" s="2954"/>
      <c r="AF24" s="2954"/>
      <c r="AG24" s="2955"/>
      <c r="AH24" s="2953" cm="1">
        <f t="array" ref="AH24">SUMPRODUCT((Application!$B$728:$B$752 = 'CalHFA Addendum'!AH$18)*(Application!$AH$728:$AH$752 = 'CalHFA Addendum'!$B24),Application!$G$728:$G$752)</f>
        <v>0</v>
      </c>
      <c r="AI24" s="2954"/>
      <c r="AJ24" s="2954"/>
      <c r="AK24" s="2954"/>
      <c r="AL24" s="2954"/>
      <c r="AM24" s="2955"/>
      <c r="AN24" s="2953" cm="1">
        <f t="array" ref="AN24">SUMPRODUCT((Application!$B$728:$B$752 = 'CalHFA Addendum'!AN$18)*(Application!$AH$728:$AH$752 = 'CalHFA Addendum'!$B24),Application!$G$728:$G$752)</f>
        <v>0</v>
      </c>
      <c r="AO24" s="2954"/>
      <c r="AP24" s="2954"/>
      <c r="AQ24" s="2954"/>
      <c r="AR24" s="2954"/>
      <c r="AS24" s="2955"/>
      <c r="AT24" s="2956">
        <f t="shared" si="0"/>
        <v>0</v>
      </c>
      <c r="AU24" s="2957"/>
      <c r="AV24" s="2957"/>
      <c r="AW24" s="2957"/>
      <c r="AX24" s="2957"/>
      <c r="AY24" s="2958"/>
      <c r="AZ24" s="1528"/>
      <c r="BA24" s="1528"/>
      <c r="BB24" s="1528"/>
      <c r="BC24" s="1528"/>
      <c r="BD24" s="1528"/>
      <c r="BE24" s="1534"/>
    </row>
    <row r="25" spans="1:58" ht="15">
      <c r="A25" s="1817"/>
      <c r="B25" s="2959">
        <v>0.8</v>
      </c>
      <c r="C25" s="2960"/>
      <c r="D25" s="2960"/>
      <c r="E25" s="2960"/>
      <c r="F25" s="2960"/>
      <c r="G25" s="2960"/>
      <c r="H25" s="2960"/>
      <c r="I25" s="2960"/>
      <c r="J25" s="2947">
        <f t="shared" si="1"/>
        <v>0</v>
      </c>
      <c r="K25" s="2948"/>
      <c r="L25" s="2948"/>
      <c r="M25" s="2948"/>
      <c r="N25" s="2948"/>
      <c r="O25" s="2949"/>
      <c r="P25" s="2953" cm="1">
        <f t="array" ref="P25">SUMPRODUCT((Application!$B$728:$B$752 = 'CalHFA Addendum'!P$18)*(Application!$AH$728:$AH$752 = 'CalHFA Addendum'!$B25),Application!$G$728:$G$752)</f>
        <v>0</v>
      </c>
      <c r="Q25" s="2954"/>
      <c r="R25" s="2954"/>
      <c r="S25" s="2954"/>
      <c r="T25" s="2954"/>
      <c r="U25" s="2955"/>
      <c r="V25" s="2953" cm="1">
        <f t="array" ref="V25">SUMPRODUCT((Application!$B$728:$B$752 = 'CalHFA Addendum'!V$18)*(Application!$AH$728:$AH$752 = 'CalHFA Addendum'!$B25),Application!$G$728:$G$752)</f>
        <v>0</v>
      </c>
      <c r="W25" s="2954"/>
      <c r="X25" s="2954"/>
      <c r="Y25" s="2954"/>
      <c r="Z25" s="2954"/>
      <c r="AA25" s="2955"/>
      <c r="AB25" s="2953" cm="1">
        <f t="array" ref="AB25">SUMPRODUCT((Application!$B$728:$B$752 = 'CalHFA Addendum'!AB$18)*(Application!$AH$728:$AH$752 = 'CalHFA Addendum'!$B25),Application!$G$728:$G$752)</f>
        <v>0</v>
      </c>
      <c r="AC25" s="2954"/>
      <c r="AD25" s="2954"/>
      <c r="AE25" s="2954"/>
      <c r="AF25" s="2954"/>
      <c r="AG25" s="2955"/>
      <c r="AH25" s="2953" cm="1">
        <f t="array" ref="AH25">SUMPRODUCT((Application!$B$728:$B$752 = 'CalHFA Addendum'!AH$18)*(Application!$AH$728:$AH$752 = 'CalHFA Addendum'!$B25),Application!$G$728:$G$752)</f>
        <v>0</v>
      </c>
      <c r="AI25" s="2954"/>
      <c r="AJ25" s="2954"/>
      <c r="AK25" s="2954"/>
      <c r="AL25" s="2954"/>
      <c r="AM25" s="2955"/>
      <c r="AN25" s="2953" cm="1">
        <f t="array" ref="AN25">SUMPRODUCT((Application!$B$728:$B$752 = 'CalHFA Addendum'!AN$18)*(Application!$AH$728:$AH$752 = 'CalHFA Addendum'!$B25),Application!$G$728:$G$752)</f>
        <v>0</v>
      </c>
      <c r="AO25" s="2954"/>
      <c r="AP25" s="2954"/>
      <c r="AQ25" s="2954"/>
      <c r="AR25" s="2954"/>
      <c r="AS25" s="2955"/>
      <c r="AT25" s="2956">
        <f t="shared" si="0"/>
        <v>0</v>
      </c>
      <c r="AU25" s="2957"/>
      <c r="AV25" s="2957"/>
      <c r="AW25" s="2957"/>
      <c r="AX25" s="2957"/>
      <c r="AY25" s="2958"/>
      <c r="AZ25" s="1528"/>
      <c r="BA25" s="1528"/>
      <c r="BB25" s="1528"/>
      <c r="BC25" s="1528"/>
      <c r="BD25" s="1528"/>
      <c r="BE25" s="1534"/>
    </row>
    <row r="26" spans="1:58" ht="15">
      <c r="A26" s="1817"/>
      <c r="B26" s="2959">
        <v>0.9</v>
      </c>
      <c r="C26" s="2960"/>
      <c r="D26" s="2960"/>
      <c r="E26" s="2960"/>
      <c r="F26" s="2960"/>
      <c r="G26" s="2960"/>
      <c r="H26" s="2960"/>
      <c r="I26" s="2960"/>
      <c r="J26" s="2947">
        <f t="shared" si="1"/>
        <v>0</v>
      </c>
      <c r="K26" s="2948"/>
      <c r="L26" s="2948"/>
      <c r="M26" s="2948"/>
      <c r="N26" s="2948"/>
      <c r="O26" s="2949"/>
      <c r="P26" s="2953" cm="1">
        <f t="array" ref="P26">SUMPRODUCT((Application!$B$728:$B$752 = 'CalHFA Addendum'!P$18)*(Application!$AH$728:$AH$752 = 'CalHFA Addendum'!$B26),Application!$G$728:$G$752)</f>
        <v>0</v>
      </c>
      <c r="Q26" s="2954"/>
      <c r="R26" s="2954"/>
      <c r="S26" s="2954"/>
      <c r="T26" s="2954"/>
      <c r="U26" s="2955"/>
      <c r="V26" s="2953" cm="1">
        <f t="array" ref="V26">SUMPRODUCT((Application!$B$728:$B$752 = 'CalHFA Addendum'!V$18)*(Application!$AH$728:$AH$752 = 'CalHFA Addendum'!$B26),Application!$G$728:$G$752)</f>
        <v>0</v>
      </c>
      <c r="W26" s="2954"/>
      <c r="X26" s="2954"/>
      <c r="Y26" s="2954"/>
      <c r="Z26" s="2954"/>
      <c r="AA26" s="2955"/>
      <c r="AB26" s="2953" cm="1">
        <f t="array" ref="AB26">SUMPRODUCT((Application!$B$728:$B$752 = 'CalHFA Addendum'!AB$18)*(Application!$AH$728:$AH$752 = 'CalHFA Addendum'!$B26),Application!$G$728:$G$752)</f>
        <v>0</v>
      </c>
      <c r="AC26" s="2954"/>
      <c r="AD26" s="2954"/>
      <c r="AE26" s="2954"/>
      <c r="AF26" s="2954"/>
      <c r="AG26" s="2955"/>
      <c r="AH26" s="2953" cm="1">
        <f t="array" ref="AH26">SUMPRODUCT((Application!$B$728:$B$752 = 'CalHFA Addendum'!AH$18)*(Application!$AH$728:$AH$752 = 'CalHFA Addendum'!$B26),Application!$G$728:$G$752)</f>
        <v>0</v>
      </c>
      <c r="AI26" s="2954"/>
      <c r="AJ26" s="2954"/>
      <c r="AK26" s="2954"/>
      <c r="AL26" s="2954"/>
      <c r="AM26" s="2955"/>
      <c r="AN26" s="2953" cm="1">
        <f t="array" ref="AN26">SUMPRODUCT((Application!$B$728:$B$752 = 'CalHFA Addendum'!AN$18)*(Application!$AH$728:$AH$752 = 'CalHFA Addendum'!$B26),Application!$G$728:$G$752)</f>
        <v>0</v>
      </c>
      <c r="AO26" s="2954"/>
      <c r="AP26" s="2954"/>
      <c r="AQ26" s="2954"/>
      <c r="AR26" s="2954"/>
      <c r="AS26" s="2955"/>
      <c r="AT26" s="2956">
        <f t="shared" si="0"/>
        <v>0</v>
      </c>
      <c r="AU26" s="2957"/>
      <c r="AV26" s="2957"/>
      <c r="AW26" s="2957"/>
      <c r="AX26" s="2957"/>
      <c r="AY26" s="2958"/>
      <c r="AZ26" s="1528"/>
      <c r="BA26" s="1528"/>
      <c r="BB26" s="1528"/>
      <c r="BC26" s="1528"/>
      <c r="BD26" s="1528"/>
      <c r="BE26" s="1534"/>
    </row>
    <row r="27" spans="1:58" ht="15">
      <c r="A27" s="1817"/>
      <c r="B27" s="2959">
        <v>1</v>
      </c>
      <c r="C27" s="2960"/>
      <c r="D27" s="2960"/>
      <c r="E27" s="2960"/>
      <c r="F27" s="2960"/>
      <c r="G27" s="2960"/>
      <c r="H27" s="2960"/>
      <c r="I27" s="2960"/>
      <c r="J27" s="2947">
        <f t="shared" si="1"/>
        <v>0</v>
      </c>
      <c r="K27" s="2948"/>
      <c r="L27" s="2948"/>
      <c r="M27" s="2948"/>
      <c r="N27" s="2948"/>
      <c r="O27" s="2949"/>
      <c r="P27" s="2953" cm="1">
        <f t="array" ref="P27">SUMPRODUCT((Application!$B$728:$B$752 = 'CalHFA Addendum'!P$18)*(Application!$AH$728:$AH$752 = 'CalHFA Addendum'!$B27),Application!$G$728:$G$752)</f>
        <v>0</v>
      </c>
      <c r="Q27" s="2954"/>
      <c r="R27" s="2954"/>
      <c r="S27" s="2954"/>
      <c r="T27" s="2954"/>
      <c r="U27" s="2955"/>
      <c r="V27" s="2953" cm="1">
        <f t="array" ref="V27">SUMPRODUCT((Application!$B$728:$B$752 = 'CalHFA Addendum'!V$18)*(Application!$AH$728:$AH$752 = 'CalHFA Addendum'!$B27),Application!$G$728:$G$752)</f>
        <v>0</v>
      </c>
      <c r="W27" s="2954"/>
      <c r="X27" s="2954"/>
      <c r="Y27" s="2954"/>
      <c r="Z27" s="2954"/>
      <c r="AA27" s="2955"/>
      <c r="AB27" s="2953" cm="1">
        <f t="array" ref="AB27">SUMPRODUCT((Application!$B$728:$B$752 = 'CalHFA Addendum'!AB$18)*(Application!$AH$728:$AH$752 = 'CalHFA Addendum'!$B27),Application!$G$728:$G$752)</f>
        <v>0</v>
      </c>
      <c r="AC27" s="2954"/>
      <c r="AD27" s="2954"/>
      <c r="AE27" s="2954"/>
      <c r="AF27" s="2954"/>
      <c r="AG27" s="2955"/>
      <c r="AH27" s="2953" cm="1">
        <f t="array" ref="AH27">SUMPRODUCT((Application!$B$728:$B$752 = 'CalHFA Addendum'!AH$18)*(Application!$AH$728:$AH$752 = 'CalHFA Addendum'!$B27),Application!$G$728:$G$752)</f>
        <v>0</v>
      </c>
      <c r="AI27" s="2954"/>
      <c r="AJ27" s="2954"/>
      <c r="AK27" s="2954"/>
      <c r="AL27" s="2954"/>
      <c r="AM27" s="2955"/>
      <c r="AN27" s="2953" cm="1">
        <f t="array" ref="AN27">SUMPRODUCT((Application!$B$728:$B$752 = 'CalHFA Addendum'!AN$18)*(Application!$AH$728:$AH$752 = 'CalHFA Addendum'!$B27),Application!$G$728:$G$752)</f>
        <v>0</v>
      </c>
      <c r="AO27" s="2954"/>
      <c r="AP27" s="2954"/>
      <c r="AQ27" s="2954"/>
      <c r="AR27" s="2954"/>
      <c r="AS27" s="2955"/>
      <c r="AT27" s="2956">
        <f t="shared" si="0"/>
        <v>0</v>
      </c>
      <c r="AU27" s="2957"/>
      <c r="AV27" s="2957"/>
      <c r="AW27" s="2957"/>
      <c r="AX27" s="2957"/>
      <c r="AY27" s="2958"/>
      <c r="AZ27" s="1528"/>
      <c r="BA27" s="1528"/>
      <c r="BB27" s="1528"/>
      <c r="BC27" s="1528"/>
      <c r="BD27" s="1528"/>
      <c r="BE27" s="1534"/>
      <c r="BF27" s="1699"/>
    </row>
    <row r="28" spans="1:58" thickBot="1">
      <c r="A28" s="1817"/>
      <c r="B28" s="2944" t="s">
        <v>2051</v>
      </c>
      <c r="C28" s="2945"/>
      <c r="D28" s="2945"/>
      <c r="E28" s="2945"/>
      <c r="F28" s="2945"/>
      <c r="G28" s="2945"/>
      <c r="H28" s="2945"/>
      <c r="I28" s="2946"/>
      <c r="J28" s="2947">
        <f t="shared" ref="J28" si="2">SUM(P28:AS28)</f>
        <v>1</v>
      </c>
      <c r="K28" s="2948"/>
      <c r="L28" s="2948"/>
      <c r="M28" s="2948"/>
      <c r="N28" s="2948"/>
      <c r="O28" s="2949"/>
      <c r="P28" s="2950">
        <f>_xlfn.IFNA(VLOOKUP(P$18,Application!$J$772:$S$775,6,FALSE), 0)</f>
        <v>0</v>
      </c>
      <c r="Q28" s="2951"/>
      <c r="R28" s="2951"/>
      <c r="S28" s="2951"/>
      <c r="T28" s="2951"/>
      <c r="U28" s="2952"/>
      <c r="V28" s="2950">
        <f>_xlfn.IFNA(VLOOKUP(V$18,Application!$J$772:$S$775,6,FALSE), 0)</f>
        <v>0</v>
      </c>
      <c r="W28" s="2951"/>
      <c r="X28" s="2951"/>
      <c r="Y28" s="2951"/>
      <c r="Z28" s="2951"/>
      <c r="AA28" s="2952"/>
      <c r="AB28" s="2950">
        <f>_xlfn.IFNA(VLOOKUP(AB$18,Application!$J$772:$S$775,6,FALSE), 0)</f>
        <v>1</v>
      </c>
      <c r="AC28" s="2951"/>
      <c r="AD28" s="2951"/>
      <c r="AE28" s="2951"/>
      <c r="AF28" s="2951"/>
      <c r="AG28" s="2952"/>
      <c r="AH28" s="2950">
        <f>_xlfn.IFNA(VLOOKUP(AH$18,Application!$J$772:$S$775,6,FALSE), 0)</f>
        <v>0</v>
      </c>
      <c r="AI28" s="2951"/>
      <c r="AJ28" s="2951"/>
      <c r="AK28" s="2951"/>
      <c r="AL28" s="2951"/>
      <c r="AM28" s="2952"/>
      <c r="AN28" s="2950">
        <f>_xlfn.IFNA(VLOOKUP(AN$18,Application!$J$772:$S$775,6,FALSE), 0)</f>
        <v>0</v>
      </c>
      <c r="AO28" s="2951"/>
      <c r="AP28" s="2951"/>
      <c r="AQ28" s="2951"/>
      <c r="AR28" s="2951"/>
      <c r="AS28" s="2952"/>
      <c r="AT28" s="2956">
        <f t="shared" ref="AT28" si="3">J28/$J$29</f>
        <v>1.8518518518518517E-2</v>
      </c>
      <c r="AU28" s="2957"/>
      <c r="AV28" s="2957"/>
      <c r="AW28" s="2957"/>
      <c r="AX28" s="2957"/>
      <c r="AY28" s="2958"/>
      <c r="AZ28" s="1528"/>
      <c r="BA28" s="1528"/>
      <c r="BB28" s="1528"/>
      <c r="BC28" s="1528"/>
      <c r="BD28" s="1528"/>
      <c r="BE28" s="1534"/>
    </row>
    <row r="29" spans="1:58" thickBot="1">
      <c r="A29" s="1817"/>
      <c r="B29" s="2937" t="s">
        <v>1881</v>
      </c>
      <c r="C29" s="2938"/>
      <c r="D29" s="2938"/>
      <c r="E29" s="2938"/>
      <c r="F29" s="2938"/>
      <c r="G29" s="2938"/>
      <c r="H29" s="2938"/>
      <c r="I29" s="2939"/>
      <c r="J29" s="2940">
        <f>SUM(J19:O28)</f>
        <v>54</v>
      </c>
      <c r="K29" s="2938"/>
      <c r="L29" s="2938"/>
      <c r="M29" s="2938"/>
      <c r="N29" s="2938"/>
      <c r="O29" s="2939"/>
      <c r="P29" s="2940">
        <f>SUM(P19:U28)</f>
        <v>0</v>
      </c>
      <c r="Q29" s="2938"/>
      <c r="R29" s="2938"/>
      <c r="S29" s="2938"/>
      <c r="T29" s="2938"/>
      <c r="U29" s="2939"/>
      <c r="V29" s="2940">
        <f>SUM(V19:AA28)</f>
        <v>50</v>
      </c>
      <c r="W29" s="2938"/>
      <c r="X29" s="2938"/>
      <c r="Y29" s="2938"/>
      <c r="Z29" s="2938"/>
      <c r="AA29" s="2939"/>
      <c r="AB29" s="2940">
        <f>SUM(AB19:AG28)</f>
        <v>4</v>
      </c>
      <c r="AC29" s="2938"/>
      <c r="AD29" s="2938"/>
      <c r="AE29" s="2938"/>
      <c r="AF29" s="2938"/>
      <c r="AG29" s="2939"/>
      <c r="AH29" s="2940">
        <f>SUM(AH19:AM28)</f>
        <v>0</v>
      </c>
      <c r="AI29" s="2938"/>
      <c r="AJ29" s="2938"/>
      <c r="AK29" s="2938"/>
      <c r="AL29" s="2938"/>
      <c r="AM29" s="2939"/>
      <c r="AN29" s="2940">
        <f>SUM(AN19:AS28)</f>
        <v>0</v>
      </c>
      <c r="AO29" s="2938"/>
      <c r="AP29" s="2938"/>
      <c r="AQ29" s="2938"/>
      <c r="AR29" s="2938"/>
      <c r="AS29" s="2939"/>
      <c r="AT29" s="2941">
        <f>J29/$J$29</f>
        <v>1</v>
      </c>
      <c r="AU29" s="2942"/>
      <c r="AV29" s="2942"/>
      <c r="AW29" s="2942"/>
      <c r="AX29" s="2942"/>
      <c r="AY29" s="2943"/>
      <c r="AZ29" s="1528"/>
      <c r="BA29" s="1528"/>
      <c r="BB29" s="1528"/>
      <c r="BC29" s="1528"/>
      <c r="BD29" s="1528"/>
      <c r="BE29" s="1534"/>
    </row>
    <row r="30" spans="1:58"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thickBot="1">
      <c r="A31" s="1817"/>
      <c r="B31" s="2917" t="s">
        <v>2052</v>
      </c>
      <c r="C31" s="2918"/>
      <c r="D31" s="2918"/>
      <c r="E31" s="2918"/>
      <c r="F31" s="2918"/>
      <c r="G31" s="2918"/>
      <c r="H31" s="2918"/>
      <c r="I31" s="2918"/>
      <c r="J31" s="2918"/>
      <c r="K31" s="2918"/>
      <c r="L31" s="2918"/>
      <c r="M31" s="2918"/>
      <c r="N31" s="2918"/>
      <c r="O31" s="2918"/>
      <c r="P31" s="2918"/>
      <c r="Q31" s="2918"/>
      <c r="R31" s="2918"/>
      <c r="S31" s="2918"/>
      <c r="T31" s="2918"/>
      <c r="U31" s="2918"/>
      <c r="V31" s="2918"/>
      <c r="W31" s="2918"/>
      <c r="X31" s="2918"/>
      <c r="Y31" s="2918"/>
      <c r="Z31" s="2918"/>
      <c r="AA31" s="2918"/>
      <c r="AB31" s="2918"/>
      <c r="AC31" s="2918"/>
      <c r="AD31" s="2918"/>
      <c r="AE31" s="2918"/>
      <c r="AF31" s="2918"/>
      <c r="AG31" s="2918"/>
      <c r="AH31" s="2918"/>
      <c r="AI31" s="2918"/>
      <c r="AJ31" s="2918"/>
      <c r="AK31" s="2918"/>
      <c r="AL31" s="2918"/>
      <c r="AM31" s="2918"/>
      <c r="AN31" s="2918"/>
      <c r="AO31" s="2918"/>
      <c r="AP31" s="2918"/>
      <c r="AQ31" s="2918"/>
      <c r="AR31" s="2918"/>
      <c r="AS31" s="2918"/>
      <c r="AT31" s="2918"/>
      <c r="AU31" s="2918"/>
      <c r="AV31" s="2918"/>
      <c r="AW31" s="2918"/>
      <c r="AX31" s="2918"/>
      <c r="AY31" s="2918"/>
      <c r="AZ31" s="2919"/>
      <c r="BA31" s="1528"/>
      <c r="BB31" s="1528"/>
      <c r="BC31" s="1528"/>
      <c r="BD31" s="1528"/>
      <c r="BE31" s="1534"/>
    </row>
    <row r="32" spans="1:58" thickBot="1">
      <c r="A32" s="1817"/>
      <c r="B32" s="2920" t="s">
        <v>2053</v>
      </c>
      <c r="C32" s="2921"/>
      <c r="D32" s="2921"/>
      <c r="E32" s="2921"/>
      <c r="F32" s="2921"/>
      <c r="G32" s="2921"/>
      <c r="H32" s="2921"/>
      <c r="I32" s="2922"/>
      <c r="J32" s="2924" t="s">
        <v>2054</v>
      </c>
      <c r="K32" s="2925"/>
      <c r="L32" s="2925"/>
      <c r="M32" s="2926"/>
      <c r="N32" s="2924" t="s">
        <v>2055</v>
      </c>
      <c r="O32" s="2925"/>
      <c r="P32" s="2925"/>
      <c r="Q32" s="2925"/>
      <c r="R32" s="2928" t="s">
        <v>2056</v>
      </c>
      <c r="S32" s="2929"/>
      <c r="T32" s="2929"/>
      <c r="U32" s="2929"/>
      <c r="V32" s="2929"/>
      <c r="W32" s="2929"/>
      <c r="X32" s="2929"/>
      <c r="Y32" s="2929"/>
      <c r="Z32" s="2929"/>
      <c r="AA32" s="2929"/>
      <c r="AB32" s="2929"/>
      <c r="AC32" s="2929"/>
      <c r="AD32" s="2929"/>
      <c r="AE32" s="2929"/>
      <c r="AF32" s="2929"/>
      <c r="AG32" s="2929"/>
      <c r="AH32" s="2929"/>
      <c r="AI32" s="2929"/>
      <c r="AJ32" s="2929"/>
      <c r="AK32" s="2929"/>
      <c r="AL32" s="2929"/>
      <c r="AM32" s="2929"/>
      <c r="AN32" s="2929"/>
      <c r="AO32" s="2929"/>
      <c r="AP32" s="2929"/>
      <c r="AQ32" s="2929"/>
      <c r="AR32" s="2929"/>
      <c r="AS32" s="2929"/>
      <c r="AT32" s="2929"/>
      <c r="AU32" s="2929"/>
      <c r="AV32" s="2929"/>
      <c r="AW32" s="2929"/>
      <c r="AX32" s="2929"/>
      <c r="AY32" s="2929"/>
      <c r="AZ32" s="2930"/>
      <c r="BA32" s="1528"/>
      <c r="BB32" s="1528"/>
      <c r="BC32" s="1528"/>
      <c r="BD32" s="1528"/>
      <c r="BE32" s="1534"/>
    </row>
    <row r="33" spans="1:58" ht="15" customHeight="1">
      <c r="A33" s="1817"/>
      <c r="B33" s="2923"/>
      <c r="C33" s="2921"/>
      <c r="D33" s="2921"/>
      <c r="E33" s="2921"/>
      <c r="F33" s="2921"/>
      <c r="G33" s="2921"/>
      <c r="H33" s="2921"/>
      <c r="I33" s="2922"/>
      <c r="J33" s="2927"/>
      <c r="K33" s="2925"/>
      <c r="L33" s="2925"/>
      <c r="M33" s="2926"/>
      <c r="N33" s="2927"/>
      <c r="O33" s="2925"/>
      <c r="P33" s="2925"/>
      <c r="Q33" s="2925"/>
      <c r="R33" s="2931" t="s">
        <v>2057</v>
      </c>
      <c r="S33" s="2932"/>
      <c r="T33" s="2932"/>
      <c r="U33" s="2932"/>
      <c r="V33" s="2932"/>
      <c r="W33" s="2932"/>
      <c r="X33" s="2932"/>
      <c r="Y33" s="2932"/>
      <c r="Z33" s="2932"/>
      <c r="AA33" s="2932"/>
      <c r="AB33" s="2932"/>
      <c r="AC33" s="2932"/>
      <c r="AD33" s="2932"/>
      <c r="AE33" s="2932"/>
      <c r="AF33" s="2932"/>
      <c r="AG33" s="2932"/>
      <c r="AH33" s="2932"/>
      <c r="AI33" s="2932"/>
      <c r="AJ33" s="2932"/>
      <c r="AK33" s="2932"/>
      <c r="AL33" s="2932"/>
      <c r="AM33" s="2932"/>
      <c r="AN33" s="2932"/>
      <c r="AO33" s="2932"/>
      <c r="AP33" s="2932"/>
      <c r="AQ33" s="2932"/>
      <c r="AR33" s="2932"/>
      <c r="AS33" s="2932"/>
      <c r="AT33" s="2932"/>
      <c r="AU33" s="2932"/>
      <c r="AV33" s="2932"/>
      <c r="AW33" s="2932"/>
      <c r="AX33" s="2932"/>
      <c r="AY33" s="2932"/>
      <c r="AZ33" s="2933"/>
      <c r="BA33" s="1535"/>
      <c r="BB33" s="1528"/>
      <c r="BC33" s="1528"/>
      <c r="BD33" s="1528"/>
      <c r="BE33" s="1534"/>
    </row>
    <row r="34" spans="1:58" ht="15.75" customHeight="1" thickBot="1">
      <c r="A34" s="1817"/>
      <c r="B34" s="2923"/>
      <c r="C34" s="2921"/>
      <c r="D34" s="2921"/>
      <c r="E34" s="2921"/>
      <c r="F34" s="2921"/>
      <c r="G34" s="2921"/>
      <c r="H34" s="2921"/>
      <c r="I34" s="2922"/>
      <c r="J34" s="2927"/>
      <c r="K34" s="2925"/>
      <c r="L34" s="2925"/>
      <c r="M34" s="2926"/>
      <c r="N34" s="2927"/>
      <c r="O34" s="2925"/>
      <c r="P34" s="2925"/>
      <c r="Q34" s="2925"/>
      <c r="R34" s="2934"/>
      <c r="S34" s="2935"/>
      <c r="T34" s="2935"/>
      <c r="U34" s="2935"/>
      <c r="V34" s="2935"/>
      <c r="W34" s="2935"/>
      <c r="X34" s="2935"/>
      <c r="Y34" s="2935"/>
      <c r="Z34" s="2935"/>
      <c r="AA34" s="2935"/>
      <c r="AB34" s="2935"/>
      <c r="AC34" s="2935"/>
      <c r="AD34" s="2935"/>
      <c r="AE34" s="2935"/>
      <c r="AF34" s="2935"/>
      <c r="AG34" s="2935"/>
      <c r="AH34" s="2935"/>
      <c r="AI34" s="2935"/>
      <c r="AJ34" s="2935"/>
      <c r="AK34" s="2935"/>
      <c r="AL34" s="2935"/>
      <c r="AM34" s="2935"/>
      <c r="AN34" s="2935"/>
      <c r="AO34" s="2935"/>
      <c r="AP34" s="2935"/>
      <c r="AQ34" s="2935"/>
      <c r="AR34" s="2935"/>
      <c r="AS34" s="2935"/>
      <c r="AT34" s="2935"/>
      <c r="AU34" s="2935"/>
      <c r="AV34" s="2935"/>
      <c r="AW34" s="2935"/>
      <c r="AX34" s="2935"/>
      <c r="AY34" s="2935"/>
      <c r="AZ34" s="2936"/>
      <c r="BA34" s="1535"/>
      <c r="BB34" s="1528"/>
      <c r="BC34" s="1528"/>
      <c r="BD34" s="1528"/>
      <c r="BE34" s="1534"/>
    </row>
    <row r="35" spans="1:58" ht="15.75" customHeight="1" thickBot="1">
      <c r="A35" s="1817"/>
      <c r="B35" s="2923"/>
      <c r="C35" s="2921"/>
      <c r="D35" s="2921"/>
      <c r="E35" s="2921"/>
      <c r="F35" s="2921"/>
      <c r="G35" s="2921"/>
      <c r="H35" s="2921"/>
      <c r="I35" s="2922"/>
      <c r="J35" s="2927"/>
      <c r="K35" s="2925"/>
      <c r="L35" s="2925"/>
      <c r="M35" s="2926"/>
      <c r="N35" s="2927"/>
      <c r="O35" s="2925"/>
      <c r="P35" s="2925"/>
      <c r="Q35" s="2925"/>
      <c r="R35" s="2900">
        <v>0.5</v>
      </c>
      <c r="S35" s="2901"/>
      <c r="T35" s="2901"/>
      <c r="U35" s="2902"/>
      <c r="V35" s="2900">
        <v>0.6</v>
      </c>
      <c r="W35" s="2901"/>
      <c r="X35" s="2901"/>
      <c r="Y35" s="2902"/>
      <c r="Z35" s="2900">
        <v>0.7</v>
      </c>
      <c r="AA35" s="2901"/>
      <c r="AB35" s="2901"/>
      <c r="AC35" s="2902"/>
      <c r="AD35" s="2900">
        <v>0.8</v>
      </c>
      <c r="AE35" s="2901"/>
      <c r="AF35" s="2901"/>
      <c r="AG35" s="2902"/>
      <c r="AH35" s="2900">
        <v>1</v>
      </c>
      <c r="AI35" s="2901"/>
      <c r="AJ35" s="2901"/>
      <c r="AK35" s="2902"/>
      <c r="AL35" s="2900">
        <v>1.2</v>
      </c>
      <c r="AM35" s="2901"/>
      <c r="AN35" s="2902"/>
      <c r="AO35" s="2903" t="s">
        <v>2058</v>
      </c>
      <c r="AP35" s="2904"/>
      <c r="AQ35" s="2904"/>
      <c r="AR35" s="2904"/>
      <c r="AS35" s="2904"/>
      <c r="AT35" s="2905"/>
      <c r="AU35" s="2903" t="s">
        <v>2059</v>
      </c>
      <c r="AV35" s="2904"/>
      <c r="AW35" s="2904"/>
      <c r="AX35" s="2904"/>
      <c r="AY35" s="2904"/>
      <c r="AZ35" s="2905"/>
      <c r="BA35" s="1535"/>
      <c r="BB35" s="1528"/>
      <c r="BC35" s="1528"/>
      <c r="BD35" s="1528"/>
      <c r="BE35" s="1534"/>
      <c r="BF35" s="1526"/>
    </row>
    <row r="36" spans="1:58" ht="15.75" customHeight="1">
      <c r="A36" s="1817"/>
      <c r="B36" s="2906" t="s">
        <v>2060</v>
      </c>
      <c r="C36" s="2907"/>
      <c r="D36" s="2907"/>
      <c r="E36" s="2907"/>
      <c r="F36" s="2907"/>
      <c r="G36" s="2907"/>
      <c r="H36" s="2907"/>
      <c r="I36" s="2908"/>
      <c r="J36" s="2909" t="s">
        <v>2061</v>
      </c>
      <c r="K36" s="2910"/>
      <c r="L36" s="2910"/>
      <c r="M36" s="2911"/>
      <c r="N36" s="2912">
        <v>55</v>
      </c>
      <c r="O36" s="2913"/>
      <c r="P36" s="2913"/>
      <c r="Q36" s="2914"/>
      <c r="R36" s="2915">
        <v>10</v>
      </c>
      <c r="S36" s="2915"/>
      <c r="T36" s="2915"/>
      <c r="U36" s="2915"/>
      <c r="V36" s="2915">
        <v>30</v>
      </c>
      <c r="W36" s="2915"/>
      <c r="X36" s="2915"/>
      <c r="Y36" s="2915"/>
      <c r="Z36" s="2915"/>
      <c r="AA36" s="2915"/>
      <c r="AB36" s="2915"/>
      <c r="AC36" s="2915"/>
      <c r="AD36" s="2915">
        <v>59</v>
      </c>
      <c r="AE36" s="2915"/>
      <c r="AF36" s="2915"/>
      <c r="AG36" s="2915"/>
      <c r="AH36" s="2916"/>
      <c r="AI36" s="2916"/>
      <c r="AJ36" s="2916"/>
      <c r="AK36" s="2916"/>
      <c r="AL36" s="2916"/>
      <c r="AM36" s="2916"/>
      <c r="AN36" s="2916"/>
      <c r="AO36" s="2874">
        <f>SUM(R36:AN36)</f>
        <v>99</v>
      </c>
      <c r="AP36" s="2874"/>
      <c r="AQ36" s="2874"/>
      <c r="AR36" s="2874"/>
      <c r="AS36" s="2874"/>
      <c r="AT36" s="2874"/>
      <c r="AU36" s="2875">
        <f>AO36/$J$29</f>
        <v>1.8333333333333333</v>
      </c>
      <c r="AV36" s="2875"/>
      <c r="AW36" s="2875"/>
      <c r="AX36" s="2875"/>
      <c r="AY36" s="2875"/>
      <c r="AZ36" s="2875"/>
      <c r="BA36" s="1528"/>
      <c r="BB36" s="1528"/>
      <c r="BC36" s="1528"/>
      <c r="BD36" s="1528"/>
      <c r="BE36" s="1534"/>
      <c r="BF36" s="1526"/>
    </row>
    <row r="37" spans="1:58" ht="15.75" customHeight="1">
      <c r="A37" s="1817"/>
      <c r="B37" s="2895" t="s">
        <v>2062</v>
      </c>
      <c r="C37" s="2896"/>
      <c r="D37" s="2896"/>
      <c r="E37" s="2896"/>
      <c r="F37" s="2896"/>
      <c r="G37" s="2896"/>
      <c r="H37" s="2896"/>
      <c r="I37" s="2897"/>
      <c r="J37" s="2898" t="s">
        <v>2063</v>
      </c>
      <c r="K37" s="2886"/>
      <c r="L37" s="2886"/>
      <c r="M37" s="2899"/>
      <c r="N37" s="2885">
        <v>55</v>
      </c>
      <c r="O37" s="2886"/>
      <c r="P37" s="2886"/>
      <c r="Q37" s="2887"/>
      <c r="R37" s="2873"/>
      <c r="S37" s="2873"/>
      <c r="T37" s="2873"/>
      <c r="U37" s="2873"/>
      <c r="V37" s="2873"/>
      <c r="W37" s="2873"/>
      <c r="X37" s="2873"/>
      <c r="Y37" s="2873"/>
      <c r="Z37" s="2873"/>
      <c r="AA37" s="2873"/>
      <c r="AB37" s="2873"/>
      <c r="AC37" s="2873"/>
      <c r="AD37" s="2873"/>
      <c r="AE37" s="2873"/>
      <c r="AF37" s="2873"/>
      <c r="AG37" s="2873"/>
      <c r="AH37" s="2873"/>
      <c r="AI37" s="2873"/>
      <c r="AJ37" s="2873"/>
      <c r="AK37" s="2873"/>
      <c r="AL37" s="2873"/>
      <c r="AM37" s="2873"/>
      <c r="AN37" s="2873"/>
      <c r="AO37" s="2874">
        <f t="shared" ref="AO37:AO47" si="4">SUM(R37:AN37)</f>
        <v>0</v>
      </c>
      <c r="AP37" s="2874"/>
      <c r="AQ37" s="2874"/>
      <c r="AR37" s="2874"/>
      <c r="AS37" s="2874"/>
      <c r="AT37" s="2874"/>
      <c r="AU37" s="2875">
        <f t="shared" ref="AU37:AU47" si="5">AO37/$J$29</f>
        <v>0</v>
      </c>
      <c r="AV37" s="2875"/>
      <c r="AW37" s="2875"/>
      <c r="AX37" s="2875"/>
      <c r="AY37" s="2875"/>
      <c r="AZ37" s="2875"/>
      <c r="BA37" s="1528"/>
      <c r="BB37" s="1528"/>
      <c r="BC37" s="1528"/>
      <c r="BD37" s="1528"/>
      <c r="BE37" s="1534"/>
      <c r="BF37" s="1526"/>
    </row>
    <row r="38" spans="1:58" ht="15.75" customHeight="1">
      <c r="A38" s="1817"/>
      <c r="B38" s="2895" t="s">
        <v>2064</v>
      </c>
      <c r="C38" s="2896"/>
      <c r="D38" s="2896"/>
      <c r="E38" s="2896"/>
      <c r="F38" s="2896"/>
      <c r="G38" s="2896"/>
      <c r="H38" s="2896"/>
      <c r="I38" s="2897"/>
      <c r="J38" s="2898" t="s">
        <v>2065</v>
      </c>
      <c r="K38" s="2886"/>
      <c r="L38" s="2886"/>
      <c r="M38" s="2899"/>
      <c r="N38" s="2885">
        <v>55</v>
      </c>
      <c r="O38" s="2886"/>
      <c r="P38" s="2886"/>
      <c r="Q38" s="2887"/>
      <c r="R38" s="2873"/>
      <c r="S38" s="2873"/>
      <c r="T38" s="2873"/>
      <c r="U38" s="2873"/>
      <c r="V38" s="2873"/>
      <c r="W38" s="2873"/>
      <c r="X38" s="2873"/>
      <c r="Y38" s="2873"/>
      <c r="Z38" s="2873"/>
      <c r="AA38" s="2873"/>
      <c r="AB38" s="2873"/>
      <c r="AC38" s="2873"/>
      <c r="AD38" s="2873"/>
      <c r="AE38" s="2873"/>
      <c r="AF38" s="2873"/>
      <c r="AG38" s="2873"/>
      <c r="AH38" s="2873"/>
      <c r="AI38" s="2873"/>
      <c r="AJ38" s="2873"/>
      <c r="AK38" s="2873"/>
      <c r="AL38" s="2873"/>
      <c r="AM38" s="2873"/>
      <c r="AN38" s="2873"/>
      <c r="AO38" s="2874">
        <f t="shared" si="4"/>
        <v>0</v>
      </c>
      <c r="AP38" s="2874"/>
      <c r="AQ38" s="2874"/>
      <c r="AR38" s="2874"/>
      <c r="AS38" s="2874"/>
      <c r="AT38" s="2874"/>
      <c r="AU38" s="2875">
        <f t="shared" si="5"/>
        <v>0</v>
      </c>
      <c r="AV38" s="2875"/>
      <c r="AW38" s="2875"/>
      <c r="AX38" s="2875"/>
      <c r="AY38" s="2875"/>
      <c r="AZ38" s="2875"/>
      <c r="BA38" s="1528"/>
      <c r="BB38" s="1528"/>
      <c r="BC38" s="1528"/>
      <c r="BD38" s="1528"/>
      <c r="BE38" s="1534"/>
      <c r="BF38" s="1526"/>
    </row>
    <row r="39" spans="1:58" ht="15.75" customHeight="1">
      <c r="A39" s="1817"/>
      <c r="B39" s="2895" t="s">
        <v>2066</v>
      </c>
      <c r="C39" s="2896"/>
      <c r="D39" s="2896"/>
      <c r="E39" s="2896"/>
      <c r="F39" s="2896"/>
      <c r="G39" s="2896"/>
      <c r="H39" s="2896"/>
      <c r="I39" s="2897"/>
      <c r="J39" s="2884"/>
      <c r="K39" s="2688"/>
      <c r="L39" s="2688"/>
      <c r="M39" s="2816"/>
      <c r="N39" s="2810"/>
      <c r="O39" s="2688"/>
      <c r="P39" s="2688"/>
      <c r="Q39" s="2888"/>
      <c r="R39" s="2873"/>
      <c r="S39" s="2873"/>
      <c r="T39" s="2873"/>
      <c r="U39" s="2873"/>
      <c r="V39" s="2873"/>
      <c r="W39" s="2873"/>
      <c r="X39" s="2873"/>
      <c r="Y39" s="2873"/>
      <c r="Z39" s="2873"/>
      <c r="AA39" s="2873"/>
      <c r="AB39" s="2873"/>
      <c r="AC39" s="2873"/>
      <c r="AD39" s="2873"/>
      <c r="AE39" s="2873"/>
      <c r="AF39" s="2873"/>
      <c r="AG39" s="2873"/>
      <c r="AH39" s="2873"/>
      <c r="AI39" s="2873"/>
      <c r="AJ39" s="2873"/>
      <c r="AK39" s="2873"/>
      <c r="AL39" s="2873"/>
      <c r="AM39" s="2873"/>
      <c r="AN39" s="2873"/>
      <c r="AO39" s="2874">
        <f t="shared" si="4"/>
        <v>0</v>
      </c>
      <c r="AP39" s="2874"/>
      <c r="AQ39" s="2874"/>
      <c r="AR39" s="2874"/>
      <c r="AS39" s="2874"/>
      <c r="AT39" s="2874"/>
      <c r="AU39" s="2875">
        <f t="shared" si="5"/>
        <v>0</v>
      </c>
      <c r="AV39" s="2875"/>
      <c r="AW39" s="2875"/>
      <c r="AX39" s="2875"/>
      <c r="AY39" s="2875"/>
      <c r="AZ39" s="2875"/>
      <c r="BA39" s="1528"/>
      <c r="BB39" s="1528"/>
      <c r="BC39" s="1528"/>
      <c r="BD39" s="1528"/>
      <c r="BE39" s="1534"/>
    </row>
    <row r="40" spans="1:58" ht="15.75" customHeight="1">
      <c r="A40" s="1817"/>
      <c r="B40" s="2895" t="s">
        <v>2066</v>
      </c>
      <c r="C40" s="2896"/>
      <c r="D40" s="2896"/>
      <c r="E40" s="2896"/>
      <c r="F40" s="2896"/>
      <c r="G40" s="2896"/>
      <c r="H40" s="2896"/>
      <c r="I40" s="2897"/>
      <c r="J40" s="2884"/>
      <c r="K40" s="2688"/>
      <c r="L40" s="2688"/>
      <c r="M40" s="2816"/>
      <c r="N40" s="2810"/>
      <c r="O40" s="2688"/>
      <c r="P40" s="2688"/>
      <c r="Q40" s="2888"/>
      <c r="R40" s="2873"/>
      <c r="S40" s="2873"/>
      <c r="T40" s="2873"/>
      <c r="U40" s="2873"/>
      <c r="V40" s="2873"/>
      <c r="W40" s="2873"/>
      <c r="X40" s="2873"/>
      <c r="Y40" s="2873"/>
      <c r="Z40" s="2873"/>
      <c r="AA40" s="2873"/>
      <c r="AB40" s="2873"/>
      <c r="AC40" s="2873"/>
      <c r="AD40" s="2873"/>
      <c r="AE40" s="2873"/>
      <c r="AF40" s="2873"/>
      <c r="AG40" s="2873"/>
      <c r="AH40" s="2873"/>
      <c r="AI40" s="2873"/>
      <c r="AJ40" s="2873"/>
      <c r="AK40" s="2873"/>
      <c r="AL40" s="2873"/>
      <c r="AM40" s="2873"/>
      <c r="AN40" s="2873"/>
      <c r="AO40" s="2874">
        <f t="shared" si="4"/>
        <v>0</v>
      </c>
      <c r="AP40" s="2874"/>
      <c r="AQ40" s="2874"/>
      <c r="AR40" s="2874"/>
      <c r="AS40" s="2874"/>
      <c r="AT40" s="2874"/>
      <c r="AU40" s="2875">
        <f t="shared" si="5"/>
        <v>0</v>
      </c>
      <c r="AV40" s="2875"/>
      <c r="AW40" s="2875"/>
      <c r="AX40" s="2875"/>
      <c r="AY40" s="2875"/>
      <c r="AZ40" s="2875"/>
      <c r="BA40" s="1528"/>
      <c r="BB40" s="1528"/>
      <c r="BC40" s="1528"/>
      <c r="BD40" s="1528"/>
      <c r="BE40" s="1534"/>
    </row>
    <row r="41" spans="1:58" ht="15.75" customHeight="1">
      <c r="A41" s="1817"/>
      <c r="B41" s="2892" t="s">
        <v>2067</v>
      </c>
      <c r="C41" s="2893"/>
      <c r="D41" s="2893"/>
      <c r="E41" s="2893"/>
      <c r="F41" s="2893"/>
      <c r="G41" s="2893"/>
      <c r="H41" s="2893"/>
      <c r="I41" s="2894"/>
      <c r="J41" s="2884"/>
      <c r="K41" s="2688"/>
      <c r="L41" s="2688"/>
      <c r="M41" s="2816"/>
      <c r="N41" s="2810"/>
      <c r="O41" s="2688"/>
      <c r="P41" s="2688"/>
      <c r="Q41" s="2888"/>
      <c r="R41" s="2873"/>
      <c r="S41" s="2873"/>
      <c r="T41" s="2873"/>
      <c r="U41" s="2873"/>
      <c r="V41" s="2873"/>
      <c r="W41" s="2873"/>
      <c r="X41" s="2873"/>
      <c r="Y41" s="2873"/>
      <c r="Z41" s="2873"/>
      <c r="AA41" s="2873"/>
      <c r="AB41" s="2873"/>
      <c r="AC41" s="2873"/>
      <c r="AD41" s="2873"/>
      <c r="AE41" s="2873"/>
      <c r="AF41" s="2873"/>
      <c r="AG41" s="2873"/>
      <c r="AH41" s="2873"/>
      <c r="AI41" s="2873"/>
      <c r="AJ41" s="2873"/>
      <c r="AK41" s="2873"/>
      <c r="AL41" s="2873"/>
      <c r="AM41" s="2873"/>
      <c r="AN41" s="2873"/>
      <c r="AO41" s="2874">
        <f t="shared" si="4"/>
        <v>0</v>
      </c>
      <c r="AP41" s="2874"/>
      <c r="AQ41" s="2874"/>
      <c r="AR41" s="2874"/>
      <c r="AS41" s="2874"/>
      <c r="AT41" s="2874"/>
      <c r="AU41" s="2875">
        <f t="shared" si="5"/>
        <v>0</v>
      </c>
      <c r="AV41" s="2875"/>
      <c r="AW41" s="2875"/>
      <c r="AX41" s="2875"/>
      <c r="AY41" s="2875"/>
      <c r="AZ41" s="2875"/>
      <c r="BA41" s="1528"/>
      <c r="BB41" s="1528"/>
      <c r="BC41" s="1528"/>
      <c r="BD41" s="1528"/>
      <c r="BE41" s="1534"/>
    </row>
    <row r="42" spans="1:58" ht="15.75" customHeight="1">
      <c r="A42" s="1817"/>
      <c r="B42" s="2892" t="s">
        <v>2067</v>
      </c>
      <c r="C42" s="2893"/>
      <c r="D42" s="2893"/>
      <c r="E42" s="2893"/>
      <c r="F42" s="2893"/>
      <c r="G42" s="2893"/>
      <c r="H42" s="2893"/>
      <c r="I42" s="2894"/>
      <c r="J42" s="2884"/>
      <c r="K42" s="2688"/>
      <c r="L42" s="2688"/>
      <c r="M42" s="2816"/>
      <c r="N42" s="2810"/>
      <c r="O42" s="2688"/>
      <c r="P42" s="2688"/>
      <c r="Q42" s="2888"/>
      <c r="R42" s="2873"/>
      <c r="S42" s="2873"/>
      <c r="T42" s="2873"/>
      <c r="U42" s="2873"/>
      <c r="V42" s="2873"/>
      <c r="W42" s="2873"/>
      <c r="X42" s="2873"/>
      <c r="Y42" s="2873"/>
      <c r="Z42" s="2873"/>
      <c r="AA42" s="2873"/>
      <c r="AB42" s="2873"/>
      <c r="AC42" s="2873"/>
      <c r="AD42" s="2873"/>
      <c r="AE42" s="2873"/>
      <c r="AF42" s="2873"/>
      <c r="AG42" s="2873"/>
      <c r="AH42" s="2873"/>
      <c r="AI42" s="2873"/>
      <c r="AJ42" s="2873"/>
      <c r="AK42" s="2873"/>
      <c r="AL42" s="2873"/>
      <c r="AM42" s="2873"/>
      <c r="AN42" s="2873"/>
      <c r="AO42" s="2874">
        <f t="shared" si="4"/>
        <v>0</v>
      </c>
      <c r="AP42" s="2874"/>
      <c r="AQ42" s="2874"/>
      <c r="AR42" s="2874"/>
      <c r="AS42" s="2874"/>
      <c r="AT42" s="2874"/>
      <c r="AU42" s="2875">
        <f t="shared" si="5"/>
        <v>0</v>
      </c>
      <c r="AV42" s="2875"/>
      <c r="AW42" s="2875"/>
      <c r="AX42" s="2875"/>
      <c r="AY42" s="2875"/>
      <c r="AZ42" s="2875"/>
      <c r="BA42" s="1528"/>
      <c r="BB42" s="1528"/>
      <c r="BC42" s="1528"/>
      <c r="BD42" s="1528"/>
      <c r="BE42" s="1534"/>
    </row>
    <row r="43" spans="1:58" ht="15.75" customHeight="1">
      <c r="A43" s="1817"/>
      <c r="B43" s="2889" t="s">
        <v>2068</v>
      </c>
      <c r="C43" s="2890"/>
      <c r="D43" s="2890"/>
      <c r="E43" s="2890"/>
      <c r="F43" s="2890"/>
      <c r="G43" s="2890"/>
      <c r="H43" s="2890"/>
      <c r="I43" s="2891"/>
      <c r="J43" s="2884"/>
      <c r="K43" s="2688"/>
      <c r="L43" s="2688"/>
      <c r="M43" s="2816"/>
      <c r="N43" s="2810"/>
      <c r="O43" s="2688"/>
      <c r="P43" s="2688"/>
      <c r="Q43" s="2888"/>
      <c r="R43" s="2873"/>
      <c r="S43" s="2873"/>
      <c r="T43" s="2873"/>
      <c r="U43" s="2873"/>
      <c r="V43" s="2873"/>
      <c r="W43" s="2873"/>
      <c r="X43" s="2873"/>
      <c r="Y43" s="2873"/>
      <c r="Z43" s="2873"/>
      <c r="AA43" s="2873"/>
      <c r="AB43" s="2873"/>
      <c r="AC43" s="2873"/>
      <c r="AD43" s="2873"/>
      <c r="AE43" s="2873"/>
      <c r="AF43" s="2873"/>
      <c r="AG43" s="2873"/>
      <c r="AH43" s="2873"/>
      <c r="AI43" s="2873"/>
      <c r="AJ43" s="2873"/>
      <c r="AK43" s="2873"/>
      <c r="AL43" s="2873"/>
      <c r="AM43" s="2873"/>
      <c r="AN43" s="2873"/>
      <c r="AO43" s="2874">
        <f t="shared" si="4"/>
        <v>0</v>
      </c>
      <c r="AP43" s="2874"/>
      <c r="AQ43" s="2874"/>
      <c r="AR43" s="2874"/>
      <c r="AS43" s="2874"/>
      <c r="AT43" s="2874"/>
      <c r="AU43" s="2875">
        <f t="shared" si="5"/>
        <v>0</v>
      </c>
      <c r="AV43" s="2875"/>
      <c r="AW43" s="2875"/>
      <c r="AX43" s="2875"/>
      <c r="AY43" s="2875"/>
      <c r="AZ43" s="2875"/>
      <c r="BA43" s="1528"/>
      <c r="BB43" s="1528"/>
      <c r="BC43" s="1528"/>
      <c r="BD43" s="1528"/>
      <c r="BE43" s="1534"/>
    </row>
    <row r="44" spans="1:58" ht="15.75" customHeight="1">
      <c r="A44" s="1817"/>
      <c r="B44" s="2889" t="s">
        <v>2069</v>
      </c>
      <c r="C44" s="2890"/>
      <c r="D44" s="2890"/>
      <c r="E44" s="2890"/>
      <c r="F44" s="2890"/>
      <c r="G44" s="2890"/>
      <c r="H44" s="2890"/>
      <c r="I44" s="2891"/>
      <c r="J44" s="2884"/>
      <c r="K44" s="2688"/>
      <c r="L44" s="2688"/>
      <c r="M44" s="2816"/>
      <c r="N44" s="2810"/>
      <c r="O44" s="2688"/>
      <c r="P44" s="2688"/>
      <c r="Q44" s="2888"/>
      <c r="R44" s="2873"/>
      <c r="S44" s="2873"/>
      <c r="T44" s="2873"/>
      <c r="U44" s="2873"/>
      <c r="V44" s="2873"/>
      <c r="W44" s="2873"/>
      <c r="X44" s="2873"/>
      <c r="Y44" s="2873"/>
      <c r="Z44" s="2873"/>
      <c r="AA44" s="2873"/>
      <c r="AB44" s="2873"/>
      <c r="AC44" s="2873"/>
      <c r="AD44" s="2873"/>
      <c r="AE44" s="2873"/>
      <c r="AF44" s="2873"/>
      <c r="AG44" s="2873"/>
      <c r="AH44" s="2873"/>
      <c r="AI44" s="2873"/>
      <c r="AJ44" s="2873"/>
      <c r="AK44" s="2873"/>
      <c r="AL44" s="2873"/>
      <c r="AM44" s="2873"/>
      <c r="AN44" s="2873"/>
      <c r="AO44" s="2874">
        <f t="shared" si="4"/>
        <v>0</v>
      </c>
      <c r="AP44" s="2874"/>
      <c r="AQ44" s="2874"/>
      <c r="AR44" s="2874"/>
      <c r="AS44" s="2874"/>
      <c r="AT44" s="2874"/>
      <c r="AU44" s="2875">
        <f t="shared" si="5"/>
        <v>0</v>
      </c>
      <c r="AV44" s="2875"/>
      <c r="AW44" s="2875"/>
      <c r="AX44" s="2875"/>
      <c r="AY44" s="2875"/>
      <c r="AZ44" s="2875"/>
      <c r="BA44" s="1528"/>
      <c r="BB44" s="1528"/>
      <c r="BC44" s="1528"/>
      <c r="BD44" s="1528"/>
      <c r="BE44" s="1534"/>
    </row>
    <row r="45" spans="1:58" ht="15.75" customHeight="1">
      <c r="A45" s="1817"/>
      <c r="B45" s="2881" t="s">
        <v>2070</v>
      </c>
      <c r="C45" s="2882"/>
      <c r="D45" s="2882"/>
      <c r="E45" s="2882"/>
      <c r="F45" s="2882"/>
      <c r="G45" s="2882"/>
      <c r="H45" s="2882"/>
      <c r="I45" s="2883"/>
      <c r="J45" s="2884"/>
      <c r="K45" s="2688"/>
      <c r="L45" s="2688"/>
      <c r="M45" s="2816"/>
      <c r="N45" s="2810"/>
      <c r="O45" s="2688"/>
      <c r="P45" s="2688"/>
      <c r="Q45" s="2888"/>
      <c r="R45" s="2873"/>
      <c r="S45" s="2873"/>
      <c r="T45" s="2873"/>
      <c r="U45" s="2873"/>
      <c r="V45" s="2873"/>
      <c r="W45" s="2873"/>
      <c r="X45" s="2873"/>
      <c r="Y45" s="2873"/>
      <c r="Z45" s="2873"/>
      <c r="AA45" s="2873"/>
      <c r="AB45" s="2873"/>
      <c r="AC45" s="2873"/>
      <c r="AD45" s="2873"/>
      <c r="AE45" s="2873"/>
      <c r="AF45" s="2873"/>
      <c r="AG45" s="2873"/>
      <c r="AH45" s="2873"/>
      <c r="AI45" s="2873"/>
      <c r="AJ45" s="2873"/>
      <c r="AK45" s="2873"/>
      <c r="AL45" s="2873"/>
      <c r="AM45" s="2873"/>
      <c r="AN45" s="2873"/>
      <c r="AO45" s="2874">
        <f t="shared" si="4"/>
        <v>0</v>
      </c>
      <c r="AP45" s="2874"/>
      <c r="AQ45" s="2874"/>
      <c r="AR45" s="2874"/>
      <c r="AS45" s="2874"/>
      <c r="AT45" s="2874"/>
      <c r="AU45" s="2875">
        <f t="shared" si="5"/>
        <v>0</v>
      </c>
      <c r="AV45" s="2875"/>
      <c r="AW45" s="2875"/>
      <c r="AX45" s="2875"/>
      <c r="AY45" s="2875"/>
      <c r="AZ45" s="2875"/>
      <c r="BA45" s="1528"/>
      <c r="BB45" s="1528"/>
      <c r="BC45" s="1528"/>
      <c r="BD45" s="1528"/>
      <c r="BE45" s="1534"/>
    </row>
    <row r="46" spans="1:58" ht="15.75" customHeight="1">
      <c r="A46" s="1817"/>
      <c r="B46" s="2881" t="s">
        <v>2071</v>
      </c>
      <c r="C46" s="2882"/>
      <c r="D46" s="2882"/>
      <c r="E46" s="2882"/>
      <c r="F46" s="2882"/>
      <c r="G46" s="2882"/>
      <c r="H46" s="2882"/>
      <c r="I46" s="2883"/>
      <c r="J46" s="2884"/>
      <c r="K46" s="2688"/>
      <c r="L46" s="2688"/>
      <c r="M46" s="2816"/>
      <c r="N46" s="2885">
        <v>99</v>
      </c>
      <c r="O46" s="2886"/>
      <c r="P46" s="2886"/>
      <c r="Q46" s="2887"/>
      <c r="R46" s="2873"/>
      <c r="S46" s="2873"/>
      <c r="T46" s="2873"/>
      <c r="U46" s="2873"/>
      <c r="V46" s="2873"/>
      <c r="W46" s="2873"/>
      <c r="X46" s="2873"/>
      <c r="Y46" s="2873"/>
      <c r="Z46" s="2873"/>
      <c r="AA46" s="2873"/>
      <c r="AB46" s="2873"/>
      <c r="AC46" s="2873"/>
      <c r="AD46" s="2873"/>
      <c r="AE46" s="2873"/>
      <c r="AF46" s="2873"/>
      <c r="AG46" s="2873"/>
      <c r="AH46" s="2873"/>
      <c r="AI46" s="2873"/>
      <c r="AJ46" s="2873"/>
      <c r="AK46" s="2873"/>
      <c r="AL46" s="2873"/>
      <c r="AM46" s="2873"/>
      <c r="AN46" s="2873"/>
      <c r="AO46" s="2874">
        <f t="shared" si="4"/>
        <v>0</v>
      </c>
      <c r="AP46" s="2874"/>
      <c r="AQ46" s="2874"/>
      <c r="AR46" s="2874"/>
      <c r="AS46" s="2874"/>
      <c r="AT46" s="2874"/>
      <c r="AU46" s="2875">
        <f t="shared" si="5"/>
        <v>0</v>
      </c>
      <c r="AV46" s="2875"/>
      <c r="AW46" s="2875"/>
      <c r="AX46" s="2875"/>
      <c r="AY46" s="2875"/>
      <c r="AZ46" s="2875"/>
      <c r="BA46" s="1528"/>
      <c r="BB46" s="1528"/>
      <c r="BC46" s="1528"/>
      <c r="BD46" s="1528"/>
      <c r="BE46" s="1534"/>
    </row>
    <row r="47" spans="1:58" ht="15.75" customHeight="1" thickBot="1">
      <c r="A47" s="1817"/>
      <c r="B47" s="2876" t="s">
        <v>308</v>
      </c>
      <c r="C47" s="2877"/>
      <c r="D47" s="2877"/>
      <c r="E47" s="2877"/>
      <c r="F47" s="2877"/>
      <c r="G47" s="2877"/>
      <c r="H47" s="2877"/>
      <c r="I47" s="2878"/>
      <c r="J47" s="2879"/>
      <c r="K47" s="2801"/>
      <c r="L47" s="2801"/>
      <c r="M47" s="2802"/>
      <c r="N47" s="2817"/>
      <c r="O47" s="2801"/>
      <c r="P47" s="2801"/>
      <c r="Q47" s="2880"/>
      <c r="R47" s="2873"/>
      <c r="S47" s="2873"/>
      <c r="T47" s="2873"/>
      <c r="U47" s="2873"/>
      <c r="V47" s="2873"/>
      <c r="W47" s="2873"/>
      <c r="X47" s="2873"/>
      <c r="Y47" s="2873"/>
      <c r="Z47" s="2873"/>
      <c r="AA47" s="2873"/>
      <c r="AB47" s="2873"/>
      <c r="AC47" s="2873"/>
      <c r="AD47" s="2873"/>
      <c r="AE47" s="2873"/>
      <c r="AF47" s="2873"/>
      <c r="AG47" s="2873"/>
      <c r="AH47" s="2873"/>
      <c r="AI47" s="2873"/>
      <c r="AJ47" s="2873"/>
      <c r="AK47" s="2873"/>
      <c r="AL47" s="2873"/>
      <c r="AM47" s="2873"/>
      <c r="AN47" s="2873"/>
      <c r="AO47" s="2874">
        <f t="shared" si="4"/>
        <v>0</v>
      </c>
      <c r="AP47" s="2874"/>
      <c r="AQ47" s="2874"/>
      <c r="AR47" s="2874"/>
      <c r="AS47" s="2874"/>
      <c r="AT47" s="2874"/>
      <c r="AU47" s="2875">
        <f t="shared" si="5"/>
        <v>0</v>
      </c>
      <c r="AV47" s="2875"/>
      <c r="AW47" s="2875"/>
      <c r="AX47" s="2875"/>
      <c r="AY47" s="2875"/>
      <c r="AZ47" s="2875"/>
      <c r="BA47" s="1528"/>
      <c r="BB47" s="1528"/>
      <c r="BC47" s="1528"/>
      <c r="BD47" s="1528"/>
      <c r="BE47" s="1534"/>
    </row>
    <row r="48" spans="1:58" ht="15.75" customHeight="1">
      <c r="A48" s="1817"/>
      <c r="B48" s="1536" t="s">
        <v>2072</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2073</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861" t="s">
        <v>2074</v>
      </c>
      <c r="C50" s="2862"/>
      <c r="D50" s="2862"/>
      <c r="E50" s="2862"/>
      <c r="F50" s="2862"/>
      <c r="G50" s="2862"/>
      <c r="H50" s="2862"/>
      <c r="I50" s="2862"/>
      <c r="J50" s="2862"/>
      <c r="K50" s="2862"/>
      <c r="L50" s="2862"/>
      <c r="M50" s="2862"/>
      <c r="N50" s="2862"/>
      <c r="O50" s="2862"/>
      <c r="P50" s="2862"/>
      <c r="Q50" s="2862"/>
      <c r="R50" s="2862"/>
      <c r="S50" s="2862"/>
      <c r="T50" s="2862"/>
      <c r="U50" s="2862"/>
      <c r="V50" s="2862"/>
      <c r="W50" s="2862"/>
      <c r="X50" s="2862"/>
      <c r="Y50" s="2862"/>
      <c r="Z50" s="2862"/>
      <c r="AA50" s="2862"/>
      <c r="AB50" s="2862"/>
      <c r="AC50" s="2862"/>
      <c r="AD50" s="2862"/>
      <c r="AE50" s="2862"/>
      <c r="AF50" s="2862"/>
      <c r="AG50" s="2862"/>
      <c r="AH50" s="2862"/>
      <c r="AI50" s="2862"/>
      <c r="AJ50" s="2862"/>
      <c r="AK50" s="2862"/>
      <c r="AL50" s="2862"/>
      <c r="AM50" s="2862"/>
      <c r="AN50" s="2862"/>
      <c r="AO50" s="2863"/>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864" t="s">
        <v>2075</v>
      </c>
      <c r="C51" s="2865"/>
      <c r="D51" s="2865"/>
      <c r="E51" s="2865"/>
      <c r="F51" s="2865"/>
      <c r="G51" s="2865"/>
      <c r="H51" s="2865"/>
      <c r="I51" s="2866"/>
      <c r="J51" s="2864" t="s">
        <v>2076</v>
      </c>
      <c r="K51" s="2865"/>
      <c r="L51" s="2865"/>
      <c r="M51" s="2865"/>
      <c r="N51" s="2865"/>
      <c r="O51" s="2865"/>
      <c r="P51" s="2865"/>
      <c r="Q51" s="2866"/>
      <c r="R51" s="2867" t="s">
        <v>2077</v>
      </c>
      <c r="S51" s="2868"/>
      <c r="T51" s="2868"/>
      <c r="U51" s="2868"/>
      <c r="V51" s="2868"/>
      <c r="W51" s="2868"/>
      <c r="X51" s="2868"/>
      <c r="Y51" s="2869"/>
      <c r="Z51" s="2870" t="s">
        <v>2078</v>
      </c>
      <c r="AA51" s="2871"/>
      <c r="AB51" s="2871"/>
      <c r="AC51" s="2871"/>
      <c r="AD51" s="2871"/>
      <c r="AE51" s="2871"/>
      <c r="AF51" s="2871"/>
      <c r="AG51" s="2872"/>
      <c r="AH51" s="2870" t="s">
        <v>2079</v>
      </c>
      <c r="AI51" s="2871"/>
      <c r="AJ51" s="2871"/>
      <c r="AK51" s="2871"/>
      <c r="AL51" s="2871"/>
      <c r="AM51" s="2871"/>
      <c r="AN51" s="2871"/>
      <c r="AO51" s="2872"/>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859"/>
      <c r="C52" s="2843"/>
      <c r="D52" s="2843"/>
      <c r="E52" s="2843"/>
      <c r="F52" s="2843"/>
      <c r="G52" s="2843"/>
      <c r="H52" s="2843"/>
      <c r="I52" s="2843"/>
      <c r="J52" s="2843"/>
      <c r="K52" s="2843"/>
      <c r="L52" s="2843"/>
      <c r="M52" s="2843"/>
      <c r="N52" s="2843"/>
      <c r="O52" s="2843"/>
      <c r="P52" s="2843"/>
      <c r="Q52" s="2843"/>
      <c r="R52" s="2860"/>
      <c r="S52" s="2860"/>
      <c r="T52" s="2860"/>
      <c r="U52" s="2860"/>
      <c r="V52" s="2860"/>
      <c r="W52" s="2860"/>
      <c r="X52" s="2860"/>
      <c r="Y52" s="2860"/>
      <c r="Z52" s="2843"/>
      <c r="AA52" s="2843"/>
      <c r="AB52" s="2843"/>
      <c r="AC52" s="2843"/>
      <c r="AD52" s="2843"/>
      <c r="AE52" s="2843"/>
      <c r="AF52" s="2843"/>
      <c r="AG52" s="2843"/>
      <c r="AH52" s="2843"/>
      <c r="AI52" s="2843"/>
      <c r="AJ52" s="2843"/>
      <c r="AK52" s="2843"/>
      <c r="AL52" s="2843"/>
      <c r="AM52" s="2843"/>
      <c r="AN52" s="2843"/>
      <c r="AO52" s="2844"/>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859"/>
      <c r="C53" s="2843"/>
      <c r="D53" s="2843"/>
      <c r="E53" s="2843"/>
      <c r="F53" s="2843"/>
      <c r="G53" s="2843"/>
      <c r="H53" s="2843"/>
      <c r="I53" s="2843"/>
      <c r="J53" s="2843"/>
      <c r="K53" s="2843"/>
      <c r="L53" s="2843"/>
      <c r="M53" s="2843"/>
      <c r="N53" s="2843"/>
      <c r="O53" s="2843"/>
      <c r="P53" s="2843"/>
      <c r="Q53" s="2843"/>
      <c r="R53" s="2860"/>
      <c r="S53" s="2860"/>
      <c r="T53" s="2860"/>
      <c r="U53" s="2860"/>
      <c r="V53" s="2860"/>
      <c r="W53" s="2860"/>
      <c r="X53" s="2860"/>
      <c r="Y53" s="2860"/>
      <c r="Z53" s="2843"/>
      <c r="AA53" s="2843"/>
      <c r="AB53" s="2843"/>
      <c r="AC53" s="2843"/>
      <c r="AD53" s="2843"/>
      <c r="AE53" s="2843"/>
      <c r="AF53" s="2843"/>
      <c r="AG53" s="2843"/>
      <c r="AH53" s="2843"/>
      <c r="AI53" s="2843"/>
      <c r="AJ53" s="2843"/>
      <c r="AK53" s="2843"/>
      <c r="AL53" s="2843"/>
      <c r="AM53" s="2843"/>
      <c r="AN53" s="2843"/>
      <c r="AO53" s="2844"/>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859"/>
      <c r="C54" s="2843"/>
      <c r="D54" s="2843"/>
      <c r="E54" s="2843"/>
      <c r="F54" s="2843"/>
      <c r="G54" s="2843"/>
      <c r="H54" s="2843"/>
      <c r="I54" s="2843"/>
      <c r="J54" s="2843"/>
      <c r="K54" s="2843"/>
      <c r="L54" s="2843"/>
      <c r="M54" s="2843"/>
      <c r="N54" s="2843"/>
      <c r="O54" s="2843"/>
      <c r="P54" s="2843"/>
      <c r="Q54" s="2843"/>
      <c r="R54" s="2860"/>
      <c r="S54" s="2860"/>
      <c r="T54" s="2860"/>
      <c r="U54" s="2860"/>
      <c r="V54" s="2860"/>
      <c r="W54" s="2860"/>
      <c r="X54" s="2860"/>
      <c r="Y54" s="2860"/>
      <c r="Z54" s="2843"/>
      <c r="AA54" s="2843"/>
      <c r="AB54" s="2843"/>
      <c r="AC54" s="2843"/>
      <c r="AD54" s="2843"/>
      <c r="AE54" s="2843"/>
      <c r="AF54" s="2843"/>
      <c r="AG54" s="2843"/>
      <c r="AH54" s="2843"/>
      <c r="AI54" s="2843"/>
      <c r="AJ54" s="2843"/>
      <c r="AK54" s="2843"/>
      <c r="AL54" s="2843"/>
      <c r="AM54" s="2843"/>
      <c r="AN54" s="2843"/>
      <c r="AO54" s="2844"/>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859"/>
      <c r="C55" s="2843"/>
      <c r="D55" s="2843"/>
      <c r="E55" s="2843"/>
      <c r="F55" s="2843"/>
      <c r="G55" s="2843"/>
      <c r="H55" s="2843"/>
      <c r="I55" s="2843"/>
      <c r="J55" s="2843"/>
      <c r="K55" s="2843"/>
      <c r="L55" s="2843"/>
      <c r="M55" s="2843"/>
      <c r="N55" s="2843"/>
      <c r="O55" s="2843"/>
      <c r="P55" s="2843"/>
      <c r="Q55" s="2843"/>
      <c r="R55" s="2860"/>
      <c r="S55" s="2860"/>
      <c r="T55" s="2860"/>
      <c r="U55" s="2860"/>
      <c r="V55" s="2860"/>
      <c r="W55" s="2860"/>
      <c r="X55" s="2860"/>
      <c r="Y55" s="2860"/>
      <c r="Z55" s="2843"/>
      <c r="AA55" s="2843"/>
      <c r="AB55" s="2843"/>
      <c r="AC55" s="2843"/>
      <c r="AD55" s="2843"/>
      <c r="AE55" s="2843"/>
      <c r="AF55" s="2843"/>
      <c r="AG55" s="2843"/>
      <c r="AH55" s="2843"/>
      <c r="AI55" s="2843"/>
      <c r="AJ55" s="2843"/>
      <c r="AK55" s="2843"/>
      <c r="AL55" s="2843"/>
      <c r="AM55" s="2843"/>
      <c r="AN55" s="2843"/>
      <c r="AO55" s="2844"/>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854"/>
      <c r="C56" s="2849"/>
      <c r="D56" s="2849"/>
      <c r="E56" s="2849"/>
      <c r="F56" s="2849"/>
      <c r="G56" s="2849"/>
      <c r="H56" s="2849"/>
      <c r="I56" s="2849"/>
      <c r="J56" s="2849"/>
      <c r="K56" s="2849"/>
      <c r="L56" s="2849"/>
      <c r="M56" s="2849"/>
      <c r="N56" s="2849"/>
      <c r="O56" s="2849"/>
      <c r="P56" s="2849"/>
      <c r="Q56" s="2849"/>
      <c r="R56" s="2855"/>
      <c r="S56" s="2855"/>
      <c r="T56" s="2855"/>
      <c r="U56" s="2855"/>
      <c r="V56" s="2855"/>
      <c r="W56" s="2855"/>
      <c r="X56" s="2855"/>
      <c r="Y56" s="2855"/>
      <c r="Z56" s="2849"/>
      <c r="AA56" s="2849"/>
      <c r="AB56" s="2849"/>
      <c r="AC56" s="2849"/>
      <c r="AD56" s="2849"/>
      <c r="AE56" s="2849"/>
      <c r="AF56" s="2849"/>
      <c r="AG56" s="2849"/>
      <c r="AH56" s="2849"/>
      <c r="AI56" s="2849"/>
      <c r="AJ56" s="2849"/>
      <c r="AK56" s="2849"/>
      <c r="AL56" s="2849"/>
      <c r="AM56" s="2849"/>
      <c r="AN56" s="2849"/>
      <c r="AO56" s="2850"/>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856" t="s">
        <v>1881</v>
      </c>
      <c r="C57" s="2857"/>
      <c r="D57" s="2857"/>
      <c r="E57" s="2857"/>
      <c r="F57" s="2857"/>
      <c r="G57" s="2857"/>
      <c r="H57" s="2857"/>
      <c r="I57" s="2857"/>
      <c r="J57" s="2857"/>
      <c r="K57" s="2857"/>
      <c r="L57" s="2857"/>
      <c r="M57" s="2857"/>
      <c r="N57" s="2857"/>
      <c r="O57" s="2857"/>
      <c r="P57" s="2857"/>
      <c r="Q57" s="2857"/>
      <c r="R57" s="2858">
        <f>SUM(R52:Y56)</f>
        <v>0</v>
      </c>
      <c r="S57" s="2858"/>
      <c r="T57" s="2858"/>
      <c r="U57" s="2858"/>
      <c r="V57" s="2858"/>
      <c r="W57" s="2858"/>
      <c r="X57" s="2858"/>
      <c r="Y57" s="2858"/>
      <c r="Z57" s="2858">
        <f t="shared" ref="Z57" si="6">SUM(Z52:AG56)</f>
        <v>0</v>
      </c>
      <c r="AA57" s="2858"/>
      <c r="AB57" s="2858"/>
      <c r="AC57" s="2858"/>
      <c r="AD57" s="2858"/>
      <c r="AE57" s="2858"/>
      <c r="AF57" s="2858"/>
      <c r="AG57" s="2858"/>
      <c r="AH57" s="2858">
        <f t="shared" ref="AH57" si="7">SUM(AH52:AO56)</f>
        <v>0</v>
      </c>
      <c r="AI57" s="2858"/>
      <c r="AJ57" s="2858"/>
      <c r="AK57" s="2858"/>
      <c r="AL57" s="2858"/>
      <c r="AM57" s="2858"/>
      <c r="AN57" s="2858"/>
      <c r="AO57" s="2858"/>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851" t="s">
        <v>2075</v>
      </c>
      <c r="C59" s="2852"/>
      <c r="D59" s="2852"/>
      <c r="E59" s="2852"/>
      <c r="F59" s="2852"/>
      <c r="G59" s="2852"/>
      <c r="H59" s="2852"/>
      <c r="I59" s="2853"/>
      <c r="J59" s="2696" t="s">
        <v>2080</v>
      </c>
      <c r="K59" s="2696"/>
      <c r="L59" s="2696"/>
      <c r="M59" s="2696"/>
      <c r="N59" s="2696"/>
      <c r="O59" s="2696"/>
      <c r="P59" s="2696"/>
      <c r="Q59" s="2696"/>
      <c r="R59" s="2696"/>
      <c r="S59" s="2696"/>
      <c r="T59" s="2696"/>
      <c r="U59" s="2696"/>
      <c r="V59" s="2696"/>
      <c r="W59" s="2696"/>
      <c r="X59" s="2696"/>
      <c r="Y59" s="2696"/>
      <c r="Z59" s="2696"/>
      <c r="AA59" s="2696"/>
      <c r="AB59" s="2696"/>
      <c r="AC59" s="2696"/>
      <c r="AD59" s="2696"/>
      <c r="AE59" s="2696"/>
      <c r="AF59" s="2696"/>
      <c r="AG59" s="2696"/>
      <c r="AH59" s="2696"/>
      <c r="AI59" s="2696"/>
      <c r="AJ59" s="2696"/>
      <c r="AK59" s="2696"/>
      <c r="AL59" s="2696"/>
      <c r="AM59" s="2696"/>
      <c r="AN59" s="2696"/>
      <c r="AO59" s="2696"/>
      <c r="AP59" s="2696"/>
      <c r="AQ59" s="2696"/>
      <c r="AR59" s="2696"/>
      <c r="AS59" s="2696"/>
      <c r="AT59" s="2696"/>
      <c r="AU59" s="2696"/>
      <c r="AV59" s="2696"/>
      <c r="AW59" s="2697"/>
      <c r="AX59" s="1528"/>
      <c r="AY59" s="1528"/>
      <c r="AZ59" s="1528"/>
      <c r="BA59" s="1528"/>
      <c r="BB59" s="1528"/>
      <c r="BC59" s="1528"/>
      <c r="BD59" s="1528"/>
      <c r="BE59" s="1534"/>
    </row>
    <row r="60" spans="1:58" ht="15.75" customHeight="1">
      <c r="A60" s="1817"/>
      <c r="B60" s="2839" t="str">
        <f>IF(B52="", "", B52)</f>
        <v/>
      </c>
      <c r="C60" s="2840"/>
      <c r="D60" s="2840"/>
      <c r="E60" s="2840"/>
      <c r="F60" s="2840"/>
      <c r="G60" s="2840"/>
      <c r="H60" s="2840"/>
      <c r="I60" s="2841"/>
      <c r="J60" s="2842"/>
      <c r="K60" s="2843"/>
      <c r="L60" s="2843"/>
      <c r="M60" s="2843"/>
      <c r="N60" s="2843"/>
      <c r="O60" s="2843"/>
      <c r="P60" s="2843"/>
      <c r="Q60" s="2843"/>
      <c r="R60" s="2843"/>
      <c r="S60" s="2843"/>
      <c r="T60" s="2843"/>
      <c r="U60" s="2843"/>
      <c r="V60" s="2843"/>
      <c r="W60" s="2843"/>
      <c r="X60" s="2843"/>
      <c r="Y60" s="2843"/>
      <c r="Z60" s="2843"/>
      <c r="AA60" s="2843"/>
      <c r="AB60" s="2843"/>
      <c r="AC60" s="2843"/>
      <c r="AD60" s="2843"/>
      <c r="AE60" s="2843"/>
      <c r="AF60" s="2843"/>
      <c r="AG60" s="2843"/>
      <c r="AH60" s="2843"/>
      <c r="AI60" s="2843"/>
      <c r="AJ60" s="2843"/>
      <c r="AK60" s="2843"/>
      <c r="AL60" s="2843"/>
      <c r="AM60" s="2843"/>
      <c r="AN60" s="2843"/>
      <c r="AO60" s="2843"/>
      <c r="AP60" s="2843"/>
      <c r="AQ60" s="2843"/>
      <c r="AR60" s="2843"/>
      <c r="AS60" s="2843"/>
      <c r="AT60" s="2843"/>
      <c r="AU60" s="2843"/>
      <c r="AV60" s="2843"/>
      <c r="AW60" s="2844"/>
      <c r="AX60" s="1528"/>
      <c r="AY60" s="1528"/>
      <c r="AZ60" s="1528"/>
      <c r="BA60" s="1528"/>
      <c r="BB60" s="1528"/>
      <c r="BC60" s="1528"/>
      <c r="BD60" s="1528"/>
      <c r="BE60" s="1534"/>
    </row>
    <row r="61" spans="1:58" ht="15.75" customHeight="1">
      <c r="A61" s="1817"/>
      <c r="B61" s="2839" t="str">
        <f t="shared" ref="B61:B64" si="8">IF(B53="", "", B53)</f>
        <v/>
      </c>
      <c r="C61" s="2840"/>
      <c r="D61" s="2840"/>
      <c r="E61" s="2840"/>
      <c r="F61" s="2840"/>
      <c r="G61" s="2840"/>
      <c r="H61" s="2840"/>
      <c r="I61" s="2841"/>
      <c r="J61" s="2842"/>
      <c r="K61" s="2843"/>
      <c r="L61" s="2843"/>
      <c r="M61" s="2843"/>
      <c r="N61" s="2843"/>
      <c r="O61" s="2843"/>
      <c r="P61" s="2843"/>
      <c r="Q61" s="2843"/>
      <c r="R61" s="2843"/>
      <c r="S61" s="2843"/>
      <c r="T61" s="2843"/>
      <c r="U61" s="2843"/>
      <c r="V61" s="2843"/>
      <c r="W61" s="2843"/>
      <c r="X61" s="2843"/>
      <c r="Y61" s="2843"/>
      <c r="Z61" s="2843"/>
      <c r="AA61" s="2843"/>
      <c r="AB61" s="2843"/>
      <c r="AC61" s="2843"/>
      <c r="AD61" s="2843"/>
      <c r="AE61" s="2843"/>
      <c r="AF61" s="2843"/>
      <c r="AG61" s="2843"/>
      <c r="AH61" s="2843"/>
      <c r="AI61" s="2843"/>
      <c r="AJ61" s="2843"/>
      <c r="AK61" s="2843"/>
      <c r="AL61" s="2843"/>
      <c r="AM61" s="2843"/>
      <c r="AN61" s="2843"/>
      <c r="AO61" s="2843"/>
      <c r="AP61" s="2843"/>
      <c r="AQ61" s="2843"/>
      <c r="AR61" s="2843"/>
      <c r="AS61" s="2843"/>
      <c r="AT61" s="2843"/>
      <c r="AU61" s="2843"/>
      <c r="AV61" s="2843"/>
      <c r="AW61" s="2844"/>
      <c r="AX61" s="1528"/>
      <c r="AY61" s="1528"/>
      <c r="AZ61" s="1528"/>
      <c r="BA61" s="1528"/>
      <c r="BB61" s="1528"/>
      <c r="BC61" s="1528"/>
      <c r="BD61" s="1528"/>
      <c r="BE61" s="1534"/>
    </row>
    <row r="62" spans="1:58" ht="15.75" customHeight="1">
      <c r="A62" s="1817"/>
      <c r="B62" s="2839" t="str">
        <f t="shared" si="8"/>
        <v/>
      </c>
      <c r="C62" s="2840"/>
      <c r="D62" s="2840"/>
      <c r="E62" s="2840"/>
      <c r="F62" s="2840"/>
      <c r="G62" s="2840"/>
      <c r="H62" s="2840"/>
      <c r="I62" s="2841"/>
      <c r="J62" s="2842"/>
      <c r="K62" s="2843"/>
      <c r="L62" s="2843"/>
      <c r="M62" s="2843"/>
      <c r="N62" s="2843"/>
      <c r="O62" s="2843"/>
      <c r="P62" s="2843"/>
      <c r="Q62" s="2843"/>
      <c r="R62" s="2843"/>
      <c r="S62" s="2843"/>
      <c r="T62" s="2843"/>
      <c r="U62" s="2843"/>
      <c r="V62" s="2843"/>
      <c r="W62" s="2843"/>
      <c r="X62" s="2843"/>
      <c r="Y62" s="2843"/>
      <c r="Z62" s="2843"/>
      <c r="AA62" s="2843"/>
      <c r="AB62" s="2843"/>
      <c r="AC62" s="2843"/>
      <c r="AD62" s="2843"/>
      <c r="AE62" s="2843"/>
      <c r="AF62" s="2843"/>
      <c r="AG62" s="2843"/>
      <c r="AH62" s="2843"/>
      <c r="AI62" s="2843"/>
      <c r="AJ62" s="2843"/>
      <c r="AK62" s="2843"/>
      <c r="AL62" s="2843"/>
      <c r="AM62" s="2843"/>
      <c r="AN62" s="2843"/>
      <c r="AO62" s="2843"/>
      <c r="AP62" s="2843"/>
      <c r="AQ62" s="2843"/>
      <c r="AR62" s="2843"/>
      <c r="AS62" s="2843"/>
      <c r="AT62" s="2843"/>
      <c r="AU62" s="2843"/>
      <c r="AV62" s="2843"/>
      <c r="AW62" s="2844"/>
      <c r="AX62" s="1528"/>
      <c r="AY62" s="1528"/>
      <c r="AZ62" s="1528"/>
      <c r="BA62" s="1528"/>
      <c r="BB62" s="1528"/>
      <c r="BC62" s="1528"/>
      <c r="BD62" s="1528"/>
      <c r="BE62" s="1534"/>
    </row>
    <row r="63" spans="1:58" ht="15.75" customHeight="1">
      <c r="A63" s="1817"/>
      <c r="B63" s="2839" t="str">
        <f t="shared" si="8"/>
        <v/>
      </c>
      <c r="C63" s="2840"/>
      <c r="D63" s="2840"/>
      <c r="E63" s="2840"/>
      <c r="F63" s="2840"/>
      <c r="G63" s="2840"/>
      <c r="H63" s="2840"/>
      <c r="I63" s="2841"/>
      <c r="J63" s="2842"/>
      <c r="K63" s="2843"/>
      <c r="L63" s="2843"/>
      <c r="M63" s="2843"/>
      <c r="N63" s="2843"/>
      <c r="O63" s="2843"/>
      <c r="P63" s="2843"/>
      <c r="Q63" s="2843"/>
      <c r="R63" s="2843"/>
      <c r="S63" s="2843"/>
      <c r="T63" s="2843"/>
      <c r="U63" s="2843"/>
      <c r="V63" s="2843"/>
      <c r="W63" s="2843"/>
      <c r="X63" s="2843"/>
      <c r="Y63" s="2843"/>
      <c r="Z63" s="2843"/>
      <c r="AA63" s="2843"/>
      <c r="AB63" s="2843"/>
      <c r="AC63" s="2843"/>
      <c r="AD63" s="2843"/>
      <c r="AE63" s="2843"/>
      <c r="AF63" s="2843"/>
      <c r="AG63" s="2843"/>
      <c r="AH63" s="2843"/>
      <c r="AI63" s="2843"/>
      <c r="AJ63" s="2843"/>
      <c r="AK63" s="2843"/>
      <c r="AL63" s="2843"/>
      <c r="AM63" s="2843"/>
      <c r="AN63" s="2843"/>
      <c r="AO63" s="2843"/>
      <c r="AP63" s="2843"/>
      <c r="AQ63" s="2843"/>
      <c r="AR63" s="2843"/>
      <c r="AS63" s="2843"/>
      <c r="AT63" s="2843"/>
      <c r="AU63" s="2843"/>
      <c r="AV63" s="2843"/>
      <c r="AW63" s="2844"/>
      <c r="AX63" s="1528"/>
      <c r="AY63" s="1528"/>
      <c r="AZ63" s="1528"/>
      <c r="BA63" s="1528"/>
      <c r="BB63" s="1528"/>
      <c r="BC63" s="1528"/>
      <c r="BD63" s="1528"/>
      <c r="BE63" s="1534"/>
    </row>
    <row r="64" spans="1:58" ht="15.75" customHeight="1" thickBot="1">
      <c r="A64" s="1817"/>
      <c r="B64" s="2845" t="str">
        <f t="shared" si="8"/>
        <v/>
      </c>
      <c r="C64" s="2846"/>
      <c r="D64" s="2846"/>
      <c r="E64" s="2846"/>
      <c r="F64" s="2846"/>
      <c r="G64" s="2846"/>
      <c r="H64" s="2846"/>
      <c r="I64" s="2847"/>
      <c r="J64" s="2848"/>
      <c r="K64" s="2849"/>
      <c r="L64" s="2849"/>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c r="AS64" s="2849"/>
      <c r="AT64" s="2849"/>
      <c r="AU64" s="2849"/>
      <c r="AV64" s="2849"/>
      <c r="AW64" s="2850"/>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2081</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769" t="s">
        <v>2082</v>
      </c>
      <c r="C68" s="2770"/>
      <c r="D68" s="2770"/>
      <c r="E68" s="2770"/>
      <c r="F68" s="2770"/>
      <c r="G68" s="2770"/>
      <c r="H68" s="2770"/>
      <c r="I68" s="2770"/>
      <c r="J68" s="2770"/>
      <c r="K68" s="2770"/>
      <c r="L68" s="2770"/>
      <c r="M68" s="2770"/>
      <c r="N68" s="2770"/>
      <c r="O68" s="2770"/>
      <c r="P68" s="2770"/>
      <c r="Q68" s="2770"/>
      <c r="R68" s="2770"/>
      <c r="S68" s="2770"/>
      <c r="T68" s="2770"/>
      <c r="U68" s="2770"/>
      <c r="V68" s="2770"/>
      <c r="W68" s="2770"/>
      <c r="X68" s="2770"/>
      <c r="Y68" s="2770"/>
      <c r="Z68" s="2770"/>
      <c r="AA68" s="2831"/>
      <c r="AB68" s="1528"/>
      <c r="AC68" s="2832" t="s">
        <v>2083</v>
      </c>
      <c r="AD68" s="2833"/>
      <c r="AE68" s="2833"/>
      <c r="AF68" s="2833"/>
      <c r="AG68" s="2833"/>
      <c r="AH68" s="2833"/>
      <c r="AI68" s="2833"/>
      <c r="AJ68" s="2833"/>
      <c r="AK68" s="2833"/>
      <c r="AL68" s="2833"/>
      <c r="AM68" s="2833"/>
      <c r="AN68" s="2833"/>
      <c r="AO68" s="2833"/>
      <c r="AP68" s="2833"/>
      <c r="AQ68" s="2833"/>
      <c r="AR68" s="2833"/>
      <c r="AS68" s="2833"/>
      <c r="AT68" s="2833"/>
      <c r="AU68" s="2833"/>
      <c r="AV68" s="2834" t="s">
        <v>2039</v>
      </c>
      <c r="AW68" s="2834"/>
      <c r="AX68" s="2834"/>
      <c r="AY68" s="2834"/>
      <c r="AZ68" s="2834"/>
      <c r="BA68" s="2834"/>
      <c r="BB68" s="2834"/>
      <c r="BC68" s="2835"/>
      <c r="BD68" s="1528"/>
      <c r="BE68" s="1534"/>
    </row>
    <row r="69" spans="1:57" ht="15.75" customHeight="1" thickBot="1">
      <c r="A69" s="1817"/>
      <c r="B69" s="2836" t="s">
        <v>2084</v>
      </c>
      <c r="C69" s="2837"/>
      <c r="D69" s="2837"/>
      <c r="E69" s="2837"/>
      <c r="F69" s="2837"/>
      <c r="G69" s="2837"/>
      <c r="H69" s="2837"/>
      <c r="I69" s="2837"/>
      <c r="J69" s="2837"/>
      <c r="K69" s="2837"/>
      <c r="L69" s="2837"/>
      <c r="M69" s="2837"/>
      <c r="N69" s="2837"/>
      <c r="O69" s="2775" t="s">
        <v>2085</v>
      </c>
      <c r="P69" s="2674"/>
      <c r="Q69" s="2674"/>
      <c r="R69" s="2674"/>
      <c r="S69" s="2674"/>
      <c r="T69" s="2674"/>
      <c r="U69" s="2674"/>
      <c r="V69" s="2674"/>
      <c r="W69" s="2674"/>
      <c r="X69" s="2674"/>
      <c r="Y69" s="2674"/>
      <c r="Z69" s="2674"/>
      <c r="AA69" s="2675"/>
      <c r="AB69" s="1528"/>
      <c r="AC69" s="2617" t="s">
        <v>2086</v>
      </c>
      <c r="AD69" s="2618"/>
      <c r="AE69" s="2618"/>
      <c r="AF69" s="2618"/>
      <c r="AG69" s="2618"/>
      <c r="AH69" s="2618"/>
      <c r="AI69" s="2618"/>
      <c r="AJ69" s="2618"/>
      <c r="AK69" s="2618"/>
      <c r="AL69" s="2618"/>
      <c r="AM69" s="2618"/>
      <c r="AN69" s="2618"/>
      <c r="AO69" s="2618"/>
      <c r="AP69" s="2618"/>
      <c r="AQ69" s="2618"/>
      <c r="AR69" s="2618"/>
      <c r="AS69" s="2618"/>
      <c r="AT69" s="2618"/>
      <c r="AU69" s="2618"/>
      <c r="AV69" s="2723">
        <v>44197</v>
      </c>
      <c r="AW69" s="2722"/>
      <c r="AX69" s="2722"/>
      <c r="AY69" s="2722"/>
      <c r="AZ69" s="2722"/>
      <c r="BA69" s="2722"/>
      <c r="BB69" s="2722"/>
      <c r="BC69" s="2838"/>
      <c r="BD69" s="1528"/>
      <c r="BE69" s="1534"/>
    </row>
    <row r="70" spans="1:57" ht="15.75" customHeight="1">
      <c r="A70" s="1817"/>
      <c r="B70" s="2825"/>
      <c r="C70" s="2826"/>
      <c r="D70" s="2826"/>
      <c r="E70" s="2826"/>
      <c r="F70" s="2826"/>
      <c r="G70" s="2826"/>
      <c r="H70" s="2826"/>
      <c r="I70" s="2826"/>
      <c r="J70" s="2826"/>
      <c r="K70" s="2826"/>
      <c r="L70" s="2826"/>
      <c r="M70" s="2826"/>
      <c r="N70" s="2826"/>
      <c r="O70" s="2811"/>
      <c r="P70" s="2811"/>
      <c r="Q70" s="2811"/>
      <c r="R70" s="2811"/>
      <c r="S70" s="2811"/>
      <c r="T70" s="2811"/>
      <c r="U70" s="2811"/>
      <c r="V70" s="2811"/>
      <c r="W70" s="2811"/>
      <c r="X70" s="2811"/>
      <c r="Y70" s="2811"/>
      <c r="Z70" s="2811"/>
      <c r="AA70" s="2812"/>
      <c r="AB70" s="1528"/>
      <c r="AC70" s="2827" t="s">
        <v>2087</v>
      </c>
      <c r="AD70" s="2828"/>
      <c r="AE70" s="2828"/>
      <c r="AF70" s="2796"/>
      <c r="AG70" s="2796"/>
      <c r="AH70" s="2796"/>
      <c r="AI70" s="2796"/>
      <c r="AJ70" s="2796"/>
      <c r="AK70" s="2796"/>
      <c r="AL70" s="2796"/>
      <c r="AM70" s="2796"/>
      <c r="AN70" s="2796"/>
      <c r="AO70" s="2796"/>
      <c r="AP70" s="2796"/>
      <c r="AQ70" s="2796"/>
      <c r="AR70" s="2796"/>
      <c r="AS70" s="2796"/>
      <c r="AT70" s="2796"/>
      <c r="AU70" s="2797"/>
      <c r="AV70" s="1528"/>
      <c r="AW70" s="1528"/>
      <c r="AX70" s="1528"/>
      <c r="AY70" s="1528"/>
      <c r="AZ70" s="1528"/>
      <c r="BA70" s="1528"/>
      <c r="BB70" s="1528"/>
      <c r="BC70" s="1528"/>
      <c r="BD70" s="1528"/>
      <c r="BE70" s="1534"/>
    </row>
    <row r="71" spans="1:57" ht="15.75" customHeight="1" thickBot="1">
      <c r="A71" s="1817"/>
      <c r="B71" s="2810"/>
      <c r="C71" s="2688"/>
      <c r="D71" s="2688"/>
      <c r="E71" s="2688"/>
      <c r="F71" s="2688"/>
      <c r="G71" s="2688"/>
      <c r="H71" s="2688"/>
      <c r="I71" s="2688"/>
      <c r="J71" s="2688"/>
      <c r="K71" s="2688"/>
      <c r="L71" s="2688"/>
      <c r="M71" s="2688"/>
      <c r="N71" s="2688"/>
      <c r="O71" s="2811"/>
      <c r="P71" s="2811"/>
      <c r="Q71" s="2811"/>
      <c r="R71" s="2811"/>
      <c r="S71" s="2811"/>
      <c r="T71" s="2811"/>
      <c r="U71" s="2811"/>
      <c r="V71" s="2811"/>
      <c r="W71" s="2811"/>
      <c r="X71" s="2811"/>
      <c r="Y71" s="2811"/>
      <c r="Z71" s="2811"/>
      <c r="AA71" s="2812"/>
      <c r="AB71" s="1528"/>
      <c r="AC71" s="2829" t="s">
        <v>2088</v>
      </c>
      <c r="AD71" s="2830"/>
      <c r="AE71" s="2830"/>
      <c r="AF71" s="2801"/>
      <c r="AG71" s="2801"/>
      <c r="AH71" s="2801"/>
      <c r="AI71" s="2801"/>
      <c r="AJ71" s="2801"/>
      <c r="AK71" s="2801"/>
      <c r="AL71" s="2801"/>
      <c r="AM71" s="2801"/>
      <c r="AN71" s="2801"/>
      <c r="AO71" s="2801"/>
      <c r="AP71" s="2801"/>
      <c r="AQ71" s="2801"/>
      <c r="AR71" s="2801"/>
      <c r="AS71" s="2801"/>
      <c r="AT71" s="2801"/>
      <c r="AU71" s="2802"/>
      <c r="AV71" s="1528"/>
      <c r="AW71" s="1528"/>
      <c r="AX71" s="1528"/>
      <c r="AY71" s="1528"/>
      <c r="AZ71" s="1528"/>
      <c r="BA71" s="1528"/>
      <c r="BB71" s="1528"/>
      <c r="BC71" s="1528"/>
      <c r="BD71" s="1528"/>
      <c r="BE71" s="1534"/>
    </row>
    <row r="72" spans="1:57" ht="15.75" customHeight="1">
      <c r="A72" s="1817"/>
      <c r="B72" s="2810"/>
      <c r="C72" s="2688"/>
      <c r="D72" s="2688"/>
      <c r="E72" s="2688"/>
      <c r="F72" s="2688"/>
      <c r="G72" s="2688"/>
      <c r="H72" s="2688"/>
      <c r="I72" s="2688"/>
      <c r="J72" s="2688"/>
      <c r="K72" s="2688"/>
      <c r="L72" s="2688"/>
      <c r="M72" s="2688"/>
      <c r="N72" s="2688"/>
      <c r="O72" s="2811"/>
      <c r="P72" s="2811"/>
      <c r="Q72" s="2811"/>
      <c r="R72" s="2811"/>
      <c r="S72" s="2811"/>
      <c r="T72" s="2811"/>
      <c r="U72" s="2811"/>
      <c r="V72" s="2811"/>
      <c r="W72" s="2811"/>
      <c r="X72" s="2811"/>
      <c r="Y72" s="2811"/>
      <c r="Z72" s="2811"/>
      <c r="AA72" s="2812"/>
      <c r="AB72" s="1528"/>
      <c r="AC72" s="2813" t="s">
        <v>2089</v>
      </c>
      <c r="AD72" s="2814"/>
      <c r="AE72" s="2814"/>
      <c r="AF72" s="2814"/>
      <c r="AG72" s="2814"/>
      <c r="AH72" s="2814"/>
      <c r="AI72" s="2814"/>
      <c r="AJ72" s="2814"/>
      <c r="AK72" s="2814"/>
      <c r="AL72" s="2814"/>
      <c r="AM72" s="2814"/>
      <c r="AN72" s="2814"/>
      <c r="AO72" s="2814"/>
      <c r="AP72" s="2814"/>
      <c r="AQ72" s="2814"/>
      <c r="AR72" s="2814"/>
      <c r="AS72" s="2814"/>
      <c r="AT72" s="2814"/>
      <c r="AU72" s="2814"/>
      <c r="AV72" s="2814"/>
      <c r="AW72" s="2814"/>
      <c r="AX72" s="2814"/>
      <c r="AY72" s="2814"/>
      <c r="AZ72" s="2814"/>
      <c r="BA72" s="2814"/>
      <c r="BB72" s="2814"/>
      <c r="BC72" s="2815"/>
      <c r="BD72" s="1528"/>
      <c r="BE72" s="1534"/>
    </row>
    <row r="73" spans="1:57" ht="15.75" customHeight="1">
      <c r="A73" s="1817"/>
      <c r="B73" s="2810"/>
      <c r="C73" s="2688"/>
      <c r="D73" s="2688"/>
      <c r="E73" s="2688"/>
      <c r="F73" s="2688"/>
      <c r="G73" s="2688"/>
      <c r="H73" s="2688"/>
      <c r="I73" s="2688"/>
      <c r="J73" s="2688"/>
      <c r="K73" s="2688"/>
      <c r="L73" s="2688"/>
      <c r="M73" s="2688"/>
      <c r="N73" s="2688"/>
      <c r="O73" s="2811"/>
      <c r="P73" s="2811"/>
      <c r="Q73" s="2811"/>
      <c r="R73" s="2811"/>
      <c r="S73" s="2811"/>
      <c r="T73" s="2811"/>
      <c r="U73" s="2811"/>
      <c r="V73" s="2811"/>
      <c r="W73" s="2811"/>
      <c r="X73" s="2811"/>
      <c r="Y73" s="2811"/>
      <c r="Z73" s="2811"/>
      <c r="AA73" s="2812"/>
      <c r="AB73" s="1528"/>
      <c r="AC73" s="2810"/>
      <c r="AD73" s="2688"/>
      <c r="AE73" s="2688"/>
      <c r="AF73" s="2688"/>
      <c r="AG73" s="2688"/>
      <c r="AH73" s="2688"/>
      <c r="AI73" s="2688"/>
      <c r="AJ73" s="2688"/>
      <c r="AK73" s="2688"/>
      <c r="AL73" s="2688"/>
      <c r="AM73" s="2688"/>
      <c r="AN73" s="2688"/>
      <c r="AO73" s="2688"/>
      <c r="AP73" s="2688"/>
      <c r="AQ73" s="2688"/>
      <c r="AR73" s="2688"/>
      <c r="AS73" s="2688"/>
      <c r="AT73" s="2688"/>
      <c r="AU73" s="2688"/>
      <c r="AV73" s="2688"/>
      <c r="AW73" s="2688"/>
      <c r="AX73" s="2688"/>
      <c r="AY73" s="2688"/>
      <c r="AZ73" s="2688"/>
      <c r="BA73" s="2688"/>
      <c r="BB73" s="2688"/>
      <c r="BC73" s="2816"/>
      <c r="BD73" s="1528"/>
      <c r="BE73" s="1534"/>
    </row>
    <row r="74" spans="1:57" ht="15.75" customHeight="1" thickBot="1">
      <c r="A74" s="1817"/>
      <c r="B74" s="2810"/>
      <c r="C74" s="2688"/>
      <c r="D74" s="2688"/>
      <c r="E74" s="2688"/>
      <c r="F74" s="2688"/>
      <c r="G74" s="2688"/>
      <c r="H74" s="2688"/>
      <c r="I74" s="2688"/>
      <c r="J74" s="2688"/>
      <c r="K74" s="2688"/>
      <c r="L74" s="2688"/>
      <c r="M74" s="2688"/>
      <c r="N74" s="2688"/>
      <c r="O74" s="2818"/>
      <c r="P74" s="2818"/>
      <c r="Q74" s="2818"/>
      <c r="R74" s="2818"/>
      <c r="S74" s="2818"/>
      <c r="T74" s="2818"/>
      <c r="U74" s="2818"/>
      <c r="V74" s="2818"/>
      <c r="W74" s="2818"/>
      <c r="X74" s="2818"/>
      <c r="Y74" s="2818"/>
      <c r="Z74" s="2818"/>
      <c r="AA74" s="2819"/>
      <c r="AB74" s="1528"/>
      <c r="AC74" s="2810"/>
      <c r="AD74" s="2688"/>
      <c r="AE74" s="2688"/>
      <c r="AF74" s="2688"/>
      <c r="AG74" s="2688"/>
      <c r="AH74" s="2688"/>
      <c r="AI74" s="2688"/>
      <c r="AJ74" s="2688"/>
      <c r="AK74" s="2688"/>
      <c r="AL74" s="2688"/>
      <c r="AM74" s="2688"/>
      <c r="AN74" s="2688"/>
      <c r="AO74" s="2688"/>
      <c r="AP74" s="2688"/>
      <c r="AQ74" s="2688"/>
      <c r="AR74" s="2688"/>
      <c r="AS74" s="2688"/>
      <c r="AT74" s="2688"/>
      <c r="AU74" s="2688"/>
      <c r="AV74" s="2688"/>
      <c r="AW74" s="2688"/>
      <c r="AX74" s="2688"/>
      <c r="AY74" s="2688"/>
      <c r="AZ74" s="2688"/>
      <c r="BA74" s="2688"/>
      <c r="BB74" s="2688"/>
      <c r="BC74" s="2816"/>
      <c r="BD74" s="1528"/>
      <c r="BE74" s="1534"/>
    </row>
    <row r="75" spans="1:57" ht="15.75" customHeight="1" thickTop="1" thickBot="1">
      <c r="A75" s="1817"/>
      <c r="B75" s="2820" t="s">
        <v>129</v>
      </c>
      <c r="C75" s="2821"/>
      <c r="D75" s="2821"/>
      <c r="E75" s="2821"/>
      <c r="F75" s="2821"/>
      <c r="G75" s="2821"/>
      <c r="H75" s="2821"/>
      <c r="I75" s="2821"/>
      <c r="J75" s="2821"/>
      <c r="K75" s="2821"/>
      <c r="L75" s="2821"/>
      <c r="M75" s="2821"/>
      <c r="N75" s="2821"/>
      <c r="O75" s="2822">
        <f>SUM(O70:AA74)</f>
        <v>0</v>
      </c>
      <c r="P75" s="2823"/>
      <c r="Q75" s="2823"/>
      <c r="R75" s="2823"/>
      <c r="S75" s="2823"/>
      <c r="T75" s="2823"/>
      <c r="U75" s="2823"/>
      <c r="V75" s="2823"/>
      <c r="W75" s="2823"/>
      <c r="X75" s="2823"/>
      <c r="Y75" s="2823"/>
      <c r="Z75" s="2823"/>
      <c r="AA75" s="2824"/>
      <c r="AB75" s="1528"/>
      <c r="AC75" s="2810"/>
      <c r="AD75" s="2688"/>
      <c r="AE75" s="2688"/>
      <c r="AF75" s="2688"/>
      <c r="AG75" s="2688"/>
      <c r="AH75" s="2688"/>
      <c r="AI75" s="2688"/>
      <c r="AJ75" s="2688"/>
      <c r="AK75" s="2688"/>
      <c r="AL75" s="2688"/>
      <c r="AM75" s="2688"/>
      <c r="AN75" s="2688"/>
      <c r="AO75" s="2688"/>
      <c r="AP75" s="2688"/>
      <c r="AQ75" s="2688"/>
      <c r="AR75" s="2688"/>
      <c r="AS75" s="2688"/>
      <c r="AT75" s="2688"/>
      <c r="AU75" s="2688"/>
      <c r="AV75" s="2688"/>
      <c r="AW75" s="2688"/>
      <c r="AX75" s="2688"/>
      <c r="AY75" s="2688"/>
      <c r="AZ75" s="2688"/>
      <c r="BA75" s="2688"/>
      <c r="BB75" s="2688"/>
      <c r="BC75" s="2816"/>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810"/>
      <c r="AD76" s="2688"/>
      <c r="AE76" s="2688"/>
      <c r="AF76" s="2688"/>
      <c r="AG76" s="2688"/>
      <c r="AH76" s="2688"/>
      <c r="AI76" s="2688"/>
      <c r="AJ76" s="2688"/>
      <c r="AK76" s="2688"/>
      <c r="AL76" s="2688"/>
      <c r="AM76" s="2688"/>
      <c r="AN76" s="2688"/>
      <c r="AO76" s="2688"/>
      <c r="AP76" s="2688"/>
      <c r="AQ76" s="2688"/>
      <c r="AR76" s="2688"/>
      <c r="AS76" s="2688"/>
      <c r="AT76" s="2688"/>
      <c r="AU76" s="2688"/>
      <c r="AV76" s="2688"/>
      <c r="AW76" s="2688"/>
      <c r="AX76" s="2688"/>
      <c r="AY76" s="2688"/>
      <c r="AZ76" s="2688"/>
      <c r="BA76" s="2688"/>
      <c r="BB76" s="2688"/>
      <c r="BC76" s="2816"/>
      <c r="BD76" s="1528"/>
      <c r="BE76" s="1534"/>
    </row>
    <row r="77" spans="1:57" ht="15.75" customHeight="1" thickBot="1">
      <c r="A77" s="1817"/>
      <c r="B77" s="1539" t="s">
        <v>2090</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817"/>
      <c r="AD77" s="2801"/>
      <c r="AE77" s="2801"/>
      <c r="AF77" s="2801"/>
      <c r="AG77" s="2801"/>
      <c r="AH77" s="2801"/>
      <c r="AI77" s="2801"/>
      <c r="AJ77" s="2801"/>
      <c r="AK77" s="2801"/>
      <c r="AL77" s="2801"/>
      <c r="AM77" s="2801"/>
      <c r="AN77" s="2801"/>
      <c r="AO77" s="2801"/>
      <c r="AP77" s="2801"/>
      <c r="AQ77" s="2801"/>
      <c r="AR77" s="2801"/>
      <c r="AS77" s="2801"/>
      <c r="AT77" s="2801"/>
      <c r="AU77" s="2801"/>
      <c r="AV77" s="2801"/>
      <c r="AW77" s="2801"/>
      <c r="AX77" s="2801"/>
      <c r="AY77" s="2801"/>
      <c r="AZ77" s="2801"/>
      <c r="BA77" s="2801"/>
      <c r="BB77" s="2801"/>
      <c r="BC77" s="2802"/>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700" t="s">
        <v>2091</v>
      </c>
      <c r="C79" s="2701"/>
      <c r="D79" s="2701"/>
      <c r="E79" s="2701"/>
      <c r="F79" s="2701"/>
      <c r="G79" s="2701"/>
      <c r="H79" s="2701"/>
      <c r="I79" s="2701"/>
      <c r="J79" s="2701"/>
      <c r="K79" s="2701"/>
      <c r="L79" s="2701"/>
      <c r="M79" s="2701"/>
      <c r="N79" s="2701"/>
      <c r="O79" s="2701"/>
      <c r="P79" s="2701"/>
      <c r="Q79" s="2701"/>
      <c r="R79" s="2701"/>
      <c r="S79" s="2701"/>
      <c r="T79" s="2701"/>
      <c r="U79" s="2701"/>
      <c r="V79" s="2701"/>
      <c r="W79" s="2701"/>
      <c r="X79" s="2701"/>
      <c r="Y79" s="2701"/>
      <c r="Z79" s="2701"/>
      <c r="AA79" s="2701"/>
      <c r="AB79" s="2808"/>
      <c r="AC79" s="2808"/>
      <c r="AD79" s="2808"/>
      <c r="AE79" s="2808"/>
      <c r="AF79" s="2808"/>
      <c r="AG79" s="2809"/>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700"/>
      <c r="C80" s="2701"/>
      <c r="D80" s="2701"/>
      <c r="E80" s="2701"/>
      <c r="F80" s="2701"/>
      <c r="G80" s="2701"/>
      <c r="H80" s="2702"/>
      <c r="I80" s="2790" t="s">
        <v>2092</v>
      </c>
      <c r="J80" s="2791"/>
      <c r="K80" s="2791"/>
      <c r="L80" s="2791"/>
      <c r="M80" s="2791"/>
      <c r="N80" s="2792"/>
      <c r="O80" s="2790" t="s">
        <v>2093</v>
      </c>
      <c r="P80" s="2791"/>
      <c r="Q80" s="2791"/>
      <c r="R80" s="2791"/>
      <c r="S80" s="2791"/>
      <c r="T80" s="2791"/>
      <c r="U80" s="2792"/>
      <c r="V80" s="2790" t="s">
        <v>2094</v>
      </c>
      <c r="W80" s="2791"/>
      <c r="X80" s="2791"/>
      <c r="Y80" s="2791"/>
      <c r="Z80" s="2791"/>
      <c r="AA80" s="2792"/>
      <c r="AB80" s="2790" t="s">
        <v>2095</v>
      </c>
      <c r="AC80" s="2791"/>
      <c r="AD80" s="2791"/>
      <c r="AE80" s="2791"/>
      <c r="AF80" s="2791"/>
      <c r="AG80" s="2792"/>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790" t="s">
        <v>2096</v>
      </c>
      <c r="C81" s="2791"/>
      <c r="D81" s="2791"/>
      <c r="E81" s="2791"/>
      <c r="F81" s="2791"/>
      <c r="G81" s="2791"/>
      <c r="H81" s="2792"/>
      <c r="I81" s="2793"/>
      <c r="J81" s="2794"/>
      <c r="K81" s="2794"/>
      <c r="L81" s="2794"/>
      <c r="M81" s="2794"/>
      <c r="N81" s="2794"/>
      <c r="O81" s="2794"/>
      <c r="P81" s="2794"/>
      <c r="Q81" s="2794"/>
      <c r="R81" s="2794"/>
      <c r="S81" s="2794"/>
      <c r="T81" s="2794"/>
      <c r="U81" s="2794"/>
      <c r="V81" s="2794"/>
      <c r="W81" s="2794"/>
      <c r="X81" s="2794"/>
      <c r="Y81" s="2794"/>
      <c r="Z81" s="2794"/>
      <c r="AA81" s="2795"/>
      <c r="AB81" s="2794"/>
      <c r="AC81" s="2794"/>
      <c r="AD81" s="2794"/>
      <c r="AE81" s="2794"/>
      <c r="AF81" s="2794"/>
      <c r="AG81" s="2795"/>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790" t="s">
        <v>2097</v>
      </c>
      <c r="C82" s="2791"/>
      <c r="D82" s="2791"/>
      <c r="E82" s="2791"/>
      <c r="F82" s="2791"/>
      <c r="G82" s="2791"/>
      <c r="H82" s="2792"/>
      <c r="I82" s="2798"/>
      <c r="J82" s="2799"/>
      <c r="K82" s="2799"/>
      <c r="L82" s="2799"/>
      <c r="M82" s="2799"/>
      <c r="N82" s="2799"/>
      <c r="O82" s="2799"/>
      <c r="P82" s="2799"/>
      <c r="Q82" s="2799"/>
      <c r="R82" s="2799"/>
      <c r="S82" s="2799"/>
      <c r="T82" s="2799"/>
      <c r="U82" s="2799"/>
      <c r="V82" s="2799"/>
      <c r="W82" s="2799"/>
      <c r="X82" s="2799"/>
      <c r="Y82" s="2799"/>
      <c r="Z82" s="2799"/>
      <c r="AA82" s="2800"/>
      <c r="AB82" s="2799"/>
      <c r="AC82" s="2799"/>
      <c r="AD82" s="2799"/>
      <c r="AE82" s="2799"/>
      <c r="AF82" s="2799"/>
      <c r="AG82" s="2800"/>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2098</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706" t="s">
        <v>2099</v>
      </c>
      <c r="C86" s="2707"/>
      <c r="D86" s="2707"/>
      <c r="E86" s="2707"/>
      <c r="F86" s="2707"/>
      <c r="G86" s="2707"/>
      <c r="H86" s="2707"/>
      <c r="I86" s="2707"/>
      <c r="J86" s="2707"/>
      <c r="K86" s="2707"/>
      <c r="L86" s="2707"/>
      <c r="M86" s="2707"/>
      <c r="N86" s="2707"/>
      <c r="O86" s="2707"/>
      <c r="P86" s="2707"/>
      <c r="Q86" s="2707"/>
      <c r="R86" s="2707"/>
      <c r="S86" s="2707"/>
      <c r="T86" s="2707"/>
      <c r="U86" s="2707"/>
      <c r="V86" s="2707"/>
      <c r="W86" s="2707"/>
      <c r="X86" s="2707"/>
      <c r="Y86" s="2707"/>
      <c r="Z86" s="2707"/>
      <c r="AA86" s="2707"/>
      <c r="AB86" s="2707"/>
      <c r="AC86" s="2707"/>
      <c r="AD86" s="2707"/>
      <c r="AE86" s="2707"/>
      <c r="AF86" s="2707"/>
      <c r="AG86" s="2707"/>
      <c r="AH86" s="2708"/>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700"/>
      <c r="C87" s="2701"/>
      <c r="D87" s="2701"/>
      <c r="E87" s="2701"/>
      <c r="F87" s="2701"/>
      <c r="G87" s="2701"/>
      <c r="H87" s="2702"/>
      <c r="I87" s="2790" t="s">
        <v>2092</v>
      </c>
      <c r="J87" s="2791"/>
      <c r="K87" s="2791"/>
      <c r="L87" s="2791"/>
      <c r="M87" s="2791"/>
      <c r="N87" s="2792"/>
      <c r="O87" s="2790" t="s">
        <v>2093</v>
      </c>
      <c r="P87" s="2791"/>
      <c r="Q87" s="2791"/>
      <c r="R87" s="2791"/>
      <c r="S87" s="2791"/>
      <c r="T87" s="2791"/>
      <c r="U87" s="2792"/>
      <c r="V87" s="2790" t="s">
        <v>2094</v>
      </c>
      <c r="W87" s="2791"/>
      <c r="X87" s="2791"/>
      <c r="Y87" s="2791"/>
      <c r="Z87" s="2791"/>
      <c r="AA87" s="2792"/>
      <c r="AB87" s="2803" t="s">
        <v>2095</v>
      </c>
      <c r="AC87" s="2804"/>
      <c r="AD87" s="2804"/>
      <c r="AE87" s="2804"/>
      <c r="AF87" s="2804"/>
      <c r="AG87" s="2804"/>
      <c r="AH87" s="2805"/>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790" t="s">
        <v>2096</v>
      </c>
      <c r="C88" s="2791"/>
      <c r="D88" s="2791"/>
      <c r="E88" s="2791"/>
      <c r="F88" s="2791"/>
      <c r="G88" s="2791"/>
      <c r="H88" s="2792"/>
      <c r="I88" s="2793"/>
      <c r="J88" s="2794"/>
      <c r="K88" s="2794"/>
      <c r="L88" s="2794"/>
      <c r="M88" s="2794"/>
      <c r="N88" s="2794"/>
      <c r="O88" s="2794"/>
      <c r="P88" s="2794"/>
      <c r="Q88" s="2794"/>
      <c r="R88" s="2794"/>
      <c r="S88" s="2794"/>
      <c r="T88" s="2794"/>
      <c r="U88" s="2794"/>
      <c r="V88" s="2794"/>
      <c r="W88" s="2794"/>
      <c r="X88" s="2794"/>
      <c r="Y88" s="2794"/>
      <c r="Z88" s="2794"/>
      <c r="AA88" s="2806"/>
      <c r="AB88" s="2796"/>
      <c r="AC88" s="2796"/>
      <c r="AD88" s="2796"/>
      <c r="AE88" s="2796"/>
      <c r="AF88" s="2796"/>
      <c r="AG88" s="2796"/>
      <c r="AH88" s="2797"/>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790" t="s">
        <v>2097</v>
      </c>
      <c r="C89" s="2791"/>
      <c r="D89" s="2791"/>
      <c r="E89" s="2791"/>
      <c r="F89" s="2791"/>
      <c r="G89" s="2791"/>
      <c r="H89" s="2792"/>
      <c r="I89" s="2798"/>
      <c r="J89" s="2799"/>
      <c r="K89" s="2799"/>
      <c r="L89" s="2799"/>
      <c r="M89" s="2799"/>
      <c r="N89" s="2799"/>
      <c r="O89" s="2799"/>
      <c r="P89" s="2799"/>
      <c r="Q89" s="2799"/>
      <c r="R89" s="2799"/>
      <c r="S89" s="2799"/>
      <c r="T89" s="2799"/>
      <c r="U89" s="2799"/>
      <c r="V89" s="2799"/>
      <c r="W89" s="2799"/>
      <c r="X89" s="2799"/>
      <c r="Y89" s="2799"/>
      <c r="Z89" s="2799"/>
      <c r="AA89" s="2807"/>
      <c r="AB89" s="2801"/>
      <c r="AC89" s="2801"/>
      <c r="AD89" s="2801"/>
      <c r="AE89" s="2801"/>
      <c r="AF89" s="2801"/>
      <c r="AG89" s="2801"/>
      <c r="AH89" s="2802"/>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2100</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700" t="s">
        <v>2101</v>
      </c>
      <c r="C93" s="2701"/>
      <c r="D93" s="2701"/>
      <c r="E93" s="2701"/>
      <c r="F93" s="2701"/>
      <c r="G93" s="2701"/>
      <c r="H93" s="2701"/>
      <c r="I93" s="2701"/>
      <c r="J93" s="2701"/>
      <c r="K93" s="2701"/>
      <c r="L93" s="2701"/>
      <c r="M93" s="2701"/>
      <c r="N93" s="2701"/>
      <c r="O93" s="2701"/>
      <c r="P93" s="2701"/>
      <c r="Q93" s="2701"/>
      <c r="R93" s="2701"/>
      <c r="S93" s="2701"/>
      <c r="T93" s="2701"/>
      <c r="U93" s="2701"/>
      <c r="V93" s="2701"/>
      <c r="W93" s="2701"/>
      <c r="X93" s="2701"/>
      <c r="Y93" s="2701"/>
      <c r="Z93" s="2701"/>
      <c r="AA93" s="2701"/>
      <c r="AB93" s="2701"/>
      <c r="AC93" s="2701"/>
      <c r="AD93" s="2701"/>
      <c r="AE93" s="2701"/>
      <c r="AF93" s="2701"/>
      <c r="AG93" s="2701"/>
      <c r="AH93" s="2702"/>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700"/>
      <c r="C94" s="2701"/>
      <c r="D94" s="2701"/>
      <c r="E94" s="2701"/>
      <c r="F94" s="2701"/>
      <c r="G94" s="2701"/>
      <c r="H94" s="2702"/>
      <c r="I94" s="2790" t="s">
        <v>2092</v>
      </c>
      <c r="J94" s="2791"/>
      <c r="K94" s="2791"/>
      <c r="L94" s="2791"/>
      <c r="M94" s="2791"/>
      <c r="N94" s="2792"/>
      <c r="O94" s="2790" t="s">
        <v>2093</v>
      </c>
      <c r="P94" s="2791"/>
      <c r="Q94" s="2791"/>
      <c r="R94" s="2791"/>
      <c r="S94" s="2791"/>
      <c r="T94" s="2791"/>
      <c r="U94" s="2792"/>
      <c r="V94" s="2790" t="s">
        <v>2094</v>
      </c>
      <c r="W94" s="2791"/>
      <c r="X94" s="2791"/>
      <c r="Y94" s="2791"/>
      <c r="Z94" s="2791"/>
      <c r="AA94" s="2792"/>
      <c r="AB94" s="2803" t="s">
        <v>2095</v>
      </c>
      <c r="AC94" s="2804"/>
      <c r="AD94" s="2804"/>
      <c r="AE94" s="2804"/>
      <c r="AF94" s="2804"/>
      <c r="AG94" s="2804"/>
      <c r="AH94" s="2805"/>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790" t="s">
        <v>2096</v>
      </c>
      <c r="C95" s="2791"/>
      <c r="D95" s="2791"/>
      <c r="E95" s="2791"/>
      <c r="F95" s="2791"/>
      <c r="G95" s="2791"/>
      <c r="H95" s="2792"/>
      <c r="I95" s="2793"/>
      <c r="J95" s="2794"/>
      <c r="K95" s="2794"/>
      <c r="L95" s="2794"/>
      <c r="M95" s="2794"/>
      <c r="N95" s="2794"/>
      <c r="O95" s="2794"/>
      <c r="P95" s="2794"/>
      <c r="Q95" s="2794"/>
      <c r="R95" s="2794"/>
      <c r="S95" s="2794"/>
      <c r="T95" s="2794"/>
      <c r="U95" s="2794"/>
      <c r="V95" s="2794"/>
      <c r="W95" s="2794"/>
      <c r="X95" s="2794"/>
      <c r="Y95" s="2794"/>
      <c r="Z95" s="2794"/>
      <c r="AA95" s="2795"/>
      <c r="AB95" s="2796"/>
      <c r="AC95" s="2796"/>
      <c r="AD95" s="2796"/>
      <c r="AE95" s="2796"/>
      <c r="AF95" s="2796"/>
      <c r="AG95" s="2796"/>
      <c r="AH95" s="2797"/>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790" t="s">
        <v>2097</v>
      </c>
      <c r="C96" s="2791"/>
      <c r="D96" s="2791"/>
      <c r="E96" s="2791"/>
      <c r="F96" s="2791"/>
      <c r="G96" s="2791"/>
      <c r="H96" s="2792"/>
      <c r="I96" s="2798"/>
      <c r="J96" s="2799"/>
      <c r="K96" s="2799"/>
      <c r="L96" s="2799"/>
      <c r="M96" s="2799"/>
      <c r="N96" s="2799"/>
      <c r="O96" s="2799"/>
      <c r="P96" s="2799"/>
      <c r="Q96" s="2799"/>
      <c r="R96" s="2799"/>
      <c r="S96" s="2799"/>
      <c r="T96" s="2799"/>
      <c r="U96" s="2799"/>
      <c r="V96" s="2799"/>
      <c r="W96" s="2799"/>
      <c r="X96" s="2799"/>
      <c r="Y96" s="2799"/>
      <c r="Z96" s="2799"/>
      <c r="AA96" s="2800"/>
      <c r="AB96" s="2801"/>
      <c r="AC96" s="2801"/>
      <c r="AD96" s="2801"/>
      <c r="AE96" s="2801"/>
      <c r="AF96" s="2801"/>
      <c r="AG96" s="2801"/>
      <c r="AH96" s="2802"/>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2102</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769" t="s">
        <v>2103</v>
      </c>
      <c r="C100" s="2770"/>
      <c r="D100" s="2770"/>
      <c r="E100" s="2770"/>
      <c r="F100" s="2770"/>
      <c r="G100" s="2770"/>
      <c r="H100" s="2770"/>
      <c r="I100" s="2770"/>
      <c r="J100" s="2770"/>
      <c r="K100" s="2770"/>
      <c r="L100" s="2770"/>
      <c r="M100" s="2770"/>
      <c r="N100" s="2770"/>
      <c r="O100" s="2770"/>
      <c r="P100" s="2770"/>
      <c r="Q100" s="2770"/>
      <c r="R100" s="2770"/>
      <c r="S100" s="2770"/>
      <c r="T100" s="2770"/>
      <c r="U100" s="2771"/>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772"/>
      <c r="C101" s="2773"/>
      <c r="D101" s="2773"/>
      <c r="E101" s="2773"/>
      <c r="F101" s="2773"/>
      <c r="G101" s="2773"/>
      <c r="H101" s="2774"/>
      <c r="I101" s="2775" t="s">
        <v>2093</v>
      </c>
      <c r="J101" s="2674"/>
      <c r="K101" s="2674"/>
      <c r="L101" s="2674"/>
      <c r="M101" s="2674"/>
      <c r="N101" s="2674"/>
      <c r="O101" s="2776"/>
      <c r="P101" s="2775" t="s">
        <v>2104</v>
      </c>
      <c r="Q101" s="2674"/>
      <c r="R101" s="2674"/>
      <c r="S101" s="2674"/>
      <c r="T101" s="2674"/>
      <c r="U101" s="2776"/>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777" t="s">
        <v>2096</v>
      </c>
      <c r="C102" s="2778"/>
      <c r="D102" s="2778"/>
      <c r="E102" s="2778"/>
      <c r="F102" s="2778"/>
      <c r="G102" s="2778"/>
      <c r="H102" s="2778"/>
      <c r="I102" s="2746"/>
      <c r="J102" s="2747"/>
      <c r="K102" s="2747"/>
      <c r="L102" s="2747"/>
      <c r="M102" s="2747"/>
      <c r="N102" s="2747"/>
      <c r="O102" s="2748"/>
      <c r="P102" s="2746"/>
      <c r="Q102" s="2747"/>
      <c r="R102" s="2747"/>
      <c r="S102" s="2747"/>
      <c r="T102" s="2747"/>
      <c r="U102" s="2748"/>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617" t="s">
        <v>2097</v>
      </c>
      <c r="C103" s="2618"/>
      <c r="D103" s="2618"/>
      <c r="E103" s="2618"/>
      <c r="F103" s="2618"/>
      <c r="G103" s="2618"/>
      <c r="H103" s="2618"/>
      <c r="I103" s="2746"/>
      <c r="J103" s="2747"/>
      <c r="K103" s="2747"/>
      <c r="L103" s="2747"/>
      <c r="M103" s="2747"/>
      <c r="N103" s="2747"/>
      <c r="O103" s="2748"/>
      <c r="P103" s="2746"/>
      <c r="Q103" s="2747"/>
      <c r="R103" s="2747"/>
      <c r="S103" s="2747"/>
      <c r="T103" s="2747"/>
      <c r="U103" s="2748"/>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779" t="s">
        <v>2105</v>
      </c>
      <c r="C105" s="2780"/>
      <c r="D105" s="2780"/>
      <c r="E105" s="2780"/>
      <c r="F105" s="2780"/>
      <c r="G105" s="2780"/>
      <c r="H105" s="2780"/>
      <c r="I105" s="2780"/>
      <c r="J105" s="2780"/>
      <c r="K105" s="2780"/>
      <c r="L105" s="2780"/>
      <c r="M105" s="2780"/>
      <c r="N105" s="2780"/>
      <c r="O105" s="2780"/>
      <c r="P105" s="2780"/>
      <c r="Q105" s="2780"/>
      <c r="R105" s="2781"/>
      <c r="S105" s="2781"/>
      <c r="T105" s="2781"/>
      <c r="U105" s="2781"/>
      <c r="V105" s="2781"/>
      <c r="W105" s="2781"/>
      <c r="X105" s="2781"/>
      <c r="Y105" s="2781"/>
      <c r="Z105" s="2781"/>
      <c r="AA105" s="2781"/>
      <c r="AB105" s="2781"/>
      <c r="AC105" s="2781"/>
      <c r="AD105" s="2781"/>
      <c r="AE105" s="2781"/>
      <c r="AF105" s="2781"/>
      <c r="AG105" s="2782" t="s">
        <v>2039</v>
      </c>
      <c r="AH105" s="2782"/>
      <c r="AI105" s="2782"/>
      <c r="AJ105" s="2783"/>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784" t="s">
        <v>2106</v>
      </c>
      <c r="C106" s="2785"/>
      <c r="D106" s="2785"/>
      <c r="E106" s="2785"/>
      <c r="F106" s="2785"/>
      <c r="G106" s="2785"/>
      <c r="H106" s="2785"/>
      <c r="I106" s="2785"/>
      <c r="J106" s="2785"/>
      <c r="K106" s="2785"/>
      <c r="L106" s="2785"/>
      <c r="M106" s="2785"/>
      <c r="N106" s="2785"/>
      <c r="O106" s="2785"/>
      <c r="P106" s="2785"/>
      <c r="Q106" s="2786"/>
      <c r="R106" s="2787" t="s">
        <v>2107</v>
      </c>
      <c r="S106" s="2788"/>
      <c r="T106" s="2788"/>
      <c r="U106" s="2788"/>
      <c r="V106" s="2788"/>
      <c r="W106" s="2788"/>
      <c r="X106" s="2788"/>
      <c r="Y106" s="2788"/>
      <c r="Z106" s="2788"/>
      <c r="AA106" s="2788"/>
      <c r="AB106" s="2788"/>
      <c r="AC106" s="2788"/>
      <c r="AD106" s="2788"/>
      <c r="AE106" s="2788"/>
      <c r="AF106" s="2788"/>
      <c r="AG106" s="2788"/>
      <c r="AH106" s="2788"/>
      <c r="AI106" s="2788"/>
      <c r="AJ106" s="2788"/>
      <c r="AK106" s="2788"/>
      <c r="AL106" s="2788"/>
      <c r="AM106" s="2788"/>
      <c r="AN106" s="2788"/>
      <c r="AO106" s="2788"/>
      <c r="AP106" s="2788"/>
      <c r="AQ106" s="2788"/>
      <c r="AR106" s="2788"/>
      <c r="AS106" s="2788"/>
      <c r="AT106" s="2788"/>
      <c r="AU106" s="2788"/>
      <c r="AV106" s="2788"/>
      <c r="AW106" s="2788"/>
      <c r="AX106" s="2789"/>
      <c r="AY106" s="1528"/>
      <c r="AZ106" s="1528"/>
      <c r="BA106" s="1528"/>
      <c r="BB106" s="1528"/>
      <c r="BC106" s="1528"/>
      <c r="BD106" s="1528"/>
      <c r="BE106" s="1534"/>
    </row>
    <row r="107" spans="1:57" ht="15.75" customHeight="1">
      <c r="A107" s="1817"/>
      <c r="B107" s="2760" t="s">
        <v>2108</v>
      </c>
      <c r="C107" s="2761"/>
      <c r="D107" s="2761"/>
      <c r="E107" s="2761"/>
      <c r="F107" s="2761"/>
      <c r="G107" s="2761"/>
      <c r="H107" s="2761"/>
      <c r="I107" s="2761"/>
      <c r="J107" s="2761"/>
      <c r="K107" s="2761"/>
      <c r="L107" s="2761"/>
      <c r="M107" s="2761"/>
      <c r="N107" s="2761"/>
      <c r="O107" s="2761"/>
      <c r="P107" s="2761"/>
      <c r="Q107" s="2761"/>
      <c r="R107" s="2761"/>
      <c r="S107" s="2761"/>
      <c r="T107" s="2761"/>
      <c r="U107" s="2761"/>
      <c r="V107" s="2761"/>
      <c r="W107" s="2761"/>
      <c r="X107" s="2761"/>
      <c r="Y107" s="2761"/>
      <c r="Z107" s="2761"/>
      <c r="AA107" s="2761"/>
      <c r="AB107" s="2761"/>
      <c r="AC107" s="2761"/>
      <c r="AD107" s="2761"/>
      <c r="AE107" s="2761"/>
      <c r="AF107" s="2761"/>
      <c r="AG107" s="2761"/>
      <c r="AH107" s="2761"/>
      <c r="AI107" s="2761"/>
      <c r="AJ107" s="2761"/>
      <c r="AK107" s="2761"/>
      <c r="AL107" s="2761"/>
      <c r="AM107" s="2761"/>
      <c r="AN107" s="2761"/>
      <c r="AO107" s="2761"/>
      <c r="AP107" s="2761"/>
      <c r="AQ107" s="2761"/>
      <c r="AR107" s="2761"/>
      <c r="AS107" s="2761"/>
      <c r="AT107" s="2761"/>
      <c r="AU107" s="2761"/>
      <c r="AV107" s="2761"/>
      <c r="AW107" s="2761"/>
      <c r="AX107" s="2762"/>
      <c r="AY107" s="1528"/>
      <c r="AZ107" s="1528"/>
      <c r="BA107" s="1528"/>
      <c r="BB107" s="1528"/>
      <c r="BC107" s="1528"/>
      <c r="BD107" s="1528"/>
      <c r="BE107" s="1534"/>
    </row>
    <row r="108" spans="1:57" ht="15.75" customHeight="1">
      <c r="A108" s="1817"/>
      <c r="B108" s="2763"/>
      <c r="C108" s="2764"/>
      <c r="D108" s="2764"/>
      <c r="E108" s="2764"/>
      <c r="F108" s="2764"/>
      <c r="G108" s="2764"/>
      <c r="H108" s="2764"/>
      <c r="I108" s="2764"/>
      <c r="J108" s="2764"/>
      <c r="K108" s="2764"/>
      <c r="L108" s="2764"/>
      <c r="M108" s="2764"/>
      <c r="N108" s="2764"/>
      <c r="O108" s="2764"/>
      <c r="P108" s="2764"/>
      <c r="Q108" s="2764"/>
      <c r="R108" s="2764"/>
      <c r="S108" s="2764"/>
      <c r="T108" s="2764"/>
      <c r="U108" s="2764"/>
      <c r="V108" s="2764"/>
      <c r="W108" s="2764"/>
      <c r="X108" s="2764"/>
      <c r="Y108" s="2764"/>
      <c r="Z108" s="2764"/>
      <c r="AA108" s="2764"/>
      <c r="AB108" s="2764"/>
      <c r="AC108" s="2764"/>
      <c r="AD108" s="2764"/>
      <c r="AE108" s="2764"/>
      <c r="AF108" s="2764"/>
      <c r="AG108" s="2764"/>
      <c r="AH108" s="2764"/>
      <c r="AI108" s="2764"/>
      <c r="AJ108" s="2764"/>
      <c r="AK108" s="2764"/>
      <c r="AL108" s="2764"/>
      <c r="AM108" s="2764"/>
      <c r="AN108" s="2764"/>
      <c r="AO108" s="2764"/>
      <c r="AP108" s="2764"/>
      <c r="AQ108" s="2764"/>
      <c r="AR108" s="2764"/>
      <c r="AS108" s="2764"/>
      <c r="AT108" s="2764"/>
      <c r="AU108" s="2764"/>
      <c r="AV108" s="2764"/>
      <c r="AW108" s="2764"/>
      <c r="AX108" s="2765"/>
      <c r="AY108" s="1528"/>
      <c r="AZ108" s="1528"/>
      <c r="BA108" s="1528"/>
      <c r="BB108" s="1528"/>
      <c r="BC108" s="1528"/>
      <c r="BD108" s="1528"/>
      <c r="BE108" s="1534"/>
    </row>
    <row r="109" spans="1:57" ht="15.75" customHeight="1">
      <c r="A109" s="1817"/>
      <c r="B109" s="2763"/>
      <c r="C109" s="2764"/>
      <c r="D109" s="2764"/>
      <c r="E109" s="2764"/>
      <c r="F109" s="2764"/>
      <c r="G109" s="2764"/>
      <c r="H109" s="2764"/>
      <c r="I109" s="2764"/>
      <c r="J109" s="2764"/>
      <c r="K109" s="2764"/>
      <c r="L109" s="2764"/>
      <c r="M109" s="2764"/>
      <c r="N109" s="2764"/>
      <c r="O109" s="2764"/>
      <c r="P109" s="2764"/>
      <c r="Q109" s="2764"/>
      <c r="R109" s="2764"/>
      <c r="S109" s="2764"/>
      <c r="T109" s="2764"/>
      <c r="U109" s="2764"/>
      <c r="V109" s="2764"/>
      <c r="W109" s="2764"/>
      <c r="X109" s="2764"/>
      <c r="Y109" s="2764"/>
      <c r="Z109" s="2764"/>
      <c r="AA109" s="2764"/>
      <c r="AB109" s="2764"/>
      <c r="AC109" s="2764"/>
      <c r="AD109" s="2764"/>
      <c r="AE109" s="2764"/>
      <c r="AF109" s="2764"/>
      <c r="AG109" s="2764"/>
      <c r="AH109" s="2764"/>
      <c r="AI109" s="2764"/>
      <c r="AJ109" s="2764"/>
      <c r="AK109" s="2764"/>
      <c r="AL109" s="2764"/>
      <c r="AM109" s="2764"/>
      <c r="AN109" s="2764"/>
      <c r="AO109" s="2764"/>
      <c r="AP109" s="2764"/>
      <c r="AQ109" s="2764"/>
      <c r="AR109" s="2764"/>
      <c r="AS109" s="2764"/>
      <c r="AT109" s="2764"/>
      <c r="AU109" s="2764"/>
      <c r="AV109" s="2764"/>
      <c r="AW109" s="2764"/>
      <c r="AX109" s="2765"/>
      <c r="AY109" s="1528"/>
      <c r="AZ109" s="1528"/>
      <c r="BA109" s="1528"/>
      <c r="BB109" s="1528"/>
      <c r="BC109" s="1528"/>
      <c r="BD109" s="1528"/>
      <c r="BE109" s="1534"/>
    </row>
    <row r="110" spans="1:57" ht="15.75" customHeight="1">
      <c r="A110" s="1817"/>
      <c r="B110" s="2763"/>
      <c r="C110" s="2764"/>
      <c r="D110" s="2764"/>
      <c r="E110" s="2764"/>
      <c r="F110" s="2764"/>
      <c r="G110" s="2764"/>
      <c r="H110" s="2764"/>
      <c r="I110" s="2764"/>
      <c r="J110" s="2764"/>
      <c r="K110" s="2764"/>
      <c r="L110" s="2764"/>
      <c r="M110" s="2764"/>
      <c r="N110" s="2764"/>
      <c r="O110" s="2764"/>
      <c r="P110" s="2764"/>
      <c r="Q110" s="2764"/>
      <c r="R110" s="2764"/>
      <c r="S110" s="2764"/>
      <c r="T110" s="2764"/>
      <c r="U110" s="2764"/>
      <c r="V110" s="2764"/>
      <c r="W110" s="2764"/>
      <c r="X110" s="2764"/>
      <c r="Y110" s="2764"/>
      <c r="Z110" s="2764"/>
      <c r="AA110" s="2764"/>
      <c r="AB110" s="2764"/>
      <c r="AC110" s="2764"/>
      <c r="AD110" s="2764"/>
      <c r="AE110" s="2764"/>
      <c r="AF110" s="2764"/>
      <c r="AG110" s="2764"/>
      <c r="AH110" s="2764"/>
      <c r="AI110" s="2764"/>
      <c r="AJ110" s="2764"/>
      <c r="AK110" s="2764"/>
      <c r="AL110" s="2764"/>
      <c r="AM110" s="2764"/>
      <c r="AN110" s="2764"/>
      <c r="AO110" s="2764"/>
      <c r="AP110" s="2764"/>
      <c r="AQ110" s="2764"/>
      <c r="AR110" s="2764"/>
      <c r="AS110" s="2764"/>
      <c r="AT110" s="2764"/>
      <c r="AU110" s="2764"/>
      <c r="AV110" s="2764"/>
      <c r="AW110" s="2764"/>
      <c r="AX110" s="2765"/>
      <c r="AY110" s="1528"/>
      <c r="AZ110" s="1528"/>
      <c r="BA110" s="1528"/>
      <c r="BB110" s="1528"/>
      <c r="BC110" s="1528"/>
      <c r="BD110" s="1528"/>
      <c r="BE110" s="1534"/>
    </row>
    <row r="111" spans="1:57" ht="15.75" customHeight="1">
      <c r="A111" s="1817"/>
      <c r="B111" s="2763"/>
      <c r="C111" s="2764"/>
      <c r="D111" s="2764"/>
      <c r="E111" s="2764"/>
      <c r="F111" s="2764"/>
      <c r="G111" s="2764"/>
      <c r="H111" s="2764"/>
      <c r="I111" s="2764"/>
      <c r="J111" s="2764"/>
      <c r="K111" s="2764"/>
      <c r="L111" s="2764"/>
      <c r="M111" s="2764"/>
      <c r="N111" s="2764"/>
      <c r="O111" s="2764"/>
      <c r="P111" s="2764"/>
      <c r="Q111" s="2764"/>
      <c r="R111" s="2764"/>
      <c r="S111" s="2764"/>
      <c r="T111" s="2764"/>
      <c r="U111" s="2764"/>
      <c r="V111" s="2764"/>
      <c r="W111" s="2764"/>
      <c r="X111" s="2764"/>
      <c r="Y111" s="2764"/>
      <c r="Z111" s="2764"/>
      <c r="AA111" s="2764"/>
      <c r="AB111" s="2764"/>
      <c r="AC111" s="2764"/>
      <c r="AD111" s="2764"/>
      <c r="AE111" s="2764"/>
      <c r="AF111" s="2764"/>
      <c r="AG111" s="2764"/>
      <c r="AH111" s="2764"/>
      <c r="AI111" s="2764"/>
      <c r="AJ111" s="2764"/>
      <c r="AK111" s="2764"/>
      <c r="AL111" s="2764"/>
      <c r="AM111" s="2764"/>
      <c r="AN111" s="2764"/>
      <c r="AO111" s="2764"/>
      <c r="AP111" s="2764"/>
      <c r="AQ111" s="2764"/>
      <c r="AR111" s="2764"/>
      <c r="AS111" s="2764"/>
      <c r="AT111" s="2764"/>
      <c r="AU111" s="2764"/>
      <c r="AV111" s="2764"/>
      <c r="AW111" s="2764"/>
      <c r="AX111" s="2765"/>
      <c r="AY111" s="1528"/>
      <c r="AZ111" s="1528"/>
      <c r="BA111" s="1528"/>
      <c r="BB111" s="1528"/>
      <c r="BC111" s="1528"/>
      <c r="BD111" s="1528"/>
      <c r="BE111" s="1534"/>
    </row>
    <row r="112" spans="1:57" ht="15.75" customHeight="1">
      <c r="A112" s="1817"/>
      <c r="B112" s="2763"/>
      <c r="C112" s="2764"/>
      <c r="D112" s="2764"/>
      <c r="E112" s="2764"/>
      <c r="F112" s="2764"/>
      <c r="G112" s="2764"/>
      <c r="H112" s="2764"/>
      <c r="I112" s="2764"/>
      <c r="J112" s="2764"/>
      <c r="K112" s="2764"/>
      <c r="L112" s="2764"/>
      <c r="M112" s="2764"/>
      <c r="N112" s="2764"/>
      <c r="O112" s="2764"/>
      <c r="P112" s="2764"/>
      <c r="Q112" s="2764"/>
      <c r="R112" s="2764"/>
      <c r="S112" s="2764"/>
      <c r="T112" s="2764"/>
      <c r="U112" s="2764"/>
      <c r="V112" s="2764"/>
      <c r="W112" s="2764"/>
      <c r="X112" s="2764"/>
      <c r="Y112" s="2764"/>
      <c r="Z112" s="2764"/>
      <c r="AA112" s="2764"/>
      <c r="AB112" s="2764"/>
      <c r="AC112" s="2764"/>
      <c r="AD112" s="2764"/>
      <c r="AE112" s="2764"/>
      <c r="AF112" s="2764"/>
      <c r="AG112" s="2764"/>
      <c r="AH112" s="2764"/>
      <c r="AI112" s="2764"/>
      <c r="AJ112" s="2764"/>
      <c r="AK112" s="2764"/>
      <c r="AL112" s="2764"/>
      <c r="AM112" s="2764"/>
      <c r="AN112" s="2764"/>
      <c r="AO112" s="2764"/>
      <c r="AP112" s="2764"/>
      <c r="AQ112" s="2764"/>
      <c r="AR112" s="2764"/>
      <c r="AS112" s="2764"/>
      <c r="AT112" s="2764"/>
      <c r="AU112" s="2764"/>
      <c r="AV112" s="2764"/>
      <c r="AW112" s="2764"/>
      <c r="AX112" s="2765"/>
      <c r="AY112" s="1528"/>
      <c r="AZ112" s="1528"/>
      <c r="BA112" s="1528"/>
      <c r="BB112" s="1528"/>
      <c r="BC112" s="1528"/>
      <c r="BD112" s="1528"/>
      <c r="BE112" s="1534"/>
    </row>
    <row r="113" spans="1:57" ht="15.75" customHeight="1">
      <c r="A113" s="1817"/>
      <c r="B113" s="2763"/>
      <c r="C113" s="2764"/>
      <c r="D113" s="2764"/>
      <c r="E113" s="2764"/>
      <c r="F113" s="2764"/>
      <c r="G113" s="2764"/>
      <c r="H113" s="2764"/>
      <c r="I113" s="2764"/>
      <c r="J113" s="2764"/>
      <c r="K113" s="2764"/>
      <c r="L113" s="2764"/>
      <c r="M113" s="2764"/>
      <c r="N113" s="2764"/>
      <c r="O113" s="2764"/>
      <c r="P113" s="2764"/>
      <c r="Q113" s="2764"/>
      <c r="R113" s="2764"/>
      <c r="S113" s="2764"/>
      <c r="T113" s="2764"/>
      <c r="U113" s="2764"/>
      <c r="V113" s="2764"/>
      <c r="W113" s="2764"/>
      <c r="X113" s="2764"/>
      <c r="Y113" s="2764"/>
      <c r="Z113" s="2764"/>
      <c r="AA113" s="2764"/>
      <c r="AB113" s="2764"/>
      <c r="AC113" s="2764"/>
      <c r="AD113" s="2764"/>
      <c r="AE113" s="2764"/>
      <c r="AF113" s="2764"/>
      <c r="AG113" s="2764"/>
      <c r="AH113" s="2764"/>
      <c r="AI113" s="2764"/>
      <c r="AJ113" s="2764"/>
      <c r="AK113" s="2764"/>
      <c r="AL113" s="2764"/>
      <c r="AM113" s="2764"/>
      <c r="AN113" s="2764"/>
      <c r="AO113" s="2764"/>
      <c r="AP113" s="2764"/>
      <c r="AQ113" s="2764"/>
      <c r="AR113" s="2764"/>
      <c r="AS113" s="2764"/>
      <c r="AT113" s="2764"/>
      <c r="AU113" s="2764"/>
      <c r="AV113" s="2764"/>
      <c r="AW113" s="2764"/>
      <c r="AX113" s="2765"/>
      <c r="AY113" s="1528"/>
      <c r="AZ113" s="1528"/>
      <c r="BA113" s="1528"/>
      <c r="BB113" s="1528"/>
      <c r="BC113" s="1528"/>
      <c r="BD113" s="1528"/>
      <c r="BE113" s="1534"/>
    </row>
    <row r="114" spans="1:57" ht="15.75" customHeight="1">
      <c r="A114" s="1817"/>
      <c r="B114" s="2763"/>
      <c r="C114" s="2764"/>
      <c r="D114" s="2764"/>
      <c r="E114" s="2764"/>
      <c r="F114" s="2764"/>
      <c r="G114" s="2764"/>
      <c r="H114" s="2764"/>
      <c r="I114" s="2764"/>
      <c r="J114" s="2764"/>
      <c r="K114" s="2764"/>
      <c r="L114" s="2764"/>
      <c r="M114" s="2764"/>
      <c r="N114" s="2764"/>
      <c r="O114" s="2764"/>
      <c r="P114" s="2764"/>
      <c r="Q114" s="2764"/>
      <c r="R114" s="2764"/>
      <c r="S114" s="2764"/>
      <c r="T114" s="2764"/>
      <c r="U114" s="2764"/>
      <c r="V114" s="2764"/>
      <c r="W114" s="2764"/>
      <c r="X114" s="2764"/>
      <c r="Y114" s="2764"/>
      <c r="Z114" s="2764"/>
      <c r="AA114" s="2764"/>
      <c r="AB114" s="2764"/>
      <c r="AC114" s="2764"/>
      <c r="AD114" s="2764"/>
      <c r="AE114" s="2764"/>
      <c r="AF114" s="2764"/>
      <c r="AG114" s="2764"/>
      <c r="AH114" s="2764"/>
      <c r="AI114" s="2764"/>
      <c r="AJ114" s="2764"/>
      <c r="AK114" s="2764"/>
      <c r="AL114" s="2764"/>
      <c r="AM114" s="2764"/>
      <c r="AN114" s="2764"/>
      <c r="AO114" s="2764"/>
      <c r="AP114" s="2764"/>
      <c r="AQ114" s="2764"/>
      <c r="AR114" s="2764"/>
      <c r="AS114" s="2764"/>
      <c r="AT114" s="2764"/>
      <c r="AU114" s="2764"/>
      <c r="AV114" s="2764"/>
      <c r="AW114" s="2764"/>
      <c r="AX114" s="2765"/>
      <c r="AY114" s="1528"/>
      <c r="AZ114" s="1528"/>
      <c r="BA114" s="1528"/>
      <c r="BB114" s="1528"/>
      <c r="BC114" s="1528"/>
      <c r="BD114" s="1528"/>
      <c r="BE114" s="1534"/>
    </row>
    <row r="115" spans="1:57" ht="15.75" customHeight="1">
      <c r="A115" s="1817"/>
      <c r="B115" s="2763"/>
      <c r="C115" s="2764"/>
      <c r="D115" s="2764"/>
      <c r="E115" s="2764"/>
      <c r="F115" s="2764"/>
      <c r="G115" s="2764"/>
      <c r="H115" s="2764"/>
      <c r="I115" s="2764"/>
      <c r="J115" s="2764"/>
      <c r="K115" s="2764"/>
      <c r="L115" s="2764"/>
      <c r="M115" s="2764"/>
      <c r="N115" s="2764"/>
      <c r="O115" s="2764"/>
      <c r="P115" s="2764"/>
      <c r="Q115" s="2764"/>
      <c r="R115" s="2764"/>
      <c r="S115" s="2764"/>
      <c r="T115" s="2764"/>
      <c r="U115" s="2764"/>
      <c r="V115" s="2764"/>
      <c r="W115" s="2764"/>
      <c r="X115" s="2764"/>
      <c r="Y115" s="2764"/>
      <c r="Z115" s="2764"/>
      <c r="AA115" s="2764"/>
      <c r="AB115" s="2764"/>
      <c r="AC115" s="2764"/>
      <c r="AD115" s="2764"/>
      <c r="AE115" s="2764"/>
      <c r="AF115" s="2764"/>
      <c r="AG115" s="2764"/>
      <c r="AH115" s="2764"/>
      <c r="AI115" s="2764"/>
      <c r="AJ115" s="2764"/>
      <c r="AK115" s="2764"/>
      <c r="AL115" s="2764"/>
      <c r="AM115" s="2764"/>
      <c r="AN115" s="2764"/>
      <c r="AO115" s="2764"/>
      <c r="AP115" s="2764"/>
      <c r="AQ115" s="2764"/>
      <c r="AR115" s="2764"/>
      <c r="AS115" s="2764"/>
      <c r="AT115" s="2764"/>
      <c r="AU115" s="2764"/>
      <c r="AV115" s="2764"/>
      <c r="AW115" s="2764"/>
      <c r="AX115" s="2765"/>
      <c r="AY115" s="1528"/>
      <c r="AZ115" s="1528"/>
      <c r="BA115" s="1528"/>
      <c r="BB115" s="1528"/>
      <c r="BC115" s="1528"/>
      <c r="BD115" s="1528"/>
      <c r="BE115" s="1534"/>
    </row>
    <row r="116" spans="1:57" ht="15.75" customHeight="1" thickBot="1">
      <c r="A116" s="1817"/>
      <c r="B116" s="2766"/>
      <c r="C116" s="2767"/>
      <c r="D116" s="2767"/>
      <c r="E116" s="2767"/>
      <c r="F116" s="2767"/>
      <c r="G116" s="2767"/>
      <c r="H116" s="2767"/>
      <c r="I116" s="2767"/>
      <c r="J116" s="2767"/>
      <c r="K116" s="2767"/>
      <c r="L116" s="2767"/>
      <c r="M116" s="2767"/>
      <c r="N116" s="2767"/>
      <c r="O116" s="2767"/>
      <c r="P116" s="2767"/>
      <c r="Q116" s="2767"/>
      <c r="R116" s="2767"/>
      <c r="S116" s="2767"/>
      <c r="T116" s="2767"/>
      <c r="U116" s="2767"/>
      <c r="V116" s="2767"/>
      <c r="W116" s="2767"/>
      <c r="X116" s="2767"/>
      <c r="Y116" s="2767"/>
      <c r="Z116" s="2767"/>
      <c r="AA116" s="2767"/>
      <c r="AB116" s="2767"/>
      <c r="AC116" s="2767"/>
      <c r="AD116" s="2767"/>
      <c r="AE116" s="2767"/>
      <c r="AF116" s="2767"/>
      <c r="AG116" s="2767"/>
      <c r="AH116" s="2767"/>
      <c r="AI116" s="2767"/>
      <c r="AJ116" s="2767"/>
      <c r="AK116" s="2767"/>
      <c r="AL116" s="2767"/>
      <c r="AM116" s="2767"/>
      <c r="AN116" s="2767"/>
      <c r="AO116" s="2767"/>
      <c r="AP116" s="2767"/>
      <c r="AQ116" s="2767"/>
      <c r="AR116" s="2767"/>
      <c r="AS116" s="2767"/>
      <c r="AT116" s="2767"/>
      <c r="AU116" s="2767"/>
      <c r="AV116" s="2767"/>
      <c r="AW116" s="2767"/>
      <c r="AX116" s="2768"/>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2109</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769" t="s">
        <v>2110</v>
      </c>
      <c r="C120" s="2770"/>
      <c r="D120" s="2770"/>
      <c r="E120" s="2770"/>
      <c r="F120" s="2770"/>
      <c r="G120" s="2770"/>
      <c r="H120" s="2770"/>
      <c r="I120" s="2770"/>
      <c r="J120" s="2770"/>
      <c r="K120" s="2770"/>
      <c r="L120" s="2770"/>
      <c r="M120" s="2770"/>
      <c r="N120" s="2770"/>
      <c r="O120" s="2770"/>
      <c r="P120" s="2770"/>
      <c r="Q120" s="2770"/>
      <c r="R120" s="2770"/>
      <c r="S120" s="2770"/>
      <c r="T120" s="2770"/>
      <c r="U120" s="2771"/>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772"/>
      <c r="C121" s="2773"/>
      <c r="D121" s="2773"/>
      <c r="E121" s="2773"/>
      <c r="F121" s="2773"/>
      <c r="G121" s="2773"/>
      <c r="H121" s="2774"/>
      <c r="I121" s="2775" t="s">
        <v>2093</v>
      </c>
      <c r="J121" s="2674"/>
      <c r="K121" s="2674"/>
      <c r="L121" s="2674"/>
      <c r="M121" s="2674"/>
      <c r="N121" s="2674"/>
      <c r="O121" s="2776"/>
      <c r="P121" s="2775" t="s">
        <v>2104</v>
      </c>
      <c r="Q121" s="2674"/>
      <c r="R121" s="2674"/>
      <c r="S121" s="2674"/>
      <c r="T121" s="2674"/>
      <c r="U121" s="2776"/>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777" t="s">
        <v>2096</v>
      </c>
      <c r="C122" s="2778"/>
      <c r="D122" s="2778"/>
      <c r="E122" s="2778"/>
      <c r="F122" s="2778"/>
      <c r="G122" s="2778"/>
      <c r="H122" s="2778"/>
      <c r="I122" s="2746"/>
      <c r="J122" s="2747"/>
      <c r="K122" s="2747"/>
      <c r="L122" s="2747"/>
      <c r="M122" s="2747"/>
      <c r="N122" s="2747"/>
      <c r="O122" s="2748"/>
      <c r="P122" s="2746"/>
      <c r="Q122" s="2747"/>
      <c r="R122" s="2747"/>
      <c r="S122" s="2747"/>
      <c r="T122" s="2747"/>
      <c r="U122" s="2748"/>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617" t="s">
        <v>2097</v>
      </c>
      <c r="C123" s="2618"/>
      <c r="D123" s="2618"/>
      <c r="E123" s="2618"/>
      <c r="F123" s="2618"/>
      <c r="G123" s="2618"/>
      <c r="H123" s="2618"/>
      <c r="I123" s="2746"/>
      <c r="J123" s="2747"/>
      <c r="K123" s="2747"/>
      <c r="L123" s="2747"/>
      <c r="M123" s="2747"/>
      <c r="N123" s="2747"/>
      <c r="O123" s="2748"/>
      <c r="P123" s="2746"/>
      <c r="Q123" s="2747"/>
      <c r="R123" s="2747"/>
      <c r="S123" s="2747"/>
      <c r="T123" s="2747"/>
      <c r="U123" s="2748"/>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749" t="s">
        <v>2111</v>
      </c>
      <c r="D125" s="2750"/>
      <c r="E125" s="2750"/>
      <c r="F125" s="2750"/>
      <c r="G125" s="2750"/>
      <c r="H125" s="2750"/>
      <c r="I125" s="2750"/>
      <c r="J125" s="2750"/>
      <c r="K125" s="2750"/>
      <c r="L125" s="2750"/>
      <c r="M125" s="2750"/>
      <c r="N125" s="2750"/>
      <c r="O125" s="2750"/>
      <c r="P125" s="2750"/>
      <c r="Q125" s="2750"/>
      <c r="R125" s="2750"/>
      <c r="S125" s="2750"/>
      <c r="T125" s="2750"/>
      <c r="U125" s="2750"/>
      <c r="V125" s="2750"/>
      <c r="W125" s="2750"/>
      <c r="X125" s="2750"/>
      <c r="Y125" s="2750"/>
      <c r="Z125" s="2750"/>
      <c r="AA125" s="2750"/>
      <c r="AB125" s="2750"/>
      <c r="AC125" s="2750"/>
      <c r="AD125" s="2750"/>
      <c r="AE125" s="2750"/>
      <c r="AF125" s="2750"/>
      <c r="AG125" s="2751"/>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665" t="s">
        <v>2112</v>
      </c>
      <c r="D126" s="2666"/>
      <c r="E126" s="2666"/>
      <c r="F126" s="2666"/>
      <c r="G126" s="2666"/>
      <c r="H126" s="2666"/>
      <c r="I126" s="2666"/>
      <c r="J126" s="2666"/>
      <c r="K126" s="2666"/>
      <c r="L126" s="2666"/>
      <c r="M126" s="2666"/>
      <c r="N126" s="2666"/>
      <c r="O126" s="2666"/>
      <c r="P126" s="2752"/>
      <c r="Q126" s="2753" t="s">
        <v>2113</v>
      </c>
      <c r="R126" s="2666"/>
      <c r="S126" s="2752"/>
      <c r="T126" s="2754" t="s">
        <v>2114</v>
      </c>
      <c r="U126" s="2755"/>
      <c r="V126" s="2755"/>
      <c r="W126" s="2755"/>
      <c r="X126" s="2755"/>
      <c r="Y126" s="2755"/>
      <c r="Z126" s="2755"/>
      <c r="AA126" s="2756"/>
      <c r="AB126" s="2757" t="s">
        <v>2115</v>
      </c>
      <c r="AC126" s="2758"/>
      <c r="AD126" s="2758"/>
      <c r="AE126" s="2758"/>
      <c r="AF126" s="2758"/>
      <c r="AG126" s="2759"/>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656" t="s">
        <v>2116</v>
      </c>
      <c r="D127" s="2657"/>
      <c r="E127" s="2657"/>
      <c r="F127" s="2657"/>
      <c r="G127" s="2657"/>
      <c r="H127" s="2657"/>
      <c r="I127" s="2657"/>
      <c r="J127" s="2657"/>
      <c r="K127" s="2657"/>
      <c r="L127" s="2657"/>
      <c r="M127" s="2657"/>
      <c r="N127" s="2657"/>
      <c r="O127" s="2657"/>
      <c r="P127" s="2670"/>
      <c r="Q127" s="2736">
        <v>55</v>
      </c>
      <c r="R127" s="2737"/>
      <c r="S127" s="2738"/>
      <c r="T127" s="2730"/>
      <c r="U127" s="2731"/>
      <c r="V127" s="2731"/>
      <c r="W127" s="2731"/>
      <c r="X127" s="2731"/>
      <c r="Y127" s="2731"/>
      <c r="Z127" s="2731"/>
      <c r="AA127" s="2731"/>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656" t="s">
        <v>430</v>
      </c>
      <c r="D128" s="2657"/>
      <c r="E128" s="2657"/>
      <c r="F128" s="2657"/>
      <c r="G128" s="2657"/>
      <c r="H128" s="2657"/>
      <c r="I128" s="2657"/>
      <c r="J128" s="2657"/>
      <c r="K128" s="2657"/>
      <c r="L128" s="2657"/>
      <c r="M128" s="2657"/>
      <c r="N128" s="2657"/>
      <c r="O128" s="2657"/>
      <c r="P128" s="2670"/>
      <c r="Q128" s="2736">
        <v>55</v>
      </c>
      <c r="R128" s="2737"/>
      <c r="S128" s="2738"/>
      <c r="T128" s="2744" t="str">
        <f>_xlfn.CONCAT(Application!AC515,"/", Application!AH515)</f>
        <v>N/A/</v>
      </c>
      <c r="U128" s="2745"/>
      <c r="V128" s="2745"/>
      <c r="W128" s="2745"/>
      <c r="X128" s="2745"/>
      <c r="Y128" s="2745"/>
      <c r="Z128" s="2745"/>
      <c r="AA128" s="2745"/>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656" t="s">
        <v>2117</v>
      </c>
      <c r="D129" s="2657"/>
      <c r="E129" s="2657"/>
      <c r="F129" s="2657"/>
      <c r="G129" s="2657"/>
      <c r="H129" s="2657"/>
      <c r="I129" s="2657"/>
      <c r="J129" s="2657"/>
      <c r="K129" s="2657"/>
      <c r="L129" s="2657"/>
      <c r="M129" s="2657"/>
      <c r="N129" s="2657"/>
      <c r="O129" s="2657"/>
      <c r="P129" s="2670"/>
      <c r="Q129" s="2736">
        <v>55</v>
      </c>
      <c r="R129" s="2737"/>
      <c r="S129" s="2738"/>
      <c r="T129" s="2739"/>
      <c r="U129" s="2740"/>
      <c r="V129" s="2740"/>
      <c r="W129" s="2740"/>
      <c r="X129" s="2740"/>
      <c r="Y129" s="2740"/>
      <c r="Z129" s="2740"/>
      <c r="AA129" s="2740"/>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656" t="s">
        <v>2118</v>
      </c>
      <c r="D130" s="2657"/>
      <c r="E130" s="2657"/>
      <c r="F130" s="2657"/>
      <c r="G130" s="2657"/>
      <c r="H130" s="2657"/>
      <c r="I130" s="2657"/>
      <c r="J130" s="2657"/>
      <c r="K130" s="2657"/>
      <c r="L130" s="2657"/>
      <c r="M130" s="2657"/>
      <c r="N130" s="2657"/>
      <c r="O130" s="2657"/>
      <c r="P130" s="2670"/>
      <c r="Q130" s="2741"/>
      <c r="R130" s="2742"/>
      <c r="S130" s="2743"/>
      <c r="T130" s="2730"/>
      <c r="U130" s="2731"/>
      <c r="V130" s="2731"/>
      <c r="W130" s="2731"/>
      <c r="X130" s="2731"/>
      <c r="Y130" s="2731"/>
      <c r="Z130" s="2731"/>
      <c r="AA130" s="2731"/>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656" t="s">
        <v>2071</v>
      </c>
      <c r="D131" s="2657"/>
      <c r="E131" s="2657"/>
      <c r="F131" s="2657"/>
      <c r="G131" s="2657"/>
      <c r="H131" s="2657"/>
      <c r="I131" s="2657"/>
      <c r="J131" s="2657"/>
      <c r="K131" s="2657"/>
      <c r="L131" s="2657"/>
      <c r="M131" s="2657"/>
      <c r="N131" s="2657"/>
      <c r="O131" s="2657"/>
      <c r="P131" s="2670"/>
      <c r="Q131" s="2727">
        <f>Application!AG400</f>
        <v>90</v>
      </c>
      <c r="R131" s="2728"/>
      <c r="S131" s="2729"/>
      <c r="T131" s="2730"/>
      <c r="U131" s="2731"/>
      <c r="V131" s="2731"/>
      <c r="W131" s="2731"/>
      <c r="X131" s="2731"/>
      <c r="Y131" s="2731"/>
      <c r="Z131" s="2731"/>
      <c r="AA131" s="2732"/>
      <c r="AB131" s="2733">
        <f>Application!AE401</f>
        <v>70000</v>
      </c>
      <c r="AC131" s="2734"/>
      <c r="AD131" s="2734"/>
      <c r="AE131" s="2734"/>
      <c r="AF131" s="2734"/>
      <c r="AG131" s="2735"/>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715" t="s">
        <v>175</v>
      </c>
      <c r="D132" s="2716"/>
      <c r="E132" s="2716"/>
      <c r="F132" s="2647" t="s">
        <v>2119</v>
      </c>
      <c r="G132" s="2647"/>
      <c r="H132" s="2647"/>
      <c r="I132" s="2647"/>
      <c r="J132" s="2647"/>
      <c r="K132" s="2647"/>
      <c r="L132" s="2647"/>
      <c r="M132" s="2647"/>
      <c r="N132" s="2647"/>
      <c r="O132" s="2647"/>
      <c r="P132" s="2647"/>
      <c r="Q132" s="2717">
        <v>55</v>
      </c>
      <c r="R132" s="2717"/>
      <c r="S132" s="2717"/>
      <c r="T132" s="2718"/>
      <c r="U132" s="2718"/>
      <c r="V132" s="2718"/>
      <c r="W132" s="2718"/>
      <c r="X132" s="2718"/>
      <c r="Y132" s="2718"/>
      <c r="Z132" s="2718"/>
      <c r="AA132" s="2718"/>
      <c r="AB132" s="2719"/>
      <c r="AC132" s="2720"/>
      <c r="AD132" s="2720"/>
      <c r="AE132" s="2720"/>
      <c r="AF132" s="2720"/>
      <c r="AG132" s="2721"/>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715" t="s">
        <v>175</v>
      </c>
      <c r="D133" s="2716"/>
      <c r="E133" s="2716"/>
      <c r="F133" s="2647" t="s">
        <v>2119</v>
      </c>
      <c r="G133" s="2647"/>
      <c r="H133" s="2647"/>
      <c r="I133" s="2647"/>
      <c r="J133" s="2647"/>
      <c r="K133" s="2647"/>
      <c r="L133" s="2647"/>
      <c r="M133" s="2647"/>
      <c r="N133" s="2647"/>
      <c r="O133" s="2647"/>
      <c r="P133" s="2647"/>
      <c r="Q133" s="2717">
        <v>55</v>
      </c>
      <c r="R133" s="2717"/>
      <c r="S133" s="2717"/>
      <c r="T133" s="2718"/>
      <c r="U133" s="2718"/>
      <c r="V133" s="2718"/>
      <c r="W133" s="2718"/>
      <c r="X133" s="2718"/>
      <c r="Y133" s="2718"/>
      <c r="Z133" s="2718"/>
      <c r="AA133" s="2718"/>
      <c r="AB133" s="2719"/>
      <c r="AC133" s="2720"/>
      <c r="AD133" s="2720"/>
      <c r="AE133" s="2720"/>
      <c r="AF133" s="2720"/>
      <c r="AG133" s="2721"/>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715" t="s">
        <v>175</v>
      </c>
      <c r="D134" s="2716"/>
      <c r="E134" s="2716"/>
      <c r="F134" s="2632" t="s">
        <v>2119</v>
      </c>
      <c r="G134" s="2632"/>
      <c r="H134" s="2632"/>
      <c r="I134" s="2632"/>
      <c r="J134" s="2632"/>
      <c r="K134" s="2632"/>
      <c r="L134" s="2632"/>
      <c r="M134" s="2632"/>
      <c r="N134" s="2632"/>
      <c r="O134" s="2632"/>
      <c r="P134" s="2632"/>
      <c r="Q134" s="2722">
        <v>55</v>
      </c>
      <c r="R134" s="2722"/>
      <c r="S134" s="2722"/>
      <c r="T134" s="2723"/>
      <c r="U134" s="2723"/>
      <c r="V134" s="2723"/>
      <c r="W134" s="2723"/>
      <c r="X134" s="2723"/>
      <c r="Y134" s="2723"/>
      <c r="Z134" s="2723"/>
      <c r="AA134" s="2723"/>
      <c r="AB134" s="2724"/>
      <c r="AC134" s="2725"/>
      <c r="AD134" s="2725"/>
      <c r="AE134" s="2725"/>
      <c r="AF134" s="2725"/>
      <c r="AG134" s="2726"/>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700" t="s">
        <v>2120</v>
      </c>
      <c r="D136" s="2701"/>
      <c r="E136" s="2701"/>
      <c r="F136" s="2701"/>
      <c r="G136" s="2701"/>
      <c r="H136" s="2701"/>
      <c r="I136" s="2701"/>
      <c r="J136" s="2701"/>
      <c r="K136" s="2701"/>
      <c r="L136" s="2701"/>
      <c r="M136" s="2701"/>
      <c r="N136" s="2702"/>
      <c r="O136" s="1528"/>
      <c r="P136" s="2703" t="s">
        <v>2121</v>
      </c>
      <c r="Q136" s="2704"/>
      <c r="R136" s="2704"/>
      <c r="S136" s="2704"/>
      <c r="T136" s="2704"/>
      <c r="U136" s="2704"/>
      <c r="V136" s="2704"/>
      <c r="W136" s="2704"/>
      <c r="X136" s="2704"/>
      <c r="Y136" s="2704"/>
      <c r="Z136" s="2704"/>
      <c r="AA136" s="2704"/>
      <c r="AB136" s="2704"/>
      <c r="AC136" s="2704"/>
      <c r="AD136" s="2704"/>
      <c r="AE136" s="2704"/>
      <c r="AF136" s="2704"/>
      <c r="AG136" s="2704"/>
      <c r="AH136" s="2704"/>
      <c r="AI136" s="2704"/>
      <c r="AJ136" s="2704"/>
      <c r="AK136" s="2704"/>
      <c r="AL136" s="2704"/>
      <c r="AM136" s="2704"/>
      <c r="AN136" s="2704"/>
      <c r="AO136" s="2705"/>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706" t="s">
        <v>2122</v>
      </c>
      <c r="D137" s="2707"/>
      <c r="E137" s="2707"/>
      <c r="F137" s="2707"/>
      <c r="G137" s="2707"/>
      <c r="H137" s="2708"/>
      <c r="I137" s="2706" t="s">
        <v>2123</v>
      </c>
      <c r="J137" s="2707"/>
      <c r="K137" s="2707"/>
      <c r="L137" s="2707"/>
      <c r="M137" s="2707"/>
      <c r="N137" s="2708"/>
      <c r="O137" s="1528"/>
      <c r="P137" s="2709"/>
      <c r="Q137" s="2710"/>
      <c r="R137" s="2710"/>
      <c r="S137" s="2710"/>
      <c r="T137" s="2710"/>
      <c r="U137" s="2710"/>
      <c r="V137" s="2710"/>
      <c r="W137" s="2710"/>
      <c r="X137" s="2710"/>
      <c r="Y137" s="2710"/>
      <c r="Z137" s="2710"/>
      <c r="AA137" s="2710"/>
      <c r="AB137" s="2710"/>
      <c r="AC137" s="2710"/>
      <c r="AD137" s="2710"/>
      <c r="AE137" s="2710"/>
      <c r="AF137" s="2710"/>
      <c r="AG137" s="2710"/>
      <c r="AH137" s="2710"/>
      <c r="AI137" s="2710"/>
      <c r="AJ137" s="2710"/>
      <c r="AK137" s="2710"/>
      <c r="AL137" s="2710"/>
      <c r="AM137" s="2710"/>
      <c r="AN137" s="2710"/>
      <c r="AO137" s="2711"/>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688"/>
      <c r="D138" s="2688"/>
      <c r="E138" s="2688"/>
      <c r="F138" s="2688"/>
      <c r="G138" s="2688"/>
      <c r="H138" s="2688"/>
      <c r="I138" s="2689"/>
      <c r="J138" s="2689"/>
      <c r="K138" s="2689"/>
      <c r="L138" s="2689"/>
      <c r="M138" s="2689"/>
      <c r="N138" s="2689"/>
      <c r="O138" s="1528"/>
      <c r="P138" s="2709"/>
      <c r="Q138" s="2710"/>
      <c r="R138" s="2710"/>
      <c r="S138" s="2710"/>
      <c r="T138" s="2710"/>
      <c r="U138" s="2710"/>
      <c r="V138" s="2710"/>
      <c r="W138" s="2710"/>
      <c r="X138" s="2710"/>
      <c r="Y138" s="2710"/>
      <c r="Z138" s="2710"/>
      <c r="AA138" s="2710"/>
      <c r="AB138" s="2710"/>
      <c r="AC138" s="2710"/>
      <c r="AD138" s="2710"/>
      <c r="AE138" s="2710"/>
      <c r="AF138" s="2710"/>
      <c r="AG138" s="2710"/>
      <c r="AH138" s="2710"/>
      <c r="AI138" s="2710"/>
      <c r="AJ138" s="2710"/>
      <c r="AK138" s="2710"/>
      <c r="AL138" s="2710"/>
      <c r="AM138" s="2710"/>
      <c r="AN138" s="2710"/>
      <c r="AO138" s="2711"/>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688"/>
      <c r="D139" s="2688"/>
      <c r="E139" s="2688"/>
      <c r="F139" s="2688"/>
      <c r="G139" s="2688"/>
      <c r="H139" s="2688"/>
      <c r="I139" s="2689"/>
      <c r="J139" s="2689"/>
      <c r="K139" s="2689"/>
      <c r="L139" s="2689"/>
      <c r="M139" s="2689"/>
      <c r="N139" s="2689"/>
      <c r="O139" s="1528"/>
      <c r="P139" s="2709"/>
      <c r="Q139" s="2710"/>
      <c r="R139" s="2710"/>
      <c r="S139" s="2710"/>
      <c r="T139" s="2710"/>
      <c r="U139" s="2710"/>
      <c r="V139" s="2710"/>
      <c r="W139" s="2710"/>
      <c r="X139" s="2710"/>
      <c r="Y139" s="2710"/>
      <c r="Z139" s="2710"/>
      <c r="AA139" s="2710"/>
      <c r="AB139" s="2710"/>
      <c r="AC139" s="2710"/>
      <c r="AD139" s="2710"/>
      <c r="AE139" s="2710"/>
      <c r="AF139" s="2710"/>
      <c r="AG139" s="2710"/>
      <c r="AH139" s="2710"/>
      <c r="AI139" s="2710"/>
      <c r="AJ139" s="2710"/>
      <c r="AK139" s="2710"/>
      <c r="AL139" s="2710"/>
      <c r="AM139" s="2710"/>
      <c r="AN139" s="2710"/>
      <c r="AO139" s="2711"/>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688"/>
      <c r="D140" s="2688"/>
      <c r="E140" s="2688"/>
      <c r="F140" s="2688"/>
      <c r="G140" s="2688"/>
      <c r="H140" s="2688"/>
      <c r="I140" s="2689"/>
      <c r="J140" s="2689"/>
      <c r="K140" s="2689"/>
      <c r="L140" s="2689"/>
      <c r="M140" s="2689"/>
      <c r="N140" s="2689"/>
      <c r="O140" s="1528"/>
      <c r="P140" s="2709"/>
      <c r="Q140" s="2710"/>
      <c r="R140" s="2710"/>
      <c r="S140" s="2710"/>
      <c r="T140" s="2710"/>
      <c r="U140" s="2710"/>
      <c r="V140" s="2710"/>
      <c r="W140" s="2710"/>
      <c r="X140" s="2710"/>
      <c r="Y140" s="2710"/>
      <c r="Z140" s="2710"/>
      <c r="AA140" s="2710"/>
      <c r="AB140" s="2710"/>
      <c r="AC140" s="2710"/>
      <c r="AD140" s="2710"/>
      <c r="AE140" s="2710"/>
      <c r="AF140" s="2710"/>
      <c r="AG140" s="2710"/>
      <c r="AH140" s="2710"/>
      <c r="AI140" s="2710"/>
      <c r="AJ140" s="2710"/>
      <c r="AK140" s="2710"/>
      <c r="AL140" s="2710"/>
      <c r="AM140" s="2710"/>
      <c r="AN140" s="2710"/>
      <c r="AO140" s="2711"/>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688"/>
      <c r="D141" s="2688"/>
      <c r="E141" s="2688"/>
      <c r="F141" s="2688"/>
      <c r="G141" s="2688"/>
      <c r="H141" s="2688"/>
      <c r="I141" s="2689"/>
      <c r="J141" s="2689"/>
      <c r="K141" s="2689"/>
      <c r="L141" s="2689"/>
      <c r="M141" s="2689"/>
      <c r="N141" s="2689"/>
      <c r="O141" s="1528"/>
      <c r="P141" s="2709"/>
      <c r="Q141" s="2710"/>
      <c r="R141" s="2710"/>
      <c r="S141" s="2710"/>
      <c r="T141" s="2710"/>
      <c r="U141" s="2710"/>
      <c r="V141" s="2710"/>
      <c r="W141" s="2710"/>
      <c r="X141" s="2710"/>
      <c r="Y141" s="2710"/>
      <c r="Z141" s="2710"/>
      <c r="AA141" s="2710"/>
      <c r="AB141" s="2710"/>
      <c r="AC141" s="2710"/>
      <c r="AD141" s="2710"/>
      <c r="AE141" s="2710"/>
      <c r="AF141" s="2710"/>
      <c r="AG141" s="2710"/>
      <c r="AH141" s="2710"/>
      <c r="AI141" s="2710"/>
      <c r="AJ141" s="2710"/>
      <c r="AK141" s="2710"/>
      <c r="AL141" s="2710"/>
      <c r="AM141" s="2710"/>
      <c r="AN141" s="2710"/>
      <c r="AO141" s="2711"/>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688"/>
      <c r="D142" s="2688"/>
      <c r="E142" s="2688"/>
      <c r="F142" s="2688"/>
      <c r="G142" s="2688"/>
      <c r="H142" s="2688"/>
      <c r="I142" s="2689"/>
      <c r="J142" s="2689"/>
      <c r="K142" s="2689"/>
      <c r="L142" s="2689"/>
      <c r="M142" s="2689"/>
      <c r="N142" s="2689"/>
      <c r="O142" s="1528"/>
      <c r="P142" s="2709"/>
      <c r="Q142" s="2710"/>
      <c r="R142" s="2710"/>
      <c r="S142" s="2710"/>
      <c r="T142" s="2710"/>
      <c r="U142" s="2710"/>
      <c r="V142" s="2710"/>
      <c r="W142" s="2710"/>
      <c r="X142" s="2710"/>
      <c r="Y142" s="2710"/>
      <c r="Z142" s="2710"/>
      <c r="AA142" s="2710"/>
      <c r="AB142" s="2710"/>
      <c r="AC142" s="2710"/>
      <c r="AD142" s="2710"/>
      <c r="AE142" s="2710"/>
      <c r="AF142" s="2710"/>
      <c r="AG142" s="2710"/>
      <c r="AH142" s="2710"/>
      <c r="AI142" s="2710"/>
      <c r="AJ142" s="2710"/>
      <c r="AK142" s="2710"/>
      <c r="AL142" s="2710"/>
      <c r="AM142" s="2710"/>
      <c r="AN142" s="2710"/>
      <c r="AO142" s="2711"/>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688"/>
      <c r="D143" s="2688"/>
      <c r="E143" s="2688"/>
      <c r="F143" s="2688"/>
      <c r="G143" s="2688"/>
      <c r="H143" s="2688"/>
      <c r="I143" s="2689"/>
      <c r="J143" s="2689"/>
      <c r="K143" s="2689"/>
      <c r="L143" s="2689"/>
      <c r="M143" s="2689"/>
      <c r="N143" s="2689"/>
      <c r="O143" s="1528"/>
      <c r="P143" s="2709"/>
      <c r="Q143" s="2710"/>
      <c r="R143" s="2710"/>
      <c r="S143" s="2710"/>
      <c r="T143" s="2710"/>
      <c r="U143" s="2710"/>
      <c r="V143" s="2710"/>
      <c r="W143" s="2710"/>
      <c r="X143" s="2710"/>
      <c r="Y143" s="2710"/>
      <c r="Z143" s="2710"/>
      <c r="AA143" s="2710"/>
      <c r="AB143" s="2710"/>
      <c r="AC143" s="2710"/>
      <c r="AD143" s="2710"/>
      <c r="AE143" s="2710"/>
      <c r="AF143" s="2710"/>
      <c r="AG143" s="2710"/>
      <c r="AH143" s="2710"/>
      <c r="AI143" s="2710"/>
      <c r="AJ143" s="2710"/>
      <c r="AK143" s="2710"/>
      <c r="AL143" s="2710"/>
      <c r="AM143" s="2710"/>
      <c r="AN143" s="2710"/>
      <c r="AO143" s="2711"/>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688"/>
      <c r="D144" s="2688"/>
      <c r="E144" s="2688"/>
      <c r="F144" s="2688"/>
      <c r="G144" s="2688"/>
      <c r="H144" s="2688"/>
      <c r="I144" s="2689"/>
      <c r="J144" s="2689"/>
      <c r="K144" s="2689"/>
      <c r="L144" s="2689"/>
      <c r="M144" s="2689"/>
      <c r="N144" s="2689"/>
      <c r="O144" s="1528"/>
      <c r="P144" s="2712"/>
      <c r="Q144" s="2713"/>
      <c r="R144" s="2713"/>
      <c r="S144" s="2713"/>
      <c r="T144" s="2713"/>
      <c r="U144" s="2713"/>
      <c r="V144" s="2713"/>
      <c r="W144" s="2713"/>
      <c r="X144" s="2713"/>
      <c r="Y144" s="2713"/>
      <c r="Z144" s="2713"/>
      <c r="AA144" s="2713"/>
      <c r="AB144" s="2713"/>
      <c r="AC144" s="2713"/>
      <c r="AD144" s="2713"/>
      <c r="AE144" s="2713"/>
      <c r="AF144" s="2713"/>
      <c r="AG144" s="2713"/>
      <c r="AH144" s="2713"/>
      <c r="AI144" s="2713"/>
      <c r="AJ144" s="2713"/>
      <c r="AK144" s="2713"/>
      <c r="AL144" s="2713"/>
      <c r="AM144" s="2713"/>
      <c r="AN144" s="2713"/>
      <c r="AO144" s="2714"/>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2124</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2125</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690"/>
      <c r="D149" s="2691"/>
      <c r="E149" s="2691"/>
      <c r="F149" s="2691"/>
      <c r="G149" s="2691"/>
      <c r="H149" s="2691"/>
      <c r="I149" s="2691"/>
      <c r="J149" s="2691"/>
      <c r="K149" s="2691"/>
      <c r="L149" s="2691"/>
      <c r="M149" s="2692"/>
      <c r="N149" s="2693" t="s">
        <v>2126</v>
      </c>
      <c r="O149" s="2693"/>
      <c r="P149" s="2693"/>
      <c r="Q149" s="2693"/>
      <c r="R149" s="2693"/>
      <c r="S149" s="2693"/>
      <c r="T149" s="2694"/>
      <c r="U149" s="2695" t="s">
        <v>2112</v>
      </c>
      <c r="V149" s="2696"/>
      <c r="W149" s="2696"/>
      <c r="X149" s="2696"/>
      <c r="Y149" s="2696"/>
      <c r="Z149" s="2696"/>
      <c r="AA149" s="2696"/>
      <c r="AB149" s="2696"/>
      <c r="AC149" s="2696"/>
      <c r="AD149" s="2696"/>
      <c r="AE149" s="2697"/>
      <c r="AF149" s="1528"/>
      <c r="AG149" s="1528"/>
      <c r="AH149" s="2698" t="s">
        <v>2127</v>
      </c>
      <c r="AI149" s="2699"/>
      <c r="AJ149" s="2699"/>
      <c r="AK149" s="2699"/>
      <c r="AL149" s="2699"/>
      <c r="AM149" s="2699"/>
      <c r="AN149" s="2699"/>
      <c r="AO149" s="2699"/>
      <c r="AP149" s="2699"/>
      <c r="AQ149" s="2699"/>
      <c r="AR149" s="2699"/>
      <c r="AS149" s="2671"/>
      <c r="AT149" s="2672"/>
      <c r="AU149" s="2672"/>
      <c r="AV149" s="2672"/>
      <c r="AW149" s="2672"/>
      <c r="AX149" s="1528"/>
      <c r="AY149" s="1528"/>
      <c r="AZ149" s="1528"/>
      <c r="BA149" s="1528"/>
      <c r="BB149" s="1528"/>
      <c r="BC149" s="1528"/>
      <c r="BD149" s="1528"/>
      <c r="BE149" s="1534"/>
    </row>
    <row r="150" spans="1:57" ht="15.75" customHeight="1">
      <c r="A150" s="1817"/>
      <c r="B150" s="1528"/>
      <c r="C150" s="2665" t="s">
        <v>2128</v>
      </c>
      <c r="D150" s="2666"/>
      <c r="E150" s="2666"/>
      <c r="F150" s="2666"/>
      <c r="G150" s="2666"/>
      <c r="H150" s="2666"/>
      <c r="I150" s="2666"/>
      <c r="J150" s="2666"/>
      <c r="K150" s="2666"/>
      <c r="L150" s="2666"/>
      <c r="M150" s="2667"/>
      <c r="N150" s="2668">
        <f>'Sources and Uses Budget'!B104</f>
        <v>2500000</v>
      </c>
      <c r="O150" s="2668"/>
      <c r="P150" s="2668"/>
      <c r="Q150" s="2668"/>
      <c r="R150" s="2668"/>
      <c r="S150" s="2668"/>
      <c r="T150" s="2669"/>
      <c r="U150" s="2678"/>
      <c r="V150" s="2679"/>
      <c r="W150" s="2679"/>
      <c r="X150" s="2679"/>
      <c r="Y150" s="2679"/>
      <c r="Z150" s="2679"/>
      <c r="AA150" s="2679"/>
      <c r="AB150" s="2679"/>
      <c r="AC150" s="2679"/>
      <c r="AD150" s="2679"/>
      <c r="AE150" s="2685"/>
      <c r="AF150" s="1528"/>
      <c r="AG150" s="1528"/>
      <c r="AH150" s="2686" t="s">
        <v>2129</v>
      </c>
      <c r="AI150" s="2687"/>
      <c r="AJ150" s="2687"/>
      <c r="AK150" s="2687"/>
      <c r="AL150" s="2687"/>
      <c r="AM150" s="2687"/>
      <c r="AN150" s="2687"/>
      <c r="AO150" s="2687"/>
      <c r="AP150" s="2687"/>
      <c r="AQ150" s="2687"/>
      <c r="AR150" s="2687"/>
      <c r="AS150" s="2671"/>
      <c r="AT150" s="2672"/>
      <c r="AU150" s="2672"/>
      <c r="AV150" s="2672"/>
      <c r="AW150" s="2672"/>
      <c r="AX150" s="1528"/>
      <c r="AY150" s="1528"/>
      <c r="AZ150" s="1528"/>
      <c r="BA150" s="1528"/>
      <c r="BB150" s="1528"/>
      <c r="BC150" s="1528"/>
      <c r="BD150" s="1528"/>
      <c r="BE150" s="1534"/>
    </row>
    <row r="151" spans="1:57" ht="15.75" customHeight="1">
      <c r="A151" s="1817"/>
      <c r="B151" s="1528"/>
      <c r="C151" s="2665" t="s">
        <v>2130</v>
      </c>
      <c r="D151" s="2666"/>
      <c r="E151" s="2666"/>
      <c r="F151" s="2666"/>
      <c r="G151" s="2666"/>
      <c r="H151" s="2666"/>
      <c r="I151" s="2666"/>
      <c r="J151" s="2666"/>
      <c r="K151" s="2666"/>
      <c r="L151" s="2666"/>
      <c r="M151" s="2667"/>
      <c r="N151" s="2668">
        <f>N150/J29</f>
        <v>46296.296296296299</v>
      </c>
      <c r="O151" s="2668"/>
      <c r="P151" s="2668"/>
      <c r="Q151" s="2668"/>
      <c r="R151" s="2668"/>
      <c r="S151" s="2668"/>
      <c r="T151" s="2669"/>
      <c r="U151" s="1552"/>
      <c r="V151" s="1552"/>
      <c r="W151" s="1552"/>
      <c r="X151" s="1552"/>
      <c r="Y151" s="1552"/>
      <c r="Z151" s="1552"/>
      <c r="AA151" s="1552"/>
      <c r="AB151" s="1552"/>
      <c r="AC151" s="1552"/>
      <c r="AD151" s="1552"/>
      <c r="AE151" s="1553"/>
      <c r="AF151" s="1528"/>
      <c r="AG151" s="1528"/>
      <c r="AH151" s="2656" t="s">
        <v>2131</v>
      </c>
      <c r="AI151" s="2657"/>
      <c r="AJ151" s="2657"/>
      <c r="AK151" s="2657"/>
      <c r="AL151" s="2657"/>
      <c r="AM151" s="2657"/>
      <c r="AN151" s="2657"/>
      <c r="AO151" s="2657"/>
      <c r="AP151" s="2657"/>
      <c r="AQ151" s="2657"/>
      <c r="AR151" s="2670"/>
      <c r="AS151" s="2671"/>
      <c r="AT151" s="2672"/>
      <c r="AU151" s="2672"/>
      <c r="AV151" s="2672"/>
      <c r="AW151" s="2672"/>
      <c r="AX151" s="1528"/>
      <c r="AY151" s="1528"/>
      <c r="AZ151" s="1528"/>
      <c r="BA151" s="1528"/>
      <c r="BB151" s="1528"/>
      <c r="BC151" s="1528"/>
      <c r="BD151" s="1528"/>
      <c r="BE151" s="1534"/>
    </row>
    <row r="152" spans="1:57" ht="15.75" customHeight="1">
      <c r="A152" s="1817"/>
      <c r="B152" s="1528"/>
      <c r="C152" s="2673" t="s">
        <v>2132</v>
      </c>
      <c r="D152" s="2674"/>
      <c r="E152" s="2674"/>
      <c r="F152" s="2674"/>
      <c r="G152" s="2674"/>
      <c r="H152" s="2674"/>
      <c r="I152" s="2674"/>
      <c r="J152" s="2674"/>
      <c r="K152" s="2674"/>
      <c r="L152" s="2674"/>
      <c r="M152" s="2675"/>
      <c r="N152" s="2676"/>
      <c r="O152" s="2676"/>
      <c r="P152" s="2676"/>
      <c r="Q152" s="2676"/>
      <c r="R152" s="2676"/>
      <c r="S152" s="2676"/>
      <c r="T152" s="2677"/>
      <c r="U152" s="2654"/>
      <c r="V152" s="2655"/>
      <c r="W152" s="2655"/>
      <c r="X152" s="2655"/>
      <c r="Y152" s="2655"/>
      <c r="Z152" s="2655"/>
      <c r="AA152" s="2655"/>
      <c r="AB152" s="2655"/>
      <c r="AC152" s="2655"/>
      <c r="AD152" s="2655"/>
      <c r="AE152" s="2684"/>
      <c r="AF152" s="1528"/>
      <c r="AG152" s="1528"/>
      <c r="AH152" s="2678"/>
      <c r="AI152" s="2679"/>
      <c r="AJ152" s="2679"/>
      <c r="AK152" s="2679"/>
      <c r="AL152" s="2679"/>
      <c r="AM152" s="2679"/>
      <c r="AN152" s="2679"/>
      <c r="AO152" s="2679"/>
      <c r="AP152" s="2679"/>
      <c r="AQ152" s="2679"/>
      <c r="AR152" s="2680"/>
      <c r="AS152" s="2681"/>
      <c r="AT152" s="2682"/>
      <c r="AU152" s="2682"/>
      <c r="AV152" s="2682"/>
      <c r="AW152" s="2683"/>
      <c r="AX152" s="1528"/>
      <c r="AY152" s="1528"/>
      <c r="AZ152" s="1528"/>
      <c r="BA152" s="1528"/>
      <c r="BB152" s="1528"/>
      <c r="BC152" s="1528"/>
      <c r="BD152" s="1528"/>
      <c r="BE152" s="1534"/>
    </row>
    <row r="153" spans="1:57" ht="15.75" customHeight="1" thickBot="1">
      <c r="A153" s="1817"/>
      <c r="B153" s="1528"/>
      <c r="C153" s="2656" t="s">
        <v>2133</v>
      </c>
      <c r="D153" s="2657"/>
      <c r="E153" s="2657"/>
      <c r="F153" s="2657"/>
      <c r="G153" s="2657"/>
      <c r="H153" s="2657"/>
      <c r="I153" s="2657"/>
      <c r="J153" s="2657"/>
      <c r="K153" s="2657"/>
      <c r="L153" s="2657"/>
      <c r="M153" s="2658"/>
      <c r="N153" s="2659">
        <f>SUM('Sources and Uses Budget'!B85:B86)</f>
        <v>724748</v>
      </c>
      <c r="O153" s="2659"/>
      <c r="P153" s="2659"/>
      <c r="Q153" s="2659"/>
      <c r="R153" s="2659"/>
      <c r="S153" s="2659"/>
      <c r="T153" s="2660"/>
      <c r="U153" s="2651"/>
      <c r="V153" s="2652"/>
      <c r="W153" s="2652"/>
      <c r="X153" s="2652"/>
      <c r="Y153" s="2652"/>
      <c r="Z153" s="2652"/>
      <c r="AA153" s="2652"/>
      <c r="AB153" s="2652"/>
      <c r="AC153" s="2652"/>
      <c r="AD153" s="2652"/>
      <c r="AE153" s="2653"/>
      <c r="AF153" s="1528"/>
      <c r="AG153" s="1528"/>
      <c r="AH153" s="2661" t="s">
        <v>2134</v>
      </c>
      <c r="AI153" s="2662"/>
      <c r="AJ153" s="2662"/>
      <c r="AK153" s="2662"/>
      <c r="AL153" s="2662"/>
      <c r="AM153" s="2662"/>
      <c r="AN153" s="2662"/>
      <c r="AO153" s="2662"/>
      <c r="AP153" s="2662"/>
      <c r="AQ153" s="2662"/>
      <c r="AR153" s="2662"/>
      <c r="AS153" s="2663">
        <f>SUM(AS149:AW151)</f>
        <v>0</v>
      </c>
      <c r="AT153" s="2664"/>
      <c r="AU153" s="2664"/>
      <c r="AV153" s="2664"/>
      <c r="AW153" s="2664"/>
      <c r="AX153" s="1528"/>
      <c r="AY153" s="1528"/>
      <c r="AZ153" s="1528"/>
      <c r="BA153" s="1528"/>
      <c r="BB153" s="1528"/>
      <c r="BC153" s="1528"/>
      <c r="BD153" s="1528"/>
      <c r="BE153" s="1534"/>
    </row>
    <row r="154" spans="1:57" ht="15.75" customHeight="1">
      <c r="A154" s="1817"/>
      <c r="B154" s="1528"/>
      <c r="C154" s="2656" t="s">
        <v>2135</v>
      </c>
      <c r="D154" s="2657"/>
      <c r="E154" s="2657"/>
      <c r="F154" s="2657"/>
      <c r="G154" s="2657"/>
      <c r="H154" s="2657"/>
      <c r="I154" s="2657"/>
      <c r="J154" s="2657"/>
      <c r="K154" s="2657"/>
      <c r="L154" s="2657"/>
      <c r="M154" s="2658"/>
      <c r="N154" s="2659">
        <f>'Sources and Uses Budget'!B8</f>
        <v>3207112</v>
      </c>
      <c r="O154" s="2659"/>
      <c r="P154" s="2659"/>
      <c r="Q154" s="2659"/>
      <c r="R154" s="2659"/>
      <c r="S154" s="2659"/>
      <c r="T154" s="2660"/>
      <c r="U154" s="2651"/>
      <c r="V154" s="2652"/>
      <c r="W154" s="2652"/>
      <c r="X154" s="2652"/>
      <c r="Y154" s="2652"/>
      <c r="Z154" s="2652"/>
      <c r="AA154" s="2652"/>
      <c r="AB154" s="2652"/>
      <c r="AC154" s="2652"/>
      <c r="AD154" s="2652"/>
      <c r="AE154" s="2653"/>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656" t="s">
        <v>2136</v>
      </c>
      <c r="D155" s="2657"/>
      <c r="E155" s="2657"/>
      <c r="F155" s="2657"/>
      <c r="G155" s="2657"/>
      <c r="H155" s="2657"/>
      <c r="I155" s="2657"/>
      <c r="J155" s="2657"/>
      <c r="K155" s="2657"/>
      <c r="L155" s="2657"/>
      <c r="M155" s="2658"/>
      <c r="N155" s="2649"/>
      <c r="O155" s="2649"/>
      <c r="P155" s="2649"/>
      <c r="Q155" s="2649"/>
      <c r="R155" s="2649"/>
      <c r="S155" s="2649"/>
      <c r="T155" s="2650"/>
      <c r="U155" s="2651"/>
      <c r="V155" s="2652"/>
      <c r="W155" s="2652"/>
      <c r="X155" s="2652"/>
      <c r="Y155" s="2652"/>
      <c r="Z155" s="2652"/>
      <c r="AA155" s="2652"/>
      <c r="AB155" s="2652"/>
      <c r="AC155" s="2652"/>
      <c r="AD155" s="2652"/>
      <c r="AE155" s="2653"/>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656" t="s">
        <v>2129</v>
      </c>
      <c r="D156" s="2657"/>
      <c r="E156" s="2657"/>
      <c r="F156" s="2657"/>
      <c r="G156" s="2657"/>
      <c r="H156" s="2657"/>
      <c r="I156" s="2657"/>
      <c r="J156" s="2657"/>
      <c r="K156" s="2657"/>
      <c r="L156" s="2657"/>
      <c r="M156" s="2658"/>
      <c r="N156" s="2649"/>
      <c r="O156" s="2649"/>
      <c r="P156" s="2649"/>
      <c r="Q156" s="2649"/>
      <c r="R156" s="2649"/>
      <c r="S156" s="2649"/>
      <c r="T156" s="2650"/>
      <c r="U156" s="2651"/>
      <c r="V156" s="2652"/>
      <c r="W156" s="2652"/>
      <c r="X156" s="2652"/>
      <c r="Y156" s="2652"/>
      <c r="Z156" s="2652"/>
      <c r="AA156" s="2652"/>
      <c r="AB156" s="2652"/>
      <c r="AC156" s="2652"/>
      <c r="AD156" s="2652"/>
      <c r="AE156" s="2653"/>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645" t="s">
        <v>308</v>
      </c>
      <c r="D157" s="2646"/>
      <c r="E157" s="2647" t="s">
        <v>2119</v>
      </c>
      <c r="F157" s="2647"/>
      <c r="G157" s="2647"/>
      <c r="H157" s="2647"/>
      <c r="I157" s="2647"/>
      <c r="J157" s="2647"/>
      <c r="K157" s="2647"/>
      <c r="L157" s="2647"/>
      <c r="M157" s="2648"/>
      <c r="N157" s="2649"/>
      <c r="O157" s="2649"/>
      <c r="P157" s="2649"/>
      <c r="Q157" s="2649"/>
      <c r="R157" s="2649"/>
      <c r="S157" s="2649"/>
      <c r="T157" s="2650"/>
      <c r="U157" s="2651"/>
      <c r="V157" s="2652"/>
      <c r="W157" s="2652"/>
      <c r="X157" s="2652"/>
      <c r="Y157" s="2652"/>
      <c r="Z157" s="2652"/>
      <c r="AA157" s="2652"/>
      <c r="AB157" s="2652"/>
      <c r="AC157" s="2652"/>
      <c r="AD157" s="2652"/>
      <c r="AE157" s="2653"/>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654" t="s">
        <v>308</v>
      </c>
      <c r="D158" s="2655"/>
      <c r="E158" s="2647" t="s">
        <v>2119</v>
      </c>
      <c r="F158" s="2647"/>
      <c r="G158" s="2647"/>
      <c r="H158" s="2647"/>
      <c r="I158" s="2647"/>
      <c r="J158" s="2647"/>
      <c r="K158" s="2647"/>
      <c r="L158" s="2647"/>
      <c r="M158" s="2648"/>
      <c r="N158" s="2649"/>
      <c r="O158" s="2649"/>
      <c r="P158" s="2649"/>
      <c r="Q158" s="2649"/>
      <c r="R158" s="2649"/>
      <c r="S158" s="2649"/>
      <c r="T158" s="2650"/>
      <c r="U158" s="2651"/>
      <c r="V158" s="2652"/>
      <c r="W158" s="2652"/>
      <c r="X158" s="2652"/>
      <c r="Y158" s="2652"/>
      <c r="Z158" s="2652"/>
      <c r="AA158" s="2652"/>
      <c r="AB158" s="2652"/>
      <c r="AC158" s="2652"/>
      <c r="AD158" s="2652"/>
      <c r="AE158" s="2653"/>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630" t="s">
        <v>308</v>
      </c>
      <c r="D159" s="2631"/>
      <c r="E159" s="2632" t="s">
        <v>2119</v>
      </c>
      <c r="F159" s="2632"/>
      <c r="G159" s="2632"/>
      <c r="H159" s="2632"/>
      <c r="I159" s="2632"/>
      <c r="J159" s="2632"/>
      <c r="K159" s="2632"/>
      <c r="L159" s="2632"/>
      <c r="M159" s="2633"/>
      <c r="N159" s="2634"/>
      <c r="O159" s="2634"/>
      <c r="P159" s="2634"/>
      <c r="Q159" s="2634"/>
      <c r="R159" s="2634"/>
      <c r="S159" s="2634"/>
      <c r="T159" s="2635"/>
      <c r="U159" s="2636"/>
      <c r="V159" s="2637"/>
      <c r="W159" s="2637"/>
      <c r="X159" s="2637"/>
      <c r="Y159" s="2637"/>
      <c r="Z159" s="2637"/>
      <c r="AA159" s="2637"/>
      <c r="AB159" s="2637"/>
      <c r="AC159" s="2637"/>
      <c r="AD159" s="2637"/>
      <c r="AE159" s="2638"/>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639" t="s">
        <v>2137</v>
      </c>
      <c r="D160" s="2640"/>
      <c r="E160" s="2640"/>
      <c r="F160" s="2640"/>
      <c r="G160" s="2640"/>
      <c r="H160" s="2640"/>
      <c r="I160" s="2640"/>
      <c r="J160" s="2640"/>
      <c r="K160" s="2640"/>
      <c r="L160" s="2640"/>
      <c r="M160" s="2641"/>
      <c r="N160" s="2642">
        <f>SUM(N152:T159)</f>
        <v>3931860</v>
      </c>
      <c r="O160" s="2643"/>
      <c r="P160" s="2643"/>
      <c r="Q160" s="2643"/>
      <c r="R160" s="2643"/>
      <c r="S160" s="2643"/>
      <c r="T160" s="2644"/>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617" t="s">
        <v>2138</v>
      </c>
      <c r="D161" s="2618"/>
      <c r="E161" s="2618"/>
      <c r="F161" s="2618"/>
      <c r="G161" s="2618"/>
      <c r="H161" s="2618"/>
      <c r="I161" s="2618"/>
      <c r="J161" s="2618"/>
      <c r="K161" s="2618"/>
      <c r="L161" s="2618"/>
      <c r="M161" s="2618"/>
      <c r="N161" s="2619">
        <f>(N150-N160)/J29</f>
        <v>-26515.925925925927</v>
      </c>
      <c r="O161" s="2619"/>
      <c r="P161" s="2619"/>
      <c r="Q161" s="2619"/>
      <c r="R161" s="2619"/>
      <c r="S161" s="2619"/>
      <c r="T161" s="2620"/>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621" t="s">
        <v>2139</v>
      </c>
      <c r="C164" s="2622"/>
      <c r="D164" s="2622"/>
      <c r="E164" s="2622"/>
      <c r="F164" s="2622"/>
      <c r="G164" s="2622"/>
      <c r="H164" s="2622"/>
      <c r="I164" s="2622"/>
      <c r="J164" s="2622"/>
      <c r="K164" s="2622"/>
      <c r="L164" s="2622"/>
      <c r="M164" s="2622"/>
      <c r="N164" s="2622"/>
      <c r="O164" s="2622"/>
      <c r="P164" s="2622"/>
      <c r="Q164" s="2622"/>
      <c r="R164" s="2622"/>
      <c r="S164" s="2622"/>
      <c r="T164" s="2622"/>
      <c r="U164" s="2622"/>
      <c r="V164" s="2622"/>
      <c r="W164" s="2622"/>
      <c r="X164" s="2622"/>
      <c r="Y164" s="2622"/>
      <c r="Z164" s="2622"/>
      <c r="AA164" s="2622"/>
      <c r="AB164" s="2622"/>
      <c r="AC164" s="2622"/>
      <c r="AD164" s="2622"/>
      <c r="AE164" s="2622"/>
      <c r="AF164" s="2622"/>
      <c r="AG164" s="2622"/>
      <c r="AH164" s="2622"/>
      <c r="AI164" s="2622"/>
      <c r="AJ164" s="2622"/>
      <c r="AK164" s="2622"/>
      <c r="AL164" s="2622"/>
      <c r="AM164" s="2622"/>
      <c r="AN164" s="2622"/>
      <c r="AO164" s="2622"/>
      <c r="AP164" s="2622"/>
      <c r="AQ164" s="2622"/>
      <c r="AR164" s="2622"/>
      <c r="AS164" s="2622"/>
      <c r="AT164" s="2622"/>
      <c r="AU164" s="2622"/>
      <c r="AV164" s="2622"/>
      <c r="AW164" s="2622"/>
      <c r="AX164" s="2622"/>
      <c r="AY164" s="2622"/>
      <c r="AZ164" s="2622"/>
      <c r="BA164" s="2622"/>
      <c r="BB164" s="2622"/>
      <c r="BC164" s="2622"/>
      <c r="BD164" s="2623"/>
      <c r="BE164" s="1534"/>
    </row>
    <row r="165" spans="1:57" ht="15.75" customHeight="1">
      <c r="A165" s="1817"/>
      <c r="B165" s="2624"/>
      <c r="C165" s="2625"/>
      <c r="D165" s="2625"/>
      <c r="E165" s="2625"/>
      <c r="F165" s="2625"/>
      <c r="G165" s="2625"/>
      <c r="H165" s="2625"/>
      <c r="I165" s="2625"/>
      <c r="J165" s="2625"/>
      <c r="K165" s="2625"/>
      <c r="L165" s="2625"/>
      <c r="M165" s="2625"/>
      <c r="N165" s="2625"/>
      <c r="O165" s="2625"/>
      <c r="P165" s="2625"/>
      <c r="Q165" s="2625"/>
      <c r="R165" s="2625"/>
      <c r="S165" s="2625"/>
      <c r="T165" s="2625"/>
      <c r="U165" s="2625"/>
      <c r="V165" s="2625"/>
      <c r="W165" s="2625"/>
      <c r="X165" s="2625"/>
      <c r="Y165" s="2625"/>
      <c r="Z165" s="2625"/>
      <c r="AA165" s="2625"/>
      <c r="AB165" s="2625"/>
      <c r="AC165" s="2625"/>
      <c r="AD165" s="2625"/>
      <c r="AE165" s="2625"/>
      <c r="AF165" s="2625"/>
      <c r="AG165" s="2625"/>
      <c r="AH165" s="2625"/>
      <c r="AI165" s="2625"/>
      <c r="AJ165" s="2625"/>
      <c r="AK165" s="2625"/>
      <c r="AL165" s="2625"/>
      <c r="AM165" s="2625"/>
      <c r="AN165" s="2625"/>
      <c r="AO165" s="2625"/>
      <c r="AP165" s="2625"/>
      <c r="AQ165" s="2625"/>
      <c r="AR165" s="2625"/>
      <c r="AS165" s="2625"/>
      <c r="AT165" s="2625"/>
      <c r="AU165" s="2625"/>
      <c r="AV165" s="2625"/>
      <c r="AW165" s="2625"/>
      <c r="AX165" s="2625"/>
      <c r="AY165" s="2625"/>
      <c r="AZ165" s="2625"/>
      <c r="BA165" s="2625"/>
      <c r="BB165" s="2625"/>
      <c r="BC165" s="2625"/>
      <c r="BD165" s="2626"/>
      <c r="BE165" s="1534"/>
    </row>
    <row r="166" spans="1:57" ht="15.75" customHeight="1">
      <c r="A166" s="1817"/>
      <c r="B166" s="2627" t="s">
        <v>2140</v>
      </c>
      <c r="C166" s="2628"/>
      <c r="D166" s="2628"/>
      <c r="E166" s="2628"/>
      <c r="F166" s="2628"/>
      <c r="G166" s="2628"/>
      <c r="H166" s="2628"/>
      <c r="I166" s="2628"/>
      <c r="J166" s="2628"/>
      <c r="K166" s="2628"/>
      <c r="L166" s="2628"/>
      <c r="M166" s="2628"/>
      <c r="N166" s="2628"/>
      <c r="O166" s="2628"/>
      <c r="P166" s="2628"/>
      <c r="Q166" s="2628"/>
      <c r="R166" s="2628"/>
      <c r="S166" s="2628"/>
      <c r="T166" s="2628"/>
      <c r="U166" s="2628"/>
      <c r="V166" s="2628"/>
      <c r="W166" s="2628"/>
      <c r="X166" s="2628"/>
      <c r="Y166" s="2628"/>
      <c r="Z166" s="2628"/>
      <c r="AA166" s="2628"/>
      <c r="AB166" s="2628"/>
      <c r="AC166" s="2628"/>
      <c r="AD166" s="2628"/>
      <c r="AE166" s="2628"/>
      <c r="AF166" s="2628"/>
      <c r="AG166" s="2628"/>
      <c r="AH166" s="2628"/>
      <c r="AI166" s="2628"/>
      <c r="AJ166" s="2628"/>
      <c r="AK166" s="2628"/>
      <c r="AL166" s="2628"/>
      <c r="AM166" s="2628"/>
      <c r="AN166" s="2628"/>
      <c r="AO166" s="2628"/>
      <c r="AP166" s="2628"/>
      <c r="AQ166" s="2628"/>
      <c r="AR166" s="2628"/>
      <c r="AS166" s="2628"/>
      <c r="AT166" s="2628"/>
      <c r="AU166" s="2628"/>
      <c r="AV166" s="2628"/>
      <c r="AW166" s="2628"/>
      <c r="AX166" s="2628"/>
      <c r="AY166" s="2628"/>
      <c r="AZ166" s="2628"/>
      <c r="BA166" s="2628"/>
      <c r="BB166" s="2628"/>
      <c r="BC166" s="2628"/>
      <c r="BD166" s="2629"/>
      <c r="BE166" s="1534"/>
    </row>
    <row r="167" spans="1:57" ht="15.75" customHeight="1">
      <c r="A167" s="1817"/>
      <c r="B167" s="2627" t="s">
        <v>2141</v>
      </c>
      <c r="C167" s="2628"/>
      <c r="D167" s="2628"/>
      <c r="E167" s="2628"/>
      <c r="F167" s="2628"/>
      <c r="G167" s="2628"/>
      <c r="H167" s="2628"/>
      <c r="I167" s="2628"/>
      <c r="J167" s="2628"/>
      <c r="K167" s="2628"/>
      <c r="L167" s="2628"/>
      <c r="M167" s="2628"/>
      <c r="N167" s="2628"/>
      <c r="O167" s="2628"/>
      <c r="P167" s="2628"/>
      <c r="Q167" s="2628"/>
      <c r="R167" s="2628"/>
      <c r="S167" s="2628"/>
      <c r="T167" s="2628"/>
      <c r="U167" s="2628"/>
      <c r="V167" s="2628"/>
      <c r="W167" s="2628"/>
      <c r="X167" s="2628"/>
      <c r="Y167" s="2628"/>
      <c r="Z167" s="2628"/>
      <c r="AA167" s="2628"/>
      <c r="AB167" s="2628"/>
      <c r="AC167" s="2628"/>
      <c r="AD167" s="2628"/>
      <c r="AE167" s="2628"/>
      <c r="AF167" s="2628"/>
      <c r="AG167" s="2628"/>
      <c r="AH167" s="2628"/>
      <c r="AI167" s="2628"/>
      <c r="AJ167" s="2628"/>
      <c r="AK167" s="2628"/>
      <c r="AL167" s="2628"/>
      <c r="AM167" s="2628"/>
      <c r="AN167" s="2628"/>
      <c r="AO167" s="2628"/>
      <c r="AP167" s="2628"/>
      <c r="AQ167" s="2628"/>
      <c r="AR167" s="2628"/>
      <c r="AS167" s="2628"/>
      <c r="AT167" s="2628"/>
      <c r="AU167" s="2628"/>
      <c r="AV167" s="2628"/>
      <c r="AW167" s="2628"/>
      <c r="AX167" s="2628"/>
      <c r="AY167" s="2628"/>
      <c r="AZ167" s="2628"/>
      <c r="BA167" s="2628"/>
      <c r="BB167" s="2628"/>
      <c r="BC167" s="2628"/>
      <c r="BD167" s="2629"/>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611" t="s">
        <v>2142</v>
      </c>
      <c r="C169" s="2612"/>
      <c r="D169" s="2612"/>
      <c r="E169" s="2612"/>
      <c r="F169" s="2612"/>
      <c r="G169" s="2612"/>
      <c r="H169" s="2612"/>
      <c r="I169" s="2612"/>
      <c r="J169" s="2612"/>
      <c r="K169" s="2612"/>
      <c r="L169" s="2612"/>
      <c r="M169" s="2612"/>
      <c r="N169" s="2612"/>
      <c r="O169" s="2612"/>
      <c r="P169" s="2612"/>
      <c r="Q169" s="2612"/>
      <c r="R169" s="2612"/>
      <c r="S169" s="2612"/>
      <c r="T169" s="2612"/>
      <c r="U169" s="2612"/>
      <c r="V169" s="2612"/>
      <c r="W169" s="2612"/>
      <c r="X169" s="2612"/>
      <c r="Y169" s="2612"/>
      <c r="Z169" s="2612"/>
      <c r="AA169" s="2612"/>
      <c r="AB169" s="2612"/>
      <c r="AC169" s="2612"/>
      <c r="AD169" s="2612"/>
      <c r="AE169" s="2612"/>
      <c r="AF169" s="2612"/>
      <c r="AG169" s="2612"/>
      <c r="AH169" s="2612"/>
      <c r="AI169" s="2612"/>
      <c r="AJ169" s="2612"/>
      <c r="AK169" s="2612"/>
      <c r="AL169" s="2612"/>
      <c r="AM169" s="2612"/>
      <c r="AN169" s="2612"/>
      <c r="AO169" s="2612"/>
      <c r="AP169" s="2612"/>
      <c r="AQ169" s="2612"/>
      <c r="AR169" s="2612"/>
      <c r="AS169" s="2612"/>
      <c r="AT169" s="2612"/>
      <c r="AU169" s="2612"/>
      <c r="AV169" s="2612"/>
      <c r="AW169" s="2612"/>
      <c r="AX169" s="2612"/>
      <c r="AY169" s="2612"/>
      <c r="AZ169" s="2612"/>
      <c r="BA169" s="2612"/>
      <c r="BB169" s="2612"/>
      <c r="BC169" s="2612"/>
      <c r="BD169" s="2613"/>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2143</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614" t="s">
        <v>2144</v>
      </c>
      <c r="I173" s="2614"/>
      <c r="J173" s="2614"/>
      <c r="K173" s="2614"/>
      <c r="L173" s="2614"/>
      <c r="M173" s="2614"/>
      <c r="N173" s="2614"/>
      <c r="O173" s="2614"/>
      <c r="P173" s="2614"/>
      <c r="Q173" s="2614"/>
      <c r="R173" s="2614"/>
      <c r="S173" s="2614"/>
      <c r="T173" s="2614"/>
      <c r="U173" s="2614"/>
      <c r="V173" s="2614"/>
      <c r="W173" s="2614"/>
      <c r="X173" s="2614"/>
      <c r="Y173" s="2614"/>
      <c r="Z173" s="2614"/>
      <c r="AA173" s="2614"/>
      <c r="AB173" s="2614"/>
      <c r="AC173" s="2614"/>
      <c r="AD173" s="2614"/>
      <c r="AE173" s="2614"/>
      <c r="AF173" s="2614"/>
      <c r="AG173" s="2614"/>
      <c r="AH173" s="2614"/>
      <c r="AI173" s="2614"/>
      <c r="AJ173" s="2614"/>
      <c r="AK173" s="2614"/>
      <c r="AL173" s="2614"/>
      <c r="AM173" s="2614"/>
      <c r="AN173" s="2614"/>
      <c r="AO173" s="2614"/>
      <c r="AP173" s="2614"/>
      <c r="AQ173" s="2614"/>
      <c r="AR173" s="2614"/>
      <c r="AS173" s="2614"/>
      <c r="AT173" s="2614"/>
      <c r="AU173" s="2614"/>
      <c r="AV173" s="2614"/>
      <c r="AW173" s="2614"/>
      <c r="AX173" s="2614"/>
      <c r="AY173" s="2614"/>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615" t="s">
        <v>2145</v>
      </c>
      <c r="I175" s="2615"/>
      <c r="J175" s="2615"/>
      <c r="K175" s="2615"/>
      <c r="L175" s="2615"/>
      <c r="M175" s="2615"/>
      <c r="N175" s="2615"/>
      <c r="O175" s="2615"/>
      <c r="P175" s="2615"/>
      <c r="Q175" s="2615"/>
      <c r="R175" s="2615"/>
      <c r="S175" s="2615"/>
      <c r="T175" s="2615"/>
      <c r="U175" s="2615"/>
      <c r="V175" s="2615"/>
      <c r="W175" s="2615"/>
      <c r="X175" s="2615"/>
      <c r="Y175" s="2615"/>
      <c r="Z175" s="2615"/>
      <c r="AA175" s="2615"/>
      <c r="AB175" s="2615"/>
      <c r="AC175" s="2615"/>
      <c r="AD175" s="2615"/>
      <c r="AE175" s="2615"/>
      <c r="AF175" s="2615"/>
      <c r="AG175" s="2615"/>
      <c r="AH175" s="2615"/>
      <c r="AI175" s="2615"/>
      <c r="AJ175" s="2615"/>
      <c r="AK175" s="2615"/>
      <c r="AL175" s="2615"/>
      <c r="AM175" s="2615"/>
      <c r="AN175" s="2615"/>
      <c r="AO175" s="2615"/>
      <c r="AP175" s="2615"/>
      <c r="AQ175" s="2615"/>
      <c r="AR175" s="2615"/>
      <c r="AS175" s="2615"/>
      <c r="AT175" s="2615"/>
      <c r="AU175" s="2615"/>
      <c r="AV175" s="2615"/>
      <c r="AW175" s="2615"/>
      <c r="AX175" s="2615"/>
      <c r="AY175" s="2615"/>
      <c r="AZ175" s="2615"/>
      <c r="BA175" s="1554"/>
      <c r="BB175" s="1554"/>
      <c r="BC175" s="1554"/>
      <c r="BD175" s="1534"/>
      <c r="BE175" s="1534"/>
    </row>
    <row r="176" spans="1:57" ht="15.75" customHeight="1">
      <c r="A176" s="1817"/>
      <c r="B176" s="1527"/>
      <c r="C176" s="1554"/>
      <c r="D176" s="1554"/>
      <c r="E176" s="1554"/>
      <c r="F176" s="1554"/>
      <c r="G176" s="1554"/>
      <c r="H176" s="2615"/>
      <c r="I176" s="2615"/>
      <c r="J176" s="2615"/>
      <c r="K176" s="2615"/>
      <c r="L176" s="2615"/>
      <c r="M176" s="2615"/>
      <c r="N176" s="2615"/>
      <c r="O176" s="2615"/>
      <c r="P176" s="2615"/>
      <c r="Q176" s="2615"/>
      <c r="R176" s="2615"/>
      <c r="S176" s="2615"/>
      <c r="T176" s="2615"/>
      <c r="U176" s="2615"/>
      <c r="V176" s="2615"/>
      <c r="W176" s="2615"/>
      <c r="X176" s="2615"/>
      <c r="Y176" s="2615"/>
      <c r="Z176" s="2615"/>
      <c r="AA176" s="2615"/>
      <c r="AB176" s="2615"/>
      <c r="AC176" s="2615"/>
      <c r="AD176" s="2615"/>
      <c r="AE176" s="2615"/>
      <c r="AF176" s="2615"/>
      <c r="AG176" s="2615"/>
      <c r="AH176" s="2615"/>
      <c r="AI176" s="2615"/>
      <c r="AJ176" s="2615"/>
      <c r="AK176" s="2615"/>
      <c r="AL176" s="2615"/>
      <c r="AM176" s="2615"/>
      <c r="AN176" s="2615"/>
      <c r="AO176" s="2615"/>
      <c r="AP176" s="2615"/>
      <c r="AQ176" s="2615"/>
      <c r="AR176" s="2615"/>
      <c r="AS176" s="2615"/>
      <c r="AT176" s="2615"/>
      <c r="AU176" s="2615"/>
      <c r="AV176" s="2615"/>
      <c r="AW176" s="2615"/>
      <c r="AX176" s="2615"/>
      <c r="AY176" s="2615"/>
      <c r="AZ176" s="2615"/>
      <c r="BA176" s="1554"/>
      <c r="BB176" s="1554"/>
      <c r="BC176" s="1554"/>
      <c r="BD176" s="1534"/>
      <c r="BE176" s="1534"/>
    </row>
    <row r="177" spans="1:57" ht="15.75" customHeight="1">
      <c r="A177" s="1817"/>
      <c r="B177" s="1527"/>
      <c r="C177" s="1554"/>
      <c r="D177" s="1554"/>
      <c r="E177" s="1554"/>
      <c r="F177" s="1554"/>
      <c r="G177" s="1554"/>
      <c r="H177" s="2615"/>
      <c r="I177" s="2615"/>
      <c r="J177" s="2615"/>
      <c r="K177" s="2615"/>
      <c r="L177" s="2615"/>
      <c r="M177" s="2615"/>
      <c r="N177" s="2615"/>
      <c r="O177" s="2615"/>
      <c r="P177" s="2615"/>
      <c r="Q177" s="2615"/>
      <c r="R177" s="2615"/>
      <c r="S177" s="2615"/>
      <c r="T177" s="2615"/>
      <c r="U177" s="2615"/>
      <c r="V177" s="2615"/>
      <c r="W177" s="2615"/>
      <c r="X177" s="2615"/>
      <c r="Y177" s="2615"/>
      <c r="Z177" s="2615"/>
      <c r="AA177" s="2615"/>
      <c r="AB177" s="2615"/>
      <c r="AC177" s="2615"/>
      <c r="AD177" s="2615"/>
      <c r="AE177" s="2615"/>
      <c r="AF177" s="2615"/>
      <c r="AG177" s="2615"/>
      <c r="AH177" s="2615"/>
      <c r="AI177" s="2615"/>
      <c r="AJ177" s="2615"/>
      <c r="AK177" s="2615"/>
      <c r="AL177" s="2615"/>
      <c r="AM177" s="2615"/>
      <c r="AN177" s="2615"/>
      <c r="AO177" s="2615"/>
      <c r="AP177" s="2615"/>
      <c r="AQ177" s="2615"/>
      <c r="AR177" s="2615"/>
      <c r="AS177" s="2615"/>
      <c r="AT177" s="2615"/>
      <c r="AU177" s="2615"/>
      <c r="AV177" s="2615"/>
      <c r="AW177" s="2615"/>
      <c r="AX177" s="2615"/>
      <c r="AY177" s="2615"/>
      <c r="AZ177" s="2615"/>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616" t="s">
        <v>2146</v>
      </c>
      <c r="I180" s="2616"/>
      <c r="J180" s="2616"/>
      <c r="K180" s="2616"/>
      <c r="L180" s="2616"/>
      <c r="M180" s="2616"/>
      <c r="N180" s="2616"/>
      <c r="O180" s="2616"/>
      <c r="P180" s="2616"/>
      <c r="Q180" s="2616"/>
      <c r="R180" s="2616"/>
      <c r="S180" s="2616"/>
      <c r="T180" s="2616"/>
      <c r="U180" s="2616"/>
      <c r="V180" s="2616"/>
      <c r="W180" s="2616"/>
      <c r="X180" s="2616"/>
      <c r="Y180" s="2616"/>
      <c r="Z180" s="2616"/>
      <c r="AA180" s="2616"/>
      <c r="AB180" s="2616"/>
      <c r="AC180" s="2616"/>
      <c r="AD180" s="2616"/>
      <c r="AE180" s="2616"/>
      <c r="AF180" s="2616"/>
      <c r="AG180" s="2616"/>
      <c r="AH180" s="2616"/>
      <c r="AI180" s="2616"/>
      <c r="AJ180" s="2616"/>
      <c r="AK180" s="2616"/>
      <c r="AL180" s="2616"/>
      <c r="AM180" s="2616"/>
      <c r="AN180" s="2616"/>
      <c r="AO180" s="2616"/>
      <c r="AP180" s="2616"/>
      <c r="AQ180" s="2616"/>
      <c r="AR180" s="2616"/>
      <c r="AS180" s="2616"/>
      <c r="AT180" s="2616"/>
      <c r="AU180" s="2616"/>
      <c r="AV180" s="2616"/>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609" t="s">
        <v>2147</v>
      </c>
      <c r="I182" s="2609"/>
      <c r="J182" s="2609"/>
      <c r="K182" s="2609"/>
      <c r="L182" s="1563"/>
      <c r="M182" s="1563"/>
      <c r="N182" s="1563"/>
      <c r="O182" s="1563"/>
      <c r="P182" s="1563"/>
      <c r="Q182" s="1563"/>
      <c r="R182" s="1563"/>
      <c r="S182" s="2606"/>
      <c r="T182" s="2607"/>
      <c r="U182" s="2607"/>
      <c r="V182" s="2607"/>
      <c r="W182" s="2607"/>
      <c r="X182" s="2607"/>
      <c r="Y182" s="2607"/>
      <c r="Z182" s="2607"/>
      <c r="AA182" s="2607"/>
      <c r="AB182" s="2607"/>
      <c r="AC182" s="2607"/>
      <c r="AD182" s="2607"/>
      <c r="AE182" s="2607"/>
      <c r="AF182" s="2607"/>
      <c r="AG182" s="2607"/>
      <c r="AH182" s="2607"/>
      <c r="AI182" s="2607"/>
      <c r="AJ182" s="2608"/>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609" t="s">
        <v>2148</v>
      </c>
      <c r="I184" s="2609"/>
      <c r="J184" s="2609"/>
      <c r="K184" s="1565"/>
      <c r="L184" s="1563"/>
      <c r="M184" s="1563"/>
      <c r="N184" s="1563"/>
      <c r="O184" s="1563"/>
      <c r="P184" s="1563"/>
      <c r="Q184" s="1563"/>
      <c r="R184" s="1563"/>
      <c r="S184" s="2606"/>
      <c r="T184" s="2607"/>
      <c r="U184" s="2607"/>
      <c r="V184" s="2607"/>
      <c r="W184" s="2607"/>
      <c r="X184" s="2607"/>
      <c r="Y184" s="2607"/>
      <c r="Z184" s="2607"/>
      <c r="AA184" s="2607"/>
      <c r="AB184" s="2607"/>
      <c r="AC184" s="2607"/>
      <c r="AD184" s="2607"/>
      <c r="AE184" s="2607"/>
      <c r="AF184" s="2607"/>
      <c r="AG184" s="2607"/>
      <c r="AH184" s="2607"/>
      <c r="AI184" s="2607"/>
      <c r="AJ184" s="2608"/>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609" t="s">
        <v>464</v>
      </c>
      <c r="I186" s="2609"/>
      <c r="J186" s="1565"/>
      <c r="K186" s="1565"/>
      <c r="L186" s="1563"/>
      <c r="M186" s="1563"/>
      <c r="N186" s="1563"/>
      <c r="O186" s="1563"/>
      <c r="P186" s="1563"/>
      <c r="Q186" s="1563"/>
      <c r="R186" s="1563"/>
      <c r="S186" s="2606"/>
      <c r="T186" s="2607"/>
      <c r="U186" s="2607"/>
      <c r="V186" s="2607"/>
      <c r="W186" s="2607"/>
      <c r="X186" s="2607"/>
      <c r="Y186" s="2607"/>
      <c r="Z186" s="2607"/>
      <c r="AA186" s="2607"/>
      <c r="AB186" s="2607"/>
      <c r="AC186" s="2607"/>
      <c r="AD186" s="2607"/>
      <c r="AE186" s="2607"/>
      <c r="AF186" s="2607"/>
      <c r="AG186" s="2607"/>
      <c r="AH186" s="2607"/>
      <c r="AI186" s="2607"/>
      <c r="AJ186" s="2608"/>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610" t="s">
        <v>2149</v>
      </c>
      <c r="I188" s="2610"/>
      <c r="J188" s="2610"/>
      <c r="K188" s="2610"/>
      <c r="L188" s="2610"/>
      <c r="M188" s="2610"/>
      <c r="N188" s="2610"/>
      <c r="O188" s="2610"/>
      <c r="P188" s="1563"/>
      <c r="Q188" s="1563"/>
      <c r="R188" s="1563"/>
      <c r="S188" s="2606"/>
      <c r="T188" s="2607"/>
      <c r="U188" s="2607"/>
      <c r="V188" s="2607"/>
      <c r="W188" s="2607"/>
      <c r="X188" s="2607"/>
      <c r="Y188" s="2607"/>
      <c r="Z188" s="2607"/>
      <c r="AA188" s="2607"/>
      <c r="AB188" s="2607"/>
      <c r="AC188" s="2607"/>
      <c r="AD188" s="2607"/>
      <c r="AE188" s="2607"/>
      <c r="AF188" s="2607"/>
      <c r="AG188" s="2607"/>
      <c r="AH188" s="2607"/>
      <c r="AI188" s="2607"/>
      <c r="AJ188" s="2608"/>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605" t="s">
        <v>2150</v>
      </c>
      <c r="I190" s="2605"/>
      <c r="J190" s="1563"/>
      <c r="K190" s="1563"/>
      <c r="L190" s="1563"/>
      <c r="M190" s="1563"/>
      <c r="N190" s="1563"/>
      <c r="O190" s="1563"/>
      <c r="P190" s="1563"/>
      <c r="Q190" s="1563"/>
      <c r="R190" s="1563"/>
      <c r="S190" s="2606"/>
      <c r="T190" s="2607"/>
      <c r="U190" s="2607"/>
      <c r="V190" s="2607"/>
      <c r="W190" s="2607"/>
      <c r="X190" s="2607"/>
      <c r="Y190" s="2607"/>
      <c r="Z190" s="2607"/>
      <c r="AA190" s="2607"/>
      <c r="AB190" s="2607"/>
      <c r="AC190" s="2607"/>
      <c r="AD190" s="2607"/>
      <c r="AE190" s="2607"/>
      <c r="AF190" s="2607"/>
      <c r="AG190" s="2607"/>
      <c r="AH190" s="2607"/>
      <c r="AI190" s="2607"/>
      <c r="AJ190" s="2608"/>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abSelected="1" topLeftCell="A159" zoomScaleNormal="100" zoomScaleSheetLayoutView="100" workbookViewId="0">
      <selection activeCell="B171" sqref="B171:AC171"/>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4"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39" t="s">
        <v>1559</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row>
    <row r="2" spans="1:42" s="926" customFormat="1" ht="12.75" customHeight="1" thickBot="1">
      <c r="A2" s="3040"/>
      <c r="B2" s="3040"/>
      <c r="C2" s="3040"/>
      <c r="D2" s="3040"/>
      <c r="E2" s="3040"/>
      <c r="F2" s="3040"/>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1560</v>
      </c>
      <c r="B4" s="931" t="s">
        <v>1561</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1562</v>
      </c>
      <c r="B7" s="931" t="s">
        <v>1563</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028" t="s">
        <v>1564</v>
      </c>
      <c r="AF7" s="3028"/>
      <c r="AG7" s="3028"/>
      <c r="AH7" s="3028"/>
      <c r="AI7" s="3028"/>
      <c r="AJ7" s="3028"/>
      <c r="AK7" s="3028"/>
      <c r="AL7" s="932"/>
      <c r="AM7" s="932"/>
      <c r="AN7" s="928"/>
    </row>
    <row r="8" spans="1:42" s="929" customFormat="1" ht="12.75" customHeight="1">
      <c r="A8" s="930"/>
      <c r="B8" s="931" t="s">
        <v>2228</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1565</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012" t="s">
        <v>626</v>
      </c>
      <c r="C12" s="3012"/>
      <c r="D12" s="939"/>
      <c r="E12" s="940" t="s">
        <v>1566</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041"/>
      <c r="AH12" s="3041"/>
      <c r="AI12" s="3041"/>
      <c r="AJ12" s="3042"/>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012" t="s">
        <v>626</v>
      </c>
      <c r="C15" s="3012"/>
      <c r="D15" s="939"/>
      <c r="E15" s="3029" t="s">
        <v>1567</v>
      </c>
      <c r="F15" s="3030"/>
      <c r="G15" s="3030"/>
      <c r="H15" s="3030"/>
      <c r="I15" s="3030"/>
      <c r="J15" s="3030"/>
      <c r="K15" s="3030"/>
      <c r="L15" s="3030"/>
      <c r="M15" s="3030"/>
      <c r="N15" s="3030"/>
      <c r="O15" s="3030"/>
      <c r="P15" s="3030"/>
      <c r="Q15" s="3030"/>
      <c r="R15" s="3030"/>
      <c r="S15" s="3030"/>
      <c r="T15" s="3030"/>
      <c r="U15" s="3030"/>
      <c r="V15" s="3030"/>
      <c r="W15" s="3030"/>
      <c r="X15" s="3030"/>
      <c r="Y15" s="3030"/>
      <c r="Z15" s="3030"/>
      <c r="AA15" s="3030"/>
      <c r="AB15" s="3030"/>
      <c r="AC15" s="3030"/>
      <c r="AD15" s="3030"/>
      <c r="AE15" s="3030"/>
      <c r="AF15" s="3030"/>
      <c r="AG15" s="3030"/>
      <c r="AH15" s="3030"/>
      <c r="AI15" s="3030"/>
      <c r="AJ15" s="3031"/>
      <c r="AK15" s="932"/>
      <c r="AL15" s="932"/>
      <c r="AM15" s="932"/>
      <c r="AN15" s="928"/>
      <c r="AO15" s="942">
        <f>IF($B24="yes",20,0)</f>
        <v>0</v>
      </c>
      <c r="AP15" s="51"/>
    </row>
    <row r="16" spans="1:42" s="929" customFormat="1" ht="12.75" customHeight="1">
      <c r="A16" s="932"/>
      <c r="B16" s="932"/>
      <c r="C16" s="932"/>
      <c r="D16" s="943"/>
      <c r="E16" s="3032"/>
      <c r="F16" s="3033"/>
      <c r="G16" s="3033"/>
      <c r="H16" s="3033"/>
      <c r="I16" s="3033"/>
      <c r="J16" s="3033"/>
      <c r="K16" s="3033"/>
      <c r="L16" s="3033"/>
      <c r="M16" s="3033"/>
      <c r="N16" s="3033"/>
      <c r="O16" s="3033"/>
      <c r="P16" s="3033"/>
      <c r="Q16" s="3033"/>
      <c r="R16" s="3033"/>
      <c r="S16" s="3033"/>
      <c r="T16" s="3033"/>
      <c r="U16" s="3033"/>
      <c r="V16" s="3033"/>
      <c r="W16" s="3033"/>
      <c r="X16" s="3033"/>
      <c r="Y16" s="3033"/>
      <c r="Z16" s="3033"/>
      <c r="AA16" s="3033"/>
      <c r="AB16" s="3033"/>
      <c r="AC16" s="3033"/>
      <c r="AD16" s="3033"/>
      <c r="AE16" s="3033"/>
      <c r="AF16" s="3033"/>
      <c r="AG16" s="3033"/>
      <c r="AH16" s="3033"/>
      <c r="AI16" s="3033"/>
      <c r="AJ16" s="3034"/>
      <c r="AK16" s="932"/>
      <c r="AL16" s="932"/>
      <c r="AM16" s="932"/>
      <c r="AN16" s="928"/>
      <c r="AO16" s="929">
        <f>IF(SUM(AO12:AO15)&gt;20,20,(SUM(AO12:AO15)))</f>
        <v>0</v>
      </c>
      <c r="AP16" s="929" t="s">
        <v>1568</v>
      </c>
    </row>
    <row r="17" spans="1:42" s="929" customFormat="1" ht="12.75" customHeight="1">
      <c r="A17" s="932"/>
      <c r="B17" s="932"/>
      <c r="C17" s="932"/>
      <c r="D17" s="943"/>
      <c r="E17" s="3032"/>
      <c r="F17" s="3033"/>
      <c r="G17" s="3033"/>
      <c r="H17" s="3033"/>
      <c r="I17" s="3033"/>
      <c r="J17" s="3033"/>
      <c r="K17" s="3033"/>
      <c r="L17" s="3033"/>
      <c r="M17" s="3033"/>
      <c r="N17" s="3033"/>
      <c r="O17" s="3033"/>
      <c r="P17" s="3033"/>
      <c r="Q17" s="3033"/>
      <c r="R17" s="3033"/>
      <c r="S17" s="3033"/>
      <c r="T17" s="3033"/>
      <c r="U17" s="3033"/>
      <c r="V17" s="3033"/>
      <c r="W17" s="3033"/>
      <c r="X17" s="3033"/>
      <c r="Y17" s="3033"/>
      <c r="Z17" s="3033"/>
      <c r="AA17" s="3033"/>
      <c r="AB17" s="3033"/>
      <c r="AC17" s="3033"/>
      <c r="AD17" s="3033"/>
      <c r="AE17" s="3033"/>
      <c r="AF17" s="3033"/>
      <c r="AG17" s="3033"/>
      <c r="AH17" s="3033"/>
      <c r="AI17" s="3033"/>
      <c r="AJ17" s="3034"/>
      <c r="AK17" s="932"/>
      <c r="AL17" s="932"/>
      <c r="AM17" s="932"/>
      <c r="AN17" s="928"/>
    </row>
    <row r="18" spans="1:42" s="929" customFormat="1" ht="12.75" customHeight="1">
      <c r="A18" s="932"/>
      <c r="B18" s="932"/>
      <c r="C18" s="932"/>
      <c r="D18" s="943"/>
      <c r="E18" s="944" t="s">
        <v>1569</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009"/>
      <c r="F19" s="3010"/>
      <c r="G19" s="3010"/>
      <c r="H19" s="3010"/>
      <c r="I19" s="3010"/>
      <c r="J19" s="3010"/>
      <c r="K19" s="3010"/>
      <c r="L19" s="3010"/>
      <c r="M19" s="3010"/>
      <c r="N19" s="3010"/>
      <c r="O19" s="3010"/>
      <c r="P19" s="3010"/>
      <c r="Q19" s="3010"/>
      <c r="R19" s="3010"/>
      <c r="S19" s="3010"/>
      <c r="T19" s="3010"/>
      <c r="U19" s="3010"/>
      <c r="V19" s="3010"/>
      <c r="W19" s="3010"/>
      <c r="X19" s="3010"/>
      <c r="Y19" s="3010"/>
      <c r="Z19" s="3010"/>
      <c r="AA19" s="3010"/>
      <c r="AB19" s="3010"/>
      <c r="AC19" s="3010"/>
      <c r="AD19" s="3010"/>
      <c r="AE19" s="3010"/>
      <c r="AF19" s="3010"/>
      <c r="AG19" s="3010"/>
      <c r="AH19" s="3010"/>
      <c r="AI19" s="3010"/>
      <c r="AJ19" s="3011"/>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012" t="s">
        <v>626</v>
      </c>
      <c r="C21" s="3012"/>
      <c r="D21" s="939"/>
      <c r="E21" s="3013" t="s">
        <v>1570</v>
      </c>
      <c r="F21" s="3014"/>
      <c r="G21" s="3014"/>
      <c r="H21" s="3014"/>
      <c r="I21" s="3014"/>
      <c r="J21" s="3014"/>
      <c r="K21" s="3014"/>
      <c r="L21" s="3014"/>
      <c r="M21" s="3014"/>
      <c r="N21" s="3014"/>
      <c r="O21" s="3014"/>
      <c r="P21" s="3014"/>
      <c r="Q21" s="3014"/>
      <c r="R21" s="3014"/>
      <c r="S21" s="3014"/>
      <c r="T21" s="3014"/>
      <c r="U21" s="3014"/>
      <c r="V21" s="3014"/>
      <c r="W21" s="3014"/>
      <c r="X21" s="3014"/>
      <c r="Y21" s="3014"/>
      <c r="Z21" s="3014"/>
      <c r="AA21" s="3014"/>
      <c r="AB21" s="3014"/>
      <c r="AC21" s="3014"/>
      <c r="AD21" s="3014"/>
      <c r="AE21" s="3014"/>
      <c r="AF21" s="3014"/>
      <c r="AG21" s="3014"/>
      <c r="AH21" s="3014"/>
      <c r="AI21" s="3014"/>
      <c r="AJ21" s="3015"/>
      <c r="AK21" s="932"/>
      <c r="AL21" s="932"/>
      <c r="AM21" s="932"/>
      <c r="AN21" s="928"/>
      <c r="AO21" s="929">
        <f>SUM(AO20)</f>
        <v>0</v>
      </c>
      <c r="AP21" s="929" t="s">
        <v>1568</v>
      </c>
    </row>
    <row r="22" spans="1:42" s="929" customFormat="1" ht="12.75" customHeight="1">
      <c r="A22" s="932"/>
      <c r="B22" s="932"/>
      <c r="C22" s="932"/>
      <c r="D22" s="942"/>
      <c r="E22" s="3016"/>
      <c r="F22" s="3017"/>
      <c r="G22" s="3017"/>
      <c r="H22" s="3017"/>
      <c r="I22" s="3017"/>
      <c r="J22" s="3017"/>
      <c r="K22" s="3017"/>
      <c r="L22" s="3017"/>
      <c r="M22" s="3017"/>
      <c r="N22" s="3017"/>
      <c r="O22" s="3017"/>
      <c r="P22" s="3017"/>
      <c r="Q22" s="3017"/>
      <c r="R22" s="3017"/>
      <c r="S22" s="3017"/>
      <c r="T22" s="3017"/>
      <c r="U22" s="3017"/>
      <c r="V22" s="3017"/>
      <c r="W22" s="3017"/>
      <c r="X22" s="3017"/>
      <c r="Y22" s="3017"/>
      <c r="Z22" s="3017"/>
      <c r="AA22" s="3017"/>
      <c r="AB22" s="3017"/>
      <c r="AC22" s="3017"/>
      <c r="AD22" s="3017"/>
      <c r="AE22" s="3017"/>
      <c r="AF22" s="3017"/>
      <c r="AG22" s="3017"/>
      <c r="AH22" s="3017"/>
      <c r="AI22" s="3017"/>
      <c r="AJ22" s="3018"/>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0</v>
      </c>
    </row>
    <row r="24" spans="1:42" s="929" customFormat="1" ht="12.75" customHeight="1">
      <c r="A24" s="932"/>
      <c r="B24" s="3012" t="s">
        <v>626</v>
      </c>
      <c r="C24" s="3012"/>
      <c r="D24" s="939"/>
      <c r="E24" s="3019" t="s">
        <v>1571</v>
      </c>
      <c r="F24" s="3020"/>
      <c r="G24" s="3020"/>
      <c r="H24" s="3020"/>
      <c r="I24" s="3020"/>
      <c r="J24" s="3020"/>
      <c r="K24" s="3020"/>
      <c r="L24" s="3020"/>
      <c r="M24" s="3020"/>
      <c r="N24" s="3020"/>
      <c r="O24" s="3020"/>
      <c r="P24" s="3020"/>
      <c r="Q24" s="3020"/>
      <c r="R24" s="3020"/>
      <c r="S24" s="3020"/>
      <c r="T24" s="3020"/>
      <c r="U24" s="3020"/>
      <c r="V24" s="3020"/>
      <c r="W24" s="3020"/>
      <c r="X24" s="3020"/>
      <c r="Y24" s="3020"/>
      <c r="Z24" s="3020"/>
      <c r="AA24" s="3020"/>
      <c r="AB24" s="3020"/>
      <c r="AC24" s="3020"/>
      <c r="AD24" s="3020"/>
      <c r="AE24" s="3020"/>
      <c r="AF24" s="3020"/>
      <c r="AG24" s="3020"/>
      <c r="AH24" s="3020"/>
      <c r="AI24" s="3020"/>
      <c r="AJ24" s="3021"/>
      <c r="AK24" s="932"/>
      <c r="AL24" s="932"/>
      <c r="AM24" s="932"/>
      <c r="AN24" s="928"/>
      <c r="AO24" s="942">
        <f>IF($B39="yes",6,0)</f>
        <v>0</v>
      </c>
    </row>
    <row r="25" spans="1:42" s="929" customFormat="1" ht="12.75" customHeight="1">
      <c r="A25" s="932"/>
      <c r="B25" s="932"/>
      <c r="C25" s="932"/>
      <c r="D25" s="942"/>
      <c r="E25" s="3022"/>
      <c r="F25" s="3023"/>
      <c r="G25" s="3023"/>
      <c r="H25" s="3023"/>
      <c r="I25" s="3023"/>
      <c r="J25" s="3023"/>
      <c r="K25" s="3023"/>
      <c r="L25" s="3023"/>
      <c r="M25" s="3023"/>
      <c r="N25" s="3023"/>
      <c r="O25" s="3023"/>
      <c r="P25" s="3023"/>
      <c r="Q25" s="3023"/>
      <c r="R25" s="3023"/>
      <c r="S25" s="3023"/>
      <c r="T25" s="3023"/>
      <c r="U25" s="3023"/>
      <c r="V25" s="3023"/>
      <c r="W25" s="3023"/>
      <c r="X25" s="3023"/>
      <c r="Y25" s="3023"/>
      <c r="Z25" s="3023"/>
      <c r="AA25" s="3023"/>
      <c r="AB25" s="3023"/>
      <c r="AC25" s="3023"/>
      <c r="AD25" s="3023"/>
      <c r="AE25" s="3023"/>
      <c r="AF25" s="3023"/>
      <c r="AG25" s="3023"/>
      <c r="AH25" s="3023"/>
      <c r="AI25" s="3023"/>
      <c r="AJ25" s="3024"/>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1572</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012" t="s">
        <v>626</v>
      </c>
      <c r="C29" s="3012"/>
      <c r="D29" s="939"/>
      <c r="E29" s="3019" t="s">
        <v>1573</v>
      </c>
      <c r="F29" s="3020"/>
      <c r="G29" s="3020"/>
      <c r="H29" s="3020"/>
      <c r="I29" s="3020"/>
      <c r="J29" s="3020"/>
      <c r="K29" s="3020"/>
      <c r="L29" s="3020"/>
      <c r="M29" s="3020"/>
      <c r="N29" s="3020"/>
      <c r="O29" s="3020"/>
      <c r="P29" s="3020"/>
      <c r="Q29" s="3020"/>
      <c r="R29" s="3020"/>
      <c r="S29" s="3020"/>
      <c r="T29" s="3020"/>
      <c r="U29" s="3020"/>
      <c r="V29" s="3020"/>
      <c r="W29" s="3020"/>
      <c r="X29" s="3020"/>
      <c r="Y29" s="3020"/>
      <c r="Z29" s="3020"/>
      <c r="AA29" s="3020"/>
      <c r="AB29" s="3020"/>
      <c r="AC29" s="3020"/>
      <c r="AD29" s="3020"/>
      <c r="AE29" s="3020"/>
      <c r="AF29" s="3020"/>
      <c r="AG29" s="3020"/>
      <c r="AH29" s="3020"/>
      <c r="AI29" s="3020"/>
      <c r="AJ29" s="3021"/>
      <c r="AK29" s="932"/>
      <c r="AL29" s="932"/>
      <c r="AM29" s="932"/>
      <c r="AN29" s="928"/>
      <c r="AO29" s="942">
        <f>IF($B49="yes",6,0)</f>
        <v>0</v>
      </c>
    </row>
    <row r="30" spans="1:42" s="929" customFormat="1" ht="12.75" customHeight="1">
      <c r="A30" s="932"/>
      <c r="B30" s="932"/>
      <c r="C30" s="932"/>
      <c r="E30" s="3025"/>
      <c r="F30" s="3026"/>
      <c r="G30" s="3026"/>
      <c r="H30" s="3026"/>
      <c r="I30" s="3026"/>
      <c r="J30" s="3026"/>
      <c r="K30" s="3026"/>
      <c r="L30" s="3026"/>
      <c r="M30" s="3026"/>
      <c r="N30" s="3026"/>
      <c r="O30" s="3026"/>
      <c r="P30" s="3026"/>
      <c r="Q30" s="3026"/>
      <c r="R30" s="3026"/>
      <c r="S30" s="3026"/>
      <c r="T30" s="3026"/>
      <c r="U30" s="3026"/>
      <c r="V30" s="3026"/>
      <c r="W30" s="3026"/>
      <c r="X30" s="3026"/>
      <c r="Y30" s="3026"/>
      <c r="Z30" s="3026"/>
      <c r="AA30" s="3026"/>
      <c r="AB30" s="3026"/>
      <c r="AC30" s="3026"/>
      <c r="AD30" s="3026"/>
      <c r="AE30" s="3026"/>
      <c r="AF30" s="3026"/>
      <c r="AG30" s="3026"/>
      <c r="AH30" s="3026"/>
      <c r="AI30" s="3026"/>
      <c r="AJ30" s="3027"/>
      <c r="AK30" s="932"/>
      <c r="AL30" s="932"/>
      <c r="AM30" s="932"/>
      <c r="AN30" s="928"/>
      <c r="AO30" s="929">
        <f>IF(SUM(AO23:AO29)&gt;6,6,(SUM(AO23:AO29)))</f>
        <v>0</v>
      </c>
      <c r="AP30" s="929" t="s">
        <v>1568</v>
      </c>
    </row>
    <row r="31" spans="1:42" s="929" customFormat="1" ht="12.75" customHeight="1">
      <c r="A31" s="932"/>
      <c r="B31" s="932"/>
      <c r="C31" s="932"/>
      <c r="E31" s="3022"/>
      <c r="F31" s="3023"/>
      <c r="G31" s="3023"/>
      <c r="H31" s="3023"/>
      <c r="I31" s="3023"/>
      <c r="J31" s="3023"/>
      <c r="K31" s="3023"/>
      <c r="L31" s="3023"/>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4"/>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0</v>
      </c>
    </row>
    <row r="33" spans="1:41" s="929" customFormat="1" ht="12.75" customHeight="1">
      <c r="A33" s="932"/>
      <c r="B33" s="936" t="s">
        <v>1574</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046" t="s">
        <v>2400</v>
      </c>
      <c r="C34" s="3046"/>
      <c r="D34" s="3046"/>
      <c r="E34" s="3046"/>
      <c r="F34" s="3046"/>
      <c r="G34" s="3046"/>
      <c r="H34" s="3046"/>
      <c r="I34" s="3046"/>
      <c r="J34" s="3046"/>
      <c r="K34" s="3046"/>
      <c r="L34" s="3046"/>
      <c r="M34" s="3046"/>
      <c r="N34" s="3046"/>
      <c r="O34" s="3046"/>
      <c r="P34" s="3046"/>
      <c r="Q34" s="3046"/>
      <c r="R34" s="3046"/>
      <c r="S34" s="3046"/>
      <c r="T34" s="3046"/>
      <c r="U34" s="3046"/>
      <c r="V34" s="3046"/>
      <c r="W34" s="3046"/>
      <c r="X34" s="3046"/>
      <c r="Y34" s="3046"/>
      <c r="Z34" s="3046"/>
      <c r="AA34" s="3046"/>
      <c r="AB34" s="3046"/>
      <c r="AC34" s="3046"/>
      <c r="AD34" s="3046"/>
      <c r="AE34" s="3046"/>
      <c r="AF34" s="3046"/>
      <c r="AG34" s="3046"/>
      <c r="AH34" s="3046"/>
      <c r="AI34" s="3046"/>
      <c r="AJ34" s="3046"/>
      <c r="AK34" s="3046"/>
      <c r="AL34" s="932"/>
      <c r="AM34" s="932"/>
      <c r="AN34" s="928"/>
    </row>
    <row r="35" spans="1:41" s="929" customFormat="1" ht="12.75" customHeight="1">
      <c r="A35" s="932"/>
      <c r="B35" s="3046"/>
      <c r="C35" s="3046"/>
      <c r="D35" s="3046"/>
      <c r="E35" s="3046"/>
      <c r="F35" s="3046"/>
      <c r="G35" s="3046"/>
      <c r="H35" s="3046"/>
      <c r="I35" s="3046"/>
      <c r="J35" s="3046"/>
      <c r="K35" s="3046"/>
      <c r="L35" s="3046"/>
      <c r="M35" s="3046"/>
      <c r="N35" s="3046"/>
      <c r="O35" s="3046"/>
      <c r="P35" s="3046"/>
      <c r="Q35" s="3046"/>
      <c r="R35" s="3046"/>
      <c r="S35" s="3046"/>
      <c r="T35" s="3046"/>
      <c r="U35" s="3046"/>
      <c r="V35" s="3046"/>
      <c r="W35" s="3046"/>
      <c r="X35" s="3046"/>
      <c r="Y35" s="3046"/>
      <c r="Z35" s="3046"/>
      <c r="AA35" s="3046"/>
      <c r="AB35" s="3046"/>
      <c r="AC35" s="3046"/>
      <c r="AD35" s="3046"/>
      <c r="AE35" s="3046"/>
      <c r="AF35" s="3046"/>
      <c r="AG35" s="3046"/>
      <c r="AH35" s="3046"/>
      <c r="AI35" s="3046"/>
      <c r="AJ35" s="3046"/>
      <c r="AK35" s="3046"/>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012" t="s">
        <v>626</v>
      </c>
      <c r="C37" s="3012"/>
      <c r="D37" s="939"/>
      <c r="E37" s="947" t="s">
        <v>1575</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012" t="s">
        <v>626</v>
      </c>
      <c r="C39" s="3012"/>
      <c r="D39" s="939"/>
      <c r="E39" s="949" t="s">
        <v>1576</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012" t="s">
        <v>626</v>
      </c>
      <c r="C41" s="3012"/>
      <c r="D41" s="939"/>
      <c r="E41" s="950" t="s">
        <v>1577</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012" t="s">
        <v>626</v>
      </c>
      <c r="C43" s="3012"/>
      <c r="D43" s="939"/>
      <c r="E43" s="950" t="s">
        <v>1578</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012" t="s">
        <v>626</v>
      </c>
      <c r="C45" s="3012"/>
      <c r="D45" s="939"/>
      <c r="E45" s="950" t="s">
        <v>1579</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012" t="s">
        <v>626</v>
      </c>
      <c r="C47" s="3012"/>
      <c r="D47" s="939"/>
      <c r="E47" s="952" t="s">
        <v>1580</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012" t="s">
        <v>626</v>
      </c>
      <c r="C49" s="3012"/>
      <c r="D49" s="939"/>
      <c r="E49" s="952" t="s">
        <v>1581</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1582</v>
      </c>
      <c r="AK51" s="3043">
        <f>AO32</f>
        <v>0</v>
      </c>
      <c r="AL51" s="3044"/>
      <c r="AM51" s="3045"/>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1583</v>
      </c>
      <c r="B54" s="931" t="s">
        <v>1584</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028" t="s">
        <v>1585</v>
      </c>
      <c r="AF54" s="3028"/>
      <c r="AG54" s="3028"/>
      <c r="AH54" s="3028"/>
      <c r="AI54" s="3028"/>
      <c r="AJ54" s="3028"/>
      <c r="AK54" s="3028"/>
      <c r="AL54" s="932"/>
      <c r="AM54" s="932"/>
      <c r="AN54" s="928"/>
    </row>
    <row r="55" spans="1:50" s="929" customFormat="1" ht="12.75" customHeight="1">
      <c r="A55" s="930"/>
      <c r="B55" s="931" t="s">
        <v>2227</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012" t="s">
        <v>578</v>
      </c>
      <c r="C57" s="3012"/>
      <c r="D57" s="939" t="s">
        <v>1586</v>
      </c>
      <c r="E57" s="3029" t="s">
        <v>2239</v>
      </c>
      <c r="F57" s="3030"/>
      <c r="G57" s="3030"/>
      <c r="H57" s="3030"/>
      <c r="I57" s="3030"/>
      <c r="J57" s="3030"/>
      <c r="K57" s="3030"/>
      <c r="L57" s="3030"/>
      <c r="M57" s="3030"/>
      <c r="N57" s="3030"/>
      <c r="O57" s="3030"/>
      <c r="P57" s="3030"/>
      <c r="Q57" s="3030"/>
      <c r="R57" s="3030"/>
      <c r="S57" s="3030"/>
      <c r="T57" s="3030"/>
      <c r="U57" s="3030"/>
      <c r="V57" s="3030"/>
      <c r="W57" s="3030"/>
      <c r="X57" s="3030"/>
      <c r="Y57" s="3030"/>
      <c r="Z57" s="3030"/>
      <c r="AA57" s="3030"/>
      <c r="AB57" s="3030"/>
      <c r="AC57" s="3030"/>
      <c r="AD57" s="3030"/>
      <c r="AE57" s="3030"/>
      <c r="AF57" s="3030"/>
      <c r="AG57" s="3030"/>
      <c r="AH57" s="3030"/>
      <c r="AI57" s="3030"/>
      <c r="AJ57" s="3031"/>
      <c r="AK57" s="935"/>
      <c r="AL57" s="932"/>
      <c r="AM57" s="932"/>
      <c r="AN57" s="928"/>
      <c r="AO57" s="942">
        <f>IF($B57="yes",10,0)</f>
        <v>10</v>
      </c>
    </row>
    <row r="58" spans="1:50" s="929" customFormat="1" ht="12.75" customHeight="1">
      <c r="A58" s="930"/>
      <c r="B58" s="932"/>
      <c r="C58" s="932"/>
      <c r="D58" s="943"/>
      <c r="E58" s="3032"/>
      <c r="F58" s="3033"/>
      <c r="G58" s="3033"/>
      <c r="H58" s="3033"/>
      <c r="I58" s="3033"/>
      <c r="J58" s="3033"/>
      <c r="K58" s="3033"/>
      <c r="L58" s="3033"/>
      <c r="M58" s="3033"/>
      <c r="N58" s="3033"/>
      <c r="O58" s="3033"/>
      <c r="P58" s="3033"/>
      <c r="Q58" s="3033"/>
      <c r="R58" s="3033"/>
      <c r="S58" s="3033"/>
      <c r="T58" s="3033"/>
      <c r="U58" s="3033"/>
      <c r="V58" s="3033"/>
      <c r="W58" s="3033"/>
      <c r="X58" s="3033"/>
      <c r="Y58" s="3033"/>
      <c r="Z58" s="3033"/>
      <c r="AA58" s="3033"/>
      <c r="AB58" s="3033"/>
      <c r="AC58" s="3033"/>
      <c r="AD58" s="3033"/>
      <c r="AE58" s="3033"/>
      <c r="AF58" s="3033"/>
      <c r="AG58" s="3033"/>
      <c r="AH58" s="3033"/>
      <c r="AI58" s="3033"/>
      <c r="AJ58" s="3034"/>
      <c r="AK58" s="935"/>
      <c r="AL58" s="932"/>
      <c r="AM58" s="932"/>
      <c r="AN58" s="928"/>
      <c r="AO58" s="942">
        <f>IF($B62="yes",10,0)</f>
        <v>0</v>
      </c>
    </row>
    <row r="59" spans="1:50" s="929" customFormat="1" ht="12.75" customHeight="1">
      <c r="A59" s="930"/>
      <c r="B59" s="932"/>
      <c r="C59" s="932"/>
      <c r="D59" s="943"/>
      <c r="E59" s="3032"/>
      <c r="F59" s="3033"/>
      <c r="G59" s="3033"/>
      <c r="H59" s="3033"/>
      <c r="I59" s="3033"/>
      <c r="J59" s="3033"/>
      <c r="K59" s="3033"/>
      <c r="L59" s="3033"/>
      <c r="M59" s="3033"/>
      <c r="N59" s="3033"/>
      <c r="O59" s="3033"/>
      <c r="P59" s="3033"/>
      <c r="Q59" s="3033"/>
      <c r="R59" s="3033"/>
      <c r="S59" s="3033"/>
      <c r="T59" s="3033"/>
      <c r="U59" s="3033"/>
      <c r="V59" s="3033"/>
      <c r="W59" s="3033"/>
      <c r="X59" s="3033"/>
      <c r="Y59" s="3033"/>
      <c r="Z59" s="3033"/>
      <c r="AA59" s="3033"/>
      <c r="AB59" s="3033"/>
      <c r="AC59" s="3033"/>
      <c r="AD59" s="3033"/>
      <c r="AE59" s="3033"/>
      <c r="AF59" s="3033"/>
      <c r="AG59" s="3033"/>
      <c r="AH59" s="3033"/>
      <c r="AI59" s="3033"/>
      <c r="AJ59" s="3034"/>
      <c r="AK59" s="935"/>
      <c r="AL59" s="932"/>
      <c r="AM59" s="932"/>
      <c r="AN59" s="928"/>
      <c r="AO59" s="942">
        <f>IF($B69="yes",10,0)</f>
        <v>0</v>
      </c>
    </row>
    <row r="60" spans="1:50" s="929" customFormat="1" ht="12.75" customHeight="1">
      <c r="A60" s="930"/>
      <c r="B60" s="932"/>
      <c r="C60" s="932"/>
      <c r="D60" s="943"/>
      <c r="E60" s="3035"/>
      <c r="F60" s="3036"/>
      <c r="G60" s="3036"/>
      <c r="H60" s="3036"/>
      <c r="I60" s="3036"/>
      <c r="J60" s="3036"/>
      <c r="K60" s="3036"/>
      <c r="L60" s="3036"/>
      <c r="M60" s="3036"/>
      <c r="N60" s="3036"/>
      <c r="O60" s="3036"/>
      <c r="P60" s="3036"/>
      <c r="Q60" s="3036"/>
      <c r="R60" s="3036"/>
      <c r="S60" s="3036"/>
      <c r="T60" s="3036"/>
      <c r="U60" s="3036"/>
      <c r="V60" s="3036"/>
      <c r="W60" s="3036"/>
      <c r="X60" s="3036"/>
      <c r="Y60" s="3036"/>
      <c r="Z60" s="3036"/>
      <c r="AA60" s="3036"/>
      <c r="AB60" s="3036"/>
      <c r="AC60" s="3036"/>
      <c r="AD60" s="3036"/>
      <c r="AE60" s="3036"/>
      <c r="AF60" s="3036"/>
      <c r="AG60" s="3036"/>
      <c r="AH60" s="3036"/>
      <c r="AI60" s="3036"/>
      <c r="AJ60" s="3037"/>
      <c r="AK60" s="935"/>
      <c r="AL60" s="932"/>
      <c r="AM60" s="932"/>
      <c r="AN60" s="928"/>
      <c r="AO60" s="929">
        <f>IF(SUM(AO57:AO59)&gt;10,10,(SUM(AO57:AO59)))</f>
        <v>10</v>
      </c>
      <c r="AP60" s="967" t="s">
        <v>1587</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012" t="s">
        <v>626</v>
      </c>
      <c r="C62" s="3012"/>
      <c r="D62" s="939" t="s">
        <v>1588</v>
      </c>
      <c r="E62" s="1688" t="s">
        <v>2223</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5"/>
      <c r="AL62" s="932"/>
      <c r="AM62" s="932"/>
      <c r="AN62" s="928"/>
    </row>
    <row r="63" spans="1:50" s="929" customFormat="1" ht="12.75" customHeight="1">
      <c r="A63" s="930"/>
      <c r="B63" s="932"/>
      <c r="C63" s="932"/>
      <c r="D63" s="942"/>
      <c r="E63" s="3038" t="s">
        <v>626</v>
      </c>
      <c r="F63" s="3012"/>
      <c r="G63" s="968"/>
      <c r="H63" s="1687" t="s">
        <v>1589</v>
      </c>
      <c r="I63" s="1592"/>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1"/>
      <c r="AK63" s="935"/>
      <c r="AL63" s="932"/>
      <c r="AM63" s="932"/>
      <c r="AN63" s="928"/>
    </row>
    <row r="64" spans="1:50" s="929" customFormat="1" ht="12.75" customHeight="1">
      <c r="A64" s="930"/>
      <c r="B64" s="932"/>
      <c r="C64" s="932"/>
      <c r="D64" s="942"/>
      <c r="E64" s="3007" t="s">
        <v>626</v>
      </c>
      <c r="F64" s="3008"/>
      <c r="G64" s="968"/>
      <c r="H64" s="1687" t="s">
        <v>1590</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1"/>
      <c r="AK64" s="935"/>
      <c r="AL64" s="932"/>
      <c r="AM64" s="932"/>
      <c r="AN64" s="928"/>
    </row>
    <row r="65" spans="1:40" s="929" customFormat="1" ht="12.75" customHeight="1">
      <c r="A65" s="930"/>
      <c r="B65" s="932"/>
      <c r="C65" s="932"/>
      <c r="D65" s="942"/>
      <c r="E65" s="3007" t="s">
        <v>626</v>
      </c>
      <c r="F65" s="3008"/>
      <c r="G65" s="968"/>
      <c r="H65" s="1687" t="s">
        <v>2238</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1"/>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1"/>
      <c r="AK66" s="1593"/>
      <c r="AL66" s="932"/>
      <c r="AM66" s="932"/>
      <c r="AN66" s="928"/>
    </row>
    <row r="67" spans="1:40" s="929" customFormat="1" ht="12.75" customHeight="1">
      <c r="A67" s="930"/>
      <c r="B67" s="932"/>
      <c r="C67" s="932"/>
      <c r="D67" s="942"/>
      <c r="E67" s="3038" t="s">
        <v>626</v>
      </c>
      <c r="F67" s="3012"/>
      <c r="G67" s="1590"/>
      <c r="H67" s="1696" t="s">
        <v>2237</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012" t="s">
        <v>626</v>
      </c>
      <c r="C69" s="3012"/>
      <c r="D69" s="939" t="s">
        <v>1591</v>
      </c>
      <c r="E69" s="3019" t="s">
        <v>2240</v>
      </c>
      <c r="F69" s="3020"/>
      <c r="G69" s="3020"/>
      <c r="H69" s="3020"/>
      <c r="I69" s="3020"/>
      <c r="J69" s="3020"/>
      <c r="K69" s="3020"/>
      <c r="L69" s="3020"/>
      <c r="M69" s="3020"/>
      <c r="N69" s="3020"/>
      <c r="O69" s="3020"/>
      <c r="P69" s="3020"/>
      <c r="Q69" s="3020"/>
      <c r="R69" s="3020"/>
      <c r="S69" s="3020"/>
      <c r="T69" s="3020"/>
      <c r="U69" s="3020"/>
      <c r="V69" s="3020"/>
      <c r="W69" s="3020"/>
      <c r="X69" s="3020"/>
      <c r="Y69" s="3020"/>
      <c r="Z69" s="3020"/>
      <c r="AA69" s="3020"/>
      <c r="AB69" s="3020"/>
      <c r="AC69" s="3020"/>
      <c r="AD69" s="3020"/>
      <c r="AE69" s="3020"/>
      <c r="AF69" s="3020"/>
      <c r="AG69" s="3020"/>
      <c r="AH69" s="3020"/>
      <c r="AI69" s="3020"/>
      <c r="AJ69" s="3021"/>
      <c r="AK69" s="935"/>
      <c r="AL69" s="932"/>
      <c r="AM69" s="932"/>
      <c r="AN69" s="928"/>
    </row>
    <row r="70" spans="1:40" s="929" customFormat="1" ht="12.75" customHeight="1">
      <c r="A70" s="930"/>
      <c r="B70" s="932"/>
      <c r="C70" s="932"/>
      <c r="D70" s="942"/>
      <c r="E70" s="3022"/>
      <c r="F70" s="3023"/>
      <c r="G70" s="3023"/>
      <c r="H70" s="3023"/>
      <c r="I70" s="3023"/>
      <c r="J70" s="3023"/>
      <c r="K70" s="3023"/>
      <c r="L70" s="3023"/>
      <c r="M70" s="3023"/>
      <c r="N70" s="3023"/>
      <c r="O70" s="3023"/>
      <c r="P70" s="3023"/>
      <c r="Q70" s="3023"/>
      <c r="R70" s="3023"/>
      <c r="S70" s="3023"/>
      <c r="T70" s="3023"/>
      <c r="U70" s="3023"/>
      <c r="V70" s="3023"/>
      <c r="W70" s="3023"/>
      <c r="X70" s="3023"/>
      <c r="Y70" s="3023"/>
      <c r="Z70" s="3023"/>
      <c r="AA70" s="3023"/>
      <c r="AB70" s="3023"/>
      <c r="AC70" s="3023"/>
      <c r="AD70" s="3023"/>
      <c r="AE70" s="3023"/>
      <c r="AF70" s="3023"/>
      <c r="AG70" s="3023"/>
      <c r="AH70" s="3023"/>
      <c r="AI70" s="3023"/>
      <c r="AJ70" s="3024"/>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1592</v>
      </c>
      <c r="AK72" s="3043">
        <f>IF(AK51&gt;0,0,AO60)</f>
        <v>10</v>
      </c>
      <c r="AL72" s="3044"/>
      <c r="AM72" s="3045"/>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1593</v>
      </c>
      <c r="B75" s="931" t="s">
        <v>1594</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028" t="s">
        <v>1564</v>
      </c>
      <c r="AF75" s="3028"/>
      <c r="AG75" s="3028"/>
      <c r="AH75" s="3028"/>
      <c r="AI75" s="3028"/>
      <c r="AJ75" s="3028"/>
      <c r="AK75" s="3028"/>
      <c r="AL75" s="932"/>
      <c r="AM75" s="932"/>
      <c r="AN75" s="928"/>
    </row>
    <row r="76" spans="1:40" s="929" customFormat="1" ht="12.75" customHeight="1">
      <c r="A76" s="930"/>
      <c r="B76" s="931" t="s">
        <v>1595</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012" t="s">
        <v>578</v>
      </c>
      <c r="C78" s="3012"/>
      <c r="D78" s="939" t="s">
        <v>1586</v>
      </c>
      <c r="E78" s="3051" t="s">
        <v>1596</v>
      </c>
      <c r="F78" s="3052"/>
      <c r="G78" s="3052"/>
      <c r="H78" s="3052"/>
      <c r="I78" s="3052"/>
      <c r="J78" s="3052"/>
      <c r="K78" s="3052"/>
      <c r="L78" s="3052"/>
      <c r="M78" s="3052"/>
      <c r="N78" s="3052"/>
      <c r="O78" s="3052"/>
      <c r="P78" s="3052"/>
      <c r="Q78" s="3052"/>
      <c r="R78" s="3052"/>
      <c r="S78" s="3052"/>
      <c r="T78" s="3052"/>
      <c r="U78" s="3052"/>
      <c r="V78" s="3052"/>
      <c r="W78" s="3052"/>
      <c r="X78" s="3052"/>
      <c r="Y78" s="3052"/>
      <c r="Z78" s="3052"/>
      <c r="AA78" s="3052"/>
      <c r="AB78" s="3052"/>
      <c r="AC78" s="3052"/>
      <c r="AD78" s="3052"/>
      <c r="AE78" s="3052"/>
      <c r="AF78" s="3052"/>
      <c r="AG78" s="3052"/>
      <c r="AH78" s="3052"/>
      <c r="AI78" s="3052"/>
      <c r="AJ78" s="3053"/>
      <c r="AK78" s="935"/>
      <c r="AL78" s="932"/>
      <c r="AM78" s="932"/>
      <c r="AN78" s="928"/>
    </row>
    <row r="79" spans="1:40" s="929" customFormat="1" ht="12.75" customHeight="1">
      <c r="A79" s="930"/>
      <c r="B79" s="931"/>
      <c r="C79" s="931"/>
      <c r="D79" s="931"/>
      <c r="E79" s="3054"/>
      <c r="F79" s="3055"/>
      <c r="G79" s="3055"/>
      <c r="H79" s="3055"/>
      <c r="I79" s="3055"/>
      <c r="J79" s="3055"/>
      <c r="K79" s="3055"/>
      <c r="L79" s="3055"/>
      <c r="M79" s="3055"/>
      <c r="N79" s="3055"/>
      <c r="O79" s="3055"/>
      <c r="P79" s="3055"/>
      <c r="Q79" s="3055"/>
      <c r="R79" s="3055"/>
      <c r="S79" s="3055"/>
      <c r="T79" s="3055"/>
      <c r="U79" s="3055"/>
      <c r="V79" s="3055"/>
      <c r="W79" s="3055"/>
      <c r="X79" s="3055"/>
      <c r="Y79" s="3055"/>
      <c r="Z79" s="3055"/>
      <c r="AA79" s="3055"/>
      <c r="AB79" s="3055"/>
      <c r="AC79" s="3055"/>
      <c r="AD79" s="3055"/>
      <c r="AE79" s="3055"/>
      <c r="AF79" s="3055"/>
      <c r="AG79" s="3055"/>
      <c r="AH79" s="3055"/>
      <c r="AI79" s="3055"/>
      <c r="AJ79" s="3056"/>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057">
        <f>Application!AH753</f>
        <v>0.44296874999999997</v>
      </c>
      <c r="F81" s="3058"/>
      <c r="G81" s="3058"/>
      <c r="H81" s="3058"/>
      <c r="I81" s="970"/>
      <c r="J81" s="973" t="s">
        <v>1597</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059">
        <f>0.6-ROUNDUP(E81,2)</f>
        <v>0.14999999999999997</v>
      </c>
      <c r="F82" s="3060"/>
      <c r="G82" s="3060"/>
      <c r="H82" s="3060"/>
      <c r="I82" s="970"/>
      <c r="J82" s="973" t="s">
        <v>1598</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049">
        <f>IF(E82*200&gt;20,20,E82*200)</f>
        <v>20</v>
      </c>
      <c r="F83" s="3050"/>
      <c r="G83" s="3050"/>
      <c r="H83" s="3050"/>
      <c r="I83" s="970"/>
      <c r="J83" s="973" t="s">
        <v>1599</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20</v>
      </c>
      <c r="AQ83" s="929" t="s">
        <v>1568</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012" t="s">
        <v>626</v>
      </c>
      <c r="C86" s="3012"/>
      <c r="D86" s="939" t="s">
        <v>1588</v>
      </c>
      <c r="E86" s="3051" t="s">
        <v>2224</v>
      </c>
      <c r="F86" s="3052"/>
      <c r="G86" s="3052"/>
      <c r="H86" s="3052"/>
      <c r="I86" s="3052"/>
      <c r="J86" s="3052"/>
      <c r="K86" s="3052"/>
      <c r="L86" s="3052"/>
      <c r="M86" s="3052"/>
      <c r="N86" s="3052"/>
      <c r="O86" s="3052"/>
      <c r="P86" s="3052"/>
      <c r="Q86" s="3052"/>
      <c r="R86" s="3052"/>
      <c r="S86" s="3052"/>
      <c r="T86" s="3052"/>
      <c r="U86" s="3052"/>
      <c r="V86" s="3052"/>
      <c r="W86" s="3052"/>
      <c r="X86" s="3052"/>
      <c r="Y86" s="3052"/>
      <c r="Z86" s="3052"/>
      <c r="AA86" s="3052"/>
      <c r="AB86" s="3052"/>
      <c r="AC86" s="3052"/>
      <c r="AD86" s="3052"/>
      <c r="AE86" s="3052"/>
      <c r="AF86" s="3052"/>
      <c r="AG86" s="3052"/>
      <c r="AH86" s="3052"/>
      <c r="AI86" s="3052"/>
      <c r="AJ86" s="3053"/>
      <c r="AK86" s="935"/>
      <c r="AL86" s="932"/>
      <c r="AM86" s="932"/>
      <c r="AN86" s="928"/>
    </row>
    <row r="87" spans="1:47" s="929" customFormat="1" ht="12.75" customHeight="1">
      <c r="A87" s="930"/>
      <c r="B87" s="931"/>
      <c r="C87" s="931"/>
      <c r="D87" s="931"/>
      <c r="E87" s="3054"/>
      <c r="F87" s="3055"/>
      <c r="G87" s="3055"/>
      <c r="H87" s="3055"/>
      <c r="I87" s="3055"/>
      <c r="J87" s="3055"/>
      <c r="K87" s="3055"/>
      <c r="L87" s="3055"/>
      <c r="M87" s="3055"/>
      <c r="N87" s="3055"/>
      <c r="O87" s="3055"/>
      <c r="P87" s="3055"/>
      <c r="Q87" s="3055"/>
      <c r="R87" s="3055"/>
      <c r="S87" s="3055"/>
      <c r="T87" s="3055"/>
      <c r="U87" s="3055"/>
      <c r="V87" s="3055"/>
      <c r="W87" s="3055"/>
      <c r="X87" s="3055"/>
      <c r="Y87" s="3055"/>
      <c r="Z87" s="3055"/>
      <c r="AA87" s="3055"/>
      <c r="AB87" s="3055"/>
      <c r="AC87" s="3055"/>
      <c r="AD87" s="3055"/>
      <c r="AE87" s="3055"/>
      <c r="AF87" s="3055"/>
      <c r="AG87" s="3055"/>
      <c r="AH87" s="3055"/>
      <c r="AI87" s="3055"/>
      <c r="AJ87" s="3056"/>
      <c r="AK87" s="935"/>
      <c r="AL87" s="932"/>
      <c r="AM87" s="932"/>
      <c r="AN87" s="928"/>
    </row>
    <row r="88" spans="1:47" s="929" customFormat="1" ht="12.75" customHeight="1">
      <c r="A88" s="930"/>
      <c r="B88" s="931"/>
      <c r="C88" s="931"/>
      <c r="D88" s="931"/>
      <c r="E88" s="3054"/>
      <c r="F88" s="3055"/>
      <c r="G88" s="3055"/>
      <c r="H88" s="3055"/>
      <c r="I88" s="3055"/>
      <c r="J88" s="3055"/>
      <c r="K88" s="3055"/>
      <c r="L88" s="3055"/>
      <c r="M88" s="3055"/>
      <c r="N88" s="3055"/>
      <c r="O88" s="3055"/>
      <c r="P88" s="3055"/>
      <c r="Q88" s="3055"/>
      <c r="R88" s="3055"/>
      <c r="S88" s="3055"/>
      <c r="T88" s="3055"/>
      <c r="U88" s="3055"/>
      <c r="V88" s="3055"/>
      <c r="W88" s="3055"/>
      <c r="X88" s="3055"/>
      <c r="Y88" s="3055"/>
      <c r="Z88" s="3055"/>
      <c r="AA88" s="3055"/>
      <c r="AB88" s="3055"/>
      <c r="AC88" s="3055"/>
      <c r="AD88" s="3055"/>
      <c r="AE88" s="3055"/>
      <c r="AF88" s="3055"/>
      <c r="AG88" s="3055"/>
      <c r="AH88" s="3055"/>
      <c r="AI88" s="3055"/>
      <c r="AJ88" s="3056"/>
      <c r="AK88" s="935"/>
      <c r="AL88" s="932"/>
      <c r="AM88" s="932"/>
      <c r="AN88" s="928"/>
    </row>
    <row r="89" spans="1:47" s="929" customFormat="1" ht="12.75" customHeight="1">
      <c r="A89" s="930"/>
      <c r="B89" s="931"/>
      <c r="C89" s="931"/>
      <c r="D89" s="931"/>
      <c r="E89" s="3054"/>
      <c r="F89" s="3055"/>
      <c r="G89" s="3055"/>
      <c r="H89" s="3055"/>
      <c r="I89" s="3055"/>
      <c r="J89" s="3055"/>
      <c r="K89" s="3055"/>
      <c r="L89" s="3055"/>
      <c r="M89" s="3055"/>
      <c r="N89" s="3055"/>
      <c r="O89" s="3055"/>
      <c r="P89" s="3055"/>
      <c r="Q89" s="3055"/>
      <c r="R89" s="3055"/>
      <c r="S89" s="3055"/>
      <c r="T89" s="3055"/>
      <c r="U89" s="3055"/>
      <c r="V89" s="3055"/>
      <c r="W89" s="3055"/>
      <c r="X89" s="3055"/>
      <c r="Y89" s="3055"/>
      <c r="Z89" s="3055"/>
      <c r="AA89" s="3055"/>
      <c r="AB89" s="3055"/>
      <c r="AC89" s="3055"/>
      <c r="AD89" s="3055"/>
      <c r="AE89" s="3055"/>
      <c r="AF89" s="3055"/>
      <c r="AG89" s="3055"/>
      <c r="AH89" s="3055"/>
      <c r="AI89" s="3055"/>
      <c r="AJ89" s="3056"/>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057">
        <f>Application!AH753</f>
        <v>0.44296874999999997</v>
      </c>
      <c r="F91" s="3058"/>
      <c r="G91" s="3058"/>
      <c r="H91" s="3058"/>
      <c r="I91" s="970"/>
      <c r="J91" s="1479" t="s">
        <v>1597</v>
      </c>
      <c r="K91" s="1472"/>
      <c r="L91" s="1472"/>
      <c r="M91" s="1472"/>
      <c r="N91" s="1472"/>
      <c r="O91" s="1472"/>
      <c r="P91" s="1472"/>
      <c r="Q91" s="1472"/>
      <c r="R91" s="1481"/>
      <c r="S91" s="1481"/>
      <c r="T91" s="1481"/>
      <c r="U91" s="1481"/>
      <c r="V91" s="1481"/>
      <c r="W91" s="1481"/>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057">
        <f ca="1">SUMIF(Application!AH728:AL752,0.2,Application!G728:J752)/Application!G753+SUMIF(Application!AH728:AL752,0.25,Application!G728:J752)/Application!G753+SUMIF(Application!AH728:AL752,0.3,Application!G728:J752)/Application!G753</f>
        <v>0.34375</v>
      </c>
      <c r="F92" s="3058"/>
      <c r="G92" s="3058"/>
      <c r="H92" s="3058"/>
      <c r="I92" s="970"/>
      <c r="J92" s="973" t="s">
        <v>1600</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70"/>
    </row>
    <row r="93" spans="1:47" s="929" customFormat="1" ht="12.75" customHeight="1">
      <c r="A93" s="930"/>
      <c r="B93" s="931"/>
      <c r="C93" s="931"/>
      <c r="D93" s="931"/>
      <c r="E93" s="3057">
        <f ca="1">SUMIF(Application!AH728:AL752,0.35,Application!G728:J752)/Application!G753+SUMIF(Application!AH728:AL752,0.4,Application!G728:J752)/Application!G753+SUMIF(Application!AH728:AL752,0.45,Application!G728:J752)/Application!G753+SUMIF(Application!AH728:AL752,0.5,Application!G728:J752)/Application!G753</f>
        <v>0.453125</v>
      </c>
      <c r="F93" s="3058"/>
      <c r="G93" s="3058"/>
      <c r="H93" s="3058"/>
      <c r="I93" s="970"/>
      <c r="J93" s="973" t="s">
        <v>1601</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70"/>
    </row>
    <row r="94" spans="1:47" s="929" customFormat="1" ht="12.75" customHeight="1">
      <c r="A94" s="930"/>
      <c r="B94" s="931"/>
      <c r="C94" s="931"/>
      <c r="D94" s="931"/>
      <c r="E94" s="3068">
        <f ca="1">IF(AND(E91&lt;=0.6,E92&gt;=0.1,OR(E93&gt;=0.1,E92=1)),20,0)</f>
        <v>20</v>
      </c>
      <c r="F94" s="3069"/>
      <c r="G94" s="3069"/>
      <c r="H94" s="3069"/>
      <c r="I94" s="945"/>
      <c r="J94" s="980" t="s">
        <v>1599</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IF(B86="yes",E94,0)</f>
        <v>0</v>
      </c>
      <c r="AQ94" s="929" t="s">
        <v>1568</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1602</v>
      </c>
      <c r="AK97" s="3043">
        <f>MAX(AP83,AP94)</f>
        <v>20</v>
      </c>
      <c r="AL97" s="3044"/>
      <c r="AM97" s="3045"/>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1603</v>
      </c>
      <c r="B100" s="931" t="s">
        <v>1604</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028" t="s">
        <v>1585</v>
      </c>
      <c r="AF100" s="3028"/>
      <c r="AG100" s="3028"/>
      <c r="AH100" s="3028"/>
      <c r="AI100" s="3028"/>
      <c r="AJ100" s="3028"/>
      <c r="AK100" s="3028"/>
      <c r="AL100" s="932"/>
      <c r="AM100" s="932"/>
      <c r="AN100" s="928"/>
      <c r="AO100" s="929" t="str">
        <f>Application!B728</f>
        <v>1 Bedroom</v>
      </c>
      <c r="AQ100" s="929">
        <f>Application!O728</f>
        <v>732</v>
      </c>
    </row>
    <row r="101" spans="1:49" s="929" customFormat="1" ht="12.75" customHeight="1">
      <c r="A101" s="932"/>
      <c r="B101" s="931" t="s">
        <v>1595</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2"/>
      <c r="AF101" s="1782"/>
      <c r="AG101" s="1782"/>
      <c r="AH101" s="1782"/>
      <c r="AI101" s="1782"/>
      <c r="AJ101" s="1782"/>
      <c r="AK101" s="932"/>
      <c r="AL101" s="932"/>
      <c r="AM101" s="932"/>
      <c r="AN101" s="928"/>
      <c r="AO101" s="929" t="str">
        <f>Application!B729</f>
        <v>1 Bedroom</v>
      </c>
      <c r="AQ101" s="929">
        <f>Application!O729</f>
        <v>1111</v>
      </c>
    </row>
    <row r="102" spans="1:49" s="929" customFormat="1" ht="12.75" customHeight="1">
      <c r="A102" s="932"/>
      <c r="B102" s="931"/>
      <c r="C102" s="931"/>
      <c r="D102" s="931"/>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2"/>
      <c r="AL102" s="932"/>
      <c r="AM102" s="932"/>
      <c r="AN102" s="928"/>
      <c r="AO102" s="929" t="str">
        <f>Application!B730</f>
        <v>1 Bedroom</v>
      </c>
      <c r="AQ102" s="929">
        <f>Application!O730</f>
        <v>1237</v>
      </c>
    </row>
    <row r="103" spans="1:49" s="929" customFormat="1" ht="12.75" customHeight="1">
      <c r="A103" s="932"/>
      <c r="B103" s="3012" t="s">
        <v>578</v>
      </c>
      <c r="C103" s="3012"/>
      <c r="D103" s="939" t="s">
        <v>1586</v>
      </c>
      <c r="E103" s="3051" t="s">
        <v>2386</v>
      </c>
      <c r="F103" s="3052"/>
      <c r="G103" s="3052"/>
      <c r="H103" s="3052"/>
      <c r="I103" s="3052"/>
      <c r="J103" s="3052"/>
      <c r="K103" s="3052"/>
      <c r="L103" s="3052"/>
      <c r="M103" s="3052"/>
      <c r="N103" s="3052"/>
      <c r="O103" s="3052"/>
      <c r="P103" s="3052"/>
      <c r="Q103" s="3052"/>
      <c r="R103" s="3052"/>
      <c r="S103" s="3052"/>
      <c r="T103" s="3052"/>
      <c r="U103" s="3052"/>
      <c r="V103" s="3052"/>
      <c r="W103" s="3052"/>
      <c r="X103" s="3052"/>
      <c r="Y103" s="3052"/>
      <c r="Z103" s="3052"/>
      <c r="AA103" s="3052"/>
      <c r="AB103" s="3052"/>
      <c r="AC103" s="3052"/>
      <c r="AD103" s="3052"/>
      <c r="AE103" s="3052"/>
      <c r="AF103" s="3052"/>
      <c r="AG103" s="3052"/>
      <c r="AH103" s="3052"/>
      <c r="AI103" s="3052"/>
      <c r="AJ103" s="3053"/>
      <c r="AK103" s="932"/>
      <c r="AL103" s="932"/>
      <c r="AM103" s="932"/>
      <c r="AN103" s="928"/>
      <c r="AO103" s="929" t="str">
        <f>Application!B731</f>
        <v>1 Bedroom</v>
      </c>
      <c r="AQ103" s="929">
        <f>Application!O731</f>
        <v>1489</v>
      </c>
      <c r="AU103" s="929" t="s">
        <v>2364</v>
      </c>
      <c r="AV103" s="1764" t="s">
        <v>2365</v>
      </c>
      <c r="AW103" s="929" t="s">
        <v>2366</v>
      </c>
    </row>
    <row r="104" spans="1:49" s="929" customFormat="1" ht="12.75" customHeight="1">
      <c r="A104" s="932"/>
      <c r="B104" s="931"/>
      <c r="C104" s="931"/>
      <c r="D104" s="931"/>
      <c r="E104" s="3054"/>
      <c r="F104" s="3055"/>
      <c r="G104" s="3055"/>
      <c r="H104" s="3055"/>
      <c r="I104" s="3055"/>
      <c r="J104" s="3055"/>
      <c r="K104" s="3055"/>
      <c r="L104" s="3055"/>
      <c r="M104" s="3055"/>
      <c r="N104" s="3055"/>
      <c r="O104" s="3055"/>
      <c r="P104" s="3055"/>
      <c r="Q104" s="3055"/>
      <c r="R104" s="3055"/>
      <c r="S104" s="3055"/>
      <c r="T104" s="3055"/>
      <c r="U104" s="3055"/>
      <c r="V104" s="3055"/>
      <c r="W104" s="3055"/>
      <c r="X104" s="3055"/>
      <c r="Y104" s="3055"/>
      <c r="Z104" s="3055"/>
      <c r="AA104" s="3055"/>
      <c r="AB104" s="3055"/>
      <c r="AC104" s="3055"/>
      <c r="AD104" s="3055"/>
      <c r="AE104" s="3055"/>
      <c r="AF104" s="3055"/>
      <c r="AG104" s="3055"/>
      <c r="AH104" s="3055"/>
      <c r="AI104" s="3055"/>
      <c r="AJ104" s="3056"/>
      <c r="AK104" s="932"/>
      <c r="AL104" s="932"/>
      <c r="AM104" s="932"/>
      <c r="AN104" s="928"/>
      <c r="AO104" s="929" t="str">
        <f>Application!B732</f>
        <v>2 Bedrooms</v>
      </c>
      <c r="AQ104" s="929">
        <f>Application!O732</f>
        <v>875</v>
      </c>
      <c r="AU104" s="1767" t="str">
        <f>E112</f>
        <v>Studio/SRO</v>
      </c>
      <c r="AV104" s="929">
        <f t="array" ref="AV104">SUM(IF(Application!B728:F752="SRO/Studio",Application!G728:J752))</f>
        <v>1</v>
      </c>
      <c r="AW104" s="1802">
        <f>AV104/AV110</f>
        <v>1.5625E-2</v>
      </c>
    </row>
    <row r="105" spans="1:49" s="929" customFormat="1" ht="12.75" customHeight="1">
      <c r="A105" s="932"/>
      <c r="B105" s="931"/>
      <c r="C105" s="931"/>
      <c r="D105" s="931"/>
      <c r="E105" s="3054"/>
      <c r="F105" s="3055"/>
      <c r="G105" s="3055"/>
      <c r="H105" s="3055"/>
      <c r="I105" s="3055"/>
      <c r="J105" s="3055"/>
      <c r="K105" s="3055"/>
      <c r="L105" s="3055"/>
      <c r="M105" s="3055"/>
      <c r="N105" s="3055"/>
      <c r="O105" s="3055"/>
      <c r="P105" s="3055"/>
      <c r="Q105" s="3055"/>
      <c r="R105" s="3055"/>
      <c r="S105" s="3055"/>
      <c r="T105" s="3055"/>
      <c r="U105" s="3055"/>
      <c r="V105" s="3055"/>
      <c r="W105" s="3055"/>
      <c r="X105" s="3055"/>
      <c r="Y105" s="3055"/>
      <c r="Z105" s="3055"/>
      <c r="AA105" s="3055"/>
      <c r="AB105" s="3055"/>
      <c r="AC105" s="3055"/>
      <c r="AD105" s="3055"/>
      <c r="AE105" s="3055"/>
      <c r="AF105" s="3055"/>
      <c r="AG105" s="3055"/>
      <c r="AH105" s="3055"/>
      <c r="AI105" s="3055"/>
      <c r="AJ105" s="3056"/>
      <c r="AK105" s="932"/>
      <c r="AL105" s="932"/>
      <c r="AM105" s="932"/>
      <c r="AN105" s="928"/>
      <c r="AO105" s="929" t="str">
        <f>Application!B733</f>
        <v>2 Bedrooms</v>
      </c>
      <c r="AQ105" s="929">
        <f>Application!O733</f>
        <v>1329</v>
      </c>
      <c r="AU105" s="1767" t="str">
        <f>J112</f>
        <v>1-bedroom</v>
      </c>
      <c r="AV105" s="929">
        <f t="array" ref="AV105">SUM(IF(Application!B728:F752="1 Bedroom",Application!G728:J752))</f>
        <v>58</v>
      </c>
      <c r="AW105" s="1802">
        <f>AV105/AV110</f>
        <v>0.90625</v>
      </c>
    </row>
    <row r="106" spans="1:49" s="929" customFormat="1" ht="12.75" customHeight="1">
      <c r="A106" s="932"/>
      <c r="B106" s="931"/>
      <c r="C106" s="931"/>
      <c r="D106" s="931"/>
      <c r="E106" s="3054"/>
      <c r="F106" s="3055"/>
      <c r="G106" s="3055"/>
      <c r="H106" s="3055"/>
      <c r="I106" s="3055"/>
      <c r="J106" s="3055"/>
      <c r="K106" s="3055"/>
      <c r="L106" s="3055"/>
      <c r="M106" s="3055"/>
      <c r="N106" s="3055"/>
      <c r="O106" s="3055"/>
      <c r="P106" s="3055"/>
      <c r="Q106" s="3055"/>
      <c r="R106" s="3055"/>
      <c r="S106" s="3055"/>
      <c r="T106" s="3055"/>
      <c r="U106" s="3055"/>
      <c r="V106" s="3055"/>
      <c r="W106" s="3055"/>
      <c r="X106" s="3055"/>
      <c r="Y106" s="3055"/>
      <c r="Z106" s="3055"/>
      <c r="AA106" s="3055"/>
      <c r="AB106" s="3055"/>
      <c r="AC106" s="3055"/>
      <c r="AD106" s="3055"/>
      <c r="AE106" s="3055"/>
      <c r="AF106" s="3055"/>
      <c r="AG106" s="3055"/>
      <c r="AH106" s="3055"/>
      <c r="AI106" s="3055"/>
      <c r="AJ106" s="3056"/>
      <c r="AK106" s="932"/>
      <c r="AL106" s="932"/>
      <c r="AM106" s="932"/>
      <c r="AN106" s="928"/>
      <c r="AO106" s="929" t="str">
        <f>Application!B734</f>
        <v>2 Bedrooms</v>
      </c>
      <c r="AQ106" s="929">
        <f>Application!O734</f>
        <v>1480</v>
      </c>
      <c r="AU106" s="1767" t="str">
        <f>O112</f>
        <v>2-bedroom</v>
      </c>
      <c r="AV106" s="929">
        <f t="array" ref="AV106">SUM(IF(Application!B728:F752="2 Bedrooms",Application!G728:J752))</f>
        <v>5</v>
      </c>
      <c r="AW106" s="1802">
        <f>AV106/AV110</f>
        <v>7.8125E-2</v>
      </c>
    </row>
    <row r="107" spans="1:49" s="929" customFormat="1" ht="12.75" customHeight="1">
      <c r="A107" s="932"/>
      <c r="B107" s="931"/>
      <c r="C107" s="931"/>
      <c r="D107" s="931"/>
      <c r="E107" s="3054"/>
      <c r="F107" s="3055"/>
      <c r="G107" s="3055"/>
      <c r="H107" s="3055"/>
      <c r="I107" s="3055"/>
      <c r="J107" s="3055"/>
      <c r="K107" s="3055"/>
      <c r="L107" s="3055"/>
      <c r="M107" s="3055"/>
      <c r="N107" s="3055"/>
      <c r="O107" s="3055"/>
      <c r="P107" s="3055"/>
      <c r="Q107" s="3055"/>
      <c r="R107" s="3055"/>
      <c r="S107" s="3055"/>
      <c r="T107" s="3055"/>
      <c r="U107" s="3055"/>
      <c r="V107" s="3055"/>
      <c r="W107" s="3055"/>
      <c r="X107" s="3055"/>
      <c r="Y107" s="3055"/>
      <c r="Z107" s="3055"/>
      <c r="AA107" s="3055"/>
      <c r="AB107" s="3055"/>
      <c r="AC107" s="3055"/>
      <c r="AD107" s="3055"/>
      <c r="AE107" s="3055"/>
      <c r="AF107" s="3055"/>
      <c r="AG107" s="3055"/>
      <c r="AH107" s="3055"/>
      <c r="AI107" s="3055"/>
      <c r="AJ107" s="3056"/>
      <c r="AK107" s="932"/>
      <c r="AL107" s="932"/>
      <c r="AM107" s="932"/>
      <c r="AN107" s="928"/>
      <c r="AO107" s="929" t="str">
        <f>Application!B735</f>
        <v>SRO/Studio</v>
      </c>
      <c r="AQ107" s="929">
        <f>Application!O735</f>
        <v>1035</v>
      </c>
      <c r="AU107" s="1767" t="str">
        <f>T112</f>
        <v>3-bedroom</v>
      </c>
      <c r="AV107" s="929">
        <f t="array" ref="AV107">SUM(IF(Application!B728:F752="3 Bedrooms",Application!G728:J752))</f>
        <v>0</v>
      </c>
      <c r="AW107" s="1802">
        <f>AV107/AV110</f>
        <v>0</v>
      </c>
    </row>
    <row r="108" spans="1:49" s="929" customFormat="1" ht="12.75" customHeight="1">
      <c r="A108" s="932"/>
      <c r="B108" s="931"/>
      <c r="C108" s="931"/>
      <c r="D108" s="931"/>
      <c r="E108" s="3054"/>
      <c r="F108" s="3055"/>
      <c r="G108" s="3055"/>
      <c r="H108" s="3055"/>
      <c r="I108" s="3055"/>
      <c r="J108" s="3055"/>
      <c r="K108" s="3055"/>
      <c r="L108" s="3055"/>
      <c r="M108" s="3055"/>
      <c r="N108" s="3055"/>
      <c r="O108" s="3055"/>
      <c r="P108" s="3055"/>
      <c r="Q108" s="3055"/>
      <c r="R108" s="3055"/>
      <c r="S108" s="3055"/>
      <c r="T108" s="3055"/>
      <c r="U108" s="3055"/>
      <c r="V108" s="3055"/>
      <c r="W108" s="3055"/>
      <c r="X108" s="3055"/>
      <c r="Y108" s="3055"/>
      <c r="Z108" s="3055"/>
      <c r="AA108" s="3055"/>
      <c r="AB108" s="3055"/>
      <c r="AC108" s="3055"/>
      <c r="AD108" s="3055"/>
      <c r="AE108" s="3055"/>
      <c r="AF108" s="3055"/>
      <c r="AG108" s="3055"/>
      <c r="AH108" s="3055"/>
      <c r="AI108" s="3055"/>
      <c r="AJ108" s="3056"/>
      <c r="AK108" s="932"/>
      <c r="AL108" s="932"/>
      <c r="AM108" s="932"/>
      <c r="AN108" s="928"/>
      <c r="AO108" s="929">
        <f>Application!B736</f>
        <v>0</v>
      </c>
      <c r="AQ108" s="929">
        <f>Application!O736</f>
        <v>0</v>
      </c>
      <c r="AU108" s="1767" t="str">
        <f>Y112</f>
        <v>4-bedroom</v>
      </c>
      <c r="AV108" s="929">
        <f t="array" ref="AV108">SUM(IF(Application!B728:F752="4 Bedrooms",Application!G728:J752))</f>
        <v>0</v>
      </c>
      <c r="AW108" s="1802">
        <f>AV108/AV110</f>
        <v>0</v>
      </c>
    </row>
    <row r="109" spans="1:49" s="929" customFormat="1" ht="12.75" customHeight="1">
      <c r="A109" s="932"/>
      <c r="B109" s="931"/>
      <c r="C109" s="931"/>
      <c r="D109" s="931"/>
      <c r="E109" s="3054"/>
      <c r="F109" s="3055"/>
      <c r="G109" s="3055"/>
      <c r="H109" s="3055"/>
      <c r="I109" s="3055"/>
      <c r="J109" s="3055"/>
      <c r="K109" s="3055"/>
      <c r="L109" s="3055"/>
      <c r="M109" s="3055"/>
      <c r="N109" s="3055"/>
      <c r="O109" s="3055"/>
      <c r="P109" s="3055"/>
      <c r="Q109" s="3055"/>
      <c r="R109" s="3055"/>
      <c r="S109" s="3055"/>
      <c r="T109" s="3055"/>
      <c r="U109" s="3055"/>
      <c r="V109" s="3055"/>
      <c r="W109" s="3055"/>
      <c r="X109" s="3055"/>
      <c r="Y109" s="3055"/>
      <c r="Z109" s="3055"/>
      <c r="AA109" s="3055"/>
      <c r="AB109" s="3055"/>
      <c r="AC109" s="3055"/>
      <c r="AD109" s="3055"/>
      <c r="AE109" s="3055"/>
      <c r="AF109" s="3055"/>
      <c r="AG109" s="3055"/>
      <c r="AH109" s="3055"/>
      <c r="AI109" s="3055"/>
      <c r="AJ109" s="3056"/>
      <c r="AK109" s="932"/>
      <c r="AL109" s="932"/>
      <c r="AM109" s="932"/>
      <c r="AN109" s="928"/>
      <c r="AO109" s="929">
        <f>Application!B737</f>
        <v>0</v>
      </c>
      <c r="AQ109" s="929">
        <f>Application!O737</f>
        <v>0</v>
      </c>
      <c r="AU109" s="1767" t="str">
        <f>AD112</f>
        <v>5-bedroom</v>
      </c>
      <c r="AV109" s="929">
        <f t="array" ref="AV109">SUM(IF(Application!B728:F752="5 Bedrooms",Application!G728:J752))</f>
        <v>0</v>
      </c>
      <c r="AW109" s="1802">
        <f>AV109/AV110</f>
        <v>0</v>
      </c>
    </row>
    <row r="110" spans="1:49" s="929" customFormat="1" ht="12.75" customHeight="1">
      <c r="A110" s="932"/>
      <c r="B110" s="931"/>
      <c r="C110" s="931"/>
      <c r="D110" s="931"/>
      <c r="E110" s="3054"/>
      <c r="F110" s="3055"/>
      <c r="G110" s="3055"/>
      <c r="H110" s="3055"/>
      <c r="I110" s="3055"/>
      <c r="J110" s="3055"/>
      <c r="K110" s="3055"/>
      <c r="L110" s="3055"/>
      <c r="M110" s="3055"/>
      <c r="N110" s="3055"/>
      <c r="O110" s="3055"/>
      <c r="P110" s="3055"/>
      <c r="Q110" s="3055"/>
      <c r="R110" s="3055"/>
      <c r="S110" s="3055"/>
      <c r="T110" s="3055"/>
      <c r="U110" s="3055"/>
      <c r="V110" s="3055"/>
      <c r="W110" s="3055"/>
      <c r="X110" s="3055"/>
      <c r="Y110" s="3055"/>
      <c r="Z110" s="3055"/>
      <c r="AA110" s="3055"/>
      <c r="AB110" s="3055"/>
      <c r="AC110" s="3055"/>
      <c r="AD110" s="3055"/>
      <c r="AE110" s="3055"/>
      <c r="AF110" s="3055"/>
      <c r="AG110" s="3055"/>
      <c r="AH110" s="3055"/>
      <c r="AI110" s="3055"/>
      <c r="AJ110" s="3056"/>
      <c r="AK110" s="932"/>
      <c r="AL110" s="932"/>
      <c r="AM110" s="932"/>
      <c r="AN110" s="928"/>
      <c r="AO110" s="929">
        <f>Application!B738</f>
        <v>0</v>
      </c>
      <c r="AQ110" s="929">
        <f>Application!O738</f>
        <v>0</v>
      </c>
      <c r="AV110" s="929">
        <f>SUM(AV104:AV109)</f>
        <v>64</v>
      </c>
      <c r="AW110" s="1802">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f>Application!B739</f>
        <v>0</v>
      </c>
      <c r="AQ111" s="929">
        <f>Application!O739</f>
        <v>0</v>
      </c>
    </row>
    <row r="112" spans="1:49" s="929" customFormat="1" ht="12.75" customHeight="1">
      <c r="A112" s="932"/>
      <c r="B112" s="931"/>
      <c r="C112" s="932"/>
      <c r="D112" s="932"/>
      <c r="E112" s="3057" t="s">
        <v>1887</v>
      </c>
      <c r="F112" s="3058"/>
      <c r="G112" s="3058"/>
      <c r="H112" s="3058"/>
      <c r="I112" s="1472"/>
      <c r="J112" s="3058" t="s">
        <v>1980</v>
      </c>
      <c r="K112" s="3058"/>
      <c r="L112" s="3058"/>
      <c r="M112" s="3058"/>
      <c r="N112" s="1472"/>
      <c r="O112" s="3058" t="s">
        <v>1981</v>
      </c>
      <c r="P112" s="3058"/>
      <c r="Q112" s="3058"/>
      <c r="R112" s="3058"/>
      <c r="S112" s="1472"/>
      <c r="T112" s="3058" t="s">
        <v>1605</v>
      </c>
      <c r="U112" s="3058"/>
      <c r="V112" s="3058"/>
      <c r="W112" s="3058"/>
      <c r="X112" s="1472"/>
      <c r="Y112" s="3058" t="s">
        <v>1982</v>
      </c>
      <c r="Z112" s="3058"/>
      <c r="AA112" s="3058"/>
      <c r="AB112" s="3058"/>
      <c r="AC112" s="1472"/>
      <c r="AD112" s="3058" t="s">
        <v>1983</v>
      </c>
      <c r="AE112" s="3058"/>
      <c r="AF112" s="3058"/>
      <c r="AG112" s="3058"/>
      <c r="AH112" s="970"/>
      <c r="AI112" s="970"/>
      <c r="AJ112" s="972"/>
      <c r="AK112" s="932"/>
      <c r="AL112" s="932"/>
      <c r="AM112" s="932"/>
      <c r="AN112" s="928"/>
      <c r="AO112" s="929">
        <f>Application!B740</f>
        <v>0</v>
      </c>
      <c r="AQ112" s="929">
        <f>Application!O740</f>
        <v>0</v>
      </c>
    </row>
    <row r="113" spans="1:52" s="929" customFormat="1" ht="12.75" customHeight="1">
      <c r="A113" s="932"/>
      <c r="B113" s="953"/>
      <c r="C113" s="932"/>
      <c r="D113" s="932"/>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2"/>
      <c r="AL113" s="932"/>
      <c r="AM113" s="932"/>
      <c r="AN113" s="928"/>
      <c r="AO113" s="929">
        <f>Application!B741</f>
        <v>0</v>
      </c>
      <c r="AQ113" s="929">
        <f>Application!O741</f>
        <v>0</v>
      </c>
    </row>
    <row r="114" spans="1:52" s="929" customFormat="1" ht="12.75" customHeight="1">
      <c r="A114" s="932"/>
      <c r="B114" s="953"/>
      <c r="C114" s="932"/>
      <c r="D114" s="932"/>
      <c r="E114" s="1476" t="s">
        <v>1984</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2"/>
      <c r="AL114" s="932"/>
      <c r="AM114" s="932"/>
      <c r="AN114" s="928"/>
      <c r="AO114" s="929">
        <f>Application!B742</f>
        <v>0</v>
      </c>
      <c r="AQ114" s="929">
        <f>Application!O742</f>
        <v>0</v>
      </c>
    </row>
    <row r="115" spans="1:52" s="929" customFormat="1" ht="12.75" customHeight="1">
      <c r="A115" s="932"/>
      <c r="B115" s="953"/>
      <c r="C115" s="932"/>
      <c r="D115" s="932"/>
      <c r="E115" s="3070">
        <v>1720</v>
      </c>
      <c r="F115" s="3047"/>
      <c r="G115" s="3047"/>
      <c r="H115" s="3047"/>
      <c r="I115" s="1474"/>
      <c r="J115" s="3047">
        <v>1825</v>
      </c>
      <c r="K115" s="3047"/>
      <c r="L115" s="3047"/>
      <c r="M115" s="3047"/>
      <c r="N115" s="1474"/>
      <c r="O115" s="3047">
        <v>2270</v>
      </c>
      <c r="P115" s="3047"/>
      <c r="Q115" s="3047"/>
      <c r="R115" s="3047"/>
      <c r="S115" s="1474"/>
      <c r="T115" s="3047"/>
      <c r="U115" s="3047"/>
      <c r="V115" s="3047"/>
      <c r="W115" s="3047"/>
      <c r="X115" s="1474"/>
      <c r="Y115" s="3047"/>
      <c r="Z115" s="3047"/>
      <c r="AA115" s="3047"/>
      <c r="AB115" s="3047"/>
      <c r="AC115" s="1474"/>
      <c r="AD115" s="3047"/>
      <c r="AE115" s="3047"/>
      <c r="AF115" s="3047"/>
      <c r="AG115" s="3047"/>
      <c r="AH115" s="1472"/>
      <c r="AI115" s="1472"/>
      <c r="AJ115" s="1473"/>
      <c r="AK115" s="932"/>
      <c r="AL115" s="932"/>
      <c r="AM115" s="932"/>
      <c r="AN115" s="928"/>
      <c r="AO115" s="929">
        <f>Application!B743</f>
        <v>0</v>
      </c>
      <c r="AQ115" s="929">
        <f>Application!O743</f>
        <v>0</v>
      </c>
    </row>
    <row r="116" spans="1:52" s="929" customFormat="1" ht="12.75" customHeight="1">
      <c r="A116" s="932"/>
      <c r="B116" s="953"/>
      <c r="C116" s="932"/>
      <c r="D116" s="932"/>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2"/>
      <c r="AL116" s="932"/>
      <c r="AM116" s="932"/>
      <c r="AN116" s="928"/>
      <c r="AO116" s="929">
        <f>Application!B744</f>
        <v>0</v>
      </c>
      <c r="AQ116" s="929">
        <f>Application!O744</f>
        <v>0</v>
      </c>
      <c r="AU116" s="1800"/>
      <c r="AV116" s="1800"/>
      <c r="AW116" s="1800"/>
      <c r="AX116" s="1800"/>
      <c r="AY116" s="1800"/>
      <c r="AZ116" s="1800"/>
    </row>
    <row r="117" spans="1:52" s="929" customFormat="1" ht="12.75" customHeight="1">
      <c r="A117" s="932"/>
      <c r="B117" s="953"/>
      <c r="C117" s="932"/>
      <c r="D117" s="932"/>
      <c r="E117" s="1476" t="s">
        <v>2368</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2"/>
      <c r="AL117" s="932"/>
      <c r="AM117" s="932"/>
      <c r="AN117" s="928"/>
      <c r="AO117" s="929">
        <f>Application!B745</f>
        <v>0</v>
      </c>
      <c r="AQ117" s="929">
        <f>Application!O745</f>
        <v>0</v>
      </c>
      <c r="AU117" s="1800"/>
      <c r="AV117" s="1800"/>
      <c r="AW117" s="1800"/>
      <c r="AX117" s="1800"/>
      <c r="AY117" s="1800"/>
      <c r="AZ117" s="1800"/>
    </row>
    <row r="118" spans="1:52" s="929" customFormat="1" ht="12.75" customHeight="1">
      <c r="A118" s="932"/>
      <c r="B118" s="931"/>
      <c r="C118" s="932"/>
      <c r="D118" s="932"/>
      <c r="E118" s="3048">
        <f>Application!DX663</f>
        <v>1035</v>
      </c>
      <c r="F118" s="3006"/>
      <c r="G118" s="3006"/>
      <c r="H118" s="3006"/>
      <c r="I118" s="1474"/>
      <c r="J118" s="3006">
        <f>Application!EC663</f>
        <v>1093.2586206896551</v>
      </c>
      <c r="K118" s="3006"/>
      <c r="L118" s="3006"/>
      <c r="M118" s="3006"/>
      <c r="N118" s="1474"/>
      <c r="O118" s="3006">
        <f>Application!EH663</f>
        <v>1298.5999999999999</v>
      </c>
      <c r="P118" s="3006"/>
      <c r="Q118" s="3006"/>
      <c r="R118" s="3006"/>
      <c r="S118" s="1478"/>
      <c r="T118" s="3006">
        <f>Application!EM663</f>
        <v>0</v>
      </c>
      <c r="U118" s="3006"/>
      <c r="V118" s="3006"/>
      <c r="W118" s="3006"/>
      <c r="X118" s="1478"/>
      <c r="Y118" s="3006">
        <f>Application!ER663</f>
        <v>0</v>
      </c>
      <c r="Z118" s="3006"/>
      <c r="AA118" s="3006"/>
      <c r="AB118" s="3006"/>
      <c r="AC118" s="1478"/>
      <c r="AD118" s="3006">
        <f>Application!EW663</f>
        <v>0</v>
      </c>
      <c r="AE118" s="3006"/>
      <c r="AF118" s="3006"/>
      <c r="AG118" s="3006"/>
      <c r="AH118" s="970"/>
      <c r="AI118" s="970"/>
      <c r="AJ118" s="972"/>
      <c r="AK118" s="932"/>
      <c r="AL118" s="932"/>
      <c r="AM118" s="932"/>
      <c r="AN118" s="928"/>
      <c r="AO118" s="929">
        <f>Application!B746</f>
        <v>0</v>
      </c>
      <c r="AQ118" s="929">
        <f>Application!O746</f>
        <v>0</v>
      </c>
      <c r="AU118" s="1800"/>
      <c r="AV118" s="1800"/>
      <c r="AW118" s="1801"/>
      <c r="AX118" s="1801"/>
      <c r="AY118" s="1800"/>
      <c r="AZ118" s="1800"/>
    </row>
    <row r="119" spans="1:52" s="929" customFormat="1" ht="12.75" customHeight="1">
      <c r="A119" s="932"/>
      <c r="B119" s="931"/>
      <c r="C119" s="932"/>
      <c r="D119" s="932"/>
      <c r="E119" s="1477"/>
      <c r="F119" s="1471"/>
      <c r="G119" s="1471"/>
      <c r="H119" s="1471"/>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800"/>
      <c r="AV119" s="1800"/>
      <c r="AW119" s="1801"/>
      <c r="AX119" s="1801"/>
      <c r="AY119" s="1800"/>
      <c r="AZ119" s="1800"/>
    </row>
    <row r="120" spans="1:52" s="929" customFormat="1" ht="12.75" customHeight="1">
      <c r="A120" s="932"/>
      <c r="B120" s="931"/>
      <c r="C120" s="932"/>
      <c r="D120" s="932"/>
      <c r="E120" s="1476" t="s">
        <v>2369</v>
      </c>
      <c r="F120" s="1471"/>
      <c r="G120" s="1471"/>
      <c r="H120" s="1471"/>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800"/>
      <c r="AV120" s="1800"/>
      <c r="AW120" s="1801"/>
      <c r="AX120" s="1801"/>
      <c r="AY120" s="1800"/>
      <c r="AZ120" s="1800"/>
    </row>
    <row r="121" spans="1:52" s="929" customFormat="1" ht="12.75" customHeight="1">
      <c r="A121" s="932"/>
      <c r="B121" s="931"/>
      <c r="C121" s="932"/>
      <c r="D121" s="932"/>
      <c r="E121" s="3270">
        <f>(E115-E118)/E115</f>
        <v>0.39825581395348836</v>
      </c>
      <c r="F121" s="3271"/>
      <c r="G121" s="3271"/>
      <c r="H121" s="3272"/>
      <c r="I121" s="970"/>
      <c r="J121" s="3270">
        <f>(J115-J118)/J115</f>
        <v>0.40095418044402459</v>
      </c>
      <c r="K121" s="3271"/>
      <c r="L121" s="3271"/>
      <c r="M121" s="3272"/>
      <c r="N121" s="970"/>
      <c r="O121" s="3270">
        <f>(O115-O118)/O115</f>
        <v>0.42792951541850222</v>
      </c>
      <c r="P121" s="3271"/>
      <c r="Q121" s="3271"/>
      <c r="R121" s="3272"/>
      <c r="S121" s="970"/>
      <c r="T121" s="3270" t="e">
        <f>(T115-T118)/T115</f>
        <v>#DIV/0!</v>
      </c>
      <c r="U121" s="3271"/>
      <c r="V121" s="3271"/>
      <c r="W121" s="3272"/>
      <c r="X121" s="970"/>
      <c r="Y121" s="3270" t="e">
        <f>(Y115-Y118)/Y115</f>
        <v>#DIV/0!</v>
      </c>
      <c r="Z121" s="3271"/>
      <c r="AA121" s="3271"/>
      <c r="AB121" s="3272"/>
      <c r="AC121" s="970"/>
      <c r="AD121" s="3270" t="e">
        <f>(AD115-AD118)/AD115</f>
        <v>#DIV/0!</v>
      </c>
      <c r="AE121" s="3271"/>
      <c r="AF121" s="3271"/>
      <c r="AG121" s="3272"/>
      <c r="AH121" s="970"/>
      <c r="AI121" s="970"/>
      <c r="AJ121" s="972"/>
      <c r="AK121" s="932"/>
      <c r="AL121" s="932"/>
      <c r="AM121" s="932"/>
      <c r="AN121" s="928"/>
      <c r="AO121" s="929">
        <f>Application!B749</f>
        <v>0</v>
      </c>
      <c r="AQ121" s="929">
        <f>Application!O749</f>
        <v>0</v>
      </c>
      <c r="AU121" s="1800"/>
      <c r="AV121" s="1800"/>
      <c r="AW121" s="1801"/>
      <c r="AX121" s="1801"/>
      <c r="AY121" s="1800"/>
      <c r="AZ121" s="1800"/>
    </row>
    <row r="122" spans="1:52" s="929" customFormat="1" ht="12.75" customHeight="1">
      <c r="A122" s="932"/>
      <c r="B122" s="931"/>
      <c r="C122" s="932"/>
      <c r="D122" s="932"/>
      <c r="E122" s="1780"/>
      <c r="F122" s="1779"/>
      <c r="G122" s="1779"/>
      <c r="H122" s="1779"/>
      <c r="I122" s="970"/>
      <c r="J122" s="1779"/>
      <c r="K122" s="1779"/>
      <c r="L122" s="1779"/>
      <c r="M122" s="1779"/>
      <c r="N122" s="970"/>
      <c r="O122" s="1779"/>
      <c r="P122" s="1779"/>
      <c r="Q122" s="1779"/>
      <c r="R122" s="1779"/>
      <c r="S122" s="970"/>
      <c r="T122" s="1779"/>
      <c r="U122" s="1779"/>
      <c r="V122" s="1779"/>
      <c r="W122" s="1779"/>
      <c r="X122" s="970"/>
      <c r="Y122" s="1779"/>
      <c r="Z122" s="1779"/>
      <c r="AA122" s="1779"/>
      <c r="AB122" s="1779"/>
      <c r="AC122" s="970"/>
      <c r="AD122" s="1779"/>
      <c r="AE122" s="1779"/>
      <c r="AF122" s="1779"/>
      <c r="AG122" s="1779"/>
      <c r="AH122" s="970"/>
      <c r="AI122" s="970"/>
      <c r="AJ122" s="972"/>
      <c r="AK122" s="932"/>
      <c r="AL122" s="932"/>
      <c r="AM122" s="932"/>
      <c r="AN122" s="928"/>
      <c r="AO122" s="929">
        <f>Application!B750</f>
        <v>0</v>
      </c>
      <c r="AQ122" s="929">
        <f>Application!O750</f>
        <v>0</v>
      </c>
      <c r="AU122" s="1800"/>
      <c r="AV122" s="1800"/>
      <c r="AW122" s="1801"/>
      <c r="AX122" s="1801"/>
      <c r="AY122" s="1800"/>
      <c r="AZ122" s="1800"/>
    </row>
    <row r="123" spans="1:52" s="929" customFormat="1" ht="12.75" customHeight="1">
      <c r="A123" s="932"/>
      <c r="B123" s="931"/>
      <c r="C123" s="932"/>
      <c r="D123" s="932"/>
      <c r="E123" s="1781" t="s">
        <v>2370</v>
      </c>
      <c r="F123" s="1779"/>
      <c r="G123" s="1779"/>
      <c r="H123" s="1779"/>
      <c r="I123" s="970"/>
      <c r="J123" s="1779"/>
      <c r="K123" s="1779"/>
      <c r="L123" s="1779"/>
      <c r="M123" s="1779"/>
      <c r="N123" s="970"/>
      <c r="O123" s="1779"/>
      <c r="P123" s="1779"/>
      <c r="Q123" s="1779"/>
      <c r="R123" s="1779"/>
      <c r="S123" s="970"/>
      <c r="T123" s="1779"/>
      <c r="U123" s="1779"/>
      <c r="V123" s="1779"/>
      <c r="W123" s="1779"/>
      <c r="X123" s="970"/>
      <c r="Y123" s="1779"/>
      <c r="Z123" s="1779"/>
      <c r="AA123" s="1779"/>
      <c r="AB123" s="1779"/>
      <c r="AC123" s="970"/>
      <c r="AD123" s="1779"/>
      <c r="AE123" s="1779"/>
      <c r="AF123" s="1779"/>
      <c r="AG123" s="1779"/>
      <c r="AH123" s="970"/>
      <c r="AI123" s="970"/>
      <c r="AJ123" s="972"/>
      <c r="AK123" s="932"/>
      <c r="AL123" s="932"/>
      <c r="AM123" s="932"/>
      <c r="AN123" s="928"/>
      <c r="AO123" s="929">
        <f>Application!B751</f>
        <v>0</v>
      </c>
      <c r="AQ123" s="929">
        <f>Application!O751</f>
        <v>0</v>
      </c>
      <c r="AU123" s="1801"/>
      <c r="AV123" s="1800"/>
      <c r="AW123" s="1801"/>
      <c r="AX123" s="1801"/>
      <c r="AY123" s="1800"/>
      <c r="AZ123" s="1800"/>
    </row>
    <row r="124" spans="1:52" s="929" customFormat="1" ht="12.75" customHeight="1">
      <c r="A124" s="932"/>
      <c r="B124" s="931"/>
      <c r="C124" s="932"/>
      <c r="D124" s="932"/>
      <c r="E124" s="3003">
        <f>IF(((E121-0.1)*AW104)&gt;0,((E121-0.1)*AW104),0)</f>
        <v>4.6602470930232551E-3</v>
      </c>
      <c r="F124" s="3004"/>
      <c r="G124" s="3004"/>
      <c r="H124" s="3005"/>
      <c r="I124" s="970"/>
      <c r="J124" s="3003">
        <f>IF(((J121-0.1)*AW105)&gt;0,((J121-0.1)*AW105),0)</f>
        <v>0.27273972602739727</v>
      </c>
      <c r="K124" s="3004"/>
      <c r="L124" s="3004"/>
      <c r="M124" s="3005"/>
      <c r="N124" s="970"/>
      <c r="O124" s="3003">
        <f>IF(((O121-0.1)*AW106)&gt;0,((O121-0.1)*AW106),0)</f>
        <v>2.5619493392070487E-2</v>
      </c>
      <c r="P124" s="3004"/>
      <c r="Q124" s="3004"/>
      <c r="R124" s="3005"/>
      <c r="S124" s="970"/>
      <c r="T124" s="3003" t="e">
        <f>IF(((T121-0.1)*AW107)&gt;0,((T121-0.1)*AW107),0)</f>
        <v>#DIV/0!</v>
      </c>
      <c r="U124" s="3004"/>
      <c r="V124" s="3004"/>
      <c r="W124" s="3005"/>
      <c r="X124" s="970"/>
      <c r="Y124" s="3003" t="e">
        <f>IF(((Y121-0.1)*AW108)&gt;0,((Y121-0.1)*AW108),0)</f>
        <v>#DIV/0!</v>
      </c>
      <c r="Z124" s="3004"/>
      <c r="AA124" s="3004"/>
      <c r="AB124" s="3005"/>
      <c r="AC124" s="970"/>
      <c r="AD124" s="3003" t="e">
        <f>IF(((AD121-0.1)*AW109)&gt;0,((AD121-0.1)*AW109),0)</f>
        <v>#DIV/0!</v>
      </c>
      <c r="AE124" s="3004"/>
      <c r="AF124" s="3004"/>
      <c r="AG124" s="3005"/>
      <c r="AH124" s="970"/>
      <c r="AI124" s="970"/>
      <c r="AJ124" s="972"/>
      <c r="AK124" s="932"/>
      <c r="AL124" s="932"/>
      <c r="AM124" s="932"/>
      <c r="AN124" s="928"/>
      <c r="AO124" s="929">
        <f>Application!B752</f>
        <v>0</v>
      </c>
      <c r="AQ124" s="929">
        <f>Application!O752</f>
        <v>0</v>
      </c>
      <c r="AU124" s="1800"/>
      <c r="AV124" s="1800"/>
      <c r="AW124" s="1800"/>
      <c r="AX124" s="1801"/>
      <c r="AY124" s="1800"/>
      <c r="AZ124" s="1800"/>
    </row>
    <row r="125" spans="1:52" s="929" customFormat="1" ht="12.75" customHeight="1">
      <c r="A125" s="932"/>
      <c r="B125" s="931"/>
      <c r="C125" s="932"/>
      <c r="D125" s="932"/>
      <c r="E125" s="1477"/>
      <c r="F125" s="1471"/>
      <c r="G125" s="1471"/>
      <c r="H125" s="1471"/>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800"/>
      <c r="AV125" s="1800"/>
      <c r="AW125" s="1800"/>
      <c r="AX125" s="1800"/>
      <c r="AY125" s="1800"/>
      <c r="AZ125" s="1800"/>
    </row>
    <row r="126" spans="1:52" s="929" customFormat="1" ht="12.75" customHeight="1">
      <c r="A126" s="932"/>
      <c r="B126" s="931"/>
      <c r="C126" s="932"/>
      <c r="D126" s="932"/>
      <c r="E126" s="3270">
        <f>ROUNDDOWN(SUMIF(E124:AG124,"&gt;0"),2)</f>
        <v>0.3</v>
      </c>
      <c r="F126" s="3271"/>
      <c r="G126" s="3271"/>
      <c r="H126" s="3272"/>
      <c r="I126" s="1472"/>
      <c r="J126" s="1479" t="s">
        <v>2371</v>
      </c>
      <c r="K126" s="1472"/>
      <c r="L126" s="1472"/>
      <c r="M126" s="1472"/>
      <c r="N126" s="1472"/>
      <c r="O126" s="1472"/>
      <c r="P126" s="970"/>
      <c r="Q126" s="970"/>
      <c r="R126" s="970"/>
      <c r="S126" s="970"/>
      <c r="T126" s="970"/>
      <c r="U126" s="970"/>
      <c r="V126" s="970"/>
      <c r="W126" s="970"/>
      <c r="X126" s="970"/>
      <c r="Y126" s="970"/>
      <c r="Z126" s="970"/>
      <c r="AA126" s="970"/>
      <c r="AB126" s="970"/>
      <c r="AC126" s="970"/>
      <c r="AD126" s="1480"/>
      <c r="AE126" s="1480"/>
      <c r="AF126" s="1480"/>
      <c r="AG126" s="1480"/>
      <c r="AH126" s="970"/>
      <c r="AI126" s="970"/>
      <c r="AJ126" s="972"/>
      <c r="AK126" s="932"/>
      <c r="AL126" s="932"/>
      <c r="AM126" s="932"/>
      <c r="AN126" s="928"/>
      <c r="AU126" s="1800"/>
      <c r="AV126" s="1800"/>
      <c r="AW126" s="1800"/>
      <c r="AX126" s="1801"/>
      <c r="AY126" s="1800"/>
      <c r="AZ126" s="1800"/>
    </row>
    <row r="127" spans="1:52" s="929" customFormat="1" ht="12.75" customHeight="1">
      <c r="A127" s="932"/>
      <c r="B127" s="931"/>
      <c r="C127" s="932"/>
      <c r="D127" s="932"/>
      <c r="E127" s="3043">
        <f>IF((E126*100)&gt;10,10,E126*100)</f>
        <v>10</v>
      </c>
      <c r="F127" s="3044"/>
      <c r="G127" s="3044"/>
      <c r="H127" s="3045"/>
      <c r="I127" s="970"/>
      <c r="J127" s="973" t="s">
        <v>1599</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800"/>
      <c r="AV127" s="1800"/>
      <c r="AW127" s="1800"/>
      <c r="AX127" s="1800"/>
      <c r="AY127" s="1800"/>
      <c r="AZ127" s="1800"/>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3"/>
      <c r="AU128" s="1800"/>
      <c r="AV128" s="1800"/>
      <c r="AW128" s="1801"/>
      <c r="AX128" s="1800"/>
      <c r="AY128" s="1800"/>
      <c r="AZ128" s="1800"/>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800"/>
      <c r="AV129" s="1800"/>
      <c r="AW129" s="1800"/>
      <c r="AX129" s="1800"/>
      <c r="AY129" s="1800"/>
      <c r="AZ129" s="1800"/>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1606</v>
      </c>
      <c r="AK131" s="3043">
        <f>E127</f>
        <v>10</v>
      </c>
      <c r="AL131" s="3044"/>
      <c r="AM131" s="3045"/>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1607</v>
      </c>
      <c r="AE134" s="3028" t="s">
        <v>1585</v>
      </c>
      <c r="AF134" s="3028"/>
      <c r="AG134" s="3028"/>
      <c r="AH134" s="3028"/>
      <c r="AI134" s="3028"/>
      <c r="AJ134" s="3028"/>
      <c r="AK134" s="3028"/>
      <c r="AL134" s="984"/>
      <c r="AM134" s="985"/>
      <c r="AN134" s="986"/>
      <c r="AO134" s="929"/>
    </row>
    <row r="135" spans="1:52" s="931" customFormat="1" ht="12.95" customHeight="1">
      <c r="A135" s="930"/>
      <c r="AE135" s="984"/>
      <c r="AF135" s="984"/>
      <c r="AG135" s="984"/>
      <c r="AH135" s="984"/>
      <c r="AI135" s="984"/>
      <c r="AJ135" s="984"/>
      <c r="AK135" s="984"/>
      <c r="AL135" s="984"/>
      <c r="AM135" s="985"/>
      <c r="AN135" s="986"/>
    </row>
    <row r="136" spans="1:52" s="926" customFormat="1" ht="12.75" customHeight="1">
      <c r="A136" s="930"/>
      <c r="B136" s="930" t="s">
        <v>1608</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066" t="s">
        <v>1609</v>
      </c>
      <c r="AG136" s="3066"/>
      <c r="AH136" s="3066"/>
      <c r="AI136" s="3066"/>
      <c r="AJ136" s="3066"/>
      <c r="AK136" s="3066"/>
      <c r="AL136" s="3066"/>
      <c r="AM136" s="985"/>
      <c r="AN136" s="925"/>
    </row>
    <row r="137" spans="1:52" s="926" customFormat="1" ht="12.75" customHeight="1">
      <c r="A137" s="930"/>
      <c r="B137" s="987" t="s">
        <v>565</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5"/>
      <c r="AM137" s="985"/>
      <c r="AN137" s="925"/>
    </row>
    <row r="138" spans="1:52" s="926" customFormat="1" ht="15" customHeight="1">
      <c r="A138" s="930"/>
      <c r="B138" s="3067" t="s">
        <v>2663</v>
      </c>
      <c r="C138" s="3067"/>
      <c r="D138" s="3067"/>
      <c r="E138" s="3067"/>
      <c r="F138" s="3067"/>
      <c r="G138" s="3067"/>
      <c r="H138" s="3067"/>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67"/>
      <c r="AD138" s="931"/>
      <c r="AE138" s="1595"/>
      <c r="AF138" s="1595"/>
      <c r="AG138" s="1595"/>
      <c r="AH138" s="1595"/>
      <c r="AI138" s="1595"/>
      <c r="AJ138" s="1595"/>
      <c r="AK138" s="1595"/>
      <c r="AL138" s="1595"/>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5"/>
      <c r="AF139" s="1595"/>
      <c r="AG139" s="1595"/>
      <c r="AH139" s="1595"/>
      <c r="AI139" s="1595"/>
      <c r="AJ139" s="1595"/>
      <c r="AK139" s="1595"/>
      <c r="AL139" s="1595"/>
      <c r="AM139" s="985"/>
      <c r="AN139" s="928"/>
      <c r="AO139" s="923" t="s">
        <v>316</v>
      </c>
      <c r="AP139" s="937"/>
    </row>
    <row r="140" spans="1:52" s="926" customFormat="1" ht="12.75" customHeight="1">
      <c r="A140" s="930"/>
      <c r="B140" s="931" t="s">
        <v>1610</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1611</v>
      </c>
      <c r="AP140" s="994">
        <v>5</v>
      </c>
    </row>
    <row r="141" spans="1:52" s="926" customFormat="1" ht="12.75" customHeight="1">
      <c r="A141" s="930"/>
      <c r="B141" s="3083" t="s">
        <v>1612</v>
      </c>
      <c r="C141" s="3083"/>
      <c r="D141" s="3083"/>
      <c r="E141" s="3083"/>
      <c r="F141" s="3083"/>
      <c r="G141" s="3083"/>
      <c r="H141" s="3083"/>
      <c r="I141" s="3083"/>
      <c r="J141" s="3083"/>
      <c r="K141" s="3083"/>
      <c r="L141" s="3083"/>
      <c r="M141" s="3083"/>
      <c r="N141" s="3083"/>
      <c r="O141" s="3083"/>
      <c r="P141" s="3083"/>
      <c r="Q141" s="3083"/>
      <c r="R141" s="3083"/>
      <c r="S141" s="3083"/>
      <c r="T141" s="3083"/>
      <c r="U141" s="3083"/>
      <c r="V141" s="3083"/>
      <c r="W141" s="3083"/>
      <c r="X141" s="3083"/>
      <c r="Y141" s="3083"/>
      <c r="Z141" s="3083"/>
      <c r="AA141" s="3083"/>
      <c r="AB141" s="3083"/>
      <c r="AC141" s="3083"/>
      <c r="AD141" s="3083"/>
      <c r="AE141" s="3083"/>
      <c r="AF141" s="3083"/>
      <c r="AG141" s="3083"/>
      <c r="AH141" s="3083"/>
      <c r="AI141" s="3083"/>
      <c r="AM141" s="985"/>
      <c r="AN141" s="925"/>
      <c r="AO141" s="993" t="s">
        <v>1612</v>
      </c>
      <c r="AP141" s="994">
        <v>7</v>
      </c>
    </row>
    <row r="142" spans="1:52" s="926" customFormat="1" ht="12.95"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1987</v>
      </c>
      <c r="AP142" s="994">
        <v>7</v>
      </c>
    </row>
    <row r="143" spans="1:52" s="926" customFormat="1" ht="12.75" customHeight="1">
      <c r="A143" s="995"/>
      <c r="B143" s="931" t="s">
        <v>1613</v>
      </c>
      <c r="AB143" s="3084" t="s">
        <v>626</v>
      </c>
      <c r="AC143" s="3084"/>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1614</v>
      </c>
      <c r="AP144" s="994"/>
    </row>
    <row r="145" spans="1:42" s="926" customFormat="1" ht="12.75" customHeight="1">
      <c r="A145" s="930"/>
      <c r="B145" s="987" t="s">
        <v>1615</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1616</v>
      </c>
      <c r="AP145" s="994">
        <v>5</v>
      </c>
    </row>
    <row r="146" spans="1:42" s="926" customFormat="1" ht="12.75" customHeight="1">
      <c r="A146" s="930"/>
      <c r="B146" s="3083" t="s">
        <v>1614</v>
      </c>
      <c r="C146" s="3083"/>
      <c r="D146" s="3083"/>
      <c r="E146" s="3083"/>
      <c r="F146" s="3083"/>
      <c r="G146" s="3083"/>
      <c r="H146" s="3083"/>
      <c r="I146" s="3083"/>
      <c r="J146" s="3083"/>
      <c r="K146" s="3083"/>
      <c r="L146" s="3083"/>
      <c r="M146" s="3083"/>
      <c r="N146" s="3083"/>
      <c r="O146" s="3083"/>
      <c r="P146" s="3083"/>
      <c r="Q146" s="3083"/>
      <c r="R146" s="3083"/>
      <c r="S146" s="3083"/>
      <c r="T146" s="3083"/>
      <c r="U146" s="3083"/>
      <c r="V146" s="3083"/>
      <c r="W146" s="3083"/>
      <c r="X146" s="3083"/>
      <c r="Y146" s="3083"/>
      <c r="Z146" s="3083"/>
      <c r="AA146" s="3083"/>
      <c r="AB146" s="3083"/>
      <c r="AC146" s="3083"/>
      <c r="AD146" s="3083"/>
      <c r="AE146" s="3083"/>
      <c r="AF146" s="3083"/>
      <c r="AG146" s="3083"/>
      <c r="AH146" s="3083"/>
      <c r="AI146" s="3083"/>
      <c r="AJ146" s="3083"/>
      <c r="AK146" s="1022"/>
      <c r="AL146" s="1022"/>
      <c r="AM146" s="1022"/>
      <c r="AN146" s="925"/>
      <c r="AO146" s="993" t="s">
        <v>1617</v>
      </c>
      <c r="AP146" s="994">
        <v>7</v>
      </c>
    </row>
    <row r="147" spans="1:42" s="926" customFormat="1" ht="12.75" customHeight="1">
      <c r="B147" s="1011" t="s">
        <v>1618</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1620</v>
      </c>
      <c r="AJ149" s="3086">
        <f>IF($AB$143="N/A",VLOOKUP($B$141,$AO$139:$AP$142,2,FALSE),VLOOKUP($B$146,$AO$144:$AP$147,2,FALSE))</f>
        <v>7</v>
      </c>
      <c r="AK149" s="3086"/>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1622</v>
      </c>
      <c r="C151" s="1011"/>
      <c r="D151" s="926"/>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6"/>
      <c r="AF151" s="3066" t="s">
        <v>1623</v>
      </c>
      <c r="AG151" s="3066"/>
      <c r="AH151" s="3066"/>
      <c r="AI151" s="3066"/>
      <c r="AJ151" s="3066"/>
      <c r="AK151" s="3066"/>
      <c r="AL151" s="3066"/>
      <c r="AM151" s="1012"/>
      <c r="AN151" s="1002"/>
    </row>
    <row r="152" spans="1:42" s="942" customFormat="1" ht="12.75" customHeight="1">
      <c r="A152" s="926"/>
      <c r="B152" s="931" t="s">
        <v>1624</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083" t="s">
        <v>1621</v>
      </c>
      <c r="D153" s="3083"/>
      <c r="E153" s="3083"/>
      <c r="F153" s="3083"/>
      <c r="G153" s="3083"/>
      <c r="H153" s="3083"/>
      <c r="I153" s="3083"/>
      <c r="J153" s="3083"/>
      <c r="K153" s="3083"/>
      <c r="L153" s="3083"/>
      <c r="M153" s="3083"/>
      <c r="N153" s="3083"/>
      <c r="O153" s="3083"/>
      <c r="P153" s="3083"/>
      <c r="Q153" s="3083"/>
      <c r="R153" s="3083"/>
      <c r="S153" s="3083"/>
      <c r="T153" s="3083"/>
      <c r="U153" s="3083"/>
      <c r="V153" s="3083"/>
      <c r="W153" s="3083"/>
      <c r="X153" s="3083"/>
      <c r="Y153" s="3083"/>
      <c r="Z153" s="3083"/>
      <c r="AA153" s="3083"/>
      <c r="AB153" s="3083"/>
      <c r="AC153" s="3083"/>
      <c r="AD153" s="3083"/>
      <c r="AE153" s="3083"/>
      <c r="AF153" s="3083"/>
      <c r="AG153" s="3083"/>
      <c r="AH153" s="3083"/>
      <c r="AI153" s="3083"/>
      <c r="AJ153" s="929"/>
      <c r="AK153" s="929"/>
      <c r="AL153" s="929"/>
      <c r="AM153" s="1012"/>
      <c r="AN153" s="999"/>
      <c r="AO153" s="1003" t="s">
        <v>316</v>
      </c>
      <c r="AP153" s="997"/>
    </row>
    <row r="154" spans="1:42" s="942" customFormat="1" ht="12.95"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1619</v>
      </c>
      <c r="AP154" s="1006">
        <v>2</v>
      </c>
    </row>
    <row r="155" spans="1:42" s="942" customFormat="1" ht="12.75" customHeight="1">
      <c r="A155" s="929"/>
      <c r="B155" s="929"/>
      <c r="C155" s="931" t="s">
        <v>1626</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084" t="s">
        <v>626</v>
      </c>
      <c r="AD155" s="3084"/>
      <c r="AE155" s="929"/>
      <c r="AF155" s="929"/>
      <c r="AG155" s="929"/>
      <c r="AH155" s="929"/>
      <c r="AI155" s="929"/>
      <c r="AJ155" s="929"/>
      <c r="AK155" s="929"/>
      <c r="AL155" s="929"/>
      <c r="AM155" s="1014"/>
      <c r="AN155" s="999"/>
      <c r="AO155" s="997" t="s">
        <v>1621</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1988</v>
      </c>
      <c r="AP156" s="1006">
        <v>3</v>
      </c>
    </row>
    <row r="157" spans="1:42" s="942" customFormat="1" ht="12.75" customHeight="1">
      <c r="A157" s="929"/>
      <c r="B157" s="929"/>
      <c r="C157" s="3083" t="s">
        <v>1614</v>
      </c>
      <c r="D157" s="3083"/>
      <c r="E157" s="3083"/>
      <c r="F157" s="3083"/>
      <c r="G157" s="3083"/>
      <c r="H157" s="3083"/>
      <c r="I157" s="3083"/>
      <c r="J157" s="3083"/>
      <c r="K157" s="3083"/>
      <c r="L157" s="3083"/>
      <c r="M157" s="3083"/>
      <c r="N157" s="3083"/>
      <c r="O157" s="3083"/>
      <c r="P157" s="3083"/>
      <c r="Q157" s="3083"/>
      <c r="R157" s="3083"/>
      <c r="S157" s="3083"/>
      <c r="T157" s="3083"/>
      <c r="U157" s="3083"/>
      <c r="V157" s="3083"/>
      <c r="W157" s="3083"/>
      <c r="X157" s="3083"/>
      <c r="Y157" s="3083"/>
      <c r="Z157" s="3083"/>
      <c r="AA157" s="3083"/>
      <c r="AB157" s="3083"/>
      <c r="AC157" s="3083"/>
      <c r="AD157" s="3083"/>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1618</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1628</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1614</v>
      </c>
      <c r="AP160" s="997"/>
    </row>
    <row r="161" spans="1:81" s="1001" customFormat="1" ht="12.75" customHeight="1">
      <c r="A161" s="926"/>
      <c r="B161" s="926"/>
      <c r="C161" s="3067" t="s">
        <v>2663</v>
      </c>
      <c r="D161" s="3067"/>
      <c r="E161" s="3067"/>
      <c r="F161" s="3067"/>
      <c r="G161" s="3067"/>
      <c r="H161" s="3067"/>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67"/>
      <c r="AD161" s="3067"/>
      <c r="AE161" s="929"/>
      <c r="AF161" s="929"/>
      <c r="AG161" s="929"/>
      <c r="AH161" s="929"/>
      <c r="AI161" s="929"/>
      <c r="AJ161" s="929"/>
      <c r="AK161" s="929"/>
      <c r="AL161" s="929"/>
      <c r="AM161" s="1012"/>
      <c r="AN161" s="1000"/>
      <c r="AO161" s="997" t="s">
        <v>1625</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1627</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1629</v>
      </c>
      <c r="AJ163" s="3085">
        <f>IF($AC$155="N/A",VLOOKUP($C$153,$AO$153:$AP$156,2,FALSE),VLOOKUP($C$157,$AO$160:$AP$162,2,FALSE))</f>
        <v>3</v>
      </c>
      <c r="AK163" s="3085"/>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1630</v>
      </c>
      <c r="AK166" s="3043">
        <f>$AJ$149+$AJ$163</f>
        <v>10</v>
      </c>
      <c r="AL166" s="3044"/>
      <c r="AM166" s="3045"/>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1631</v>
      </c>
      <c r="AQ168" s="1029">
        <v>0</v>
      </c>
    </row>
    <row r="169" spans="1:81" s="942" customFormat="1" ht="12.75" customHeight="1">
      <c r="A169" s="987" t="s">
        <v>1632</v>
      </c>
      <c r="B169" s="987" t="s">
        <v>2226</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080" t="s">
        <v>1585</v>
      </c>
      <c r="AF169" s="3080"/>
      <c r="AG169" s="3080"/>
      <c r="AH169" s="3080"/>
      <c r="AI169" s="3080"/>
      <c r="AJ169" s="3080"/>
      <c r="AK169" s="3080"/>
      <c r="AL169" s="1600"/>
      <c r="AM169" s="1025"/>
      <c r="AN169" s="999"/>
      <c r="AP169" s="1001" t="s">
        <v>1155</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600"/>
      <c r="AD170" s="1600"/>
      <c r="AE170" s="926"/>
      <c r="AF170" s="926"/>
      <c r="AG170" s="926"/>
      <c r="AH170" s="926"/>
      <c r="AI170" s="926"/>
      <c r="AJ170" s="926"/>
      <c r="AK170" s="926"/>
      <c r="AL170" s="926"/>
      <c r="AM170" s="1025"/>
      <c r="AN170" s="999"/>
      <c r="AP170" s="942" t="s">
        <v>1633</v>
      </c>
      <c r="AQ170" s="942">
        <v>10</v>
      </c>
    </row>
    <row r="171" spans="1:81" s="942" customFormat="1" ht="12.75" customHeight="1">
      <c r="A171" s="926"/>
      <c r="B171" s="3081" t="s">
        <v>1633</v>
      </c>
      <c r="C171" s="3081"/>
      <c r="D171" s="3081"/>
      <c r="E171" s="3081"/>
      <c r="F171" s="3081"/>
      <c r="G171" s="3081"/>
      <c r="H171" s="3081"/>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81"/>
      <c r="AD171" s="1022"/>
      <c r="AE171" s="1022"/>
      <c r="AF171" s="3066" t="s">
        <v>1634</v>
      </c>
      <c r="AG171" s="3066"/>
      <c r="AH171" s="3066"/>
      <c r="AI171" s="3066"/>
      <c r="AJ171" s="3066"/>
      <c r="AK171" s="3066"/>
      <c r="AL171" s="3066"/>
      <c r="AN171" s="999"/>
      <c r="AP171" s="942" t="s">
        <v>1157</v>
      </c>
      <c r="AQ171" s="942">
        <v>10</v>
      </c>
    </row>
    <row r="172" spans="1:81" s="942" customFormat="1" ht="12.75" customHeight="1">
      <c r="A172" s="926"/>
      <c r="B172" s="3082" t="s">
        <v>2225</v>
      </c>
      <c r="C172" s="3082"/>
      <c r="D172" s="3082"/>
      <c r="E172" s="3082"/>
      <c r="F172" s="3082"/>
      <c r="G172" s="3082"/>
      <c r="H172" s="3082"/>
      <c r="I172" s="3082"/>
      <c r="J172" s="3082"/>
      <c r="K172" s="3082"/>
      <c r="L172" s="3082"/>
      <c r="M172" s="3082"/>
      <c r="N172" s="3082"/>
      <c r="O172" s="3082"/>
      <c r="P172" s="3082"/>
      <c r="Q172" s="3082"/>
      <c r="R172" s="3082"/>
      <c r="S172" s="3082"/>
      <c r="T172" s="3067" t="s">
        <v>626</v>
      </c>
      <c r="U172" s="3067"/>
      <c r="V172" s="3067"/>
      <c r="W172" s="3067"/>
      <c r="X172" s="3067"/>
      <c r="Y172" s="3067"/>
      <c r="Z172" s="3067"/>
      <c r="AA172" s="3067"/>
      <c r="AB172" s="3067"/>
      <c r="AC172" s="3067"/>
      <c r="AD172" s="1005"/>
      <c r="AE172" s="1005"/>
      <c r="AF172" s="1005"/>
      <c r="AG172" s="1005"/>
      <c r="AH172" s="1005"/>
      <c r="AI172" s="1005"/>
      <c r="AJ172" s="1799"/>
      <c r="AK172" s="1004"/>
      <c r="AL172" s="1004"/>
      <c r="AM172" s="1004"/>
      <c r="AN172" s="999"/>
      <c r="AP172" s="942" t="s">
        <v>1156</v>
      </c>
      <c r="AQ172" s="942">
        <v>10</v>
      </c>
      <c r="AS172" s="942" t="s">
        <v>626</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9"/>
      <c r="AK173" s="1004"/>
      <c r="AL173" s="1004"/>
      <c r="AM173" s="1037"/>
      <c r="AP173" s="942" t="s">
        <v>1635</v>
      </c>
      <c r="AQ173" s="942">
        <v>10</v>
      </c>
      <c r="AS173" s="942" t="s">
        <v>1636</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1637</v>
      </c>
      <c r="AK174" s="3090">
        <f>IF(AK72&gt;0,VLOOKUP($B$171,AP168:AQ175,2,FALSE),0)</f>
        <v>10</v>
      </c>
      <c r="AL174" s="3091"/>
      <c r="AM174" s="3092"/>
      <c r="AN174" s="1038"/>
      <c r="AP174" s="942" t="s">
        <v>1638</v>
      </c>
      <c r="AQ174" s="942">
        <v>10</v>
      </c>
      <c r="AS174" s="942" t="s">
        <v>1639</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1640</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c r="A177" s="987" t="s">
        <v>1641</v>
      </c>
      <c r="B177" s="987" t="s">
        <v>1642</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080" t="s">
        <v>1643</v>
      </c>
      <c r="AF177" s="3080"/>
      <c r="AG177" s="3080"/>
      <c r="AH177" s="3080"/>
      <c r="AI177" s="3080"/>
      <c r="AJ177" s="3080"/>
      <c r="AK177" s="3080"/>
    </row>
    <row r="178" spans="1:37">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c r="A179" s="987"/>
      <c r="B179" s="1394" t="s">
        <v>1893</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1929</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072"/>
      <c r="C182" s="3072"/>
      <c r="D182" s="3072"/>
      <c r="E182" s="3072"/>
      <c r="F182" s="3072"/>
      <c r="G182" s="3072"/>
      <c r="H182" s="3072"/>
      <c r="I182" s="3072"/>
      <c r="J182" s="3072"/>
      <c r="K182" s="3072"/>
      <c r="L182" s="3072"/>
      <c r="M182" s="3072"/>
      <c r="N182" s="3072"/>
      <c r="O182" s="3072"/>
      <c r="P182" s="3072"/>
      <c r="Q182" s="3072"/>
      <c r="R182" s="3072"/>
      <c r="S182" s="3072"/>
      <c r="T182" s="3072"/>
      <c r="U182" s="3072"/>
      <c r="V182" s="3072"/>
      <c r="W182" s="3072"/>
      <c r="X182" s="3072"/>
      <c r="Y182" s="3072"/>
      <c r="Z182" s="3072"/>
      <c r="AA182" s="3072"/>
      <c r="AB182" s="3072"/>
      <c r="AC182" s="1396"/>
      <c r="AD182" s="3075"/>
      <c r="AE182" s="3075"/>
      <c r="AF182" s="3075"/>
      <c r="AG182" s="3075"/>
      <c r="AH182" s="3075"/>
      <c r="AI182" s="3075"/>
      <c r="AJ182" s="3075"/>
      <c r="AK182" s="1023"/>
    </row>
    <row r="183" spans="1:37">
      <c r="A183" s="1015"/>
      <c r="B183" s="3072" t="s">
        <v>2698</v>
      </c>
      <c r="C183" s="3072"/>
      <c r="D183" s="3072"/>
      <c r="E183" s="3072"/>
      <c r="F183" s="3072"/>
      <c r="G183" s="3072"/>
      <c r="H183" s="3072"/>
      <c r="I183" s="3072"/>
      <c r="J183" s="3072"/>
      <c r="K183" s="3072"/>
      <c r="L183" s="3072"/>
      <c r="M183" s="3072"/>
      <c r="N183" s="3072"/>
      <c r="O183" s="3072"/>
      <c r="P183" s="3072"/>
      <c r="Q183" s="3072"/>
      <c r="R183" s="3072"/>
      <c r="S183" s="3072"/>
      <c r="T183" s="3072"/>
      <c r="U183" s="3072"/>
      <c r="V183" s="3072"/>
      <c r="W183" s="3072"/>
      <c r="X183" s="3072"/>
      <c r="Y183" s="3072"/>
      <c r="Z183" s="3072"/>
      <c r="AA183" s="3072"/>
      <c r="AB183" s="3072"/>
      <c r="AC183" s="1396"/>
      <c r="AD183" s="3075">
        <f>Application!AO639</f>
        <v>500000</v>
      </c>
      <c r="AE183" s="3075"/>
      <c r="AF183" s="3075"/>
      <c r="AG183" s="3075"/>
      <c r="AH183" s="3075"/>
      <c r="AI183" s="3075"/>
      <c r="AJ183" s="3075"/>
      <c r="AK183" s="1023"/>
    </row>
    <row r="184" spans="1:37">
      <c r="A184" s="1015"/>
      <c r="B184" s="3072" t="str">
        <f>Application!C640</f>
        <v>CalHFA SNHP</v>
      </c>
      <c r="C184" s="3072"/>
      <c r="D184" s="3072"/>
      <c r="E184" s="3072"/>
      <c r="F184" s="3072"/>
      <c r="G184" s="3072"/>
      <c r="H184" s="3072"/>
      <c r="I184" s="3072"/>
      <c r="J184" s="3072"/>
      <c r="K184" s="3072"/>
      <c r="L184" s="3072"/>
      <c r="M184" s="3072"/>
      <c r="N184" s="3072"/>
      <c r="O184" s="3072"/>
      <c r="P184" s="3072"/>
      <c r="Q184" s="3072"/>
      <c r="R184" s="3072"/>
      <c r="S184" s="3072"/>
      <c r="T184" s="3072"/>
      <c r="U184" s="3072"/>
      <c r="V184" s="3072"/>
      <c r="W184" s="3072"/>
      <c r="X184" s="3072"/>
      <c r="Y184" s="3072"/>
      <c r="Z184" s="3072"/>
      <c r="AA184" s="3072"/>
      <c r="AB184" s="3072"/>
      <c r="AC184" s="1396"/>
      <c r="AD184" s="3075">
        <f>Application!AO640</f>
        <v>2519696</v>
      </c>
      <c r="AE184" s="3075"/>
      <c r="AF184" s="3075"/>
      <c r="AG184" s="3075"/>
      <c r="AH184" s="3075"/>
      <c r="AI184" s="3075"/>
      <c r="AJ184" s="3075"/>
      <c r="AK184" s="1023"/>
    </row>
    <row r="185" spans="1:37">
      <c r="A185" s="1015"/>
      <c r="B185" s="3072" t="str">
        <f>Application!C641</f>
        <v>OCHFT</v>
      </c>
      <c r="C185" s="3072"/>
      <c r="D185" s="3072"/>
      <c r="E185" s="3072"/>
      <c r="F185" s="3072"/>
      <c r="G185" s="3072"/>
      <c r="H185" s="3072"/>
      <c r="I185" s="3072"/>
      <c r="J185" s="3072"/>
      <c r="K185" s="3072"/>
      <c r="L185" s="3072"/>
      <c r="M185" s="3072"/>
      <c r="N185" s="3072"/>
      <c r="O185" s="3072"/>
      <c r="P185" s="3072"/>
      <c r="Q185" s="3072"/>
      <c r="R185" s="3072"/>
      <c r="S185" s="3072"/>
      <c r="T185" s="3072"/>
      <c r="U185" s="3072"/>
      <c r="V185" s="3072"/>
      <c r="W185" s="3072"/>
      <c r="X185" s="3072"/>
      <c r="Y185" s="3072"/>
      <c r="Z185" s="3072"/>
      <c r="AA185" s="3072"/>
      <c r="AB185" s="3072"/>
      <c r="AC185" s="1396"/>
      <c r="AD185" s="3075">
        <f>Application!AO641</f>
        <v>792060</v>
      </c>
      <c r="AE185" s="3075"/>
      <c r="AF185" s="3075"/>
      <c r="AG185" s="3075"/>
      <c r="AH185" s="3075"/>
      <c r="AI185" s="3075"/>
      <c r="AJ185" s="3075"/>
      <c r="AK185" s="1023"/>
    </row>
    <row r="186" spans="1:37">
      <c r="A186" s="1015"/>
      <c r="B186" s="3072"/>
      <c r="C186" s="3072"/>
      <c r="D186" s="3072"/>
      <c r="E186" s="3072"/>
      <c r="F186" s="3072"/>
      <c r="G186" s="3072"/>
      <c r="H186" s="3072"/>
      <c r="I186" s="3072"/>
      <c r="J186" s="3072"/>
      <c r="K186" s="3072"/>
      <c r="L186" s="3072"/>
      <c r="M186" s="3072"/>
      <c r="N186" s="3072"/>
      <c r="O186" s="3072"/>
      <c r="P186" s="3072"/>
      <c r="Q186" s="3072"/>
      <c r="R186" s="3072"/>
      <c r="S186" s="3072"/>
      <c r="T186" s="3072"/>
      <c r="U186" s="3072"/>
      <c r="V186" s="3072"/>
      <c r="W186" s="3072"/>
      <c r="X186" s="3072"/>
      <c r="Y186" s="3072"/>
      <c r="Z186" s="3072"/>
      <c r="AA186" s="3072"/>
      <c r="AB186" s="3072"/>
      <c r="AC186" s="1396"/>
      <c r="AD186" s="3075"/>
      <c r="AE186" s="3075"/>
      <c r="AF186" s="3075"/>
      <c r="AG186" s="3075"/>
      <c r="AH186" s="3075"/>
      <c r="AI186" s="3075"/>
      <c r="AJ186" s="3075"/>
      <c r="AK186" s="1023"/>
    </row>
    <row r="187" spans="1:37">
      <c r="A187" s="1015"/>
      <c r="B187" s="3072"/>
      <c r="C187" s="3072"/>
      <c r="D187" s="3072"/>
      <c r="E187" s="3072"/>
      <c r="F187" s="3072"/>
      <c r="G187" s="3072"/>
      <c r="H187" s="3072"/>
      <c r="I187" s="3072"/>
      <c r="J187" s="3072"/>
      <c r="K187" s="3072"/>
      <c r="L187" s="3072"/>
      <c r="M187" s="3072"/>
      <c r="N187" s="3072"/>
      <c r="O187" s="3072"/>
      <c r="P187" s="3072"/>
      <c r="Q187" s="3072"/>
      <c r="R187" s="3072"/>
      <c r="S187" s="3072"/>
      <c r="T187" s="3072"/>
      <c r="U187" s="3072"/>
      <c r="V187" s="3072"/>
      <c r="W187" s="3072"/>
      <c r="X187" s="3072"/>
      <c r="Y187" s="3072"/>
      <c r="Z187" s="3072"/>
      <c r="AA187" s="3072"/>
      <c r="AB187" s="3072"/>
      <c r="AC187" s="1396"/>
      <c r="AD187" s="3075"/>
      <c r="AE187" s="3075"/>
      <c r="AF187" s="3075"/>
      <c r="AG187" s="3075"/>
      <c r="AH187" s="3075"/>
      <c r="AI187" s="3075"/>
      <c r="AJ187" s="3075"/>
      <c r="AK187" s="1023"/>
    </row>
    <row r="188" spans="1:37">
      <c r="A188" s="1015"/>
      <c r="B188" s="3072"/>
      <c r="C188" s="3072"/>
      <c r="D188" s="3072"/>
      <c r="E188" s="3072"/>
      <c r="F188" s="3072"/>
      <c r="G188" s="3072"/>
      <c r="H188" s="3072"/>
      <c r="I188" s="3072"/>
      <c r="J188" s="3072"/>
      <c r="K188" s="3072"/>
      <c r="L188" s="3072"/>
      <c r="M188" s="3072"/>
      <c r="N188" s="3072"/>
      <c r="O188" s="3072"/>
      <c r="P188" s="3072"/>
      <c r="Q188" s="3072"/>
      <c r="R188" s="3072"/>
      <c r="S188" s="3072"/>
      <c r="T188" s="3072"/>
      <c r="U188" s="3072"/>
      <c r="V188" s="3072"/>
      <c r="W188" s="3072"/>
      <c r="X188" s="3072"/>
      <c r="Y188" s="3072"/>
      <c r="Z188" s="3072"/>
      <c r="AA188" s="3072"/>
      <c r="AB188" s="3072"/>
      <c r="AC188" s="1396"/>
      <c r="AD188" s="3075"/>
      <c r="AE188" s="3075"/>
      <c r="AF188" s="3075"/>
      <c r="AG188" s="3075"/>
      <c r="AH188" s="3075"/>
      <c r="AI188" s="3075"/>
      <c r="AJ188" s="3075"/>
      <c r="AK188" s="1023"/>
    </row>
    <row r="189" spans="1:37">
      <c r="A189" s="1015"/>
      <c r="B189" s="3072"/>
      <c r="C189" s="3072"/>
      <c r="D189" s="3072"/>
      <c r="E189" s="3072"/>
      <c r="F189" s="3072"/>
      <c r="G189" s="3072"/>
      <c r="H189" s="3072"/>
      <c r="I189" s="3072"/>
      <c r="J189" s="3072"/>
      <c r="K189" s="3072"/>
      <c r="L189" s="3072"/>
      <c r="M189" s="3072"/>
      <c r="N189" s="3072"/>
      <c r="O189" s="3072"/>
      <c r="P189" s="3072"/>
      <c r="Q189" s="3072"/>
      <c r="R189" s="3072"/>
      <c r="S189" s="3072"/>
      <c r="T189" s="3072"/>
      <c r="U189" s="3072"/>
      <c r="V189" s="3072"/>
      <c r="W189" s="3072"/>
      <c r="X189" s="3072"/>
      <c r="Y189" s="3072"/>
      <c r="Z189" s="3072"/>
      <c r="AA189" s="3072"/>
      <c r="AB189" s="3072"/>
      <c r="AC189" s="1396"/>
      <c r="AD189" s="3075"/>
      <c r="AE189" s="3075"/>
      <c r="AF189" s="3075"/>
      <c r="AG189" s="3075"/>
      <c r="AH189" s="3075"/>
      <c r="AI189" s="3075"/>
      <c r="AJ189" s="3075"/>
      <c r="AK189" s="1023"/>
    </row>
    <row r="190" spans="1:37">
      <c r="A190" s="1015"/>
      <c r="B190" s="3072"/>
      <c r="C190" s="3072"/>
      <c r="D190" s="3072"/>
      <c r="E190" s="3072"/>
      <c r="F190" s="3072"/>
      <c r="G190" s="3072"/>
      <c r="H190" s="3072"/>
      <c r="I190" s="3072"/>
      <c r="J190" s="3072"/>
      <c r="K190" s="3072"/>
      <c r="L190" s="3072"/>
      <c r="M190" s="3072"/>
      <c r="N190" s="3072"/>
      <c r="O190" s="3072"/>
      <c r="P190" s="3072"/>
      <c r="Q190" s="3072"/>
      <c r="R190" s="3072"/>
      <c r="S190" s="3072"/>
      <c r="T190" s="3072"/>
      <c r="U190" s="3072"/>
      <c r="V190" s="3072"/>
      <c r="W190" s="3072"/>
      <c r="X190" s="3072"/>
      <c r="Y190" s="3072"/>
      <c r="Z190" s="3072"/>
      <c r="AA190" s="3072"/>
      <c r="AB190" s="3072"/>
      <c r="AC190" s="1396"/>
      <c r="AD190" s="3075"/>
      <c r="AE190" s="3075"/>
      <c r="AF190" s="3075"/>
      <c r="AG190" s="3075"/>
      <c r="AH190" s="3075"/>
      <c r="AI190" s="3075"/>
      <c r="AJ190" s="3075"/>
      <c r="AK190" s="1023"/>
    </row>
    <row r="191" spans="1:37">
      <c r="A191" s="1015"/>
      <c r="B191" s="3072"/>
      <c r="C191" s="3072"/>
      <c r="D191" s="3072"/>
      <c r="E191" s="3072"/>
      <c r="F191" s="3072"/>
      <c r="G191" s="3072"/>
      <c r="H191" s="3072"/>
      <c r="I191" s="3072"/>
      <c r="J191" s="3072"/>
      <c r="K191" s="3072"/>
      <c r="L191" s="3072"/>
      <c r="M191" s="3072"/>
      <c r="N191" s="3072"/>
      <c r="O191" s="3072"/>
      <c r="P191" s="3072"/>
      <c r="Q191" s="3072"/>
      <c r="R191" s="3072"/>
      <c r="S191" s="3072"/>
      <c r="T191" s="3072"/>
      <c r="U191" s="3072"/>
      <c r="V191" s="3072"/>
      <c r="W191" s="3072"/>
      <c r="X191" s="3072"/>
      <c r="Y191" s="3072"/>
      <c r="Z191" s="3072"/>
      <c r="AA191" s="3072"/>
      <c r="AB191" s="3072"/>
      <c r="AC191" s="1396"/>
      <c r="AD191" s="3075"/>
      <c r="AE191" s="3075"/>
      <c r="AF191" s="3075"/>
      <c r="AG191" s="3075"/>
      <c r="AH191" s="3075"/>
      <c r="AI191" s="3075"/>
      <c r="AJ191" s="3075"/>
      <c r="AK191" s="1023"/>
    </row>
    <row r="192" spans="1:37">
      <c r="A192" s="1015"/>
      <c r="B192" s="3240" t="s">
        <v>1931</v>
      </c>
      <c r="C192" s="3240"/>
      <c r="D192" s="3240"/>
      <c r="E192" s="3240"/>
      <c r="F192" s="3240"/>
      <c r="G192" s="3240"/>
      <c r="H192" s="3240"/>
      <c r="I192" s="3240"/>
      <c r="J192" s="3240"/>
      <c r="K192" s="3240"/>
      <c r="L192" s="3240"/>
      <c r="M192" s="3240"/>
      <c r="N192" s="3240"/>
      <c r="O192" s="3240"/>
      <c r="P192" s="3240"/>
      <c r="Q192" s="3240"/>
      <c r="R192" s="3240"/>
      <c r="S192" s="3240"/>
      <c r="T192" s="3240"/>
      <c r="U192" s="3240"/>
      <c r="V192" s="3240"/>
      <c r="W192" s="3240"/>
      <c r="X192" s="3240"/>
      <c r="Y192" s="3240"/>
      <c r="Z192" s="3240"/>
      <c r="AA192" s="3240"/>
      <c r="AB192" s="3240"/>
      <c r="AC192" s="926"/>
      <c r="AD192" s="3097">
        <f>AB243</f>
        <v>1944245.3132165882</v>
      </c>
      <c r="AE192" s="3097"/>
      <c r="AF192" s="3097"/>
      <c r="AG192" s="3097"/>
      <c r="AH192" s="3097"/>
      <c r="AI192" s="3097"/>
      <c r="AJ192" s="3097"/>
      <c r="AK192" s="1023"/>
    </row>
    <row r="193" spans="1:37">
      <c r="A193" s="1015"/>
      <c r="B193" s="3238" t="s">
        <v>1894</v>
      </c>
      <c r="C193" s="3238"/>
      <c r="D193" s="3238"/>
      <c r="E193" s="3238"/>
      <c r="F193" s="3238"/>
      <c r="G193" s="3238"/>
      <c r="H193" s="3238"/>
      <c r="I193" s="3238"/>
      <c r="J193" s="3238"/>
      <c r="K193" s="3238"/>
      <c r="L193" s="3238"/>
      <c r="M193" s="3238"/>
      <c r="N193" s="3238"/>
      <c r="O193" s="3238"/>
      <c r="P193" s="3238"/>
      <c r="Q193" s="3238"/>
      <c r="R193" s="3238"/>
      <c r="S193" s="3238"/>
      <c r="T193" s="3238"/>
      <c r="U193" s="3238"/>
      <c r="V193" s="3238"/>
      <c r="W193" s="3238"/>
      <c r="X193" s="3238"/>
      <c r="Y193" s="3238"/>
      <c r="Z193" s="3238"/>
      <c r="AA193" s="3238"/>
      <c r="AB193" s="3238"/>
      <c r="AC193" s="1396"/>
      <c r="AD193" s="3098">
        <f>'Sources and Uses Budget'!B15</f>
        <v>0</v>
      </c>
      <c r="AE193" s="3098"/>
      <c r="AF193" s="3098"/>
      <c r="AG193" s="3098"/>
      <c r="AH193" s="3098"/>
      <c r="AI193" s="3098"/>
      <c r="AJ193" s="3098"/>
      <c r="AK193" s="1023"/>
    </row>
    <row r="194" spans="1:37">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968</v>
      </c>
      <c r="AC194" s="926"/>
      <c r="AD194" s="3102">
        <f>SUM(AD182:AJ192)-AD193</f>
        <v>5756001.3132165885</v>
      </c>
      <c r="AE194" s="3102"/>
      <c r="AF194" s="3102"/>
      <c r="AG194" s="3102"/>
      <c r="AH194" s="3102"/>
      <c r="AI194" s="3102"/>
      <c r="AJ194" s="3102"/>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c r="A196" s="1015"/>
      <c r="B196" s="1379" t="s">
        <v>1899</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1930</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6" t="s">
        <v>1901</v>
      </c>
      <c r="C198" s="1497"/>
      <c r="D198" s="1498"/>
      <c r="E198" s="1498"/>
      <c r="F198" s="1498"/>
      <c r="G198" s="1498"/>
      <c r="H198" s="1498"/>
      <c r="I198" s="1498"/>
      <c r="J198" s="1498"/>
      <c r="K198" s="1499"/>
      <c r="L198" s="1499"/>
      <c r="M198" s="1499"/>
      <c r="N198" s="1499"/>
      <c r="O198" s="1499"/>
      <c r="P198" s="1499"/>
      <c r="Q198" s="1499"/>
      <c r="R198" s="1499"/>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500" t="s">
        <v>1902</v>
      </c>
      <c r="C199" s="1501"/>
      <c r="D199" s="1502"/>
      <c r="E199" s="1502"/>
      <c r="F199" s="1502"/>
      <c r="G199" s="1502"/>
      <c r="H199" s="1502"/>
      <c r="I199" s="1502"/>
      <c r="J199" s="1502"/>
      <c r="K199" s="1503"/>
      <c r="L199" s="1503"/>
      <c r="M199" s="1503"/>
      <c r="N199" s="1503"/>
      <c r="O199" s="1503"/>
      <c r="P199" s="1503"/>
      <c r="Q199" s="1503"/>
      <c r="R199" s="1503"/>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500" t="s">
        <v>1985</v>
      </c>
      <c r="C200" s="1501"/>
      <c r="D200" s="1502"/>
      <c r="E200" s="1502"/>
      <c r="F200" s="1502"/>
      <c r="G200" s="1502"/>
      <c r="H200" s="1502"/>
      <c r="I200" s="1502"/>
      <c r="J200" s="1502"/>
      <c r="K200" s="1503"/>
      <c r="L200" s="1503"/>
      <c r="M200" s="1503"/>
      <c r="N200" s="1503"/>
      <c r="O200" s="1503"/>
      <c r="P200" s="1503"/>
      <c r="Q200" s="1503"/>
      <c r="R200" s="1503"/>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500" t="s">
        <v>1903</v>
      </c>
      <c r="C201" s="1501"/>
      <c r="D201" s="1502"/>
      <c r="E201" s="1502"/>
      <c r="F201" s="1502"/>
      <c r="G201" s="1502"/>
      <c r="H201" s="1502"/>
      <c r="I201" s="1502"/>
      <c r="J201" s="1502"/>
      <c r="K201" s="1503"/>
      <c r="L201" s="1503"/>
      <c r="M201" s="1503"/>
      <c r="N201" s="1503"/>
      <c r="O201" s="1503"/>
      <c r="P201" s="1503"/>
      <c r="Q201" s="1503"/>
      <c r="R201" s="1503"/>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4" t="s">
        <v>1904</v>
      </c>
      <c r="C202" s="1501"/>
      <c r="D202" s="1502"/>
      <c r="E202" s="1502"/>
      <c r="F202" s="1502"/>
      <c r="G202" s="1502"/>
      <c r="H202" s="1502"/>
      <c r="I202" s="1502"/>
      <c r="J202" s="1502"/>
      <c r="K202" s="1503"/>
      <c r="L202" s="1503"/>
      <c r="M202" s="1503"/>
      <c r="N202" s="1503"/>
      <c r="O202" s="1503"/>
      <c r="P202" s="1503"/>
      <c r="Q202" s="1503"/>
      <c r="R202" s="1503"/>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c r="A203" s="1406"/>
      <c r="B203" s="1505" t="s">
        <v>1986</v>
      </c>
      <c r="C203" s="1506"/>
      <c r="D203" s="1507"/>
      <c r="E203" s="1507"/>
      <c r="F203" s="1507"/>
      <c r="G203" s="1507"/>
      <c r="H203" s="1507"/>
      <c r="I203" s="1507"/>
      <c r="J203" s="1507"/>
      <c r="K203" s="1508"/>
      <c r="L203" s="1508"/>
      <c r="M203" s="1508"/>
      <c r="N203" s="1508"/>
      <c r="O203" s="1508"/>
      <c r="P203" s="1508"/>
      <c r="Q203" s="1508"/>
      <c r="R203" s="1508"/>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078" t="s">
        <v>1911</v>
      </c>
      <c r="J205" s="3078"/>
      <c r="K205" s="3078"/>
      <c r="L205" s="990"/>
      <c r="M205" s="990"/>
      <c r="N205" s="990"/>
      <c r="O205" s="990"/>
      <c r="P205" s="990"/>
      <c r="Q205" s="990"/>
      <c r="R205" s="990"/>
      <c r="S205" s="990"/>
      <c r="T205" s="3274" t="s">
        <v>1905</v>
      </c>
      <c r="U205" s="3274"/>
      <c r="V205" s="3274"/>
      <c r="W205" s="3274"/>
      <c r="X205" s="3274"/>
      <c r="Y205" s="3274"/>
      <c r="Z205" s="1400"/>
      <c r="AA205" s="1401"/>
      <c r="AB205" s="3071" t="s">
        <v>1906</v>
      </c>
      <c r="AC205" s="3071"/>
      <c r="AD205" s="3071"/>
      <c r="AE205" s="3071"/>
      <c r="AF205" s="3071"/>
      <c r="AG205" s="3071"/>
      <c r="AH205" s="1370"/>
      <c r="AI205" s="1370"/>
      <c r="AJ205" s="1370"/>
      <c r="AK205" s="1023"/>
    </row>
    <row r="206" spans="1:37">
      <c r="A206" s="1015"/>
      <c r="B206" s="3076" t="s">
        <v>1884</v>
      </c>
      <c r="C206" s="3076"/>
      <c r="D206" s="3076"/>
      <c r="E206" s="3076"/>
      <c r="F206" s="3076"/>
      <c r="G206" s="3076"/>
      <c r="I206" s="3077" t="s">
        <v>1912</v>
      </c>
      <c r="J206" s="3077"/>
      <c r="K206" s="3077"/>
      <c r="L206" s="1798"/>
      <c r="N206" s="3064" t="s">
        <v>1907</v>
      </c>
      <c r="O206" s="3064"/>
      <c r="P206" s="3064"/>
      <c r="Q206" s="3064"/>
      <c r="R206" s="3064"/>
      <c r="T206" s="3064" t="s">
        <v>1908</v>
      </c>
      <c r="U206" s="3064"/>
      <c r="V206" s="3064"/>
      <c r="W206" s="3064"/>
      <c r="X206" s="3064"/>
      <c r="Y206" s="3064"/>
      <c r="Z206" s="1402"/>
      <c r="AA206" s="1401"/>
      <c r="AB206" s="3241" t="s">
        <v>1909</v>
      </c>
      <c r="AC206" s="3241"/>
      <c r="AD206" s="3241"/>
      <c r="AE206" s="3241"/>
      <c r="AF206" s="3241"/>
      <c r="AG206" s="3241"/>
      <c r="AH206" s="1370"/>
      <c r="AI206" s="1370"/>
      <c r="AJ206" s="1370"/>
      <c r="AK206" s="1023"/>
    </row>
    <row r="207" spans="1:37">
      <c r="A207" s="1015"/>
      <c r="B207" s="3079" t="s">
        <v>2664</v>
      </c>
      <c r="C207" s="3079"/>
      <c r="D207" s="3079"/>
      <c r="E207" s="3079"/>
      <c r="F207" s="3079"/>
      <c r="G207" s="3079"/>
      <c r="H207" s="1404"/>
      <c r="I207" s="3062">
        <f>Application!G728</f>
        <v>21</v>
      </c>
      <c r="J207" s="3062"/>
      <c r="K207" s="3062"/>
      <c r="L207" s="1798"/>
      <c r="N207" s="3065">
        <f>Application!O728</f>
        <v>732</v>
      </c>
      <c r="O207" s="3065"/>
      <c r="P207" s="3065"/>
      <c r="Q207" s="3065"/>
      <c r="R207" s="3065"/>
      <c r="T207" s="3239">
        <f>'Subsidy Contract Calculation'!E4</f>
        <v>1561</v>
      </c>
      <c r="U207" s="3239"/>
      <c r="V207" s="3239"/>
      <c r="W207" s="3239"/>
      <c r="X207" s="3239"/>
      <c r="Y207" s="3239"/>
      <c r="Z207" s="1403"/>
      <c r="AA207" s="1403"/>
      <c r="AB207" s="3061">
        <f t="shared" ref="AB207:AB216" si="0">MAX(($T207-$N207)*$I207*12,0)</f>
        <v>208908</v>
      </c>
      <c r="AC207" s="3061"/>
      <c r="AD207" s="3061"/>
      <c r="AE207" s="3061"/>
      <c r="AF207" s="3061"/>
      <c r="AG207" s="3061"/>
      <c r="AH207" s="1370"/>
      <c r="AI207" s="1370"/>
      <c r="AJ207" s="1370"/>
      <c r="AK207" s="1023"/>
    </row>
    <row r="208" spans="1:37">
      <c r="A208" s="1015"/>
      <c r="B208" s="3079" t="s">
        <v>1384</v>
      </c>
      <c r="C208" s="3079"/>
      <c r="D208" s="3079"/>
      <c r="E208" s="3079"/>
      <c r="F208" s="3079"/>
      <c r="G208" s="3079"/>
      <c r="I208" s="3062"/>
      <c r="J208" s="3062"/>
      <c r="K208" s="3062"/>
      <c r="L208" s="1798"/>
      <c r="N208" s="3065"/>
      <c r="O208" s="3065"/>
      <c r="P208" s="3065"/>
      <c r="Q208" s="3065"/>
      <c r="R208" s="3065"/>
      <c r="T208" s="3239"/>
      <c r="U208" s="3239"/>
      <c r="V208" s="3239"/>
      <c r="W208" s="3239"/>
      <c r="X208" s="3239"/>
      <c r="Y208" s="3239"/>
      <c r="Z208" s="1403"/>
      <c r="AA208" s="1403"/>
      <c r="AB208" s="3061">
        <f t="shared" si="0"/>
        <v>0</v>
      </c>
      <c r="AC208" s="3061"/>
      <c r="AD208" s="3061"/>
      <c r="AE208" s="3061"/>
      <c r="AF208" s="3061"/>
      <c r="AG208" s="3061"/>
      <c r="AH208" s="1370"/>
      <c r="AI208" s="1370"/>
      <c r="AJ208" s="1370"/>
      <c r="AK208" s="1023"/>
    </row>
    <row r="209" spans="1:37">
      <c r="A209" s="1015"/>
      <c r="B209" s="3079" t="s">
        <v>1384</v>
      </c>
      <c r="C209" s="3079"/>
      <c r="D209" s="3079"/>
      <c r="E209" s="3079"/>
      <c r="F209" s="3079"/>
      <c r="G209" s="3079"/>
      <c r="I209" s="3062"/>
      <c r="J209" s="3062"/>
      <c r="K209" s="3062"/>
      <c r="L209" s="1798"/>
      <c r="N209" s="3065"/>
      <c r="O209" s="3065"/>
      <c r="P209" s="3065"/>
      <c r="Q209" s="3065"/>
      <c r="R209" s="3065"/>
      <c r="T209" s="3239"/>
      <c r="U209" s="3239"/>
      <c r="V209" s="3239"/>
      <c r="W209" s="3239"/>
      <c r="X209" s="3239"/>
      <c r="Y209" s="3239"/>
      <c r="Z209" s="1403"/>
      <c r="AA209" s="1403"/>
      <c r="AB209" s="3061">
        <f t="shared" si="0"/>
        <v>0</v>
      </c>
      <c r="AC209" s="3061"/>
      <c r="AD209" s="3061"/>
      <c r="AE209" s="3061"/>
      <c r="AF209" s="3061"/>
      <c r="AG209" s="3061"/>
      <c r="AH209" s="1370"/>
      <c r="AI209" s="1370"/>
      <c r="AJ209" s="1370"/>
      <c r="AK209" s="1023"/>
    </row>
    <row r="210" spans="1:37">
      <c r="A210" s="1015"/>
      <c r="B210" s="3079" t="s">
        <v>1384</v>
      </c>
      <c r="C210" s="3079"/>
      <c r="D210" s="3079"/>
      <c r="E210" s="3079"/>
      <c r="F210" s="3079"/>
      <c r="G210" s="3079"/>
      <c r="I210" s="3062"/>
      <c r="J210" s="3062"/>
      <c r="K210" s="3062"/>
      <c r="L210" s="1798"/>
      <c r="N210" s="3065"/>
      <c r="O210" s="3065"/>
      <c r="P210" s="3065"/>
      <c r="Q210" s="3065"/>
      <c r="R210" s="3065"/>
      <c r="T210" s="3239"/>
      <c r="U210" s="3239"/>
      <c r="V210" s="3239"/>
      <c r="W210" s="3239"/>
      <c r="X210" s="3239"/>
      <c r="Y210" s="3239"/>
      <c r="Z210" s="1403"/>
      <c r="AA210" s="1403"/>
      <c r="AB210" s="3061">
        <f t="shared" si="0"/>
        <v>0</v>
      </c>
      <c r="AC210" s="3061"/>
      <c r="AD210" s="3061"/>
      <c r="AE210" s="3061"/>
      <c r="AF210" s="3061"/>
      <c r="AG210" s="3061"/>
      <c r="AH210" s="1370"/>
      <c r="AI210" s="1370"/>
      <c r="AJ210" s="1370"/>
      <c r="AK210" s="1023"/>
    </row>
    <row r="211" spans="1:37">
      <c r="A211" s="1015"/>
      <c r="B211" s="3079" t="s">
        <v>1384</v>
      </c>
      <c r="C211" s="3079"/>
      <c r="D211" s="3079"/>
      <c r="E211" s="3079"/>
      <c r="F211" s="3079"/>
      <c r="G211" s="3079"/>
      <c r="I211" s="3062"/>
      <c r="J211" s="3062"/>
      <c r="K211" s="3062"/>
      <c r="L211" s="1810"/>
      <c r="N211" s="3065"/>
      <c r="O211" s="3065"/>
      <c r="P211" s="3065"/>
      <c r="Q211" s="3065"/>
      <c r="R211" s="3065"/>
      <c r="T211" s="3239"/>
      <c r="U211" s="3239"/>
      <c r="V211" s="3239"/>
      <c r="W211" s="3239"/>
      <c r="X211" s="3239"/>
      <c r="Y211" s="3239"/>
      <c r="Z211" s="1403"/>
      <c r="AA211" s="1403"/>
      <c r="AB211" s="3061">
        <f t="shared" si="0"/>
        <v>0</v>
      </c>
      <c r="AC211" s="3061"/>
      <c r="AD211" s="3061"/>
      <c r="AE211" s="3061"/>
      <c r="AF211" s="3061"/>
      <c r="AG211" s="3061"/>
      <c r="AH211" s="1370"/>
      <c r="AI211" s="1370"/>
      <c r="AJ211" s="1370"/>
      <c r="AK211" s="1023"/>
    </row>
    <row r="212" spans="1:37">
      <c r="A212" s="1015"/>
      <c r="B212" s="3079" t="s">
        <v>1384</v>
      </c>
      <c r="C212" s="3079"/>
      <c r="D212" s="3079"/>
      <c r="E212" s="3079"/>
      <c r="F212" s="3079"/>
      <c r="G212" s="3079"/>
      <c r="I212" s="3062"/>
      <c r="J212" s="3062"/>
      <c r="K212" s="3062"/>
      <c r="L212" s="1810"/>
      <c r="N212" s="3065"/>
      <c r="O212" s="3065"/>
      <c r="P212" s="3065"/>
      <c r="Q212" s="3065"/>
      <c r="R212" s="3065"/>
      <c r="T212" s="3239"/>
      <c r="U212" s="3239"/>
      <c r="V212" s="3239"/>
      <c r="W212" s="3239"/>
      <c r="X212" s="3239"/>
      <c r="Y212" s="3239"/>
      <c r="Z212" s="1403"/>
      <c r="AA212" s="1403"/>
      <c r="AB212" s="3061">
        <f t="shared" si="0"/>
        <v>0</v>
      </c>
      <c r="AC212" s="3061"/>
      <c r="AD212" s="3061"/>
      <c r="AE212" s="3061"/>
      <c r="AF212" s="3061"/>
      <c r="AG212" s="3061"/>
      <c r="AH212" s="1370"/>
      <c r="AI212" s="1370"/>
      <c r="AJ212" s="1370"/>
      <c r="AK212" s="1023"/>
    </row>
    <row r="213" spans="1:37">
      <c r="A213" s="1015"/>
      <c r="B213" s="3079" t="s">
        <v>1384</v>
      </c>
      <c r="C213" s="3079"/>
      <c r="D213" s="3079"/>
      <c r="E213" s="3079"/>
      <c r="F213" s="3079"/>
      <c r="G213" s="3079"/>
      <c r="I213" s="3062"/>
      <c r="J213" s="3062"/>
      <c r="K213" s="3062"/>
      <c r="L213" s="1810"/>
      <c r="N213" s="3065"/>
      <c r="O213" s="3065"/>
      <c r="P213" s="3065"/>
      <c r="Q213" s="3065"/>
      <c r="R213" s="3065"/>
      <c r="T213" s="3239"/>
      <c r="U213" s="3239"/>
      <c r="V213" s="3239"/>
      <c r="W213" s="3239"/>
      <c r="X213" s="3239"/>
      <c r="Y213" s="3239"/>
      <c r="Z213" s="1403"/>
      <c r="AA213" s="1403"/>
      <c r="AB213" s="3061">
        <f t="shared" si="0"/>
        <v>0</v>
      </c>
      <c r="AC213" s="3061"/>
      <c r="AD213" s="3061"/>
      <c r="AE213" s="3061"/>
      <c r="AF213" s="3061"/>
      <c r="AG213" s="3061"/>
      <c r="AH213" s="1370"/>
      <c r="AI213" s="1370"/>
      <c r="AJ213" s="1370"/>
      <c r="AK213" s="1023"/>
    </row>
    <row r="214" spans="1:37">
      <c r="A214" s="1015"/>
      <c r="B214" s="3079" t="s">
        <v>1384</v>
      </c>
      <c r="C214" s="3079"/>
      <c r="D214" s="3079"/>
      <c r="E214" s="3079"/>
      <c r="F214" s="3079"/>
      <c r="G214" s="3079"/>
      <c r="I214" s="3062"/>
      <c r="J214" s="3062"/>
      <c r="K214" s="3062"/>
      <c r="L214" s="1810"/>
      <c r="N214" s="3065"/>
      <c r="O214" s="3065"/>
      <c r="P214" s="3065"/>
      <c r="Q214" s="3065"/>
      <c r="R214" s="3065"/>
      <c r="T214" s="3239"/>
      <c r="U214" s="3239"/>
      <c r="V214" s="3239"/>
      <c r="W214" s="3239"/>
      <c r="X214" s="3239"/>
      <c r="Y214" s="3239"/>
      <c r="Z214" s="1403"/>
      <c r="AA214" s="1403"/>
      <c r="AB214" s="3061">
        <f t="shared" si="0"/>
        <v>0</v>
      </c>
      <c r="AC214" s="3061"/>
      <c r="AD214" s="3061"/>
      <c r="AE214" s="3061"/>
      <c r="AF214" s="3061"/>
      <c r="AG214" s="3061"/>
      <c r="AH214" s="1370"/>
      <c r="AI214" s="1370"/>
      <c r="AJ214" s="1370"/>
      <c r="AK214" s="1023"/>
    </row>
    <row r="215" spans="1:37">
      <c r="A215" s="1015"/>
      <c r="B215" s="3079" t="s">
        <v>1384</v>
      </c>
      <c r="C215" s="3079"/>
      <c r="D215" s="3079"/>
      <c r="E215" s="3079"/>
      <c r="F215" s="3079"/>
      <c r="G215" s="3079"/>
      <c r="I215" s="3062"/>
      <c r="J215" s="3062"/>
      <c r="K215" s="3062"/>
      <c r="L215" s="1810"/>
      <c r="N215" s="3065"/>
      <c r="O215" s="3065"/>
      <c r="P215" s="3065"/>
      <c r="Q215" s="3065"/>
      <c r="R215" s="3065"/>
      <c r="T215" s="3239"/>
      <c r="U215" s="3239"/>
      <c r="V215" s="3239"/>
      <c r="W215" s="3239"/>
      <c r="X215" s="3239"/>
      <c r="Y215" s="3239"/>
      <c r="Z215" s="1403"/>
      <c r="AA215" s="1403"/>
      <c r="AB215" s="3061">
        <f t="shared" si="0"/>
        <v>0</v>
      </c>
      <c r="AC215" s="3061"/>
      <c r="AD215" s="3061"/>
      <c r="AE215" s="3061"/>
      <c r="AF215" s="3061"/>
      <c r="AG215" s="3061"/>
      <c r="AH215" s="1370"/>
      <c r="AI215" s="1370"/>
      <c r="AJ215" s="1370"/>
      <c r="AK215" s="1023"/>
    </row>
    <row r="216" spans="1:37">
      <c r="A216" s="1015"/>
      <c r="B216" s="3079" t="s">
        <v>1384</v>
      </c>
      <c r="C216" s="3079"/>
      <c r="D216" s="3079"/>
      <c r="E216" s="3079"/>
      <c r="F216" s="3079"/>
      <c r="G216" s="3079"/>
      <c r="I216" s="3063"/>
      <c r="J216" s="3063"/>
      <c r="K216" s="3063"/>
      <c r="L216" s="1810"/>
      <c r="N216" s="3065"/>
      <c r="O216" s="3065"/>
      <c r="P216" s="3065"/>
      <c r="Q216" s="3065"/>
      <c r="R216" s="3065"/>
      <c r="T216" s="3239"/>
      <c r="U216" s="3239"/>
      <c r="V216" s="3239"/>
      <c r="W216" s="3239"/>
      <c r="X216" s="3239"/>
      <c r="Y216" s="3239"/>
      <c r="Z216" s="1403"/>
      <c r="AA216" s="1403"/>
      <c r="AB216" s="3249">
        <f t="shared" si="0"/>
        <v>0</v>
      </c>
      <c r="AC216" s="3249"/>
      <c r="AD216" s="3249"/>
      <c r="AE216" s="3249"/>
      <c r="AF216" s="3249"/>
      <c r="AG216" s="3249"/>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1910</v>
      </c>
      <c r="AA217" s="1797"/>
      <c r="AB217" s="3061">
        <f>SUM(AB207:AB216)</f>
        <v>208908</v>
      </c>
      <c r="AC217" s="3061"/>
      <c r="AD217" s="3061"/>
      <c r="AE217" s="3061"/>
      <c r="AF217" s="3061"/>
      <c r="AG217" s="3061"/>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c r="A219" s="1015"/>
      <c r="B219" s="1379" t="s">
        <v>1900</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1928</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1926</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1920</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242"/>
      <c r="AC223" s="3242"/>
      <c r="AD223" s="3242"/>
      <c r="AE223" s="3242"/>
      <c r="AF223" s="3242"/>
      <c r="AG223" s="3242"/>
      <c r="AH223" s="1023"/>
      <c r="AI223" s="1023"/>
      <c r="AJ223" s="1023"/>
      <c r="AK223" s="1023"/>
    </row>
    <row r="224" spans="1:37">
      <c r="A224" s="1015"/>
      <c r="B224" s="1382" t="s">
        <v>1925</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1927</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1921</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242"/>
      <c r="AC226" s="3242"/>
      <c r="AD226" s="3242"/>
      <c r="AE226" s="3242"/>
      <c r="AF226" s="3242"/>
      <c r="AG226" s="3242"/>
      <c r="AH226" s="1023"/>
      <c r="AI226" s="1023"/>
      <c r="AJ226" s="1023"/>
      <c r="AK226" s="1023"/>
    </row>
    <row r="227" spans="1:37">
      <c r="A227" s="1015"/>
      <c r="B227" s="1383" t="s">
        <v>1922</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273"/>
      <c r="AC227" s="3273"/>
      <c r="AD227" s="3273"/>
      <c r="AE227" s="3273"/>
      <c r="AF227" s="3273"/>
      <c r="AG227" s="3273"/>
      <c r="AH227" s="1023"/>
      <c r="AI227" s="1023"/>
      <c r="AJ227" s="1023"/>
      <c r="AK227" s="1023"/>
    </row>
    <row r="228" spans="1:37">
      <c r="A228" s="1015"/>
      <c r="B228" s="1383" t="s">
        <v>1923</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250">
        <f>IFERROR(AB226/AB227,0)</f>
        <v>0</v>
      </c>
      <c r="AC228" s="3250"/>
      <c r="AD228" s="3250"/>
      <c r="AE228" s="3250"/>
      <c r="AF228" s="3250"/>
      <c r="AG228" s="3250"/>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1924</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237">
        <f>MAX(AB223,AB228)</f>
        <v>0</v>
      </c>
      <c r="AC230" s="3237"/>
      <c r="AD230" s="3237"/>
      <c r="AE230" s="3237"/>
      <c r="AF230" s="3237"/>
      <c r="AG230" s="3237"/>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1913</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73">
        <f>AB217+AB230</f>
        <v>208908</v>
      </c>
      <c r="AC233" s="3073"/>
      <c r="AD233" s="3073"/>
      <c r="AE233" s="3073"/>
      <c r="AF233" s="3073"/>
      <c r="AG233" s="3073"/>
      <c r="AH233" s="1023"/>
      <c r="AI233" s="1023"/>
      <c r="AJ233" s="1023"/>
      <c r="AK233" s="1023"/>
    </row>
    <row r="234" spans="1:37">
      <c r="A234" s="1015"/>
      <c r="B234" s="997" t="s">
        <v>901</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106">
        <v>0.05</v>
      </c>
      <c r="AC234" s="3106"/>
      <c r="AD234" s="3106"/>
      <c r="AE234" s="3106"/>
      <c r="AF234" s="3106"/>
      <c r="AG234" s="3106"/>
      <c r="AH234" s="1023"/>
      <c r="AI234" s="1023"/>
      <c r="AJ234" s="1023"/>
      <c r="AK234" s="1023"/>
    </row>
    <row r="235" spans="1:37">
      <c r="A235" s="1015"/>
      <c r="B235" s="997" t="s">
        <v>1914</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107">
        <f>AB233-(AB233*AB234)</f>
        <v>198462.6</v>
      </c>
      <c r="AC235" s="3107"/>
      <c r="AD235" s="3107"/>
      <c r="AE235" s="3107"/>
      <c r="AF235" s="3107"/>
      <c r="AG235" s="3107"/>
      <c r="AH235" s="1023"/>
      <c r="AI235" s="1023"/>
      <c r="AJ235" s="1023"/>
      <c r="AK235" s="1023"/>
    </row>
    <row r="236" spans="1:37">
      <c r="A236" s="1015"/>
      <c r="B236" s="997" t="s">
        <v>1915</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1916</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73">
        <f>AB235/AB241</f>
        <v>172576.17391304349</v>
      </c>
      <c r="AC237" s="3073"/>
      <c r="AD237" s="3073"/>
      <c r="AE237" s="3073"/>
      <c r="AF237" s="3073"/>
      <c r="AG237" s="3073"/>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1917</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074">
        <v>15</v>
      </c>
      <c r="AC239" s="3074"/>
      <c r="AD239" s="3074"/>
      <c r="AE239" s="3074"/>
      <c r="AF239" s="3074"/>
      <c r="AG239" s="3074"/>
      <c r="AH239" s="1023"/>
      <c r="AI239" s="1023"/>
      <c r="AJ239" s="1023"/>
      <c r="AK239" s="1023"/>
    </row>
    <row r="240" spans="1:37">
      <c r="A240" s="1015"/>
      <c r="B240" s="997" t="s">
        <v>1918</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108">
        <v>0.04</v>
      </c>
      <c r="AC240" s="3108"/>
      <c r="AD240" s="3108"/>
      <c r="AE240" s="3108"/>
      <c r="AF240" s="3108"/>
      <c r="AG240" s="3108"/>
      <c r="AH240" s="1023"/>
      <c r="AI240" s="1023"/>
      <c r="AJ240" s="1023"/>
      <c r="AK240" s="1023"/>
    </row>
    <row r="241" spans="1:39">
      <c r="A241" s="1015"/>
      <c r="B241" s="997" t="s">
        <v>913</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109">
        <v>1.1499999999999999</v>
      </c>
      <c r="AC241" s="3109"/>
      <c r="AD241" s="3109"/>
      <c r="AE241" s="3109"/>
      <c r="AF241" s="3109"/>
      <c r="AG241" s="3109"/>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c r="A243" s="1015"/>
      <c r="B243" s="1407" t="s">
        <v>1919</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099">
        <f>PV(AB240/12,AB239*12,-AB237/12, ,0)</f>
        <v>1944245.3132165882</v>
      </c>
      <c r="AC243" s="3100"/>
      <c r="AD243" s="3100"/>
      <c r="AE243" s="3100"/>
      <c r="AF243" s="3100"/>
      <c r="AG243" s="3101"/>
      <c r="AH243" s="1023"/>
      <c r="AI243" s="1023"/>
      <c r="AJ243" s="1023"/>
      <c r="AK243" s="1023"/>
    </row>
    <row r="244" spans="1:39">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c r="A246" s="1015"/>
      <c r="B246" s="1397" t="s">
        <v>1895</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1898</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1897</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1896</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103">
        <f>IFERROR(('Sources and Uses Budget'!D105/'Sources and Uses Budget'!B105),0)</f>
        <v>0</v>
      </c>
      <c r="AC249" s="3104"/>
      <c r="AD249" s="3104"/>
      <c r="AE249" s="3104"/>
      <c r="AF249" s="3104"/>
      <c r="AG249" s="3105"/>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c r="A251" s="1044"/>
      <c r="B251" s="923" t="s">
        <v>1644</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93">
        <f>AD194*(1-AB249)</f>
        <v>5756001.3132165885</v>
      </c>
      <c r="AH251" s="3093"/>
      <c r="AI251" s="3093"/>
      <c r="AJ251" s="3093"/>
      <c r="AK251" s="3093"/>
    </row>
    <row r="252" spans="1:39">
      <c r="A252" s="1044"/>
      <c r="B252" s="1048" t="s">
        <v>1645</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93">
        <f>'Sources and Uses Budget'!C105</f>
        <v>30278078</v>
      </c>
      <c r="AH252" s="3093"/>
      <c r="AI252" s="3093"/>
      <c r="AJ252" s="3093"/>
      <c r="AK252" s="3093"/>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094">
        <f>ROUNDDOWN(IF(AND(C274="Yes",AK72=10),((AG251*2)/AG252),AG251/AG252),2)</f>
        <v>0.19</v>
      </c>
      <c r="AH253" s="3094"/>
      <c r="AI253" s="3094"/>
      <c r="AJ253" s="3094"/>
      <c r="AK253" s="3094"/>
    </row>
    <row r="254" spans="1:39">
      <c r="A254" s="1044"/>
      <c r="B254" s="1698" t="s">
        <v>2241</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7"/>
      <c r="AH254" s="1697"/>
      <c r="AI254" s="1697"/>
      <c r="AJ254" s="1697"/>
      <c r="AK254" s="1697"/>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1646</v>
      </c>
      <c r="AK256" s="3095">
        <f>IF(AG253=0,0,IF((AG253*100)&gt;8,8,(AG253*100)))</f>
        <v>8</v>
      </c>
      <c r="AL256" s="3095"/>
      <c r="AM256" s="3096"/>
    </row>
    <row r="257" spans="1:81" ht="13.5"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c r="A259" s="987" t="s">
        <v>1647</v>
      </c>
      <c r="B259" s="987" t="s">
        <v>1648</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1585</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7" customHeight="1">
      <c r="A261" s="1059"/>
      <c r="B261" s="1064"/>
      <c r="C261" s="3087" t="s">
        <v>578</v>
      </c>
      <c r="D261" s="3087"/>
      <c r="E261" s="939"/>
      <c r="F261" s="3258" t="s">
        <v>2415</v>
      </c>
      <c r="G261" s="3259"/>
      <c r="H261" s="3259"/>
      <c r="I261" s="3259"/>
      <c r="J261" s="3259"/>
      <c r="K261" s="3259"/>
      <c r="L261" s="3259"/>
      <c r="M261" s="3259"/>
      <c r="N261" s="3259"/>
      <c r="O261" s="3259"/>
      <c r="P261" s="3259"/>
      <c r="Q261" s="3259"/>
      <c r="R261" s="3259"/>
      <c r="S261" s="3259"/>
      <c r="T261" s="3259"/>
      <c r="U261" s="3259"/>
      <c r="V261" s="3259"/>
      <c r="W261" s="3259"/>
      <c r="X261" s="3259"/>
      <c r="Y261" s="3259"/>
      <c r="Z261" s="3259"/>
      <c r="AA261" s="3259"/>
      <c r="AB261" s="3259"/>
      <c r="AC261" s="3259"/>
      <c r="AD261" s="3260"/>
      <c r="AE261" s="942"/>
      <c r="AF261" s="1065"/>
      <c r="AG261" s="3088" t="s">
        <v>1634</v>
      </c>
      <c r="AH261" s="3088"/>
      <c r="AI261" s="3088"/>
      <c r="AJ261" s="3088"/>
      <c r="AK261" s="1025"/>
      <c r="AL261" s="1025"/>
      <c r="AM261" s="1025"/>
      <c r="AN261" s="1060"/>
      <c r="AO261" s="942"/>
      <c r="AS261" s="21"/>
      <c r="AT261" s="21"/>
    </row>
    <row r="262" spans="1:81" ht="13.7" customHeight="1">
      <c r="A262" s="1059"/>
      <c r="B262" s="1064"/>
      <c r="C262" s="1066"/>
      <c r="D262" s="942"/>
      <c r="E262" s="939"/>
      <c r="F262" s="3261"/>
      <c r="G262" s="3262"/>
      <c r="H262" s="3262"/>
      <c r="I262" s="3262"/>
      <c r="J262" s="3262"/>
      <c r="K262" s="3262"/>
      <c r="L262" s="3262"/>
      <c r="M262" s="3262"/>
      <c r="N262" s="3262"/>
      <c r="O262" s="3262"/>
      <c r="P262" s="3262"/>
      <c r="Q262" s="3262"/>
      <c r="R262" s="3262"/>
      <c r="S262" s="3262"/>
      <c r="T262" s="3262"/>
      <c r="U262" s="3262"/>
      <c r="V262" s="3262"/>
      <c r="W262" s="3262"/>
      <c r="X262" s="3262"/>
      <c r="Y262" s="3262"/>
      <c r="Z262" s="3262"/>
      <c r="AA262" s="3262"/>
      <c r="AB262" s="3262"/>
      <c r="AC262" s="3262"/>
      <c r="AD262" s="3263"/>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3261"/>
      <c r="G263" s="3262"/>
      <c r="H263" s="3262"/>
      <c r="I263" s="3262"/>
      <c r="J263" s="3262"/>
      <c r="K263" s="3262"/>
      <c r="L263" s="3262"/>
      <c r="M263" s="3262"/>
      <c r="N263" s="3262"/>
      <c r="O263" s="3262"/>
      <c r="P263" s="3262"/>
      <c r="Q263" s="3262"/>
      <c r="R263" s="3262"/>
      <c r="S263" s="3262"/>
      <c r="T263" s="3262"/>
      <c r="U263" s="3262"/>
      <c r="V263" s="3262"/>
      <c r="W263" s="3262"/>
      <c r="X263" s="3262"/>
      <c r="Y263" s="3262"/>
      <c r="Z263" s="3262"/>
      <c r="AA263" s="3262"/>
      <c r="AB263" s="3262"/>
      <c r="AC263" s="3262"/>
      <c r="AD263" s="3263"/>
      <c r="AE263" s="942"/>
      <c r="AF263" s="1065"/>
      <c r="AG263" s="1065"/>
      <c r="AH263" s="1065"/>
      <c r="AI263" s="1065"/>
      <c r="AJ263" s="942"/>
      <c r="AK263" s="1025"/>
      <c r="AL263" s="1025"/>
      <c r="AM263" s="1025"/>
      <c r="AN263" s="1060"/>
      <c r="AO263" s="942"/>
      <c r="AP263" s="1067"/>
      <c r="AS263" s="21"/>
      <c r="AT263" s="21"/>
    </row>
    <row r="264" spans="1:81" ht="13.7" customHeight="1">
      <c r="A264" s="1059"/>
      <c r="B264" s="1064"/>
      <c r="C264" s="3089"/>
      <c r="D264" s="3089"/>
      <c r="E264" s="939"/>
      <c r="F264" s="3264"/>
      <c r="G264" s="3265"/>
      <c r="H264" s="3265"/>
      <c r="I264" s="3265"/>
      <c r="J264" s="3265"/>
      <c r="K264" s="3265"/>
      <c r="L264" s="3265"/>
      <c r="M264" s="3265"/>
      <c r="N264" s="3265"/>
      <c r="O264" s="3265"/>
      <c r="P264" s="3265"/>
      <c r="Q264" s="3265"/>
      <c r="R264" s="3265"/>
      <c r="S264" s="3265"/>
      <c r="T264" s="3265"/>
      <c r="U264" s="3265"/>
      <c r="V264" s="3265"/>
      <c r="W264" s="3265"/>
      <c r="X264" s="3265"/>
      <c r="Y264" s="3265"/>
      <c r="Z264" s="3265"/>
      <c r="AA264" s="3265"/>
      <c r="AB264" s="3265"/>
      <c r="AC264" s="3265"/>
      <c r="AD264" s="3266"/>
      <c r="AE264" s="942"/>
      <c r="AF264" s="1065"/>
      <c r="AG264" s="3088"/>
      <c r="AH264" s="3088"/>
      <c r="AI264" s="3088"/>
      <c r="AJ264" s="3088"/>
      <c r="AK264" s="1025"/>
      <c r="AL264" s="1025"/>
      <c r="AM264" s="1025"/>
      <c r="AN264" s="1060"/>
      <c r="AS264" s="21"/>
      <c r="AT264" s="21"/>
    </row>
    <row r="265" spans="1:81" ht="13.7" hidden="1" customHeight="1">
      <c r="A265" s="1059"/>
      <c r="C265" s="1068"/>
      <c r="D265" s="1068"/>
      <c r="E265" s="1068"/>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1650</v>
      </c>
      <c r="AK267" s="3095">
        <f>IF($C$261="yes",10,0)</f>
        <v>10</v>
      </c>
      <c r="AL267" s="3095"/>
      <c r="AM267" s="3096"/>
      <c r="AN267" s="110"/>
      <c r="AR267" s="21"/>
    </row>
    <row r="268" spans="1:81" ht="13.5" thickBot="1"/>
    <row r="269" spans="1:81" ht="13.5"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c r="A270" s="987" t="s">
        <v>1651</v>
      </c>
      <c r="B270" s="987" t="s">
        <v>2381</v>
      </c>
      <c r="AH270" s="1033" t="s">
        <v>1564</v>
      </c>
    </row>
    <row r="271" spans="1:81" ht="15" customHeight="1">
      <c r="B271" s="931" t="s">
        <v>2380</v>
      </c>
    </row>
    <row r="272" spans="1:81" ht="15" customHeight="1">
      <c r="B272" s="931" t="s">
        <v>2382</v>
      </c>
    </row>
    <row r="273" spans="1:5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16" t="s">
        <v>1653</v>
      </c>
      <c r="B274" s="3116"/>
      <c r="C274" s="3087" t="s">
        <v>626</v>
      </c>
      <c r="D274" s="3087"/>
      <c r="E274" s="939"/>
      <c r="F274" s="3117" t="s">
        <v>1654</v>
      </c>
      <c r="G274" s="3118"/>
      <c r="H274" s="3118"/>
      <c r="I274" s="3118"/>
      <c r="J274" s="3118"/>
      <c r="K274" s="3118"/>
      <c r="L274" s="3118"/>
      <c r="M274" s="3118"/>
      <c r="N274" s="3118"/>
      <c r="O274" s="3118"/>
      <c r="P274" s="3118"/>
      <c r="Q274" s="3118"/>
      <c r="R274" s="3118"/>
      <c r="S274" s="3118"/>
      <c r="T274" s="3118"/>
      <c r="U274" s="3118"/>
      <c r="V274" s="3118"/>
      <c r="W274" s="3118"/>
      <c r="X274" s="3118"/>
      <c r="Y274" s="3118"/>
      <c r="Z274" s="3118"/>
      <c r="AA274" s="3118"/>
      <c r="AB274" s="3118"/>
      <c r="AC274" s="3118"/>
      <c r="AD274" s="3119"/>
      <c r="AE274" s="1077"/>
      <c r="AF274" s="942"/>
      <c r="AG274" s="985" t="s">
        <v>1655</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c r="A275" s="1073"/>
      <c r="B275" s="1064"/>
      <c r="F275" s="3110"/>
      <c r="G275" s="3111"/>
      <c r="H275" s="3111"/>
      <c r="I275" s="3111"/>
      <c r="J275" s="3111"/>
      <c r="K275" s="3111"/>
      <c r="L275" s="3111"/>
      <c r="M275" s="3111"/>
      <c r="N275" s="3111"/>
      <c r="O275" s="3111"/>
      <c r="P275" s="3111"/>
      <c r="Q275" s="3111"/>
      <c r="R275" s="3111"/>
      <c r="S275" s="3111"/>
      <c r="T275" s="3111"/>
      <c r="U275" s="3111"/>
      <c r="V275" s="3111"/>
      <c r="W275" s="3111"/>
      <c r="X275" s="3111"/>
      <c r="Y275" s="3111"/>
      <c r="Z275" s="3111"/>
      <c r="AA275" s="3111"/>
      <c r="AB275" s="3111"/>
      <c r="AC275" s="3111"/>
      <c r="AD275" s="3112"/>
      <c r="AE275" s="1077"/>
      <c r="AF275" s="943"/>
      <c r="AH275" s="943"/>
      <c r="AI275" s="943"/>
      <c r="AJ275" s="942"/>
      <c r="AK275" s="1025"/>
      <c r="AL275" s="1025"/>
      <c r="AM275" s="1025"/>
      <c r="AN275" s="110"/>
      <c r="AO275" s="51"/>
      <c r="AP275" s="942">
        <f>IF($C$274="yes",20,0)</f>
        <v>0</v>
      </c>
      <c r="AR275" s="21"/>
      <c r="AS275" s="1074"/>
      <c r="AT275" s="1074"/>
      <c r="AU275" s="1074"/>
      <c r="AV275" s="1076"/>
      <c r="AW275" s="1076"/>
      <c r="AX275" s="112"/>
      <c r="AY275" s="112"/>
      <c r="AZ275" s="112"/>
      <c r="BA275" s="112"/>
    </row>
    <row r="276" spans="1:53" ht="15" customHeight="1">
      <c r="A276" s="1073"/>
      <c r="B276" s="1064"/>
      <c r="F276" s="3110"/>
      <c r="G276" s="3111"/>
      <c r="H276" s="3111"/>
      <c r="I276" s="3111"/>
      <c r="J276" s="3111"/>
      <c r="K276" s="3111"/>
      <c r="L276" s="3111"/>
      <c r="M276" s="3111"/>
      <c r="N276" s="3111"/>
      <c r="O276" s="3111"/>
      <c r="P276" s="3111"/>
      <c r="Q276" s="3111"/>
      <c r="R276" s="3111"/>
      <c r="S276" s="3111"/>
      <c r="T276" s="3111"/>
      <c r="U276" s="3111"/>
      <c r="V276" s="3111"/>
      <c r="W276" s="3111"/>
      <c r="X276" s="3111"/>
      <c r="Y276" s="3111"/>
      <c r="Z276" s="3111"/>
      <c r="AA276" s="3111"/>
      <c r="AB276" s="3111"/>
      <c r="AC276" s="3111"/>
      <c r="AD276" s="3112"/>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110" t="s">
        <v>1656</v>
      </c>
      <c r="G277" s="3111"/>
      <c r="H277" s="3111"/>
      <c r="I277" s="3111"/>
      <c r="J277" s="3111"/>
      <c r="K277" s="3111"/>
      <c r="L277" s="3111"/>
      <c r="M277" s="3111"/>
      <c r="N277" s="3111"/>
      <c r="O277" s="3111"/>
      <c r="P277" s="3111"/>
      <c r="Q277" s="3111"/>
      <c r="R277" s="3111"/>
      <c r="S277" s="3111"/>
      <c r="T277" s="3111"/>
      <c r="U277" s="3111"/>
      <c r="V277" s="3111"/>
      <c r="W277" s="3111"/>
      <c r="X277" s="3111"/>
      <c r="Y277" s="3111"/>
      <c r="Z277" s="3111"/>
      <c r="AA277" s="3111"/>
      <c r="AB277" s="3111"/>
      <c r="AC277" s="3111"/>
      <c r="AD277" s="3112"/>
      <c r="AE277" s="1077"/>
      <c r="AF277" s="943"/>
      <c r="AH277" s="943"/>
      <c r="AI277" s="943"/>
      <c r="AJ277" s="942"/>
      <c r="AK277" s="1025"/>
      <c r="AL277" s="1025"/>
      <c r="AM277" s="1025"/>
      <c r="AN277" s="110"/>
      <c r="AO277" s="51"/>
      <c r="AP277" s="942">
        <f>IF($C$292="yes",9,0)</f>
        <v>0</v>
      </c>
      <c r="AQ277" s="21"/>
      <c r="AR277" s="21"/>
      <c r="AS277" s="1074"/>
      <c r="AT277" s="1074"/>
      <c r="AU277" s="1074"/>
      <c r="AV277" s="1076"/>
      <c r="AW277" s="1076"/>
      <c r="AX277" s="112"/>
      <c r="AY277" s="112"/>
      <c r="AZ277" s="112"/>
      <c r="BA277" s="112"/>
    </row>
    <row r="278" spans="1:53">
      <c r="A278" s="1073"/>
      <c r="B278" s="1064"/>
      <c r="F278" s="3110"/>
      <c r="G278" s="3111"/>
      <c r="H278" s="3111"/>
      <c r="I278" s="3111"/>
      <c r="J278" s="3111"/>
      <c r="K278" s="3111"/>
      <c r="L278" s="3111"/>
      <c r="M278" s="3111"/>
      <c r="N278" s="3111"/>
      <c r="O278" s="3111"/>
      <c r="P278" s="3111"/>
      <c r="Q278" s="3111"/>
      <c r="R278" s="3111"/>
      <c r="S278" s="3111"/>
      <c r="T278" s="3111"/>
      <c r="U278" s="3111"/>
      <c r="V278" s="3111"/>
      <c r="W278" s="3111"/>
      <c r="X278" s="3111"/>
      <c r="Y278" s="3111"/>
      <c r="Z278" s="3111"/>
      <c r="AA278" s="3111"/>
      <c r="AB278" s="3111"/>
      <c r="AC278" s="3111"/>
      <c r="AD278" s="3112"/>
      <c r="AE278" s="1077"/>
      <c r="AF278" s="943"/>
      <c r="AH278" s="943"/>
      <c r="AI278" s="943"/>
      <c r="AJ278" s="942"/>
      <c r="AK278" s="1025"/>
      <c r="AL278" s="1025"/>
      <c r="AM278" s="1025"/>
      <c r="AN278" s="110"/>
      <c r="AO278" s="51"/>
      <c r="AP278" s="942">
        <f>IF($C$315="yes",9,0)</f>
        <v>9</v>
      </c>
      <c r="AR278" s="21"/>
      <c r="AS278" s="1074"/>
      <c r="AT278" s="1074"/>
      <c r="AU278" s="1074"/>
      <c r="AV278" s="1076"/>
      <c r="AW278" s="1076"/>
      <c r="AX278" s="112"/>
      <c r="AY278" s="112"/>
      <c r="AZ278" s="112"/>
      <c r="BA278" s="112"/>
    </row>
    <row r="279" spans="1:53" ht="12.75" customHeight="1">
      <c r="A279" s="1059"/>
      <c r="B279" s="943"/>
      <c r="C279" s="942"/>
      <c r="D279" s="943"/>
      <c r="E279" s="942"/>
      <c r="F279" s="3110" t="s">
        <v>1657</v>
      </c>
      <c r="G279" s="3111"/>
      <c r="H279" s="3111"/>
      <c r="I279" s="3111"/>
      <c r="J279" s="3111"/>
      <c r="K279" s="3111"/>
      <c r="L279" s="3111"/>
      <c r="M279" s="3111"/>
      <c r="N279" s="3111"/>
      <c r="O279" s="3111"/>
      <c r="P279" s="3111"/>
      <c r="Q279" s="3111"/>
      <c r="R279" s="3111"/>
      <c r="S279" s="3111"/>
      <c r="T279" s="3111"/>
      <c r="U279" s="3111"/>
      <c r="V279" s="3111"/>
      <c r="W279" s="3111"/>
      <c r="X279" s="3111"/>
      <c r="Y279" s="3111"/>
      <c r="Z279" s="3111"/>
      <c r="AA279" s="3111"/>
      <c r="AB279" s="3111"/>
      <c r="AC279" s="3111"/>
      <c r="AD279" s="3112"/>
      <c r="AE279" s="1077"/>
      <c r="AF279" s="943"/>
      <c r="AG279" s="943"/>
      <c r="AH279" s="943"/>
      <c r="AI279" s="943"/>
      <c r="AJ279" s="942"/>
      <c r="AK279" s="1025"/>
      <c r="AL279" s="1025"/>
      <c r="AM279" s="1025"/>
      <c r="AN279" s="110"/>
      <c r="AO279" s="51"/>
      <c r="AP279" s="1078">
        <f>MAX(AP275,AP276,AP277,AP278)</f>
        <v>9</v>
      </c>
      <c r="AQ279" s="967" t="s">
        <v>1587</v>
      </c>
      <c r="AR279" s="21"/>
      <c r="AS279" s="1074"/>
      <c r="AT279" s="1074"/>
      <c r="AU279" s="1074"/>
      <c r="AV279" s="1076"/>
      <c r="AW279" s="1076"/>
      <c r="AX279" s="112"/>
      <c r="AY279" s="112"/>
      <c r="AZ279" s="112"/>
      <c r="BA279" s="112"/>
    </row>
    <row r="280" spans="1:53" ht="15" customHeight="1">
      <c r="A280" s="1059"/>
      <c r="B280" s="943"/>
      <c r="C280" s="943"/>
      <c r="D280" s="943"/>
      <c r="E280" s="943"/>
      <c r="F280" s="3110"/>
      <c r="G280" s="3111"/>
      <c r="H280" s="3111"/>
      <c r="I280" s="3111"/>
      <c r="J280" s="3111"/>
      <c r="K280" s="3111"/>
      <c r="L280" s="3111"/>
      <c r="M280" s="3111"/>
      <c r="N280" s="3111"/>
      <c r="O280" s="3111"/>
      <c r="P280" s="3111"/>
      <c r="Q280" s="3111"/>
      <c r="R280" s="3111"/>
      <c r="S280" s="3111"/>
      <c r="T280" s="3111"/>
      <c r="U280" s="3111"/>
      <c r="V280" s="3111"/>
      <c r="W280" s="3111"/>
      <c r="X280" s="3111"/>
      <c r="Y280" s="3111"/>
      <c r="Z280" s="3111"/>
      <c r="AA280" s="3111"/>
      <c r="AB280" s="3111"/>
      <c r="AC280" s="3111"/>
      <c r="AD280" s="3112"/>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110" t="s">
        <v>1658</v>
      </c>
      <c r="G281" s="3111"/>
      <c r="H281" s="3111"/>
      <c r="I281" s="3111"/>
      <c r="J281" s="3111"/>
      <c r="K281" s="3111"/>
      <c r="L281" s="3111"/>
      <c r="M281" s="3111"/>
      <c r="N281" s="3111"/>
      <c r="O281" s="3111"/>
      <c r="P281" s="3111"/>
      <c r="Q281" s="3111"/>
      <c r="R281" s="3111"/>
      <c r="S281" s="3111"/>
      <c r="T281" s="3111"/>
      <c r="U281" s="3111"/>
      <c r="V281" s="3111"/>
      <c r="W281" s="3111"/>
      <c r="X281" s="3111"/>
      <c r="Y281" s="3111"/>
      <c r="Z281" s="3111"/>
      <c r="AA281" s="3111"/>
      <c r="AB281" s="3111"/>
      <c r="AC281" s="3111"/>
      <c r="AD281" s="3112"/>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113"/>
      <c r="G282" s="3114"/>
      <c r="H282" s="3114"/>
      <c r="I282" s="3114"/>
      <c r="J282" s="3114"/>
      <c r="K282" s="3114"/>
      <c r="L282" s="3114"/>
      <c r="M282" s="3114"/>
      <c r="N282" s="3114"/>
      <c r="O282" s="3114"/>
      <c r="P282" s="3114"/>
      <c r="Q282" s="3114"/>
      <c r="R282" s="3114"/>
      <c r="S282" s="3114"/>
      <c r="T282" s="3114"/>
      <c r="U282" s="3114"/>
      <c r="V282" s="3114"/>
      <c r="W282" s="3114"/>
      <c r="X282" s="3114"/>
      <c r="Y282" s="3114"/>
      <c r="Z282" s="3114"/>
      <c r="AA282" s="3114"/>
      <c r="AB282" s="3114"/>
      <c r="AC282" s="3114"/>
      <c r="AD282" s="3115"/>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16" t="s">
        <v>1659</v>
      </c>
      <c r="B284" s="3116"/>
      <c r="C284" s="3087" t="s">
        <v>626</v>
      </c>
      <c r="D284" s="3087"/>
      <c r="E284" s="939"/>
      <c r="F284" s="1081" t="s">
        <v>1660</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1661</v>
      </c>
      <c r="AH284" s="943"/>
      <c r="AI284" s="943"/>
      <c r="AJ284" s="942"/>
      <c r="AK284" s="1025"/>
      <c r="AL284" s="1025"/>
      <c r="AM284" s="1025"/>
      <c r="AN284" s="1084"/>
      <c r="AO284" s="51"/>
      <c r="AR284" s="21"/>
    </row>
    <row r="285" spans="1:53">
      <c r="A285" s="1059"/>
      <c r="B285" s="943"/>
      <c r="C285" s="942"/>
      <c r="D285" s="943"/>
      <c r="E285" s="942"/>
      <c r="F285" s="3110" t="s">
        <v>1662</v>
      </c>
      <c r="G285" s="3111"/>
      <c r="H285" s="3111"/>
      <c r="I285" s="3111"/>
      <c r="J285" s="3111"/>
      <c r="K285" s="3111"/>
      <c r="L285" s="3111"/>
      <c r="M285" s="3111"/>
      <c r="N285" s="3111"/>
      <c r="O285" s="3111"/>
      <c r="P285" s="3111"/>
      <c r="Q285" s="3111"/>
      <c r="R285" s="3111"/>
      <c r="S285" s="3111"/>
      <c r="T285" s="3111"/>
      <c r="U285" s="3111"/>
      <c r="V285" s="3111"/>
      <c r="W285" s="3111"/>
      <c r="X285" s="3111"/>
      <c r="Y285" s="3111"/>
      <c r="Z285" s="3111"/>
      <c r="AA285" s="3111"/>
      <c r="AB285" s="3111"/>
      <c r="AC285" s="3111"/>
      <c r="AD285" s="3112"/>
      <c r="AE285" s="943"/>
      <c r="AF285" s="943"/>
      <c r="AG285" s="943"/>
      <c r="AH285" s="943"/>
      <c r="AI285" s="943"/>
      <c r="AJ285" s="942"/>
      <c r="AK285" s="1025"/>
      <c r="AL285" s="1025"/>
      <c r="AM285" s="1025"/>
      <c r="AR285" s="1085"/>
    </row>
    <row r="286" spans="1:53" ht="15" customHeight="1">
      <c r="A286" s="1059"/>
      <c r="B286" s="943"/>
      <c r="C286" s="942"/>
      <c r="D286" s="943"/>
      <c r="E286" s="942"/>
      <c r="F286" s="3110"/>
      <c r="G286" s="3111"/>
      <c r="H286" s="3111"/>
      <c r="I286" s="3111"/>
      <c r="J286" s="3111"/>
      <c r="K286" s="3111"/>
      <c r="L286" s="3111"/>
      <c r="M286" s="3111"/>
      <c r="N286" s="3111"/>
      <c r="O286" s="3111"/>
      <c r="P286" s="3111"/>
      <c r="Q286" s="3111"/>
      <c r="R286" s="3111"/>
      <c r="S286" s="3111"/>
      <c r="T286" s="3111"/>
      <c r="U286" s="3111"/>
      <c r="V286" s="3111"/>
      <c r="W286" s="3111"/>
      <c r="X286" s="3111"/>
      <c r="Y286" s="3111"/>
      <c r="Z286" s="3111"/>
      <c r="AA286" s="3111"/>
      <c r="AB286" s="3111"/>
      <c r="AC286" s="3111"/>
      <c r="AD286" s="3112"/>
      <c r="AE286" s="943"/>
      <c r="AF286" s="943"/>
      <c r="AG286" s="943"/>
      <c r="AH286" s="943"/>
      <c r="AI286" s="943"/>
      <c r="AJ286" s="942"/>
      <c r="AK286" s="1025"/>
      <c r="AL286" s="1025"/>
      <c r="AM286" s="1025"/>
      <c r="AR286" s="1085"/>
    </row>
    <row r="287" spans="1:53">
      <c r="A287" s="1059"/>
      <c r="B287" s="943"/>
      <c r="C287" s="942"/>
      <c r="D287" s="943"/>
      <c r="E287" s="942"/>
      <c r="F287" s="3110" t="s">
        <v>1657</v>
      </c>
      <c r="G287" s="3111"/>
      <c r="H287" s="3111"/>
      <c r="I287" s="3111"/>
      <c r="J287" s="3111"/>
      <c r="K287" s="3111"/>
      <c r="L287" s="3111"/>
      <c r="M287" s="3111"/>
      <c r="N287" s="3111"/>
      <c r="O287" s="3111"/>
      <c r="P287" s="3111"/>
      <c r="Q287" s="3111"/>
      <c r="R287" s="3111"/>
      <c r="S287" s="3111"/>
      <c r="T287" s="3111"/>
      <c r="U287" s="3111"/>
      <c r="V287" s="3111"/>
      <c r="W287" s="3111"/>
      <c r="X287" s="3111"/>
      <c r="Y287" s="3111"/>
      <c r="Z287" s="3111"/>
      <c r="AA287" s="3111"/>
      <c r="AB287" s="3111"/>
      <c r="AC287" s="3111"/>
      <c r="AD287" s="3112"/>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110"/>
      <c r="G288" s="3111"/>
      <c r="H288" s="3111"/>
      <c r="I288" s="3111"/>
      <c r="J288" s="3111"/>
      <c r="K288" s="3111"/>
      <c r="L288" s="3111"/>
      <c r="M288" s="3111"/>
      <c r="N288" s="3111"/>
      <c r="O288" s="3111"/>
      <c r="P288" s="3111"/>
      <c r="Q288" s="3111"/>
      <c r="R288" s="3111"/>
      <c r="S288" s="3111"/>
      <c r="T288" s="3111"/>
      <c r="U288" s="3111"/>
      <c r="V288" s="3111"/>
      <c r="W288" s="3111"/>
      <c r="X288" s="3111"/>
      <c r="Y288" s="3111"/>
      <c r="Z288" s="3111"/>
      <c r="AA288" s="3111"/>
      <c r="AB288" s="3111"/>
      <c r="AC288" s="3111"/>
      <c r="AD288" s="3112"/>
      <c r="AE288" s="943"/>
      <c r="AF288" s="943"/>
      <c r="AG288" s="943"/>
      <c r="AH288" s="943"/>
      <c r="AI288" s="943"/>
      <c r="AJ288" s="942"/>
      <c r="AK288" s="1025"/>
      <c r="AL288" s="1025"/>
      <c r="AM288" s="1025"/>
      <c r="AP288" s="1078"/>
      <c r="AQ288" s="967"/>
      <c r="AR288" s="1085"/>
    </row>
    <row r="289" spans="1:60">
      <c r="A289" s="1059"/>
      <c r="B289" s="943"/>
      <c r="C289" s="942"/>
      <c r="D289" s="943"/>
      <c r="E289" s="942"/>
      <c r="F289" s="3110" t="s">
        <v>1663</v>
      </c>
      <c r="G289" s="3111"/>
      <c r="H289" s="3111"/>
      <c r="I289" s="3111"/>
      <c r="J289" s="3111"/>
      <c r="K289" s="3111"/>
      <c r="L289" s="3111"/>
      <c r="M289" s="3111"/>
      <c r="N289" s="3111"/>
      <c r="O289" s="3111"/>
      <c r="P289" s="3111"/>
      <c r="Q289" s="3111"/>
      <c r="R289" s="3111"/>
      <c r="S289" s="3111"/>
      <c r="T289" s="3111"/>
      <c r="U289" s="3111"/>
      <c r="V289" s="3111"/>
      <c r="W289" s="3111"/>
      <c r="X289" s="3111"/>
      <c r="Y289" s="3111"/>
      <c r="Z289" s="3111"/>
      <c r="AA289" s="3111"/>
      <c r="AB289" s="3111"/>
      <c r="AC289" s="3111"/>
      <c r="AD289" s="3112"/>
      <c r="AE289" s="943"/>
      <c r="AF289" s="943"/>
      <c r="AG289" s="943"/>
      <c r="AH289" s="943"/>
      <c r="AI289" s="943"/>
      <c r="AJ289" s="942"/>
      <c r="AK289" s="1025"/>
      <c r="AL289" s="1025"/>
      <c r="AM289" s="1025"/>
      <c r="AP289" s="1078"/>
      <c r="AQ289" s="967"/>
      <c r="AR289" s="1085"/>
    </row>
    <row r="290" spans="1:60">
      <c r="A290" s="1059"/>
      <c r="B290" s="943"/>
      <c r="C290" s="942"/>
      <c r="D290" s="943"/>
      <c r="E290" s="942"/>
      <c r="F290" s="3113"/>
      <c r="G290" s="3114"/>
      <c r="H290" s="3114"/>
      <c r="I290" s="3114"/>
      <c r="J290" s="3114"/>
      <c r="K290" s="3114"/>
      <c r="L290" s="3114"/>
      <c r="M290" s="3114"/>
      <c r="N290" s="3114"/>
      <c r="O290" s="3114"/>
      <c r="P290" s="3114"/>
      <c r="Q290" s="3114"/>
      <c r="R290" s="3114"/>
      <c r="S290" s="3114"/>
      <c r="T290" s="3114"/>
      <c r="U290" s="3114"/>
      <c r="V290" s="3114"/>
      <c r="W290" s="3114"/>
      <c r="X290" s="3114"/>
      <c r="Y290" s="3114"/>
      <c r="Z290" s="3114"/>
      <c r="AA290" s="3114"/>
      <c r="AB290" s="3114"/>
      <c r="AC290" s="3114"/>
      <c r="AD290" s="3115"/>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c r="A292" s="3116" t="s">
        <v>1664</v>
      </c>
      <c r="B292" s="3116"/>
      <c r="C292" s="3087" t="s">
        <v>626</v>
      </c>
      <c r="D292" s="3087"/>
      <c r="E292" s="939"/>
      <c r="F292" s="1081" t="s">
        <v>1660</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1661</v>
      </c>
      <c r="AH292" s="943"/>
      <c r="AI292" s="943"/>
      <c r="AJ292" s="942"/>
      <c r="AK292" s="1025"/>
      <c r="AL292" s="1025"/>
      <c r="AM292" s="1025"/>
      <c r="AN292" s="110"/>
      <c r="AO292" s="51"/>
      <c r="AR292" s="21"/>
    </row>
    <row r="293" spans="1:60">
      <c r="A293" s="1795"/>
      <c r="B293" s="1795"/>
      <c r="C293" s="1791"/>
      <c r="D293" s="1791"/>
      <c r="E293" s="939"/>
      <c r="F293" s="3110" t="s">
        <v>1665</v>
      </c>
      <c r="G293" s="3111"/>
      <c r="H293" s="3111"/>
      <c r="I293" s="3111"/>
      <c r="J293" s="3111"/>
      <c r="K293" s="3111"/>
      <c r="L293" s="3111"/>
      <c r="M293" s="3111"/>
      <c r="N293" s="3111"/>
      <c r="O293" s="3111"/>
      <c r="P293" s="3111"/>
      <c r="Q293" s="3111"/>
      <c r="R293" s="3111"/>
      <c r="S293" s="3111"/>
      <c r="T293" s="3111"/>
      <c r="U293" s="3111"/>
      <c r="V293" s="3111"/>
      <c r="W293" s="3111"/>
      <c r="X293" s="3111"/>
      <c r="Y293" s="3111"/>
      <c r="Z293" s="3111"/>
      <c r="AA293" s="3111"/>
      <c r="AB293" s="3111"/>
      <c r="AC293" s="3111"/>
      <c r="AD293" s="3112"/>
      <c r="AE293" s="943"/>
      <c r="AF293" s="943"/>
      <c r="AG293" s="1011"/>
      <c r="AH293" s="943"/>
      <c r="AI293" s="943"/>
      <c r="AJ293" s="942"/>
      <c r="AK293" s="1025"/>
      <c r="AL293" s="1025"/>
      <c r="AM293" s="1025"/>
      <c r="AN293" s="110"/>
      <c r="AO293" s="51"/>
      <c r="AP293" s="949" t="s">
        <v>1384</v>
      </c>
      <c r="AR293" s="21"/>
    </row>
    <row r="294" spans="1:60" s="21" customFormat="1">
      <c r="F294" s="3110"/>
      <c r="G294" s="3111"/>
      <c r="H294" s="3111"/>
      <c r="I294" s="3111"/>
      <c r="J294" s="3111"/>
      <c r="K294" s="3111"/>
      <c r="L294" s="3111"/>
      <c r="M294" s="3111"/>
      <c r="N294" s="3111"/>
      <c r="O294" s="3111"/>
      <c r="P294" s="3111"/>
      <c r="Q294" s="3111"/>
      <c r="R294" s="3111"/>
      <c r="S294" s="3111"/>
      <c r="T294" s="3111"/>
      <c r="U294" s="3111"/>
      <c r="V294" s="3111"/>
      <c r="W294" s="3111"/>
      <c r="X294" s="3111"/>
      <c r="Y294" s="3111"/>
      <c r="Z294" s="3111"/>
      <c r="AA294" s="3111"/>
      <c r="AB294" s="3111"/>
      <c r="AC294" s="3111"/>
      <c r="AD294" s="3112"/>
      <c r="AE294" s="943"/>
      <c r="AF294" s="943"/>
      <c r="AH294" s="943"/>
      <c r="AI294" s="943"/>
      <c r="AJ294" s="1088"/>
      <c r="AK294" s="1059"/>
      <c r="AL294" s="1059"/>
      <c r="AM294" s="1059"/>
      <c r="AN294" s="1089"/>
      <c r="AP294" s="1090" t="s">
        <v>2229</v>
      </c>
      <c r="BD294" s="1091"/>
      <c r="BE294" s="1091"/>
      <c r="BF294" s="1091"/>
      <c r="BG294" s="1091"/>
      <c r="BH294" s="1091"/>
    </row>
    <row r="295" spans="1:60">
      <c r="A295" s="1059"/>
      <c r="B295" s="943"/>
      <c r="C295" s="1791"/>
      <c r="D295" s="1791"/>
      <c r="E295" s="939"/>
      <c r="F295" s="1093" t="s">
        <v>1666</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2"/>
      <c r="AE295" s="943"/>
      <c r="AF295" s="943"/>
      <c r="AG295" s="985"/>
      <c r="AH295" s="943"/>
      <c r="AI295" s="943"/>
      <c r="AJ295" s="942"/>
      <c r="AK295" s="1025"/>
      <c r="AL295" s="1025"/>
      <c r="AM295" s="1025"/>
      <c r="AN295" s="110"/>
      <c r="AO295" s="51"/>
      <c r="AP295" s="1090" t="s">
        <v>2231</v>
      </c>
      <c r="AR295" s="21"/>
    </row>
    <row r="296" spans="1:60">
      <c r="A296" s="1059"/>
      <c r="B296" s="943"/>
      <c r="C296" s="1791"/>
      <c r="D296" s="1791"/>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2"/>
      <c r="AE296" s="943"/>
      <c r="AF296" s="943"/>
      <c r="AG296" s="985"/>
      <c r="AH296" s="943"/>
      <c r="AI296" s="943"/>
      <c r="AJ296" s="1024"/>
      <c r="AK296" s="1025"/>
      <c r="AL296" s="1025"/>
      <c r="AM296" s="1025"/>
      <c r="AN296" s="110"/>
      <c r="AO296" s="51"/>
      <c r="AP296" s="1090" t="s">
        <v>2384</v>
      </c>
      <c r="AR296" s="21"/>
    </row>
    <row r="297" spans="1:60" ht="12.75" customHeight="1">
      <c r="A297" s="1059"/>
      <c r="B297" s="943"/>
      <c r="C297" s="1791"/>
      <c r="D297" s="1791"/>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1"/>
      <c r="D298" s="1791"/>
      <c r="E298" s="939"/>
      <c r="F298" s="3120" t="s">
        <v>1384</v>
      </c>
      <c r="G298" s="3121"/>
      <c r="H298" s="3121"/>
      <c r="I298" s="3121"/>
      <c r="J298" s="3121"/>
      <c r="K298" s="3121"/>
      <c r="L298" s="3121"/>
      <c r="M298" s="3121"/>
      <c r="N298" s="3121"/>
      <c r="O298" s="3121"/>
      <c r="P298" s="3121"/>
      <c r="Q298" s="3121"/>
      <c r="R298" s="3121"/>
      <c r="S298" s="3121"/>
      <c r="T298" s="3121"/>
      <c r="U298" s="3121"/>
      <c r="V298" s="3121"/>
      <c r="W298" s="3121"/>
      <c r="X298" s="3121"/>
      <c r="Y298" s="3121"/>
      <c r="Z298" s="3121"/>
      <c r="AA298" s="3121"/>
      <c r="AB298" s="3121"/>
      <c r="AC298" s="3121"/>
      <c r="AD298" s="3122"/>
      <c r="AE298" s="1077"/>
      <c r="AF298" s="1077"/>
      <c r="AG298" s="1077"/>
      <c r="AH298" s="1077"/>
      <c r="AI298" s="1077"/>
      <c r="AJ298" s="1077"/>
      <c r="AK298" s="1077"/>
      <c r="AL298" s="1025"/>
      <c r="AM298" s="1025"/>
      <c r="AN298" s="110"/>
      <c r="AO298" s="51"/>
      <c r="AP298" s="126"/>
      <c r="AR298" s="21"/>
    </row>
    <row r="299" spans="1:60">
      <c r="A299" s="1059"/>
      <c r="B299" s="943"/>
      <c r="C299" s="1791"/>
      <c r="D299" s="1791"/>
      <c r="E299" s="939"/>
      <c r="F299" s="3120"/>
      <c r="G299" s="3121"/>
      <c r="H299" s="3121"/>
      <c r="I299" s="3121"/>
      <c r="J299" s="3121"/>
      <c r="K299" s="3121"/>
      <c r="L299" s="3121"/>
      <c r="M299" s="3121"/>
      <c r="N299" s="3121"/>
      <c r="O299" s="3121"/>
      <c r="P299" s="3121"/>
      <c r="Q299" s="3121"/>
      <c r="R299" s="3121"/>
      <c r="S299" s="3121"/>
      <c r="T299" s="3121"/>
      <c r="U299" s="3121"/>
      <c r="V299" s="3121"/>
      <c r="W299" s="3121"/>
      <c r="X299" s="3121"/>
      <c r="Y299" s="3121"/>
      <c r="Z299" s="3121"/>
      <c r="AA299" s="3121"/>
      <c r="AB299" s="3121"/>
      <c r="AC299" s="3121"/>
      <c r="AD299" s="3122"/>
      <c r="AE299" s="943"/>
      <c r="AF299" s="943"/>
      <c r="AG299" s="985"/>
      <c r="AH299" s="943"/>
      <c r="AI299" s="943"/>
      <c r="AJ299" s="1025"/>
      <c r="AK299" s="1025"/>
      <c r="AL299" s="1025"/>
      <c r="AM299" s="1025"/>
      <c r="AN299" s="110"/>
      <c r="AO299" s="51"/>
      <c r="AP299" s="126"/>
      <c r="AR299" s="21"/>
    </row>
    <row r="300" spans="1:60">
      <c r="A300" s="1059"/>
      <c r="B300" s="943"/>
      <c r="C300" s="1791"/>
      <c r="D300" s="1791"/>
      <c r="E300" s="939"/>
      <c r="F300" s="3120"/>
      <c r="G300" s="3121"/>
      <c r="H300" s="3121"/>
      <c r="I300" s="3121"/>
      <c r="J300" s="3121"/>
      <c r="K300" s="3121"/>
      <c r="L300" s="3121"/>
      <c r="M300" s="3121"/>
      <c r="N300" s="3121"/>
      <c r="O300" s="3121"/>
      <c r="P300" s="3121"/>
      <c r="Q300" s="3121"/>
      <c r="R300" s="3121"/>
      <c r="S300" s="3121"/>
      <c r="T300" s="3121"/>
      <c r="U300" s="3121"/>
      <c r="V300" s="3121"/>
      <c r="W300" s="3121"/>
      <c r="X300" s="3121"/>
      <c r="Y300" s="3121"/>
      <c r="Z300" s="3121"/>
      <c r="AA300" s="3121"/>
      <c r="AB300" s="3121"/>
      <c r="AC300" s="3121"/>
      <c r="AD300" s="3122"/>
      <c r="AE300" s="943"/>
      <c r="AF300" s="943"/>
      <c r="AG300" s="985"/>
      <c r="AH300" s="943"/>
      <c r="AI300" s="943"/>
      <c r="AJ300" s="1025"/>
      <c r="AK300" s="1025"/>
      <c r="AL300" s="1025"/>
      <c r="AM300" s="1025"/>
      <c r="AN300" s="110"/>
      <c r="AO300" s="51"/>
      <c r="AP300" s="126"/>
      <c r="AR300" s="21"/>
    </row>
    <row r="301" spans="1:60">
      <c r="A301" s="1059"/>
      <c r="B301" s="943"/>
      <c r="C301" s="1791"/>
      <c r="D301" s="1791"/>
      <c r="E301" s="939"/>
      <c r="F301" s="3120"/>
      <c r="G301" s="3121"/>
      <c r="H301" s="3121"/>
      <c r="I301" s="3121"/>
      <c r="J301" s="3121"/>
      <c r="K301" s="3121"/>
      <c r="L301" s="3121"/>
      <c r="M301" s="3121"/>
      <c r="N301" s="3121"/>
      <c r="O301" s="3121"/>
      <c r="P301" s="3121"/>
      <c r="Q301" s="3121"/>
      <c r="R301" s="3121"/>
      <c r="S301" s="3121"/>
      <c r="T301" s="3121"/>
      <c r="U301" s="3121"/>
      <c r="V301" s="3121"/>
      <c r="W301" s="3121"/>
      <c r="X301" s="3121"/>
      <c r="Y301" s="3121"/>
      <c r="Z301" s="3121"/>
      <c r="AA301" s="3121"/>
      <c r="AB301" s="3121"/>
      <c r="AC301" s="3121"/>
      <c r="AD301" s="3122"/>
      <c r="AE301" s="943"/>
      <c r="AF301" s="943"/>
      <c r="AG301" s="985"/>
      <c r="AH301" s="943"/>
      <c r="AI301" s="943"/>
      <c r="AJ301" s="1025"/>
      <c r="AK301" s="1025"/>
      <c r="AL301" s="1025"/>
      <c r="AM301" s="1025"/>
      <c r="AN301" s="110"/>
      <c r="AO301" s="51"/>
      <c r="AP301" s="126"/>
      <c r="AR301" s="21"/>
    </row>
    <row r="302" spans="1:60">
      <c r="A302" s="1059"/>
      <c r="B302" s="943"/>
      <c r="C302" s="1791"/>
      <c r="D302" s="1791"/>
      <c r="E302" s="939"/>
      <c r="F302" s="3123"/>
      <c r="G302" s="3124"/>
      <c r="H302" s="3124"/>
      <c r="I302" s="3124"/>
      <c r="J302" s="3124"/>
      <c r="K302" s="3124"/>
      <c r="L302" s="3124"/>
      <c r="M302" s="3124"/>
      <c r="N302" s="3124"/>
      <c r="O302" s="3124"/>
      <c r="P302" s="3124"/>
      <c r="Q302" s="3124"/>
      <c r="R302" s="3124"/>
      <c r="S302" s="3124"/>
      <c r="T302" s="3124"/>
      <c r="U302" s="3124"/>
      <c r="V302" s="3124"/>
      <c r="W302" s="3124"/>
      <c r="X302" s="3124"/>
      <c r="Y302" s="3124"/>
      <c r="Z302" s="3124"/>
      <c r="AA302" s="3124"/>
      <c r="AB302" s="3124"/>
      <c r="AC302" s="3124"/>
      <c r="AD302" s="3125"/>
      <c r="AE302" s="943"/>
      <c r="AF302" s="943"/>
      <c r="AG302" s="985"/>
      <c r="AH302" s="943"/>
      <c r="AI302" s="943"/>
      <c r="AJ302" s="1024"/>
      <c r="AK302" s="1025"/>
      <c r="AL302" s="1025"/>
      <c r="AM302" s="1025"/>
      <c r="AN302" s="110"/>
      <c r="AO302" s="51"/>
      <c r="AP302" s="126"/>
      <c r="AR302" s="21"/>
    </row>
    <row r="303" spans="1:60" s="56" customFormat="1">
      <c r="A303" s="1059"/>
      <c r="B303" s="943"/>
      <c r="C303" s="1791"/>
      <c r="D303" s="1791"/>
      <c r="E303" s="939"/>
      <c r="F303" s="1692"/>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3"/>
      <c r="AP303" s="1694"/>
      <c r="AR303" s="1695"/>
      <c r="BD303" s="55"/>
      <c r="BE303" s="55"/>
      <c r="BF303" s="55"/>
      <c r="BG303" s="55"/>
      <c r="BH303" s="55"/>
    </row>
    <row r="304" spans="1:60">
      <c r="A304" s="1059"/>
      <c r="B304" s="943"/>
      <c r="C304" s="1791"/>
      <c r="D304" s="1791"/>
      <c r="E304" s="939"/>
      <c r="F304" s="1095" t="s">
        <v>2230</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c r="A305" s="1059"/>
      <c r="B305" s="943"/>
      <c r="C305" s="1791"/>
      <c r="D305" s="1791"/>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1384</v>
      </c>
      <c r="AR305" s="21"/>
    </row>
    <row r="306" spans="1:60" ht="12.75" customHeight="1">
      <c r="A306" s="1059"/>
      <c r="B306" s="943"/>
      <c r="C306" s="1791"/>
      <c r="D306" s="1791"/>
      <c r="E306" s="939"/>
      <c r="F306" s="1097"/>
      <c r="G306" s="968" t="s">
        <v>725</v>
      </c>
      <c r="H306" s="968"/>
      <c r="I306" s="3126" t="s">
        <v>1384</v>
      </c>
      <c r="J306" s="3126"/>
      <c r="K306" s="3126"/>
      <c r="L306" s="3126"/>
      <c r="M306" s="3126"/>
      <c r="N306" s="3126"/>
      <c r="O306" s="3126"/>
      <c r="P306" s="3126"/>
      <c r="Q306" s="3126"/>
      <c r="R306" s="3126"/>
      <c r="S306" s="3126"/>
      <c r="T306" s="3126"/>
      <c r="U306" s="3126"/>
      <c r="V306" s="3126"/>
      <c r="W306" s="3126"/>
      <c r="X306" s="3126"/>
      <c r="Y306" s="3126"/>
      <c r="Z306" s="3126"/>
      <c r="AA306" s="3126"/>
      <c r="AB306" s="3126"/>
      <c r="AC306" s="3126"/>
      <c r="AD306" s="3127"/>
      <c r="AE306" s="943"/>
      <c r="AF306" s="943"/>
      <c r="AG306" s="985"/>
      <c r="AH306" s="943"/>
      <c r="AI306" s="943"/>
      <c r="AJ306" s="942"/>
      <c r="AK306" s="1025"/>
      <c r="AL306" s="1025"/>
      <c r="AM306" s="1025"/>
      <c r="AN306" s="110"/>
      <c r="AO306" s="51"/>
      <c r="AP306" s="949" t="s">
        <v>1989</v>
      </c>
      <c r="AR306" s="21"/>
    </row>
    <row r="307" spans="1:60">
      <c r="A307" s="1059"/>
      <c r="B307" s="943"/>
      <c r="C307" s="1791"/>
      <c r="D307" s="1791"/>
      <c r="E307" s="939"/>
      <c r="F307" s="1097"/>
      <c r="G307" s="968"/>
      <c r="H307" s="968"/>
      <c r="I307" s="3126"/>
      <c r="J307" s="3126"/>
      <c r="K307" s="3126"/>
      <c r="L307" s="3126"/>
      <c r="M307" s="3126"/>
      <c r="N307" s="3126"/>
      <c r="O307" s="3126"/>
      <c r="P307" s="3126"/>
      <c r="Q307" s="3126"/>
      <c r="R307" s="3126"/>
      <c r="S307" s="3126"/>
      <c r="T307" s="3126"/>
      <c r="U307" s="3126"/>
      <c r="V307" s="3126"/>
      <c r="W307" s="3126"/>
      <c r="X307" s="3126"/>
      <c r="Y307" s="3126"/>
      <c r="Z307" s="3126"/>
      <c r="AA307" s="3126"/>
      <c r="AB307" s="3126"/>
      <c r="AC307" s="3126"/>
      <c r="AD307" s="3127"/>
      <c r="AE307" s="943"/>
      <c r="AF307" s="943"/>
      <c r="AG307" s="985"/>
      <c r="AH307" s="943"/>
      <c r="AI307" s="943"/>
      <c r="AJ307" s="942"/>
      <c r="AK307" s="1025"/>
      <c r="AL307" s="1025"/>
      <c r="AM307" s="1025"/>
      <c r="AN307" s="110"/>
      <c r="AO307" s="51"/>
      <c r="AP307" s="949" t="s">
        <v>2232</v>
      </c>
      <c r="AR307" s="21"/>
    </row>
    <row r="308" spans="1:60">
      <c r="A308" s="1059"/>
      <c r="B308" s="943"/>
      <c r="C308" s="1092"/>
      <c r="D308" s="1092"/>
      <c r="E308" s="939"/>
      <c r="F308" s="1097"/>
      <c r="G308" s="968"/>
      <c r="H308" s="968"/>
      <c r="I308" s="3126"/>
      <c r="J308" s="3126"/>
      <c r="K308" s="3126"/>
      <c r="L308" s="3126"/>
      <c r="M308" s="3126"/>
      <c r="N308" s="3126"/>
      <c r="O308" s="3126"/>
      <c r="P308" s="3126"/>
      <c r="Q308" s="3126"/>
      <c r="R308" s="3126"/>
      <c r="S308" s="3126"/>
      <c r="T308" s="3126"/>
      <c r="U308" s="3126"/>
      <c r="V308" s="3126"/>
      <c r="W308" s="3126"/>
      <c r="X308" s="3126"/>
      <c r="Y308" s="3126"/>
      <c r="Z308" s="3126"/>
      <c r="AA308" s="3126"/>
      <c r="AB308" s="3126"/>
      <c r="AC308" s="3126"/>
      <c r="AD308" s="3127"/>
      <c r="AE308" s="943"/>
      <c r="AF308" s="943"/>
      <c r="AG308" s="985"/>
      <c r="AH308" s="943"/>
      <c r="AI308" s="943"/>
      <c r="AJ308" s="942"/>
      <c r="AK308" s="1025"/>
      <c r="AL308" s="1025"/>
      <c r="AM308" s="1025"/>
      <c r="AN308" s="110"/>
      <c r="AO308" s="51"/>
      <c r="AP308" s="949" t="s">
        <v>2234</v>
      </c>
      <c r="AR308" s="21"/>
    </row>
    <row r="309" spans="1:60">
      <c r="A309" s="1059"/>
      <c r="B309" s="943"/>
      <c r="C309" s="1092"/>
      <c r="D309" s="1092"/>
      <c r="E309" s="939"/>
      <c r="F309" s="1095"/>
      <c r="G309" s="943"/>
      <c r="H309" s="943"/>
      <c r="I309" s="3128"/>
      <c r="J309" s="3128"/>
      <c r="K309" s="3128"/>
      <c r="L309" s="3128"/>
      <c r="M309" s="3128"/>
      <c r="N309" s="3128"/>
      <c r="O309" s="3128"/>
      <c r="P309" s="3128"/>
      <c r="Q309" s="3128"/>
      <c r="R309" s="3128"/>
      <c r="S309" s="3128"/>
      <c r="T309" s="3128"/>
      <c r="U309" s="3128"/>
      <c r="V309" s="3128"/>
      <c r="W309" s="3128"/>
      <c r="X309" s="3128"/>
      <c r="Y309" s="3128"/>
      <c r="Z309" s="3128"/>
      <c r="AA309" s="3128"/>
      <c r="AB309" s="3128"/>
      <c r="AC309" s="3128"/>
      <c r="AD309" s="3129"/>
      <c r="AE309" s="943"/>
      <c r="AF309" s="943"/>
      <c r="AG309" s="985"/>
      <c r="AH309" s="943"/>
      <c r="AI309" s="943"/>
      <c r="AJ309" s="942"/>
      <c r="AK309" s="1025"/>
      <c r="AL309" s="1025"/>
      <c r="AM309" s="1025"/>
      <c r="AN309" s="110"/>
      <c r="AO309" s="51"/>
      <c r="AP309" s="949" t="s">
        <v>2233</v>
      </c>
      <c r="AR309" s="21"/>
    </row>
    <row r="310" spans="1:60">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c r="A311" s="1059"/>
      <c r="B311" s="943"/>
      <c r="C311" s="1092"/>
      <c r="D311" s="1092"/>
      <c r="E311" s="939"/>
      <c r="F311" s="1095"/>
      <c r="G311" s="943" t="s">
        <v>542</v>
      </c>
      <c r="H311" s="943"/>
      <c r="I311" s="3126" t="s">
        <v>1384</v>
      </c>
      <c r="J311" s="3126"/>
      <c r="K311" s="3126"/>
      <c r="L311" s="3126"/>
      <c r="M311" s="3126"/>
      <c r="N311" s="3126"/>
      <c r="O311" s="3126"/>
      <c r="P311" s="3126"/>
      <c r="Q311" s="3126"/>
      <c r="R311" s="3126"/>
      <c r="S311" s="3126"/>
      <c r="T311" s="3126"/>
      <c r="U311" s="3126"/>
      <c r="V311" s="3126"/>
      <c r="W311" s="3126"/>
      <c r="X311" s="3126"/>
      <c r="Y311" s="3126"/>
      <c r="Z311" s="3126"/>
      <c r="AA311" s="3126"/>
      <c r="AB311" s="3126"/>
      <c r="AC311" s="3126"/>
      <c r="AD311" s="3127"/>
      <c r="AE311" s="943"/>
      <c r="AF311" s="943"/>
      <c r="AG311" s="985"/>
      <c r="AH311" s="943"/>
      <c r="AI311" s="943"/>
      <c r="AJ311" s="942"/>
      <c r="AK311" s="1025"/>
      <c r="AL311" s="1025"/>
      <c r="AM311" s="1025"/>
      <c r="AN311" s="110"/>
      <c r="AO311" s="51"/>
      <c r="AR311" s="21"/>
    </row>
    <row r="312" spans="1:60">
      <c r="A312" s="1059"/>
      <c r="B312" s="943"/>
      <c r="C312" s="1092"/>
      <c r="D312" s="1092"/>
      <c r="E312" s="939"/>
      <c r="F312" s="1095"/>
      <c r="G312" s="943"/>
      <c r="H312" s="943"/>
      <c r="I312" s="3126"/>
      <c r="J312" s="3126"/>
      <c r="K312" s="3126"/>
      <c r="L312" s="3126"/>
      <c r="M312" s="3126"/>
      <c r="N312" s="3126"/>
      <c r="O312" s="3126"/>
      <c r="P312" s="3126"/>
      <c r="Q312" s="3126"/>
      <c r="R312" s="3126"/>
      <c r="S312" s="3126"/>
      <c r="T312" s="3126"/>
      <c r="U312" s="3126"/>
      <c r="V312" s="3126"/>
      <c r="W312" s="3126"/>
      <c r="X312" s="3126"/>
      <c r="Y312" s="3126"/>
      <c r="Z312" s="3126"/>
      <c r="AA312" s="3126"/>
      <c r="AB312" s="3126"/>
      <c r="AC312" s="3126"/>
      <c r="AD312" s="3127"/>
      <c r="AE312" s="943"/>
      <c r="AF312" s="943"/>
      <c r="AG312" s="985"/>
      <c r="AH312" s="943"/>
      <c r="AI312" s="943"/>
      <c r="AJ312" s="942"/>
      <c r="AK312" s="1025"/>
      <c r="AL312" s="1025"/>
      <c r="AM312" s="1025"/>
      <c r="AN312" s="110"/>
      <c r="AO312" s="51"/>
      <c r="AP312" s="949" t="s">
        <v>1384</v>
      </c>
      <c r="AR312" s="21"/>
    </row>
    <row r="313" spans="1:60">
      <c r="A313" s="1059"/>
      <c r="B313" s="943"/>
      <c r="C313" s="1092"/>
      <c r="D313" s="1092"/>
      <c r="E313" s="939"/>
      <c r="F313" s="1098"/>
      <c r="G313" s="1099"/>
      <c r="H313" s="1099"/>
      <c r="I313" s="3128"/>
      <c r="J313" s="3128"/>
      <c r="K313" s="3128"/>
      <c r="L313" s="3128"/>
      <c r="M313" s="3128"/>
      <c r="N313" s="3128"/>
      <c r="O313" s="3128"/>
      <c r="P313" s="3128"/>
      <c r="Q313" s="3128"/>
      <c r="R313" s="3128"/>
      <c r="S313" s="3128"/>
      <c r="T313" s="3128"/>
      <c r="U313" s="3128"/>
      <c r="V313" s="3128"/>
      <c r="W313" s="3128"/>
      <c r="X313" s="3128"/>
      <c r="Y313" s="3128"/>
      <c r="Z313" s="3128"/>
      <c r="AA313" s="3128"/>
      <c r="AB313" s="3128"/>
      <c r="AC313" s="3128"/>
      <c r="AD313" s="3129"/>
      <c r="AE313" s="943"/>
      <c r="AF313" s="943"/>
      <c r="AG313" s="985"/>
      <c r="AH313" s="943"/>
      <c r="AI313" s="943"/>
      <c r="AJ313" s="942"/>
      <c r="AK313" s="1025"/>
      <c r="AL313" s="1025"/>
      <c r="AM313" s="1025"/>
      <c r="AN313" s="110"/>
      <c r="AO313" s="51"/>
      <c r="AP313" s="949" t="s">
        <v>1667</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1990</v>
      </c>
    </row>
    <row r="315" spans="1:60" ht="12.75" customHeight="1">
      <c r="A315" s="3116" t="s">
        <v>1668</v>
      </c>
      <c r="B315" s="3116"/>
      <c r="C315" s="3087" t="s">
        <v>578</v>
      </c>
      <c r="D315" s="3087"/>
      <c r="E315" s="939"/>
      <c r="F315" s="3019" t="s">
        <v>1669</v>
      </c>
      <c r="G315" s="3020"/>
      <c r="H315" s="3020"/>
      <c r="I315" s="3020"/>
      <c r="J315" s="3020"/>
      <c r="K315" s="3020"/>
      <c r="L315" s="3020"/>
      <c r="M315" s="3020"/>
      <c r="N315" s="3020"/>
      <c r="O315" s="3020"/>
      <c r="P315" s="3020"/>
      <c r="Q315" s="3020"/>
      <c r="R315" s="3020"/>
      <c r="S315" s="3020"/>
      <c r="T315" s="3020"/>
      <c r="U315" s="3020"/>
      <c r="V315" s="3020"/>
      <c r="W315" s="3020"/>
      <c r="X315" s="3020"/>
      <c r="Y315" s="3020"/>
      <c r="Z315" s="3020"/>
      <c r="AA315" s="3020"/>
      <c r="AB315" s="3020"/>
      <c r="AC315" s="3020"/>
      <c r="AD315" s="3021"/>
      <c r="AE315" s="943"/>
      <c r="AF315" s="943"/>
      <c r="AG315" s="985" t="s">
        <v>1661</v>
      </c>
      <c r="AH315" s="943"/>
      <c r="AI315" s="943"/>
      <c r="AJ315" s="942"/>
      <c r="AK315" s="1025"/>
      <c r="AL315" s="1025"/>
      <c r="AM315" s="1025"/>
      <c r="AN315" s="110"/>
      <c r="AO315" s="51"/>
    </row>
    <row r="316" spans="1:60" ht="15" customHeight="1">
      <c r="A316" s="1059"/>
      <c r="B316" s="943"/>
      <c r="C316" s="943"/>
      <c r="D316" s="943"/>
      <c r="E316" s="943"/>
      <c r="F316" s="3025"/>
      <c r="G316" s="3026"/>
      <c r="H316" s="3026"/>
      <c r="I316" s="3026"/>
      <c r="J316" s="3026"/>
      <c r="K316" s="3026"/>
      <c r="L316" s="3026"/>
      <c r="M316" s="3026"/>
      <c r="N316" s="3026"/>
      <c r="O316" s="3026"/>
      <c r="P316" s="3026"/>
      <c r="Q316" s="3026"/>
      <c r="R316" s="3026"/>
      <c r="S316" s="3026"/>
      <c r="T316" s="3026"/>
      <c r="U316" s="3026"/>
      <c r="V316" s="3026"/>
      <c r="W316" s="3026"/>
      <c r="X316" s="3026"/>
      <c r="Y316" s="3026"/>
      <c r="Z316" s="3026"/>
      <c r="AA316" s="3026"/>
      <c r="AB316" s="3026"/>
      <c r="AC316" s="3026"/>
      <c r="AD316" s="3027"/>
      <c r="AE316" s="943"/>
      <c r="AF316" s="943"/>
      <c r="AG316" s="943"/>
      <c r="AH316" s="943"/>
      <c r="AI316" s="943"/>
      <c r="AJ316" s="942"/>
      <c r="AK316" s="1025"/>
      <c r="AL316" s="1025"/>
      <c r="AM316" s="1025"/>
      <c r="AN316" s="110"/>
      <c r="AO316" s="51"/>
    </row>
    <row r="317" spans="1:60" ht="15" customHeight="1">
      <c r="A317" s="1059"/>
      <c r="B317" s="943"/>
      <c r="C317" s="943"/>
      <c r="D317" s="943"/>
      <c r="E317" s="943"/>
      <c r="F317" s="3025"/>
      <c r="G317" s="3026"/>
      <c r="H317" s="3026"/>
      <c r="I317" s="3026"/>
      <c r="J317" s="3026"/>
      <c r="K317" s="3026"/>
      <c r="L317" s="3026"/>
      <c r="M317" s="3026"/>
      <c r="N317" s="3026"/>
      <c r="O317" s="3026"/>
      <c r="P317" s="3026"/>
      <c r="Q317" s="3026"/>
      <c r="R317" s="3026"/>
      <c r="S317" s="3026"/>
      <c r="T317" s="3026"/>
      <c r="U317" s="3026"/>
      <c r="V317" s="3026"/>
      <c r="W317" s="3026"/>
      <c r="X317" s="3026"/>
      <c r="Y317" s="3026"/>
      <c r="Z317" s="3026"/>
      <c r="AA317" s="3026"/>
      <c r="AB317" s="3026"/>
      <c r="AC317" s="3026"/>
      <c r="AD317" s="3027"/>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1670</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1671</v>
      </c>
      <c r="AK320" s="3090">
        <f>AP279</f>
        <v>9</v>
      </c>
      <c r="AL320" s="3091"/>
      <c r="AM320" s="3092"/>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1672</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080" t="s">
        <v>1585</v>
      </c>
      <c r="AF323" s="3080"/>
      <c r="AG323" s="3080"/>
      <c r="AH323" s="3080"/>
      <c r="AI323" s="3080"/>
      <c r="AJ323" s="3080"/>
      <c r="AK323" s="3080"/>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111" t="s">
        <v>2192</v>
      </c>
      <c r="C325" s="3111"/>
      <c r="D325" s="3111"/>
      <c r="E325" s="3111"/>
      <c r="F325" s="3111"/>
      <c r="G325" s="3111"/>
      <c r="H325" s="3111"/>
      <c r="I325" s="3111"/>
      <c r="J325" s="3111"/>
      <c r="K325" s="3111"/>
      <c r="L325" s="3111"/>
      <c r="M325" s="3111"/>
      <c r="N325" s="3111"/>
      <c r="O325" s="3111"/>
      <c r="P325" s="3111"/>
      <c r="Q325" s="3111"/>
      <c r="R325" s="3111"/>
      <c r="S325" s="3111"/>
      <c r="T325" s="3111"/>
      <c r="U325" s="3111"/>
      <c r="V325" s="3111"/>
      <c r="W325" s="3111"/>
      <c r="X325" s="3111"/>
      <c r="Y325" s="3111"/>
      <c r="Z325" s="3111"/>
      <c r="AA325" s="3111"/>
      <c r="AB325" s="3111"/>
      <c r="AC325" s="3111"/>
      <c r="AD325" s="3111"/>
      <c r="AE325" s="3111"/>
      <c r="AF325" s="3111"/>
      <c r="AG325" s="3111"/>
      <c r="AH325" s="3111"/>
      <c r="AI325" s="3111"/>
      <c r="AJ325" s="3111"/>
      <c r="AK325" s="1077"/>
      <c r="AL325" s="966"/>
      <c r="AM325" s="1026"/>
      <c r="AN325" s="999"/>
    </row>
    <row r="326" spans="1:42" s="942" customFormat="1" ht="12.75" customHeight="1">
      <c r="A326" s="1026"/>
      <c r="B326" s="3111"/>
      <c r="C326" s="3111"/>
      <c r="D326" s="3111"/>
      <c r="E326" s="3111"/>
      <c r="F326" s="3111"/>
      <c r="G326" s="3111"/>
      <c r="H326" s="3111"/>
      <c r="I326" s="3111"/>
      <c r="J326" s="3111"/>
      <c r="K326" s="3111"/>
      <c r="L326" s="3111"/>
      <c r="M326" s="3111"/>
      <c r="N326" s="3111"/>
      <c r="O326" s="3111"/>
      <c r="P326" s="3111"/>
      <c r="Q326" s="3111"/>
      <c r="R326" s="3111"/>
      <c r="S326" s="3111"/>
      <c r="T326" s="3111"/>
      <c r="U326" s="3111"/>
      <c r="V326" s="3111"/>
      <c r="W326" s="3111"/>
      <c r="X326" s="3111"/>
      <c r="Y326" s="3111"/>
      <c r="Z326" s="3111"/>
      <c r="AA326" s="3111"/>
      <c r="AB326" s="3111"/>
      <c r="AC326" s="3111"/>
      <c r="AD326" s="3111"/>
      <c r="AE326" s="3111"/>
      <c r="AF326" s="3111"/>
      <c r="AG326" s="3111"/>
      <c r="AH326" s="3111"/>
      <c r="AI326" s="3111"/>
      <c r="AJ326" s="3111"/>
      <c r="AK326" s="1077"/>
      <c r="AL326" s="966"/>
      <c r="AM326" s="1026"/>
      <c r="AN326" s="999"/>
    </row>
    <row r="327" spans="1:42" s="942" customFormat="1" ht="12.75" customHeight="1">
      <c r="A327" s="1026"/>
      <c r="B327" s="3111"/>
      <c r="C327" s="3111"/>
      <c r="D327" s="3111"/>
      <c r="E327" s="3111"/>
      <c r="F327" s="3111"/>
      <c r="G327" s="3111"/>
      <c r="H327" s="3111"/>
      <c r="I327" s="3111"/>
      <c r="J327" s="3111"/>
      <c r="K327" s="3111"/>
      <c r="L327" s="3111"/>
      <c r="M327" s="3111"/>
      <c r="N327" s="3111"/>
      <c r="O327" s="3111"/>
      <c r="P327" s="3111"/>
      <c r="Q327" s="3111"/>
      <c r="R327" s="3111"/>
      <c r="S327" s="3111"/>
      <c r="T327" s="3111"/>
      <c r="U327" s="3111"/>
      <c r="V327" s="3111"/>
      <c r="W327" s="3111"/>
      <c r="X327" s="3111"/>
      <c r="Y327" s="3111"/>
      <c r="Z327" s="3111"/>
      <c r="AA327" s="3111"/>
      <c r="AB327" s="3111"/>
      <c r="AC327" s="3111"/>
      <c r="AD327" s="3111"/>
      <c r="AE327" s="3111"/>
      <c r="AF327" s="3111"/>
      <c r="AG327" s="3111"/>
      <c r="AH327" s="3111"/>
      <c r="AI327" s="3111"/>
      <c r="AJ327" s="3111"/>
      <c r="AK327" s="1077"/>
      <c r="AL327" s="966"/>
      <c r="AM327" s="1026"/>
      <c r="AN327" s="999"/>
    </row>
    <row r="328" spans="1:42" s="942" customFormat="1" ht="12.75" customHeight="1">
      <c r="A328" s="1026"/>
      <c r="B328" s="3111"/>
      <c r="C328" s="3111"/>
      <c r="D328" s="3111"/>
      <c r="E328" s="3111"/>
      <c r="F328" s="3111"/>
      <c r="G328" s="3111"/>
      <c r="H328" s="3111"/>
      <c r="I328" s="3111"/>
      <c r="J328" s="3111"/>
      <c r="K328" s="3111"/>
      <c r="L328" s="3111"/>
      <c r="M328" s="3111"/>
      <c r="N328" s="3111"/>
      <c r="O328" s="3111"/>
      <c r="P328" s="3111"/>
      <c r="Q328" s="3111"/>
      <c r="R328" s="3111"/>
      <c r="S328" s="3111"/>
      <c r="T328" s="3111"/>
      <c r="U328" s="3111"/>
      <c r="V328" s="3111"/>
      <c r="W328" s="3111"/>
      <c r="X328" s="3111"/>
      <c r="Y328" s="3111"/>
      <c r="Z328" s="3111"/>
      <c r="AA328" s="3111"/>
      <c r="AB328" s="3111"/>
      <c r="AC328" s="3111"/>
      <c r="AD328" s="3111"/>
      <c r="AE328" s="3111"/>
      <c r="AF328" s="3111"/>
      <c r="AG328" s="3111"/>
      <c r="AH328" s="3111"/>
      <c r="AI328" s="3111"/>
      <c r="AJ328" s="3111"/>
      <c r="AK328" s="1077"/>
      <c r="AL328" s="966"/>
      <c r="AM328" s="1026"/>
      <c r="AN328" s="999"/>
    </row>
    <row r="329" spans="1:42" s="942" customFormat="1" ht="12.75" customHeight="1">
      <c r="A329" s="1026"/>
      <c r="B329" s="3111"/>
      <c r="C329" s="3111"/>
      <c r="D329" s="3111"/>
      <c r="E329" s="3111"/>
      <c r="F329" s="3111"/>
      <c r="G329" s="3111"/>
      <c r="H329" s="3111"/>
      <c r="I329" s="3111"/>
      <c r="J329" s="3111"/>
      <c r="K329" s="3111"/>
      <c r="L329" s="3111"/>
      <c r="M329" s="3111"/>
      <c r="N329" s="3111"/>
      <c r="O329" s="3111"/>
      <c r="P329" s="3111"/>
      <c r="Q329" s="3111"/>
      <c r="R329" s="3111"/>
      <c r="S329" s="3111"/>
      <c r="T329" s="3111"/>
      <c r="U329" s="3111"/>
      <c r="V329" s="3111"/>
      <c r="W329" s="3111"/>
      <c r="X329" s="3111"/>
      <c r="Y329" s="3111"/>
      <c r="Z329" s="3111"/>
      <c r="AA329" s="3111"/>
      <c r="AB329" s="3111"/>
      <c r="AC329" s="3111"/>
      <c r="AD329" s="3111"/>
      <c r="AE329" s="3111"/>
      <c r="AF329" s="3111"/>
      <c r="AG329" s="3111"/>
      <c r="AH329" s="3111"/>
      <c r="AI329" s="3111"/>
      <c r="AJ329" s="3111"/>
      <c r="AK329" s="1077"/>
      <c r="AL329" s="966"/>
      <c r="AM329" s="1026"/>
      <c r="AN329" s="999"/>
    </row>
    <row r="330" spans="1:42" s="942" customFormat="1" ht="12.75" customHeight="1">
      <c r="A330" s="1026"/>
      <c r="B330" s="3111"/>
      <c r="C330" s="3111"/>
      <c r="D330" s="3111"/>
      <c r="E330" s="3111"/>
      <c r="F330" s="3111"/>
      <c r="G330" s="3111"/>
      <c r="H330" s="3111"/>
      <c r="I330" s="3111"/>
      <c r="J330" s="3111"/>
      <c r="K330" s="3111"/>
      <c r="L330" s="3111"/>
      <c r="M330" s="3111"/>
      <c r="N330" s="3111"/>
      <c r="O330" s="3111"/>
      <c r="P330" s="3111"/>
      <c r="Q330" s="3111"/>
      <c r="R330" s="3111"/>
      <c r="S330" s="3111"/>
      <c r="T330" s="3111"/>
      <c r="U330" s="3111"/>
      <c r="V330" s="3111"/>
      <c r="W330" s="3111"/>
      <c r="X330" s="3111"/>
      <c r="Y330" s="3111"/>
      <c r="Z330" s="3111"/>
      <c r="AA330" s="3111"/>
      <c r="AB330" s="3111"/>
      <c r="AC330" s="3111"/>
      <c r="AD330" s="3111"/>
      <c r="AE330" s="3111"/>
      <c r="AF330" s="3111"/>
      <c r="AG330" s="3111"/>
      <c r="AH330" s="3111"/>
      <c r="AI330" s="3111"/>
      <c r="AJ330" s="3111"/>
      <c r="AK330" s="1077"/>
      <c r="AL330" s="966"/>
      <c r="AM330" s="1026"/>
      <c r="AN330" s="999"/>
    </row>
    <row r="331" spans="1:42" s="942" customFormat="1" ht="12.75" customHeight="1">
      <c r="A331" s="1026"/>
      <c r="B331" s="3111"/>
      <c r="C331" s="3111"/>
      <c r="D331" s="3111"/>
      <c r="E331" s="3111"/>
      <c r="F331" s="3111"/>
      <c r="G331" s="3111"/>
      <c r="H331" s="3111"/>
      <c r="I331" s="3111"/>
      <c r="J331" s="3111"/>
      <c r="K331" s="3111"/>
      <c r="L331" s="3111"/>
      <c r="M331" s="3111"/>
      <c r="N331" s="3111"/>
      <c r="O331" s="3111"/>
      <c r="P331" s="3111"/>
      <c r="Q331" s="3111"/>
      <c r="R331" s="3111"/>
      <c r="S331" s="3111"/>
      <c r="T331" s="3111"/>
      <c r="U331" s="3111"/>
      <c r="V331" s="3111"/>
      <c r="W331" s="3111"/>
      <c r="X331" s="3111"/>
      <c r="Y331" s="3111"/>
      <c r="Z331" s="3111"/>
      <c r="AA331" s="3111"/>
      <c r="AB331" s="3111"/>
      <c r="AC331" s="3111"/>
      <c r="AD331" s="3111"/>
      <c r="AE331" s="3111"/>
      <c r="AF331" s="3111"/>
      <c r="AG331" s="3111"/>
      <c r="AH331" s="3111"/>
      <c r="AI331" s="3111"/>
      <c r="AJ331" s="3111"/>
      <c r="AK331" s="1077"/>
      <c r="AL331" s="966"/>
      <c r="AM331" s="1026"/>
      <c r="AN331" s="999"/>
    </row>
    <row r="332" spans="1:42" ht="12.75" customHeight="1">
      <c r="A332" s="1026"/>
      <c r="B332" s="3111"/>
      <c r="C332" s="3111"/>
      <c r="D332" s="3111"/>
      <c r="E332" s="3111"/>
      <c r="F332" s="3111"/>
      <c r="G332" s="3111"/>
      <c r="H332" s="3111"/>
      <c r="I332" s="3111"/>
      <c r="J332" s="3111"/>
      <c r="K332" s="3111"/>
      <c r="L332" s="3111"/>
      <c r="M332" s="3111"/>
      <c r="N332" s="3111"/>
      <c r="O332" s="3111"/>
      <c r="P332" s="3111"/>
      <c r="Q332" s="3111"/>
      <c r="R332" s="3111"/>
      <c r="S332" s="3111"/>
      <c r="T332" s="3111"/>
      <c r="U332" s="3111"/>
      <c r="V332" s="3111"/>
      <c r="W332" s="3111"/>
      <c r="X332" s="3111"/>
      <c r="Y332" s="3111"/>
      <c r="Z332" s="3111"/>
      <c r="AA332" s="3111"/>
      <c r="AB332" s="3111"/>
      <c r="AC332" s="3111"/>
      <c r="AD332" s="3111"/>
      <c r="AE332" s="3111"/>
      <c r="AF332" s="3111"/>
      <c r="AG332" s="3111"/>
      <c r="AH332" s="3111"/>
      <c r="AI332" s="3111"/>
      <c r="AJ332" s="3111"/>
      <c r="AK332" s="1077"/>
      <c r="AL332" s="966"/>
      <c r="AM332" s="1026"/>
    </row>
    <row r="333" spans="1:42" s="942" customFormat="1" ht="12.75" customHeight="1">
      <c r="A333" s="1059"/>
      <c r="B333" s="3111"/>
      <c r="C333" s="3111"/>
      <c r="D333" s="3111"/>
      <c r="E333" s="3111"/>
      <c r="F333" s="3111"/>
      <c r="G333" s="3111"/>
      <c r="H333" s="3111"/>
      <c r="I333" s="3111"/>
      <c r="J333" s="3111"/>
      <c r="K333" s="3111"/>
      <c r="L333" s="3111"/>
      <c r="M333" s="3111"/>
      <c r="N333" s="3111"/>
      <c r="O333" s="3111"/>
      <c r="P333" s="3111"/>
      <c r="Q333" s="3111"/>
      <c r="R333" s="3111"/>
      <c r="S333" s="3111"/>
      <c r="T333" s="3111"/>
      <c r="U333" s="3111"/>
      <c r="V333" s="3111"/>
      <c r="W333" s="3111"/>
      <c r="X333" s="3111"/>
      <c r="Y333" s="3111"/>
      <c r="Z333" s="3111"/>
      <c r="AA333" s="3111"/>
      <c r="AB333" s="3111"/>
      <c r="AC333" s="3111"/>
      <c r="AD333" s="3111"/>
      <c r="AE333" s="3111"/>
      <c r="AF333" s="3111"/>
      <c r="AG333" s="3111"/>
      <c r="AH333" s="3111"/>
      <c r="AI333" s="3111"/>
      <c r="AJ333" s="3111"/>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1673</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626</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578</v>
      </c>
    </row>
    <row r="337" spans="1:42" s="942" customFormat="1" ht="12.75" customHeight="1">
      <c r="A337" s="1059"/>
      <c r="B337" s="1059"/>
      <c r="C337" s="985" t="s">
        <v>1674</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6"/>
      <c r="AG338" s="926"/>
      <c r="AH338" s="926"/>
      <c r="AI338" s="926"/>
      <c r="AJ338" s="926"/>
      <c r="AK338" s="926"/>
      <c r="AL338" s="926"/>
      <c r="AM338" s="1025"/>
      <c r="AN338" s="999"/>
    </row>
    <row r="339" spans="1:42" s="942" customFormat="1" ht="12.75" customHeight="1">
      <c r="A339" s="1059"/>
      <c r="B339" s="926"/>
      <c r="C339" s="926"/>
      <c r="D339" s="1105" t="s">
        <v>725</v>
      </c>
      <c r="E339" s="1635" t="s">
        <v>2197</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066" t="s">
        <v>1609</v>
      </c>
      <c r="AG339" s="3066"/>
      <c r="AH339" s="3066"/>
      <c r="AI339" s="3066"/>
      <c r="AJ339" s="3066"/>
      <c r="AK339" s="3066"/>
      <c r="AL339" s="3066"/>
      <c r="AM339" s="1025"/>
      <c r="AN339" s="999"/>
    </row>
    <row r="340" spans="1:42" s="942" customFormat="1" ht="12.75" customHeight="1">
      <c r="A340" s="1025"/>
      <c r="B340" s="1005"/>
      <c r="C340" s="1034"/>
      <c r="D340" s="1105"/>
      <c r="E340" s="1635" t="s">
        <v>2198</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5" t="s">
        <v>2199</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5" t="s">
        <v>2200</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5" t="s">
        <v>2201</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5" t="s">
        <v>2202</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5"/>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6"/>
      <c r="D346" s="1105" t="s">
        <v>542</v>
      </c>
      <c r="E346" s="1635" t="s">
        <v>2203</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6"/>
      <c r="AD346" s="926"/>
      <c r="AE346" s="926"/>
      <c r="AF346" s="3066" t="s">
        <v>1675</v>
      </c>
      <c r="AG346" s="3066"/>
      <c r="AH346" s="3066"/>
      <c r="AI346" s="3066"/>
      <c r="AJ346" s="3066"/>
      <c r="AK346" s="3066"/>
      <c r="AL346" s="3066"/>
      <c r="AM346" s="1025"/>
      <c r="AN346" s="999"/>
    </row>
    <row r="347" spans="1:42" s="942" customFormat="1" ht="12.75" customHeight="1">
      <c r="A347" s="1059"/>
      <c r="B347" s="1022"/>
      <c r="C347" s="1638"/>
      <c r="D347" s="1105"/>
      <c r="E347" s="1635" t="s">
        <v>2204</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6"/>
      <c r="AD347" s="926"/>
      <c r="AE347" s="1005"/>
      <c r="AF347" s="1005"/>
      <c r="AG347" s="1005"/>
      <c r="AH347" s="1005"/>
      <c r="AI347" s="1005"/>
      <c r="AJ347" s="1005"/>
      <c r="AK347" s="1005"/>
      <c r="AL347" s="1005"/>
      <c r="AM347" s="1025"/>
      <c r="AN347" s="999"/>
      <c r="AO347" s="942" t="s">
        <v>626</v>
      </c>
      <c r="AP347" s="1119">
        <v>0</v>
      </c>
    </row>
    <row r="348" spans="1:42" s="942" customFormat="1" ht="12.75" customHeight="1">
      <c r="A348" s="1059"/>
      <c r="B348" s="1023"/>
      <c r="C348" s="1639"/>
      <c r="D348" s="1105"/>
      <c r="E348" s="1635" t="s">
        <v>2205</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6"/>
      <c r="AD348" s="926"/>
      <c r="AE348" s="1022"/>
      <c r="AF348" s="1022"/>
      <c r="AG348" s="1022"/>
      <c r="AH348" s="1022"/>
      <c r="AI348" s="1022"/>
      <c r="AJ348" s="1022"/>
      <c r="AK348" s="1022"/>
      <c r="AL348" s="1022"/>
      <c r="AM348" s="1025"/>
      <c r="AN348" s="999"/>
      <c r="AO348" s="1117" t="s">
        <v>725</v>
      </c>
      <c r="AP348" s="942">
        <v>7</v>
      </c>
    </row>
    <row r="349" spans="1:42" s="942" customFormat="1" ht="12.75" customHeight="1">
      <c r="A349" s="1059"/>
      <c r="B349" s="1023"/>
      <c r="C349" s="1639"/>
      <c r="D349" s="1105"/>
      <c r="E349" s="1635" t="s">
        <v>2207</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6"/>
      <c r="AD349" s="926"/>
      <c r="AE349" s="1022"/>
      <c r="AF349" s="1022"/>
      <c r="AG349" s="1022"/>
      <c r="AH349" s="1022"/>
      <c r="AI349" s="1022"/>
      <c r="AJ349" s="1022"/>
      <c r="AK349" s="1022"/>
      <c r="AL349" s="1022"/>
      <c r="AM349" s="1025"/>
      <c r="AN349" s="999"/>
      <c r="AO349" s="1117" t="s">
        <v>542</v>
      </c>
      <c r="AP349" s="942">
        <v>6</v>
      </c>
    </row>
    <row r="350" spans="1:42" s="942" customFormat="1" ht="12.75" customHeight="1">
      <c r="A350" s="1059"/>
      <c r="B350" s="1023"/>
      <c r="C350" s="1639"/>
      <c r="D350" s="1105"/>
      <c r="E350" s="1635" t="s">
        <v>2206</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6"/>
      <c r="AD350" s="926"/>
      <c r="AE350" s="1022"/>
      <c r="AF350" s="1022"/>
      <c r="AG350" s="1022"/>
      <c r="AH350" s="1022"/>
      <c r="AI350" s="1022"/>
      <c r="AJ350" s="1022"/>
      <c r="AK350" s="1022"/>
      <c r="AL350" s="1022"/>
      <c r="AM350" s="1025"/>
      <c r="AN350" s="999"/>
      <c r="AO350" s="1117" t="s">
        <v>284</v>
      </c>
      <c r="AP350" s="942">
        <v>5</v>
      </c>
    </row>
    <row r="351" spans="1:42" s="942" customFormat="1" ht="12.75" customHeight="1">
      <c r="A351" s="1059"/>
      <c r="B351" s="1023"/>
      <c r="C351" s="1639"/>
      <c r="D351" s="1105"/>
      <c r="E351" s="1640"/>
      <c r="F351" s="1641"/>
      <c r="G351" s="1641"/>
      <c r="H351" s="1641"/>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1676</v>
      </c>
      <c r="AP351" s="942">
        <v>4</v>
      </c>
    </row>
    <row r="352" spans="1:42" s="942" customFormat="1" ht="12.75" customHeight="1">
      <c r="A352" s="1059"/>
      <c r="B352" s="1005"/>
      <c r="C352" s="1636"/>
      <c r="D352" s="1105" t="s">
        <v>284</v>
      </c>
      <c r="E352" s="1635" t="s">
        <v>2208</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6"/>
      <c r="AD352" s="926"/>
      <c r="AE352" s="926"/>
      <c r="AF352" s="3066" t="s">
        <v>1649</v>
      </c>
      <c r="AG352" s="3066"/>
      <c r="AH352" s="3066"/>
      <c r="AI352" s="3066"/>
      <c r="AJ352" s="3066"/>
      <c r="AK352" s="3066"/>
      <c r="AL352" s="3066"/>
      <c r="AM352" s="1025"/>
      <c r="AN352" s="999"/>
      <c r="AO352" s="1117" t="s">
        <v>1677</v>
      </c>
      <c r="AP352" s="942">
        <v>3</v>
      </c>
    </row>
    <row r="353" spans="1:53" s="942" customFormat="1" ht="12.75" customHeight="1">
      <c r="A353" s="1059"/>
      <c r="B353" s="1022"/>
      <c r="C353" s="1638"/>
      <c r="D353" s="1105"/>
      <c r="E353" s="1635" t="s">
        <v>2204</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8"/>
      <c r="D354" s="1105"/>
      <c r="E354" s="1635" t="s">
        <v>2205</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8"/>
      <c r="D355" s="1105"/>
      <c r="E355" s="1635" t="s">
        <v>2207</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8"/>
      <c r="D356" s="1105"/>
      <c r="E356" s="1635" t="s">
        <v>2206</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6"/>
      <c r="D358" s="1105" t="s">
        <v>1676</v>
      </c>
      <c r="E358" s="1635" t="s">
        <v>2209</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6"/>
      <c r="AD358" s="926"/>
      <c r="AE358" s="926"/>
      <c r="AF358" s="3066" t="s">
        <v>1678</v>
      </c>
      <c r="AG358" s="3066"/>
      <c r="AH358" s="3066"/>
      <c r="AI358" s="3066"/>
      <c r="AJ358" s="3066"/>
      <c r="AK358" s="3066"/>
      <c r="AL358" s="3066"/>
      <c r="AM358" s="1025"/>
      <c r="AN358" s="999"/>
      <c r="AO358" s="942" t="str">
        <f>X395</f>
        <v>N/A</v>
      </c>
    </row>
    <row r="359" spans="1:53" s="942" customFormat="1" ht="12.75" customHeight="1">
      <c r="A359" s="1059"/>
      <c r="B359" s="1022"/>
      <c r="C359" s="1638"/>
      <c r="D359" s="1105"/>
      <c r="E359" s="1635" t="s">
        <v>2210</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9"/>
      <c r="D360" s="1105"/>
      <c r="E360" s="1635" t="s">
        <v>2211</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9"/>
      <c r="D361" s="1105"/>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9"/>
      <c r="D362" s="1105"/>
      <c r="E362" s="926" t="s">
        <v>2396</v>
      </c>
      <c r="O362" s="3133" t="s">
        <v>1384</v>
      </c>
      <c r="P362" s="3133"/>
      <c r="Q362" s="3133"/>
      <c r="R362" s="3133"/>
      <c r="S362" s="3133"/>
      <c r="T362" s="3133"/>
      <c r="U362" s="3133"/>
      <c r="V362" s="3133"/>
      <c r="W362" s="3133"/>
      <c r="X362" s="3133"/>
      <c r="Y362" s="3133"/>
      <c r="Z362" s="3133"/>
      <c r="AA362" s="3133"/>
      <c r="AB362" s="3133"/>
      <c r="AH362" s="1022"/>
      <c r="AI362" s="1022"/>
      <c r="AJ362" s="1022"/>
      <c r="AK362" s="1022"/>
      <c r="AL362" s="1022"/>
      <c r="AM362" s="1025"/>
      <c r="AN362" s="999"/>
    </row>
    <row r="363" spans="1:53" s="942" customFormat="1" ht="12.75" customHeight="1">
      <c r="A363" s="1059"/>
      <c r="B363" s="1023"/>
      <c r="C363" s="1639"/>
      <c r="D363" s="1105"/>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6"/>
      <c r="D364" s="1105" t="s">
        <v>1677</v>
      </c>
      <c r="E364" s="1635" t="s">
        <v>2213</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6"/>
      <c r="AD364" s="926"/>
      <c r="AE364" s="929"/>
      <c r="AF364" s="3066" t="s">
        <v>1623</v>
      </c>
      <c r="AG364" s="3066"/>
      <c r="AH364" s="3066"/>
      <c r="AI364" s="3066"/>
      <c r="AJ364" s="3066"/>
      <c r="AK364" s="3066"/>
      <c r="AL364" s="3066"/>
      <c r="AM364" s="1025"/>
      <c r="AN364" s="1000"/>
    </row>
    <row r="365" spans="1:53" s="942" customFormat="1" ht="12.75" customHeight="1">
      <c r="A365" s="1059"/>
      <c r="B365" s="1005"/>
      <c r="C365" s="1636"/>
      <c r="D365" s="1105"/>
      <c r="E365" s="1635" t="s">
        <v>2212</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6"/>
      <c r="AD365" s="926"/>
      <c r="AE365" s="1595"/>
      <c r="AF365" s="926"/>
      <c r="AG365" s="926"/>
      <c r="AH365" s="926"/>
      <c r="AI365" s="926"/>
      <c r="AJ365" s="926"/>
      <c r="AK365" s="926"/>
      <c r="AL365" s="926"/>
      <c r="AM365" s="1025"/>
      <c r="AN365" s="999"/>
    </row>
    <row r="366" spans="1:53" s="942" customFormat="1" ht="12.75" customHeight="1">
      <c r="A366" s="1059"/>
      <c r="B366" s="1022"/>
      <c r="C366" s="1638"/>
      <c r="D366" s="1022"/>
      <c r="E366" s="1034"/>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2"/>
      <c r="AD366" s="1022"/>
      <c r="AE366" s="1022"/>
      <c r="AF366" s="1022"/>
      <c r="AG366" s="1022"/>
      <c r="AH366" s="1022"/>
      <c r="AI366" s="1022"/>
      <c r="AJ366" s="926"/>
      <c r="AK366" s="1005"/>
      <c r="AL366" s="1005"/>
      <c r="AM366" s="1025"/>
      <c r="AN366" s="999"/>
      <c r="AO366" s="942" t="s">
        <v>626</v>
      </c>
      <c r="AP366" s="1119">
        <v>0</v>
      </c>
      <c r="AT366" s="942" t="s">
        <v>626</v>
      </c>
      <c r="AU366" s="1119">
        <v>0</v>
      </c>
    </row>
    <row r="367" spans="1:53" s="942" customFormat="1" ht="12.75" customHeight="1">
      <c r="A367" s="1059"/>
      <c r="B367" s="1022"/>
      <c r="C367" s="1638"/>
      <c r="D367" s="1022" t="s">
        <v>1679</v>
      </c>
      <c r="E367" s="1642"/>
      <c r="F367" s="1642"/>
      <c r="G367" s="1642"/>
      <c r="H367" s="3130" t="s">
        <v>1676</v>
      </c>
      <c r="I367" s="3130"/>
      <c r="J367" s="1642"/>
      <c r="K367" s="1642"/>
      <c r="L367" s="1642"/>
      <c r="M367" s="1642"/>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725</v>
      </c>
      <c r="AP367" s="942">
        <v>3</v>
      </c>
      <c r="AT367" s="1117" t="s">
        <v>725</v>
      </c>
      <c r="AU367" s="942">
        <v>3</v>
      </c>
    </row>
    <row r="368" spans="1:53" s="942" customFormat="1" ht="12.75" customHeight="1">
      <c r="A368" s="1059"/>
      <c r="B368" s="1022"/>
      <c r="C368" s="1638"/>
      <c r="D368" s="1022"/>
      <c r="E368" s="1642"/>
      <c r="F368" s="1642"/>
      <c r="G368" s="1642"/>
      <c r="H368" s="1642"/>
      <c r="I368" s="1642"/>
      <c r="J368" s="1642"/>
      <c r="K368" s="1642"/>
      <c r="L368" s="1642"/>
      <c r="M368" s="1642"/>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542</v>
      </c>
      <c r="AP368" s="942">
        <v>2</v>
      </c>
      <c r="AT368" s="1117" t="s">
        <v>542</v>
      </c>
      <c r="AU368" s="942">
        <v>2</v>
      </c>
    </row>
    <row r="369" spans="1:46" s="942" customFormat="1" ht="12.75" customHeight="1">
      <c r="A369" s="1059"/>
      <c r="B369" s="1022"/>
      <c r="C369" s="1638"/>
      <c r="D369" s="1022"/>
      <c r="E369" s="1642"/>
      <c r="F369" s="1642"/>
      <c r="G369" s="1642"/>
      <c r="H369" s="1642"/>
      <c r="I369" s="1642"/>
      <c r="J369" s="1642"/>
      <c r="K369" s="1642"/>
      <c r="L369" s="1642"/>
      <c r="M369" s="1642"/>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8"/>
      <c r="D370" s="1022" t="s">
        <v>2214</v>
      </c>
      <c r="E370" s="1642"/>
      <c r="F370" s="1642"/>
      <c r="G370" s="1642"/>
      <c r="H370" s="1642"/>
      <c r="I370" s="1642"/>
      <c r="J370" s="1642"/>
      <c r="K370" s="1642"/>
      <c r="L370" s="1642"/>
      <c r="M370" s="1642"/>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8"/>
      <c r="D371" s="1022" t="s">
        <v>2215</v>
      </c>
      <c r="E371" s="1642"/>
      <c r="F371" s="1642"/>
      <c r="G371" s="1642"/>
      <c r="H371" s="1642"/>
      <c r="I371" s="1642"/>
      <c r="J371" s="1642"/>
      <c r="K371" s="1642"/>
      <c r="L371" s="1642"/>
      <c r="M371" s="1642"/>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8"/>
      <c r="D372" s="1022" t="s">
        <v>2216</v>
      </c>
      <c r="E372" s="1642"/>
      <c r="F372" s="1642"/>
      <c r="G372" s="1642"/>
      <c r="H372" s="1642"/>
      <c r="I372" s="1642"/>
      <c r="J372" s="1642"/>
      <c r="K372" s="1642"/>
      <c r="L372" s="1642"/>
      <c r="M372" s="1642"/>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8"/>
      <c r="D373" s="1015" t="s">
        <v>2217</v>
      </c>
      <c r="E373" s="1642"/>
      <c r="F373" s="1642"/>
      <c r="G373" s="1642"/>
      <c r="H373" s="1642"/>
      <c r="I373" s="1642"/>
      <c r="J373" s="1642"/>
      <c r="K373" s="1642"/>
      <c r="L373" s="1642"/>
      <c r="M373" s="1642"/>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8"/>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626</v>
      </c>
      <c r="AP374" s="1119">
        <v>0</v>
      </c>
    </row>
    <row r="375" spans="1:46" s="942" customFormat="1" ht="12.75" customHeight="1">
      <c r="A375" s="1059"/>
      <c r="B375" s="1022"/>
      <c r="C375" s="1638"/>
      <c r="D375" s="1022"/>
      <c r="E375" s="1022" t="s">
        <v>1679</v>
      </c>
      <c r="F375" s="1642"/>
      <c r="G375" s="1642"/>
      <c r="I375" s="3132" t="s">
        <v>626</v>
      </c>
      <c r="J375" s="3132"/>
      <c r="K375" s="3132"/>
      <c r="L375" s="3132"/>
      <c r="M375" s="3132"/>
      <c r="N375" s="3132"/>
      <c r="O375" s="3132"/>
      <c r="P375" s="3132"/>
      <c r="Q375" s="3132"/>
      <c r="R375" s="3132"/>
      <c r="S375" s="3132"/>
      <c r="T375" s="3132"/>
      <c r="U375" s="3132"/>
      <c r="V375" s="3132"/>
      <c r="W375" s="3132"/>
      <c r="X375" s="3132"/>
      <c r="Y375" s="3132"/>
      <c r="Z375" s="3132"/>
      <c r="AA375" s="3132"/>
      <c r="AB375" s="3132"/>
      <c r="AC375" s="3132"/>
      <c r="AD375" s="3132"/>
      <c r="AE375" s="3132"/>
      <c r="AF375" s="926"/>
      <c r="AG375" s="926"/>
      <c r="AH375" s="926"/>
      <c r="AI375" s="926"/>
      <c r="AJ375" s="926"/>
      <c r="AK375" s="926"/>
      <c r="AL375" s="926"/>
      <c r="AN375" s="999"/>
      <c r="AO375" s="942" t="s">
        <v>1680</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3"/>
      <c r="AG376" s="1643"/>
      <c r="AH376" s="1643"/>
      <c r="AI376" s="1643"/>
      <c r="AJ376" s="1643"/>
      <c r="AK376" s="1643"/>
      <c r="AL376" s="1643"/>
      <c r="AM376" s="942"/>
      <c r="AN376" s="1000"/>
      <c r="AO376" s="942" t="s">
        <v>1681</v>
      </c>
      <c r="AP376" s="942">
        <v>2</v>
      </c>
    </row>
    <row r="377" spans="1:46" s="942" customFormat="1" ht="12.75" customHeight="1">
      <c r="A377" s="1059"/>
      <c r="B377" s="3084" t="s">
        <v>626</v>
      </c>
      <c r="C377" s="3084"/>
      <c r="D377" s="1643"/>
      <c r="E377" s="3111" t="s">
        <v>1682</v>
      </c>
      <c r="F377" s="3111"/>
      <c r="G377" s="3111"/>
      <c r="H377" s="3111"/>
      <c r="I377" s="3111"/>
      <c r="J377" s="3111"/>
      <c r="K377" s="3111"/>
      <c r="L377" s="3111"/>
      <c r="M377" s="3111"/>
      <c r="N377" s="3111"/>
      <c r="O377" s="3111"/>
      <c r="P377" s="3111"/>
      <c r="Q377" s="3111"/>
      <c r="R377" s="3111"/>
      <c r="S377" s="3111"/>
      <c r="T377" s="3111"/>
      <c r="U377" s="3111"/>
      <c r="V377" s="3111"/>
      <c r="W377" s="3111"/>
      <c r="X377" s="3111"/>
      <c r="Y377" s="3111"/>
      <c r="Z377" s="3111"/>
      <c r="AA377" s="3111"/>
      <c r="AB377" s="3111"/>
      <c r="AC377" s="3111"/>
      <c r="AD377" s="3111"/>
      <c r="AE377" s="3111"/>
      <c r="AF377" s="3111"/>
      <c r="AG377" s="3111"/>
      <c r="AH377" s="1643"/>
      <c r="AI377" s="1643"/>
      <c r="AJ377" s="1643"/>
      <c r="AK377" s="1643"/>
      <c r="AL377" s="1643"/>
      <c r="AN377" s="999"/>
    </row>
    <row r="378" spans="1:46" s="942" customFormat="1" ht="12.75" customHeight="1">
      <c r="A378" s="1059"/>
      <c r="B378" s="1022"/>
      <c r="C378" s="1638"/>
      <c r="D378" s="1643"/>
      <c r="E378" s="3111"/>
      <c r="F378" s="3111"/>
      <c r="G378" s="3111"/>
      <c r="H378" s="3111"/>
      <c r="I378" s="3111"/>
      <c r="J378" s="3111"/>
      <c r="K378" s="3111"/>
      <c r="L378" s="3111"/>
      <c r="M378" s="3111"/>
      <c r="N378" s="3111"/>
      <c r="O378" s="3111"/>
      <c r="P378" s="3111"/>
      <c r="Q378" s="3111"/>
      <c r="R378" s="3111"/>
      <c r="S378" s="3111"/>
      <c r="T378" s="3111"/>
      <c r="U378" s="3111"/>
      <c r="V378" s="3111"/>
      <c r="W378" s="3111"/>
      <c r="X378" s="3111"/>
      <c r="Y378" s="3111"/>
      <c r="Z378" s="3111"/>
      <c r="AA378" s="3111"/>
      <c r="AB378" s="3111"/>
      <c r="AC378" s="3111"/>
      <c r="AD378" s="3111"/>
      <c r="AE378" s="3111"/>
      <c r="AF378" s="3111"/>
      <c r="AG378" s="3111"/>
      <c r="AH378" s="1643"/>
      <c r="AI378" s="1643"/>
      <c r="AJ378" s="1643"/>
      <c r="AK378" s="1643"/>
      <c r="AL378" s="1643"/>
      <c r="AN378" s="999"/>
    </row>
    <row r="379" spans="1:46" s="942" customFormat="1" ht="12.75" customHeight="1">
      <c r="A379" s="1059"/>
      <c r="B379" s="1022"/>
      <c r="C379" s="1638"/>
      <c r="D379" s="1643"/>
      <c r="E379" s="3111"/>
      <c r="F379" s="3111"/>
      <c r="G379" s="3111"/>
      <c r="H379" s="3111"/>
      <c r="I379" s="3111"/>
      <c r="J379" s="3111"/>
      <c r="K379" s="3111"/>
      <c r="L379" s="3111"/>
      <c r="M379" s="3111"/>
      <c r="N379" s="3111"/>
      <c r="O379" s="3111"/>
      <c r="P379" s="3111"/>
      <c r="Q379" s="3111"/>
      <c r="R379" s="3111"/>
      <c r="S379" s="3111"/>
      <c r="T379" s="3111"/>
      <c r="U379" s="3111"/>
      <c r="V379" s="3111"/>
      <c r="W379" s="3111"/>
      <c r="X379" s="3111"/>
      <c r="Y379" s="3111"/>
      <c r="Z379" s="3111"/>
      <c r="AA379" s="3111"/>
      <c r="AB379" s="3111"/>
      <c r="AC379" s="3111"/>
      <c r="AD379" s="3111"/>
      <c r="AE379" s="3111"/>
      <c r="AF379" s="3111"/>
      <c r="AG379" s="3111"/>
      <c r="AH379" s="1643"/>
      <c r="AI379" s="1643"/>
      <c r="AJ379" s="1643"/>
      <c r="AK379" s="1643"/>
      <c r="AL379" s="1643"/>
      <c r="AN379" s="999"/>
    </row>
    <row r="380" spans="1:46" s="942" customFormat="1" ht="12.75" customHeight="1">
      <c r="A380" s="1059"/>
      <c r="B380" s="1022"/>
      <c r="C380" s="1638"/>
      <c r="D380" s="1645"/>
      <c r="E380" s="3111"/>
      <c r="F380" s="3111"/>
      <c r="G380" s="3111"/>
      <c r="H380" s="3111"/>
      <c r="I380" s="3111"/>
      <c r="J380" s="3111"/>
      <c r="K380" s="3111"/>
      <c r="L380" s="3111"/>
      <c r="M380" s="3111"/>
      <c r="N380" s="3111"/>
      <c r="O380" s="3111"/>
      <c r="P380" s="3111"/>
      <c r="Q380" s="3111"/>
      <c r="R380" s="3111"/>
      <c r="S380" s="3111"/>
      <c r="T380" s="3111"/>
      <c r="U380" s="3111"/>
      <c r="V380" s="3111"/>
      <c r="W380" s="3111"/>
      <c r="X380" s="3111"/>
      <c r="Y380" s="3111"/>
      <c r="Z380" s="3111"/>
      <c r="AA380" s="3111"/>
      <c r="AB380" s="3111"/>
      <c r="AC380" s="3111"/>
      <c r="AD380" s="3111"/>
      <c r="AE380" s="3111"/>
      <c r="AF380" s="3111"/>
      <c r="AG380" s="3111"/>
      <c r="AH380" s="1645"/>
      <c r="AI380" s="1645"/>
      <c r="AJ380" s="1645"/>
      <c r="AK380" s="1645"/>
      <c r="AL380" s="1645"/>
      <c r="AN380" s="999"/>
    </row>
    <row r="381" spans="1:46" s="942" customFormat="1" ht="12.75" customHeight="1">
      <c r="A381" s="1059"/>
      <c r="B381" s="1022"/>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999"/>
    </row>
    <row r="382" spans="1:46" s="942" customFormat="1" ht="12.75" customHeight="1">
      <c r="A382" s="1070"/>
      <c r="B382" s="1018"/>
      <c r="C382" s="1646"/>
      <c r="D382" s="1018"/>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8"/>
      <c r="AC382" s="1018"/>
      <c r="AD382" s="1018"/>
      <c r="AE382" s="1018"/>
      <c r="AF382" s="1018"/>
      <c r="AG382" s="1018"/>
      <c r="AH382" s="1018"/>
      <c r="AI382" s="958" t="s">
        <v>1683</v>
      </c>
      <c r="AJ382" s="3090">
        <f>VLOOKUP($H$367,$AO$347:$AP$352,2,FALSE)+VLOOKUP($I$375,$AO$374:$AP$376,2,FALSE)</f>
        <v>4</v>
      </c>
      <c r="AK382" s="3092"/>
      <c r="AL382" s="1004"/>
      <c r="AM382" s="1121"/>
      <c r="AN382" s="999"/>
    </row>
    <row r="383" spans="1:46" s="942" customFormat="1" ht="12.75" customHeight="1">
      <c r="A383" s="1059"/>
      <c r="B383" s="1022"/>
      <c r="C383" s="1638"/>
      <c r="D383" s="1022"/>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2"/>
      <c r="AD383" s="1022"/>
      <c r="AE383" s="1642"/>
      <c r="AF383" s="1642"/>
      <c r="AG383" s="1642"/>
      <c r="AH383" s="1642"/>
      <c r="AI383" s="1642"/>
      <c r="AJ383" s="1642"/>
      <c r="AK383" s="1642"/>
      <c r="AL383" s="1642"/>
      <c r="AM383" s="1121"/>
      <c r="AN383" s="999"/>
    </row>
    <row r="384" spans="1:46" s="942" customFormat="1" ht="12.75" customHeight="1">
      <c r="A384" s="1059"/>
      <c r="B384" s="1022"/>
      <c r="C384" s="985" t="s">
        <v>1684</v>
      </c>
      <c r="D384" s="1011"/>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725</v>
      </c>
      <c r="E386" s="3131" t="s">
        <v>2193</v>
      </c>
      <c r="F386" s="3131"/>
      <c r="G386" s="3131"/>
      <c r="H386" s="3131"/>
      <c r="I386" s="3131"/>
      <c r="J386" s="3131"/>
      <c r="K386" s="3131"/>
      <c r="L386" s="3131"/>
      <c r="M386" s="3131"/>
      <c r="N386" s="3131"/>
      <c r="O386" s="3131"/>
      <c r="P386" s="3131"/>
      <c r="Q386" s="3131"/>
      <c r="R386" s="3131"/>
      <c r="S386" s="3131"/>
      <c r="T386" s="3131"/>
      <c r="U386" s="3131"/>
      <c r="V386" s="3131"/>
      <c r="W386" s="3131"/>
      <c r="X386" s="3131"/>
      <c r="Y386" s="3131"/>
      <c r="Z386" s="3131"/>
      <c r="AA386" s="3131"/>
      <c r="AB386" s="3131"/>
      <c r="AC386" s="3131"/>
      <c r="AD386" s="3131"/>
      <c r="AE386" s="931"/>
      <c r="AF386" s="3066" t="s">
        <v>1623</v>
      </c>
      <c r="AG386" s="3066"/>
      <c r="AH386" s="3066"/>
      <c r="AI386" s="3066"/>
      <c r="AJ386" s="3066"/>
      <c r="AK386" s="3066"/>
      <c r="AL386" s="3066"/>
      <c r="AM386" s="1025"/>
      <c r="AN386" s="1124"/>
    </row>
    <row r="387" spans="1:42" s="942" customFormat="1" ht="12.75" customHeight="1">
      <c r="A387" s="1125"/>
      <c r="B387" s="1022"/>
      <c r="C387" s="1638"/>
      <c r="D387" s="1105"/>
      <c r="E387" s="3131"/>
      <c r="F387" s="3131"/>
      <c r="G387" s="3131"/>
      <c r="H387" s="3131"/>
      <c r="I387" s="3131"/>
      <c r="J387" s="3131"/>
      <c r="K387" s="3131"/>
      <c r="L387" s="3131"/>
      <c r="M387" s="3131"/>
      <c r="N387" s="3131"/>
      <c r="O387" s="3131"/>
      <c r="P387" s="3131"/>
      <c r="Q387" s="3131"/>
      <c r="R387" s="3131"/>
      <c r="S387" s="3131"/>
      <c r="T387" s="3131"/>
      <c r="U387" s="3131"/>
      <c r="V387" s="3131"/>
      <c r="W387" s="3131"/>
      <c r="X387" s="3131"/>
      <c r="Y387" s="3131"/>
      <c r="Z387" s="3131"/>
      <c r="AA387" s="3131"/>
      <c r="AB387" s="3131"/>
      <c r="AC387" s="3131"/>
      <c r="AD387" s="3131"/>
      <c r="AE387" s="1005"/>
      <c r="AF387" s="1005"/>
      <c r="AG387" s="1005"/>
      <c r="AH387" s="1005"/>
      <c r="AI387" s="1005"/>
      <c r="AJ387" s="1005"/>
      <c r="AK387" s="1005"/>
      <c r="AL387" s="1005"/>
      <c r="AM387" s="1025"/>
      <c r="AN387" s="999"/>
    </row>
    <row r="388" spans="1:42" s="942" customFormat="1" ht="12.75" customHeight="1">
      <c r="A388" s="1059"/>
      <c r="B388" s="1022"/>
      <c r="C388" s="1639"/>
      <c r="D388" s="1105"/>
      <c r="E388" s="3131"/>
      <c r="F388" s="3131"/>
      <c r="G388" s="3131"/>
      <c r="H388" s="3131"/>
      <c r="I388" s="3131"/>
      <c r="J388" s="3131"/>
      <c r="K388" s="3131"/>
      <c r="L388" s="3131"/>
      <c r="M388" s="3131"/>
      <c r="N388" s="3131"/>
      <c r="O388" s="3131"/>
      <c r="P388" s="3131"/>
      <c r="Q388" s="3131"/>
      <c r="R388" s="3131"/>
      <c r="S388" s="3131"/>
      <c r="T388" s="3131"/>
      <c r="U388" s="3131"/>
      <c r="V388" s="3131"/>
      <c r="W388" s="3131"/>
      <c r="X388" s="3131"/>
      <c r="Y388" s="3131"/>
      <c r="Z388" s="3131"/>
      <c r="AA388" s="3131"/>
      <c r="AB388" s="3131"/>
      <c r="AC388" s="3131"/>
      <c r="AD388" s="3131"/>
      <c r="AE388" s="1005"/>
      <c r="AF388" s="1005"/>
      <c r="AG388" s="1005"/>
      <c r="AH388" s="1005"/>
      <c r="AI388" s="1005"/>
      <c r="AJ388" s="1005"/>
      <c r="AK388" s="1005"/>
      <c r="AL388" s="1005"/>
      <c r="AM388" s="1025"/>
      <c r="AN388" s="999"/>
    </row>
    <row r="389" spans="1:42" s="942" customFormat="1" ht="12.75" customHeight="1">
      <c r="A389" s="1059"/>
      <c r="B389" s="1022"/>
      <c r="C389" s="1639"/>
      <c r="D389" s="1105"/>
      <c r="E389" s="3131"/>
      <c r="F389" s="3131"/>
      <c r="G389" s="3131"/>
      <c r="H389" s="3131"/>
      <c r="I389" s="3131"/>
      <c r="J389" s="3131"/>
      <c r="K389" s="3131"/>
      <c r="L389" s="3131"/>
      <c r="M389" s="3131"/>
      <c r="N389" s="3131"/>
      <c r="O389" s="3131"/>
      <c r="P389" s="3131"/>
      <c r="Q389" s="3131"/>
      <c r="R389" s="3131"/>
      <c r="S389" s="3131"/>
      <c r="T389" s="3131"/>
      <c r="U389" s="3131"/>
      <c r="V389" s="3131"/>
      <c r="W389" s="3131"/>
      <c r="X389" s="3131"/>
      <c r="Y389" s="3131"/>
      <c r="Z389" s="3131"/>
      <c r="AA389" s="3131"/>
      <c r="AB389" s="3131"/>
      <c r="AC389" s="3131"/>
      <c r="AD389" s="3131"/>
      <c r="AE389" s="1005"/>
      <c r="AF389" s="1005"/>
      <c r="AG389" s="1005"/>
      <c r="AH389" s="1005"/>
      <c r="AI389" s="1005"/>
      <c r="AJ389" s="1005"/>
      <c r="AK389" s="1005"/>
      <c r="AL389" s="1005"/>
      <c r="AM389" s="1025"/>
      <c r="AN389" s="999"/>
    </row>
    <row r="390" spans="1:42" s="942" customFormat="1" ht="12.75" customHeight="1">
      <c r="A390" s="1059"/>
      <c r="B390" s="1022"/>
      <c r="C390" s="1639"/>
      <c r="D390" s="1105"/>
      <c r="E390" s="3131"/>
      <c r="F390" s="3131"/>
      <c r="G390" s="3131"/>
      <c r="H390" s="3131"/>
      <c r="I390" s="3131"/>
      <c r="J390" s="3131"/>
      <c r="K390" s="3131"/>
      <c r="L390" s="3131"/>
      <c r="M390" s="3131"/>
      <c r="N390" s="3131"/>
      <c r="O390" s="3131"/>
      <c r="P390" s="3131"/>
      <c r="Q390" s="3131"/>
      <c r="R390" s="3131"/>
      <c r="S390" s="3131"/>
      <c r="T390" s="3131"/>
      <c r="U390" s="3131"/>
      <c r="V390" s="3131"/>
      <c r="W390" s="3131"/>
      <c r="X390" s="3131"/>
      <c r="Y390" s="3131"/>
      <c r="Z390" s="3131"/>
      <c r="AA390" s="3131"/>
      <c r="AB390" s="3131"/>
      <c r="AC390" s="3131"/>
      <c r="AD390" s="3131"/>
      <c r="AE390" s="1005"/>
      <c r="AF390" s="1005"/>
      <c r="AG390" s="1005"/>
      <c r="AH390" s="1005"/>
      <c r="AI390" s="1005"/>
      <c r="AJ390" s="1005"/>
      <c r="AK390" s="1005"/>
      <c r="AL390" s="1005"/>
      <c r="AM390" s="1025"/>
      <c r="AN390" s="999"/>
    </row>
    <row r="391" spans="1:42" s="942" customFormat="1" ht="12.75" customHeight="1">
      <c r="A391" s="1059"/>
      <c r="B391" s="1022"/>
      <c r="C391" s="1639"/>
      <c r="D391" s="1105"/>
      <c r="E391" s="3131"/>
      <c r="F391" s="3131"/>
      <c r="G391" s="3131"/>
      <c r="H391" s="3131"/>
      <c r="I391" s="3131"/>
      <c r="J391" s="3131"/>
      <c r="K391" s="3131"/>
      <c r="L391" s="3131"/>
      <c r="M391" s="3131"/>
      <c r="N391" s="3131"/>
      <c r="O391" s="3131"/>
      <c r="P391" s="3131"/>
      <c r="Q391" s="3131"/>
      <c r="R391" s="3131"/>
      <c r="S391" s="3131"/>
      <c r="T391" s="3131"/>
      <c r="U391" s="3131"/>
      <c r="V391" s="3131"/>
      <c r="W391" s="3131"/>
      <c r="X391" s="3131"/>
      <c r="Y391" s="3131"/>
      <c r="Z391" s="3131"/>
      <c r="AA391" s="3131"/>
      <c r="AB391" s="3131"/>
      <c r="AC391" s="3131"/>
      <c r="AD391" s="3131"/>
      <c r="AE391" s="1005"/>
      <c r="AF391" s="1005"/>
      <c r="AG391" s="1005"/>
      <c r="AH391" s="1005"/>
      <c r="AI391" s="1005"/>
      <c r="AJ391" s="1005"/>
      <c r="AK391" s="1005"/>
      <c r="AL391" s="1005"/>
      <c r="AM391" s="1025"/>
      <c r="AN391" s="999"/>
    </row>
    <row r="392" spans="1:42" s="942" customFormat="1" ht="12.75" customHeight="1">
      <c r="A392" s="1118"/>
      <c r="B392" s="1034"/>
      <c r="C392" s="1648"/>
      <c r="D392" s="1105"/>
      <c r="E392" s="3131"/>
      <c r="F392" s="3131"/>
      <c r="G392" s="3131"/>
      <c r="H392" s="3131"/>
      <c r="I392" s="3131"/>
      <c r="J392" s="3131"/>
      <c r="K392" s="3131"/>
      <c r="L392" s="3131"/>
      <c r="M392" s="3131"/>
      <c r="N392" s="3131"/>
      <c r="O392" s="3131"/>
      <c r="P392" s="3131"/>
      <c r="Q392" s="3131"/>
      <c r="R392" s="3131"/>
      <c r="S392" s="3131"/>
      <c r="T392" s="3131"/>
      <c r="U392" s="3131"/>
      <c r="V392" s="3131"/>
      <c r="W392" s="3131"/>
      <c r="X392" s="3131"/>
      <c r="Y392" s="3131"/>
      <c r="Z392" s="3131"/>
      <c r="AA392" s="3131"/>
      <c r="AB392" s="3131"/>
      <c r="AC392" s="3131"/>
      <c r="AD392" s="3131"/>
      <c r="AE392" s="1034"/>
      <c r="AF392" s="1034"/>
      <c r="AG392" s="1034"/>
      <c r="AH392" s="1034"/>
      <c r="AI392" s="1034"/>
      <c r="AJ392" s="1034"/>
      <c r="AK392" s="1005"/>
      <c r="AL392" s="1005"/>
      <c r="AM392" s="1025"/>
      <c r="AN392" s="999"/>
    </row>
    <row r="393" spans="1:42" s="942" customFormat="1" ht="12.75" customHeight="1">
      <c r="A393" s="1059"/>
      <c r="B393" s="1034"/>
      <c r="C393" s="1648"/>
      <c r="D393" s="1105"/>
      <c r="E393" s="3131"/>
      <c r="F393" s="3131"/>
      <c r="G393" s="3131"/>
      <c r="H393" s="3131"/>
      <c r="I393" s="3131"/>
      <c r="J393" s="3131"/>
      <c r="K393" s="3131"/>
      <c r="L393" s="3131"/>
      <c r="M393" s="3131"/>
      <c r="N393" s="3131"/>
      <c r="O393" s="3131"/>
      <c r="P393" s="3131"/>
      <c r="Q393" s="3131"/>
      <c r="R393" s="3131"/>
      <c r="S393" s="3131"/>
      <c r="T393" s="3131"/>
      <c r="U393" s="3131"/>
      <c r="V393" s="3131"/>
      <c r="W393" s="3131"/>
      <c r="X393" s="3131"/>
      <c r="Y393" s="3131"/>
      <c r="Z393" s="3131"/>
      <c r="AA393" s="3131"/>
      <c r="AB393" s="3131"/>
      <c r="AC393" s="3131"/>
      <c r="AD393" s="3131"/>
      <c r="AE393" s="1034"/>
      <c r="AF393" s="1034"/>
      <c r="AG393" s="1034"/>
      <c r="AH393" s="1034"/>
      <c r="AI393" s="1034"/>
      <c r="AJ393" s="1034"/>
      <c r="AK393" s="1005"/>
      <c r="AL393" s="1005"/>
      <c r="AM393" s="1025"/>
      <c r="AN393" s="999"/>
    </row>
    <row r="394" spans="1:42" s="942" customFormat="1" ht="12" customHeight="1">
      <c r="A394" s="1059"/>
      <c r="B394" s="1034"/>
      <c r="C394" s="1648"/>
      <c r="D394" s="1105"/>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4"/>
      <c r="AF394" s="1034"/>
      <c r="AG394" s="1034"/>
      <c r="AH394" s="1034"/>
      <c r="AI394" s="1034"/>
      <c r="AJ394" s="1034"/>
      <c r="AK394" s="1005"/>
      <c r="AL394" s="1005"/>
      <c r="AM394" s="1025"/>
      <c r="AN394" s="999"/>
      <c r="AO394" s="1001" t="s">
        <v>626</v>
      </c>
      <c r="AP394" s="1126">
        <v>0</v>
      </c>
    </row>
    <row r="395" spans="1:42" s="942" customFormat="1" ht="12.75" customHeight="1">
      <c r="A395" s="1059"/>
      <c r="B395" s="1034"/>
      <c r="C395" s="1636"/>
      <c r="D395" s="1105"/>
      <c r="E395" s="1034" t="s">
        <v>1685</v>
      </c>
      <c r="F395" s="1649"/>
      <c r="G395" s="1649"/>
      <c r="H395" s="1649"/>
      <c r="I395" s="1649"/>
      <c r="J395" s="1649"/>
      <c r="K395" s="1649"/>
      <c r="L395" s="1649"/>
      <c r="M395" s="1649"/>
      <c r="N395" s="1649"/>
      <c r="O395" s="1649"/>
      <c r="P395" s="1649"/>
      <c r="Q395" s="1649"/>
      <c r="R395" s="1649"/>
      <c r="U395" s="1649"/>
      <c r="V395" s="1649"/>
      <c r="W395" s="1649"/>
      <c r="X395" s="3084" t="s">
        <v>626</v>
      </c>
      <c r="Y395" s="3084"/>
      <c r="Z395" s="1649"/>
      <c r="AA395" s="1649"/>
      <c r="AB395" s="1649"/>
      <c r="AC395" s="1649"/>
      <c r="AD395" s="1649"/>
      <c r="AE395" s="926"/>
      <c r="AF395" s="1034"/>
      <c r="AG395" s="1034"/>
      <c r="AH395" s="1034"/>
      <c r="AI395" s="1034"/>
      <c r="AJ395" s="1034"/>
      <c r="AK395" s="1005"/>
      <c r="AL395" s="1005"/>
      <c r="AM395" s="1025"/>
      <c r="AN395" s="999"/>
      <c r="AO395" s="1117" t="s">
        <v>725</v>
      </c>
      <c r="AP395" s="942">
        <v>5</v>
      </c>
    </row>
    <row r="396" spans="1:42" s="942" customFormat="1" ht="12.75" customHeight="1">
      <c r="A396" s="1059"/>
      <c r="B396" s="1034"/>
      <c r="C396" s="1648"/>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542</v>
      </c>
      <c r="AP396" s="1127">
        <v>4</v>
      </c>
    </row>
    <row r="397" spans="1:42" s="942" customFormat="1" ht="12.75" customHeight="1">
      <c r="A397" s="1059"/>
      <c r="B397" s="1005"/>
      <c r="C397" s="1636"/>
      <c r="D397" s="1105" t="s">
        <v>542</v>
      </c>
      <c r="E397" s="947" t="s">
        <v>1686</v>
      </c>
      <c r="F397" s="1650"/>
      <c r="G397" s="1650"/>
      <c r="H397" s="1650"/>
      <c r="I397" s="1650"/>
      <c r="J397" s="1650"/>
      <c r="K397" s="1650"/>
      <c r="L397" s="1650"/>
      <c r="M397" s="1650"/>
      <c r="N397" s="1650"/>
      <c r="O397" s="1650"/>
      <c r="P397" s="1650"/>
      <c r="Q397" s="1650"/>
      <c r="R397" s="1650"/>
      <c r="S397" s="1650"/>
      <c r="T397" s="1650"/>
      <c r="U397" s="926"/>
      <c r="V397" s="926"/>
      <c r="W397" s="1650"/>
      <c r="X397" s="1650"/>
      <c r="Y397" s="1650"/>
      <c r="Z397" s="1650"/>
      <c r="AA397" s="1650"/>
      <c r="AB397" s="1650"/>
      <c r="AC397" s="926"/>
      <c r="AD397" s="926"/>
      <c r="AE397" s="926"/>
      <c r="AF397" s="3066" t="s">
        <v>1687</v>
      </c>
      <c r="AG397" s="3066"/>
      <c r="AH397" s="3066"/>
      <c r="AI397" s="3066"/>
      <c r="AJ397" s="3066"/>
      <c r="AK397" s="3066"/>
      <c r="AL397" s="3066"/>
      <c r="AM397" s="1025"/>
      <c r="AN397" s="999"/>
      <c r="AO397" s="1117" t="s">
        <v>284</v>
      </c>
      <c r="AP397" s="942">
        <v>3</v>
      </c>
    </row>
    <row r="398" spans="1:42" s="1001" customFormat="1" ht="12.75" customHeight="1">
      <c r="A398" s="1059"/>
      <c r="B398" s="1005"/>
      <c r="C398" s="1636"/>
      <c r="D398" s="1022"/>
      <c r="E398" s="929"/>
      <c r="F398" s="1650"/>
      <c r="G398" s="1650"/>
      <c r="H398" s="1650"/>
      <c r="I398" s="1650"/>
      <c r="J398" s="1650"/>
      <c r="K398" s="1650"/>
      <c r="L398" s="1650"/>
      <c r="M398" s="1650"/>
      <c r="N398" s="1650"/>
      <c r="O398" s="1650"/>
      <c r="P398" s="1650"/>
      <c r="Q398" s="1650"/>
      <c r="R398" s="1650"/>
      <c r="S398" s="1650"/>
      <c r="T398" s="1650"/>
      <c r="U398" s="926"/>
      <c r="V398" s="929"/>
      <c r="W398" s="929"/>
      <c r="X398" s="1650"/>
      <c r="Y398" s="1650"/>
      <c r="Z398" s="1650"/>
      <c r="AA398" s="1650"/>
      <c r="AB398" s="1650"/>
      <c r="AC398" s="926"/>
      <c r="AD398" s="926"/>
      <c r="AE398" s="926"/>
      <c r="AF398" s="926"/>
      <c r="AG398" s="926"/>
      <c r="AH398" s="926"/>
      <c r="AI398" s="926"/>
      <c r="AJ398" s="926"/>
      <c r="AK398" s="1005"/>
      <c r="AL398" s="1005"/>
      <c r="AM398" s="1025"/>
      <c r="AN398" s="1000"/>
      <c r="AO398" s="1117" t="s">
        <v>1676</v>
      </c>
      <c r="AP398" s="1127">
        <v>4</v>
      </c>
    </row>
    <row r="399" spans="1:42" s="942" customFormat="1" ht="12.75" customHeight="1">
      <c r="A399" s="1059"/>
      <c r="B399" s="1005"/>
      <c r="C399" s="1636"/>
      <c r="D399" s="1022" t="s">
        <v>1679</v>
      </c>
      <c r="E399" s="1642"/>
      <c r="F399" s="1642"/>
      <c r="G399" s="1642"/>
      <c r="H399" s="3130" t="s">
        <v>725</v>
      </c>
      <c r="I399" s="3130"/>
      <c r="J399" s="1650"/>
      <c r="K399" s="1650"/>
      <c r="L399" s="1650"/>
      <c r="M399" s="1650"/>
      <c r="N399" s="1650"/>
      <c r="O399" s="1650"/>
      <c r="P399" s="1650"/>
      <c r="Q399" s="1650"/>
      <c r="R399" s="1650"/>
      <c r="S399" s="1650"/>
      <c r="T399" s="1650"/>
      <c r="U399" s="1642"/>
      <c r="V399" s="1642"/>
      <c r="W399" s="1642"/>
      <c r="X399" s="926"/>
      <c r="Y399" s="926"/>
      <c r="Z399" s="926"/>
      <c r="AA399" s="926"/>
      <c r="AB399" s="926"/>
      <c r="AC399" s="926"/>
      <c r="AD399" s="926"/>
      <c r="AE399" s="926"/>
      <c r="AF399" s="926"/>
      <c r="AG399" s="926"/>
      <c r="AH399" s="926"/>
      <c r="AI399" s="926"/>
      <c r="AJ399" s="926"/>
      <c r="AK399" s="926"/>
      <c r="AL399" s="926"/>
      <c r="AN399" s="999"/>
      <c r="AO399" s="1117" t="s">
        <v>1677</v>
      </c>
      <c r="AP399" s="942">
        <v>3</v>
      </c>
    </row>
    <row r="400" spans="1:42" s="942" customFormat="1" ht="12.75" customHeight="1">
      <c r="A400" s="1059"/>
      <c r="B400" s="1005"/>
      <c r="C400" s="1636"/>
      <c r="D400" s="926"/>
      <c r="E400" s="1642"/>
      <c r="F400" s="1650"/>
      <c r="G400" s="1650"/>
      <c r="H400" s="1650"/>
      <c r="I400" s="1651"/>
      <c r="J400" s="1650"/>
      <c r="K400" s="1650"/>
      <c r="L400" s="1650"/>
      <c r="M400" s="1650"/>
      <c r="N400" s="1650"/>
      <c r="O400" s="1650"/>
      <c r="P400" s="1650"/>
      <c r="Q400" s="1650"/>
      <c r="R400" s="926"/>
      <c r="S400" s="926"/>
      <c r="T400" s="1650"/>
      <c r="U400" s="1642"/>
      <c r="V400" s="1642"/>
      <c r="W400" s="1642"/>
      <c r="X400" s="1642"/>
      <c r="Y400" s="1642"/>
      <c r="Z400" s="1642"/>
      <c r="AA400" s="1642"/>
      <c r="AB400" s="1642"/>
      <c r="AC400" s="1022"/>
      <c r="AD400" s="1022"/>
      <c r="AE400" s="1022"/>
      <c r="AF400" s="1022"/>
      <c r="AG400" s="1022"/>
      <c r="AH400" s="1022"/>
      <c r="AI400" s="1650"/>
      <c r="AJ400" s="1650"/>
      <c r="AK400" s="1650"/>
      <c r="AL400" s="1650"/>
      <c r="AM400" s="1128"/>
      <c r="AN400" s="999"/>
      <c r="AO400" s="1117" t="s">
        <v>1688</v>
      </c>
      <c r="AP400" s="942">
        <v>2</v>
      </c>
    </row>
    <row r="401" spans="1:42" s="942" customFormat="1" ht="12.75" customHeight="1">
      <c r="A401" s="1070"/>
      <c r="B401" s="1008"/>
      <c r="C401" s="1652"/>
      <c r="D401" s="1018"/>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8"/>
      <c r="AC401" s="1018"/>
      <c r="AD401" s="1018"/>
      <c r="AE401" s="1018"/>
      <c r="AF401" s="1018"/>
      <c r="AG401" s="1018"/>
      <c r="AH401" s="1018"/>
      <c r="AI401" s="958" t="s">
        <v>1689</v>
      </c>
      <c r="AJ401" s="3090">
        <f>VLOOKUP($H$399,$AO$366:$AP$368,2,FALSE)</f>
        <v>3</v>
      </c>
      <c r="AK401" s="3092"/>
      <c r="AL401" s="1004"/>
      <c r="AM401" s="1001"/>
      <c r="AN401" s="999"/>
      <c r="AO401" s="1117" t="s">
        <v>1690</v>
      </c>
      <c r="AP401" s="942">
        <v>1</v>
      </c>
    </row>
    <row r="402" spans="1:42" s="942" customFormat="1" ht="12.75" customHeight="1">
      <c r="A402" s="1059"/>
      <c r="B402" s="1005"/>
      <c r="C402" s="1636"/>
      <c r="D402" s="1022"/>
      <c r="E402" s="1642"/>
      <c r="F402" s="1642"/>
      <c r="G402" s="1642"/>
      <c r="H402" s="1022"/>
      <c r="I402" s="1022"/>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2"/>
      <c r="AD402" s="1022"/>
      <c r="AE402" s="1022"/>
      <c r="AF402" s="1022"/>
      <c r="AG402" s="1022"/>
      <c r="AH402" s="1022"/>
      <c r="AI402" s="1022"/>
      <c r="AJ402" s="1593"/>
      <c r="AK402" s="1022"/>
      <c r="AL402" s="1022"/>
      <c r="AM402" s="1059"/>
      <c r="AN402" s="999"/>
    </row>
    <row r="403" spans="1:42" s="942" customFormat="1" ht="12.75" customHeight="1">
      <c r="A403" s="1059"/>
      <c r="B403" s="1005"/>
      <c r="C403" s="985" t="s">
        <v>1691</v>
      </c>
      <c r="D403" s="1022"/>
      <c r="E403" s="1642"/>
      <c r="F403" s="1650"/>
      <c r="G403" s="1650"/>
      <c r="H403" s="1650"/>
      <c r="I403" s="1650"/>
      <c r="J403" s="1650"/>
      <c r="K403" s="1650"/>
      <c r="L403" s="1650"/>
      <c r="M403" s="1650"/>
      <c r="N403" s="1650"/>
      <c r="O403" s="1650"/>
      <c r="P403" s="1650"/>
      <c r="Q403" s="1650"/>
      <c r="R403" s="1650"/>
      <c r="S403" s="1650"/>
      <c r="T403" s="1650"/>
      <c r="U403" s="990"/>
      <c r="V403" s="990"/>
      <c r="W403" s="1650"/>
      <c r="X403" s="1650"/>
      <c r="Y403" s="1650"/>
      <c r="Z403" s="1650"/>
      <c r="AA403" s="1650"/>
      <c r="AB403" s="1650"/>
      <c r="AC403" s="1595"/>
      <c r="AD403" s="1595"/>
      <c r="AE403" s="1595"/>
      <c r="AF403" s="1595"/>
      <c r="AG403" s="1595"/>
      <c r="AH403" s="1595"/>
      <c r="AI403" s="1595"/>
      <c r="AJ403" s="990"/>
      <c r="AK403" s="1005"/>
      <c r="AL403" s="1005"/>
      <c r="AM403" s="1025"/>
      <c r="AN403" s="999"/>
    </row>
    <row r="404" spans="1:42" s="942" customFormat="1" ht="12.75" customHeight="1">
      <c r="A404" s="1118"/>
      <c r="B404" s="1022"/>
      <c r="C404" s="1638"/>
      <c r="D404" s="1022"/>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725</v>
      </c>
      <c r="E405" s="1034" t="s">
        <v>1692</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6"/>
      <c r="AD405" s="926"/>
      <c r="AE405" s="926"/>
      <c r="AF405" s="3066" t="s">
        <v>1623</v>
      </c>
      <c r="AG405" s="3066"/>
      <c r="AH405" s="3066"/>
      <c r="AI405" s="3066"/>
      <c r="AJ405" s="3066"/>
      <c r="AK405" s="3066"/>
      <c r="AL405" s="3066"/>
      <c r="AM405" s="1025"/>
      <c r="AN405" s="999"/>
    </row>
    <row r="406" spans="1:42" s="942" customFormat="1" ht="12.75" customHeight="1">
      <c r="A406" s="1059"/>
      <c r="B406" s="926"/>
      <c r="C406" s="926"/>
      <c r="D406" s="1105"/>
      <c r="E406" s="1034" t="s">
        <v>1693</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6"/>
      <c r="AD406" s="926"/>
      <c r="AE406" s="1595"/>
      <c r="AF406" s="1595"/>
      <c r="AG406" s="1595"/>
      <c r="AH406" s="1595"/>
      <c r="AI406" s="1595"/>
      <c r="AJ406" s="1595"/>
      <c r="AK406" s="1595"/>
      <c r="AL406" s="1595"/>
      <c r="AM406" s="1025"/>
      <c r="AN406" s="999"/>
    </row>
    <row r="407" spans="1:42" s="942" customFormat="1" ht="12.75" customHeight="1">
      <c r="A407" s="1059"/>
      <c r="B407" s="1034"/>
      <c r="C407" s="1648"/>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6"/>
      <c r="D408" s="1105" t="s">
        <v>542</v>
      </c>
      <c r="E408" s="1034" t="s">
        <v>1694</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066" t="s">
        <v>1687</v>
      </c>
      <c r="AG408" s="3066"/>
      <c r="AH408" s="3066"/>
      <c r="AI408" s="3066"/>
      <c r="AJ408" s="3066"/>
      <c r="AK408" s="3066"/>
      <c r="AL408" s="3066"/>
      <c r="AM408" s="1025"/>
      <c r="AN408" s="999"/>
    </row>
    <row r="409" spans="1:42" s="942" customFormat="1" ht="12.75" customHeight="1">
      <c r="A409" s="1059"/>
      <c r="B409" s="1005"/>
      <c r="C409" s="1636"/>
      <c r="D409" s="1105"/>
      <c r="E409" s="1034" t="s">
        <v>1695</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5"/>
      <c r="AF409" s="1595"/>
      <c r="AG409" s="1595"/>
      <c r="AH409" s="1595"/>
      <c r="AI409" s="1595"/>
      <c r="AJ409" s="1595"/>
      <c r="AK409" s="1595"/>
      <c r="AL409" s="1595"/>
      <c r="AM409" s="1025"/>
      <c r="AN409" s="999"/>
    </row>
    <row r="410" spans="1:42" s="1001" customFormat="1" ht="12.75" customHeight="1">
      <c r="A410" s="1059"/>
      <c r="B410" s="1005"/>
      <c r="C410" s="1636"/>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6"/>
      <c r="D411" s="1022" t="s">
        <v>1679</v>
      </c>
      <c r="E411" s="1642"/>
      <c r="F411" s="1642"/>
      <c r="G411" s="1642"/>
      <c r="H411" s="3130" t="s">
        <v>542</v>
      </c>
      <c r="I411" s="3130"/>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6"/>
      <c r="D412" s="1022"/>
      <c r="E412" s="1642"/>
      <c r="F412" s="1642"/>
      <c r="G412" s="1034"/>
      <c r="H412" s="1034"/>
      <c r="I412" s="1034"/>
      <c r="J412" s="1034"/>
      <c r="K412" s="1034"/>
      <c r="L412" s="1034"/>
      <c r="M412" s="1034"/>
      <c r="N412" s="1034"/>
      <c r="O412" s="1034"/>
      <c r="P412" s="1034"/>
      <c r="Q412" s="1034"/>
      <c r="R412" s="1034"/>
      <c r="S412" s="1034"/>
      <c r="T412" s="1034"/>
      <c r="U412" s="1034"/>
      <c r="V412" s="1034"/>
      <c r="W412" s="1034"/>
      <c r="X412" s="1034"/>
      <c r="Y412" s="1034"/>
      <c r="Z412" s="1642"/>
      <c r="AA412" s="1642"/>
      <c r="AB412" s="1642"/>
      <c r="AC412" s="926"/>
      <c r="AD412" s="926"/>
      <c r="AE412" s="926"/>
      <c r="AF412" s="926"/>
      <c r="AG412" s="926"/>
      <c r="AH412" s="926"/>
      <c r="AI412" s="926"/>
      <c r="AJ412" s="1034"/>
      <c r="AK412" s="1034"/>
      <c r="AL412" s="1034"/>
      <c r="AM412" s="943"/>
      <c r="AN412" s="999"/>
    </row>
    <row r="413" spans="1:42" s="1001" customFormat="1" ht="12.75" customHeight="1">
      <c r="A413" s="1070"/>
      <c r="B413" s="1008"/>
      <c r="C413" s="1652"/>
      <c r="D413" s="1018"/>
      <c r="E413" s="1647"/>
      <c r="F413" s="1647"/>
      <c r="G413" s="1107"/>
      <c r="H413" s="1107"/>
      <c r="I413" s="1107"/>
      <c r="J413" s="1107"/>
      <c r="K413" s="1107"/>
      <c r="L413" s="1107"/>
      <c r="M413" s="1107"/>
      <c r="N413" s="1107"/>
      <c r="O413" s="1107"/>
      <c r="P413" s="1107"/>
      <c r="Q413" s="1107"/>
      <c r="R413" s="1107"/>
      <c r="S413" s="1107"/>
      <c r="T413" s="1107"/>
      <c r="U413" s="1107"/>
      <c r="V413" s="1107"/>
      <c r="W413" s="1107"/>
      <c r="X413" s="1107"/>
      <c r="Y413" s="1647"/>
      <c r="Z413" s="1647"/>
      <c r="AA413" s="1647"/>
      <c r="AB413" s="1018"/>
      <c r="AC413" s="1018"/>
      <c r="AD413" s="1018"/>
      <c r="AE413" s="1018"/>
      <c r="AF413" s="1018"/>
      <c r="AG413" s="1018"/>
      <c r="AH413" s="1018"/>
      <c r="AI413" s="958" t="s">
        <v>1696</v>
      </c>
      <c r="AJ413" s="3090">
        <f>VLOOKUP(H411,AT366:AU368,2,FALSE)</f>
        <v>2</v>
      </c>
      <c r="AK413" s="3092"/>
      <c r="AL413" s="1004"/>
      <c r="AN413" s="1000"/>
      <c r="AO413" s="1001" t="s">
        <v>626</v>
      </c>
      <c r="AP413" s="1126">
        <v>0</v>
      </c>
    </row>
    <row r="414" spans="1:42" s="942" customFormat="1" ht="12.75" customHeight="1">
      <c r="A414" s="1059"/>
      <c r="B414" s="1005"/>
      <c r="C414" s="1636"/>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725</v>
      </c>
      <c r="AP414" s="942">
        <v>3</v>
      </c>
    </row>
    <row r="415" spans="1:42" s="942" customFormat="1" ht="12.75" customHeight="1">
      <c r="B415" s="926"/>
      <c r="C415" s="985" t="s">
        <v>1697</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542</v>
      </c>
      <c r="AP415" s="942">
        <v>2</v>
      </c>
    </row>
    <row r="416" spans="1:42" s="942" customFormat="1" ht="12.75" customHeight="1">
      <c r="B416" s="926"/>
      <c r="C416" s="985"/>
      <c r="D416" s="1129" t="s">
        <v>1698</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725</v>
      </c>
      <c r="E418" s="3111" t="s">
        <v>1699</v>
      </c>
      <c r="F418" s="3111"/>
      <c r="G418" s="3111"/>
      <c r="H418" s="3111"/>
      <c r="I418" s="3111"/>
      <c r="J418" s="3111"/>
      <c r="K418" s="3111"/>
      <c r="L418" s="3111"/>
      <c r="M418" s="3111"/>
      <c r="N418" s="3111"/>
      <c r="O418" s="3111"/>
      <c r="P418" s="3111"/>
      <c r="Q418" s="3111"/>
      <c r="R418" s="3111"/>
      <c r="S418" s="3111"/>
      <c r="T418" s="3111"/>
      <c r="U418" s="3111"/>
      <c r="V418" s="3111"/>
      <c r="W418" s="3111"/>
      <c r="X418" s="3111"/>
      <c r="Y418" s="3111"/>
      <c r="Z418" s="3111"/>
      <c r="AA418" s="3111"/>
      <c r="AB418" s="3111"/>
      <c r="AC418" s="3111"/>
      <c r="AD418" s="926"/>
      <c r="AE418" s="926"/>
      <c r="AF418" s="3066" t="s">
        <v>1649</v>
      </c>
      <c r="AG418" s="3066"/>
      <c r="AH418" s="3066"/>
      <c r="AI418" s="3066"/>
      <c r="AJ418" s="3066"/>
      <c r="AK418" s="3066"/>
      <c r="AL418" s="3066"/>
      <c r="AN418" s="999"/>
    </row>
    <row r="419" spans="1:42" s="942" customFormat="1" ht="12.75" customHeight="1">
      <c r="B419" s="926"/>
      <c r="C419" s="985"/>
      <c r="D419" s="926"/>
      <c r="E419" s="3111"/>
      <c r="F419" s="3111"/>
      <c r="G419" s="3111"/>
      <c r="H419" s="3111"/>
      <c r="I419" s="3111"/>
      <c r="J419" s="3111"/>
      <c r="K419" s="3111"/>
      <c r="L419" s="3111"/>
      <c r="M419" s="3111"/>
      <c r="N419" s="3111"/>
      <c r="O419" s="3111"/>
      <c r="P419" s="3111"/>
      <c r="Q419" s="3111"/>
      <c r="R419" s="3111"/>
      <c r="S419" s="3111"/>
      <c r="T419" s="3111"/>
      <c r="U419" s="3111"/>
      <c r="V419" s="3111"/>
      <c r="W419" s="3111"/>
      <c r="X419" s="3111"/>
      <c r="Y419" s="3111"/>
      <c r="Z419" s="3111"/>
      <c r="AA419" s="3111"/>
      <c r="AB419" s="3111"/>
      <c r="AC419" s="3111"/>
      <c r="AD419" s="926"/>
      <c r="AE419" s="926"/>
      <c r="AF419" s="926"/>
      <c r="AG419" s="926"/>
      <c r="AH419" s="926"/>
      <c r="AI419" s="926"/>
      <c r="AJ419" s="926"/>
      <c r="AK419" s="926"/>
      <c r="AL419" s="926"/>
      <c r="AN419" s="999"/>
    </row>
    <row r="420" spans="1:42" s="942" customFormat="1" ht="12.75" customHeight="1">
      <c r="B420" s="926"/>
      <c r="C420" s="985"/>
      <c r="D420" s="1105"/>
      <c r="E420" s="3111"/>
      <c r="F420" s="3111"/>
      <c r="G420" s="3111"/>
      <c r="H420" s="3111"/>
      <c r="I420" s="3111"/>
      <c r="J420" s="3111"/>
      <c r="K420" s="3111"/>
      <c r="L420" s="3111"/>
      <c r="M420" s="3111"/>
      <c r="N420" s="3111"/>
      <c r="O420" s="3111"/>
      <c r="P420" s="3111"/>
      <c r="Q420" s="3111"/>
      <c r="R420" s="3111"/>
      <c r="S420" s="3111"/>
      <c r="T420" s="3111"/>
      <c r="U420" s="3111"/>
      <c r="V420" s="3111"/>
      <c r="W420" s="3111"/>
      <c r="X420" s="3111"/>
      <c r="Y420" s="3111"/>
      <c r="Z420" s="3111"/>
      <c r="AA420" s="3111"/>
      <c r="AB420" s="3111"/>
      <c r="AC420" s="3111"/>
      <c r="AD420" s="926"/>
      <c r="AE420" s="926"/>
      <c r="AF420" s="926"/>
      <c r="AG420" s="926"/>
      <c r="AH420" s="926"/>
      <c r="AI420" s="926"/>
      <c r="AJ420" s="926"/>
      <c r="AK420" s="926"/>
      <c r="AL420" s="926"/>
      <c r="AN420" s="999"/>
    </row>
    <row r="421" spans="1:42" s="942" customFormat="1" ht="15" customHeight="1">
      <c r="B421" s="926"/>
      <c r="C421" s="985"/>
      <c r="D421" s="926"/>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6"/>
      <c r="AD421" s="926"/>
      <c r="AE421" s="926"/>
      <c r="AF421" s="926"/>
      <c r="AG421" s="926"/>
      <c r="AH421" s="926"/>
      <c r="AI421" s="926"/>
      <c r="AJ421" s="926"/>
      <c r="AK421" s="926"/>
      <c r="AL421" s="926"/>
      <c r="AN421" s="999"/>
    </row>
    <row r="422" spans="1:42" s="942" customFormat="1" ht="12.75" customHeight="1">
      <c r="B422" s="926"/>
      <c r="C422" s="985"/>
      <c r="D422" s="1105" t="s">
        <v>542</v>
      </c>
      <c r="E422" s="3111" t="s">
        <v>1700</v>
      </c>
      <c r="F422" s="3111"/>
      <c r="G422" s="3111"/>
      <c r="H422" s="3111"/>
      <c r="I422" s="3111"/>
      <c r="J422" s="3111"/>
      <c r="K422" s="3111"/>
      <c r="L422" s="3111"/>
      <c r="M422" s="3111"/>
      <c r="N422" s="3111"/>
      <c r="O422" s="3111"/>
      <c r="P422" s="3111"/>
      <c r="Q422" s="3111"/>
      <c r="R422" s="3111"/>
      <c r="S422" s="3111"/>
      <c r="T422" s="3111"/>
      <c r="U422" s="3111"/>
      <c r="V422" s="3111"/>
      <c r="W422" s="3111"/>
      <c r="X422" s="3111"/>
      <c r="Y422" s="3111"/>
      <c r="Z422" s="3111"/>
      <c r="AA422" s="3111"/>
      <c r="AB422" s="3111"/>
      <c r="AC422" s="3111"/>
      <c r="AD422" s="926"/>
      <c r="AE422" s="926"/>
      <c r="AF422" s="3066" t="s">
        <v>1678</v>
      </c>
      <c r="AG422" s="3066"/>
      <c r="AH422" s="3066"/>
      <c r="AI422" s="3066"/>
      <c r="AJ422" s="3066"/>
      <c r="AK422" s="3066"/>
      <c r="AL422" s="3066"/>
      <c r="AN422" s="999"/>
    </row>
    <row r="423" spans="1:42" s="942" customFormat="1" ht="12.75" customHeight="1">
      <c r="B423" s="926"/>
      <c r="C423" s="985"/>
      <c r="D423" s="926"/>
      <c r="E423" s="3111"/>
      <c r="F423" s="3111"/>
      <c r="G423" s="3111"/>
      <c r="H423" s="3111"/>
      <c r="I423" s="3111"/>
      <c r="J423" s="3111"/>
      <c r="K423" s="3111"/>
      <c r="L423" s="3111"/>
      <c r="M423" s="3111"/>
      <c r="N423" s="3111"/>
      <c r="O423" s="3111"/>
      <c r="P423" s="3111"/>
      <c r="Q423" s="3111"/>
      <c r="R423" s="3111"/>
      <c r="S423" s="3111"/>
      <c r="T423" s="3111"/>
      <c r="U423" s="3111"/>
      <c r="V423" s="3111"/>
      <c r="W423" s="3111"/>
      <c r="X423" s="3111"/>
      <c r="Y423" s="3111"/>
      <c r="Z423" s="3111"/>
      <c r="AA423" s="3111"/>
      <c r="AB423" s="3111"/>
      <c r="AC423" s="3111"/>
      <c r="AD423" s="926"/>
      <c r="AE423" s="926"/>
      <c r="AF423" s="926"/>
      <c r="AG423" s="926"/>
      <c r="AH423" s="926"/>
      <c r="AI423" s="926"/>
      <c r="AJ423" s="926"/>
      <c r="AK423" s="926"/>
      <c r="AL423" s="926"/>
      <c r="AN423" s="999"/>
    </row>
    <row r="424" spans="1:42" s="942" customFormat="1" ht="15" customHeight="1">
      <c r="B424" s="926"/>
      <c r="C424" s="985"/>
      <c r="D424" s="1105"/>
      <c r="E424" s="3111"/>
      <c r="F424" s="3111"/>
      <c r="G424" s="3111"/>
      <c r="H424" s="3111"/>
      <c r="I424" s="3111"/>
      <c r="J424" s="3111"/>
      <c r="K424" s="3111"/>
      <c r="L424" s="3111"/>
      <c r="M424" s="3111"/>
      <c r="N424" s="3111"/>
      <c r="O424" s="3111"/>
      <c r="P424" s="3111"/>
      <c r="Q424" s="3111"/>
      <c r="R424" s="3111"/>
      <c r="S424" s="3111"/>
      <c r="T424" s="3111"/>
      <c r="U424" s="3111"/>
      <c r="V424" s="3111"/>
      <c r="W424" s="3111"/>
      <c r="X424" s="3111"/>
      <c r="Y424" s="3111"/>
      <c r="Z424" s="3111"/>
      <c r="AA424" s="3111"/>
      <c r="AB424" s="3111"/>
      <c r="AC424" s="3111"/>
      <c r="AD424" s="926"/>
      <c r="AE424" s="926"/>
      <c r="AF424" s="926"/>
      <c r="AG424" s="926"/>
      <c r="AH424" s="926"/>
      <c r="AI424" s="926"/>
      <c r="AJ424" s="926"/>
      <c r="AK424" s="926"/>
      <c r="AL424" s="926"/>
      <c r="AN424" s="999"/>
    </row>
    <row r="425" spans="1:42" s="1001" customFormat="1" ht="12.75" customHeight="1">
      <c r="A425" s="942"/>
      <c r="B425" s="926"/>
      <c r="C425" s="985"/>
      <c r="D425" s="926"/>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6"/>
      <c r="AD425" s="926"/>
      <c r="AE425" s="926"/>
      <c r="AF425" s="929"/>
      <c r="AG425" s="929"/>
      <c r="AH425" s="929"/>
      <c r="AI425" s="929"/>
      <c r="AJ425" s="929"/>
      <c r="AK425" s="929"/>
      <c r="AL425" s="929"/>
      <c r="AM425" s="942"/>
      <c r="AN425" s="1000"/>
    </row>
    <row r="426" spans="1:42" s="942" customFormat="1" ht="12.75" customHeight="1">
      <c r="B426" s="926"/>
      <c r="C426" s="985"/>
      <c r="D426" s="1105" t="s">
        <v>284</v>
      </c>
      <c r="E426" s="3111" t="s">
        <v>1701</v>
      </c>
      <c r="F426" s="3111"/>
      <c r="G426" s="3111"/>
      <c r="H426" s="3111"/>
      <c r="I426" s="3111"/>
      <c r="J426" s="3111"/>
      <c r="K426" s="3111"/>
      <c r="L426" s="3111"/>
      <c r="M426" s="3111"/>
      <c r="N426" s="3111"/>
      <c r="O426" s="3111"/>
      <c r="P426" s="3111"/>
      <c r="Q426" s="3111"/>
      <c r="R426" s="3111"/>
      <c r="S426" s="3111"/>
      <c r="T426" s="3111"/>
      <c r="U426" s="3111"/>
      <c r="V426" s="3111"/>
      <c r="W426" s="3111"/>
      <c r="X426" s="3111"/>
      <c r="Y426" s="3111"/>
      <c r="Z426" s="3111"/>
      <c r="AA426" s="3111"/>
      <c r="AB426" s="3111"/>
      <c r="AC426" s="3111"/>
      <c r="AD426" s="926"/>
      <c r="AE426" s="926"/>
      <c r="AF426" s="3066" t="s">
        <v>1623</v>
      </c>
      <c r="AG426" s="3066"/>
      <c r="AH426" s="3066"/>
      <c r="AI426" s="3066"/>
      <c r="AJ426" s="3066"/>
      <c r="AK426" s="3066"/>
      <c r="AL426" s="3066"/>
      <c r="AN426" s="999"/>
    </row>
    <row r="427" spans="1:42" s="942" customFormat="1" ht="12.75" customHeight="1">
      <c r="A427" s="1059"/>
      <c r="B427" s="1022"/>
      <c r="C427" s="1639"/>
      <c r="D427" s="926"/>
      <c r="E427" s="3111"/>
      <c r="F427" s="3111"/>
      <c r="G427" s="3111"/>
      <c r="H427" s="3111"/>
      <c r="I427" s="3111"/>
      <c r="J427" s="3111"/>
      <c r="K427" s="3111"/>
      <c r="L427" s="3111"/>
      <c r="M427" s="3111"/>
      <c r="N427" s="3111"/>
      <c r="O427" s="3111"/>
      <c r="P427" s="3111"/>
      <c r="Q427" s="3111"/>
      <c r="R427" s="3111"/>
      <c r="S427" s="3111"/>
      <c r="T427" s="3111"/>
      <c r="U427" s="3111"/>
      <c r="V427" s="3111"/>
      <c r="W427" s="3111"/>
      <c r="X427" s="3111"/>
      <c r="Y427" s="3111"/>
      <c r="Z427" s="3111"/>
      <c r="AA427" s="3111"/>
      <c r="AB427" s="3111"/>
      <c r="AC427" s="3111"/>
      <c r="AD427" s="926"/>
      <c r="AE427" s="3066"/>
      <c r="AF427" s="3066"/>
      <c r="AG427" s="3066"/>
      <c r="AH427" s="3066"/>
      <c r="AI427" s="3066"/>
      <c r="AJ427" s="3066"/>
      <c r="AK427" s="3066"/>
      <c r="AL427" s="1595"/>
      <c r="AM427" s="1025"/>
      <c r="AN427" s="999"/>
      <c r="AO427" s="942" t="s">
        <v>626</v>
      </c>
      <c r="AP427" s="1119">
        <v>0</v>
      </c>
    </row>
    <row r="428" spans="1:42" s="942" customFormat="1" ht="12.75" customHeight="1">
      <c r="A428" s="1125"/>
      <c r="B428" s="926"/>
      <c r="C428" s="926"/>
      <c r="D428" s="1105"/>
      <c r="E428" s="3111"/>
      <c r="F428" s="3111"/>
      <c r="G428" s="3111"/>
      <c r="H428" s="3111"/>
      <c r="I428" s="3111"/>
      <c r="J428" s="3111"/>
      <c r="K428" s="3111"/>
      <c r="L428" s="3111"/>
      <c r="M428" s="3111"/>
      <c r="N428" s="3111"/>
      <c r="O428" s="3111"/>
      <c r="P428" s="3111"/>
      <c r="Q428" s="3111"/>
      <c r="R428" s="3111"/>
      <c r="S428" s="3111"/>
      <c r="T428" s="3111"/>
      <c r="U428" s="3111"/>
      <c r="V428" s="3111"/>
      <c r="W428" s="3111"/>
      <c r="X428" s="3111"/>
      <c r="Y428" s="3111"/>
      <c r="Z428" s="3111"/>
      <c r="AA428" s="3111"/>
      <c r="AB428" s="3111"/>
      <c r="AC428" s="3111"/>
      <c r="AD428" s="926"/>
      <c r="AE428" s="926"/>
      <c r="AF428" s="926"/>
      <c r="AG428" s="1005"/>
      <c r="AH428" s="1005"/>
      <c r="AI428" s="1005"/>
      <c r="AJ428" s="1005"/>
      <c r="AK428" s="1005"/>
      <c r="AL428" s="1005"/>
      <c r="AM428" s="1025"/>
      <c r="AN428" s="999"/>
      <c r="AO428" s="1117" t="s">
        <v>725</v>
      </c>
      <c r="AP428" s="942">
        <v>3</v>
      </c>
    </row>
    <row r="429" spans="1:42" s="942" customFormat="1" ht="12.75" customHeight="1">
      <c r="A429" s="1059"/>
      <c r="B429" s="1022"/>
      <c r="C429" s="1639"/>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542</v>
      </c>
      <c r="AP429" s="942">
        <v>2</v>
      </c>
    </row>
    <row r="430" spans="1:42" s="942" customFormat="1" ht="12.75" customHeight="1">
      <c r="A430" s="1114"/>
      <c r="B430" s="1022"/>
      <c r="C430" s="1655"/>
      <c r="D430" s="1105" t="s">
        <v>1676</v>
      </c>
      <c r="E430" s="3111" t="s">
        <v>1702</v>
      </c>
      <c r="F430" s="3111"/>
      <c r="G430" s="3111"/>
      <c r="H430" s="3111"/>
      <c r="I430" s="3111"/>
      <c r="J430" s="3111"/>
      <c r="K430" s="3111"/>
      <c r="L430" s="3111"/>
      <c r="M430" s="3111"/>
      <c r="N430" s="3111"/>
      <c r="O430" s="3111"/>
      <c r="P430" s="3111"/>
      <c r="Q430" s="3111"/>
      <c r="R430" s="3111"/>
      <c r="S430" s="3111"/>
      <c r="T430" s="3111"/>
      <c r="U430" s="3111"/>
      <c r="V430" s="3111"/>
      <c r="W430" s="3111"/>
      <c r="X430" s="3111"/>
      <c r="Y430" s="3111"/>
      <c r="Z430" s="3111"/>
      <c r="AA430" s="3111"/>
      <c r="AB430" s="3111"/>
      <c r="AC430" s="3111"/>
      <c r="AD430" s="926"/>
      <c r="AE430" s="926"/>
      <c r="AF430" s="3066" t="s">
        <v>1678</v>
      </c>
      <c r="AG430" s="3066"/>
      <c r="AH430" s="3066"/>
      <c r="AI430" s="3066"/>
      <c r="AJ430" s="3066"/>
      <c r="AK430" s="3066"/>
      <c r="AL430" s="3066"/>
      <c r="AN430" s="999"/>
    </row>
    <row r="431" spans="1:42" s="942" customFormat="1" ht="12.75" customHeight="1">
      <c r="A431" s="1114"/>
      <c r="B431" s="1022"/>
      <c r="C431" s="1655"/>
      <c r="D431" s="1105"/>
      <c r="E431" s="3111"/>
      <c r="F431" s="3111"/>
      <c r="G431" s="3111"/>
      <c r="H431" s="3111"/>
      <c r="I431" s="3111"/>
      <c r="J431" s="3111"/>
      <c r="K431" s="3111"/>
      <c r="L431" s="3111"/>
      <c r="M431" s="3111"/>
      <c r="N431" s="3111"/>
      <c r="O431" s="3111"/>
      <c r="P431" s="3111"/>
      <c r="Q431" s="3111"/>
      <c r="R431" s="3111"/>
      <c r="S431" s="3111"/>
      <c r="T431" s="3111"/>
      <c r="U431" s="3111"/>
      <c r="V431" s="3111"/>
      <c r="W431" s="3111"/>
      <c r="X431" s="3111"/>
      <c r="Y431" s="3111"/>
      <c r="Z431" s="3111"/>
      <c r="AA431" s="3111"/>
      <c r="AB431" s="3111"/>
      <c r="AC431" s="3111"/>
      <c r="AD431" s="926"/>
      <c r="AE431" s="1595"/>
      <c r="AF431" s="1595"/>
      <c r="AG431" s="1595"/>
      <c r="AH431" s="1595"/>
      <c r="AI431" s="1595"/>
      <c r="AJ431" s="1595"/>
      <c r="AK431" s="1595"/>
      <c r="AL431" s="1595"/>
      <c r="AM431" s="1064"/>
      <c r="AN431" s="999"/>
    </row>
    <row r="432" spans="1:42" s="942" customFormat="1" ht="12.75" customHeight="1">
      <c r="A432" s="1114"/>
      <c r="B432" s="1022"/>
      <c r="C432" s="1655"/>
      <c r="D432" s="1105"/>
      <c r="E432" s="3111"/>
      <c r="F432" s="3111"/>
      <c r="G432" s="3111"/>
      <c r="H432" s="3111"/>
      <c r="I432" s="3111"/>
      <c r="J432" s="3111"/>
      <c r="K432" s="3111"/>
      <c r="L432" s="3111"/>
      <c r="M432" s="3111"/>
      <c r="N432" s="3111"/>
      <c r="O432" s="3111"/>
      <c r="P432" s="3111"/>
      <c r="Q432" s="3111"/>
      <c r="R432" s="3111"/>
      <c r="S432" s="3111"/>
      <c r="T432" s="3111"/>
      <c r="U432" s="3111"/>
      <c r="V432" s="3111"/>
      <c r="W432" s="3111"/>
      <c r="X432" s="3111"/>
      <c r="Y432" s="3111"/>
      <c r="Z432" s="3111"/>
      <c r="AA432" s="3111"/>
      <c r="AB432" s="3111"/>
      <c r="AC432" s="3111"/>
      <c r="AD432" s="926"/>
      <c r="AE432" s="1595"/>
      <c r="AF432" s="1595"/>
      <c r="AG432" s="1595"/>
      <c r="AH432" s="1595"/>
      <c r="AI432" s="1595"/>
      <c r="AJ432" s="1595"/>
      <c r="AK432" s="1595"/>
      <c r="AL432" s="1595"/>
      <c r="AM432" s="1064"/>
      <c r="AN432" s="999"/>
    </row>
    <row r="433" spans="1:42" s="942" customFormat="1" ht="12.75" customHeight="1">
      <c r="A433" s="1059"/>
      <c r="B433" s="1005"/>
      <c r="C433" s="1636"/>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5"/>
      <c r="AM433" s="1064"/>
      <c r="AN433" s="999"/>
    </row>
    <row r="434" spans="1:42" s="942" customFormat="1" ht="12.75" customHeight="1">
      <c r="A434" s="1059"/>
      <c r="B434" s="1022"/>
      <c r="C434" s="1639"/>
      <c r="D434" s="1105" t="s">
        <v>1677</v>
      </c>
      <c r="E434" s="3111" t="s">
        <v>1703</v>
      </c>
      <c r="F434" s="3111"/>
      <c r="G434" s="3111"/>
      <c r="H434" s="3111"/>
      <c r="I434" s="3111"/>
      <c r="J434" s="3111"/>
      <c r="K434" s="3111"/>
      <c r="L434" s="3111"/>
      <c r="M434" s="3111"/>
      <c r="N434" s="3111"/>
      <c r="O434" s="3111"/>
      <c r="P434" s="3111"/>
      <c r="Q434" s="3111"/>
      <c r="R434" s="3111"/>
      <c r="S434" s="3111"/>
      <c r="T434" s="3111"/>
      <c r="U434" s="3111"/>
      <c r="V434" s="3111"/>
      <c r="W434" s="3111"/>
      <c r="X434" s="3111"/>
      <c r="Y434" s="3111"/>
      <c r="Z434" s="3111"/>
      <c r="AA434" s="3111"/>
      <c r="AB434" s="3111"/>
      <c r="AC434" s="3111"/>
      <c r="AD434" s="926"/>
      <c r="AE434" s="926"/>
      <c r="AF434" s="3066" t="s">
        <v>1623</v>
      </c>
      <c r="AG434" s="3066"/>
      <c r="AH434" s="3066"/>
      <c r="AI434" s="3066"/>
      <c r="AJ434" s="3066"/>
      <c r="AK434" s="3066"/>
      <c r="AL434" s="3066"/>
      <c r="AM434" s="1064"/>
      <c r="AN434" s="999"/>
    </row>
    <row r="435" spans="1:42" s="942" customFormat="1" ht="12.75" customHeight="1">
      <c r="A435" s="1059"/>
      <c r="B435" s="1022"/>
      <c r="C435" s="1639"/>
      <c r="D435" s="1105"/>
      <c r="E435" s="3111"/>
      <c r="F435" s="3111"/>
      <c r="G435" s="3111"/>
      <c r="H435" s="3111"/>
      <c r="I435" s="3111"/>
      <c r="J435" s="3111"/>
      <c r="K435" s="3111"/>
      <c r="L435" s="3111"/>
      <c r="M435" s="3111"/>
      <c r="N435" s="3111"/>
      <c r="O435" s="3111"/>
      <c r="P435" s="3111"/>
      <c r="Q435" s="3111"/>
      <c r="R435" s="3111"/>
      <c r="S435" s="3111"/>
      <c r="T435" s="3111"/>
      <c r="U435" s="3111"/>
      <c r="V435" s="3111"/>
      <c r="W435" s="3111"/>
      <c r="X435" s="3111"/>
      <c r="Y435" s="3111"/>
      <c r="Z435" s="3111"/>
      <c r="AA435" s="3111"/>
      <c r="AB435" s="3111"/>
      <c r="AC435" s="3111"/>
      <c r="AD435" s="926"/>
      <c r="AE435" s="1005"/>
      <c r="AF435" s="1005"/>
      <c r="AG435" s="926"/>
      <c r="AH435" s="1005"/>
      <c r="AI435" s="1005"/>
      <c r="AJ435" s="1005"/>
      <c r="AK435" s="1005"/>
      <c r="AL435" s="1005"/>
      <c r="AM435" s="1064"/>
      <c r="AN435" s="999"/>
    </row>
    <row r="436" spans="1:42" s="942" customFormat="1" ht="12.75" customHeight="1">
      <c r="A436" s="1059"/>
      <c r="B436" s="1022"/>
      <c r="C436" s="1639"/>
      <c r="D436" s="1105"/>
      <c r="E436" s="3111"/>
      <c r="F436" s="3111"/>
      <c r="G436" s="3111"/>
      <c r="H436" s="3111"/>
      <c r="I436" s="3111"/>
      <c r="J436" s="3111"/>
      <c r="K436" s="3111"/>
      <c r="L436" s="3111"/>
      <c r="M436" s="3111"/>
      <c r="N436" s="3111"/>
      <c r="O436" s="3111"/>
      <c r="P436" s="3111"/>
      <c r="Q436" s="3111"/>
      <c r="R436" s="3111"/>
      <c r="S436" s="3111"/>
      <c r="T436" s="3111"/>
      <c r="U436" s="3111"/>
      <c r="V436" s="3111"/>
      <c r="W436" s="3111"/>
      <c r="X436" s="3111"/>
      <c r="Y436" s="3111"/>
      <c r="Z436" s="3111"/>
      <c r="AA436" s="3111"/>
      <c r="AB436" s="3111"/>
      <c r="AC436" s="3111"/>
      <c r="AD436" s="926"/>
      <c r="AE436" s="1005"/>
      <c r="AF436" s="1005"/>
      <c r="AG436" s="926"/>
      <c r="AH436" s="1005"/>
      <c r="AI436" s="1005"/>
      <c r="AJ436" s="1005"/>
      <c r="AK436" s="1005"/>
      <c r="AL436" s="1005"/>
      <c r="AM436" s="1064"/>
      <c r="AN436" s="999"/>
    </row>
    <row r="437" spans="1:42" s="1001" customFormat="1" ht="12.75" customHeight="1">
      <c r="A437" s="1059"/>
      <c r="B437" s="926"/>
      <c r="C437" s="1656"/>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6"/>
      <c r="D438" s="1105" t="s">
        <v>1688</v>
      </c>
      <c r="E438" s="3111" t="s">
        <v>1704</v>
      </c>
      <c r="F438" s="3111"/>
      <c r="G438" s="3111"/>
      <c r="H438" s="3111"/>
      <c r="I438" s="3111"/>
      <c r="J438" s="3111"/>
      <c r="K438" s="3111"/>
      <c r="L438" s="3111"/>
      <c r="M438" s="3111"/>
      <c r="N438" s="3111"/>
      <c r="O438" s="3111"/>
      <c r="P438" s="3111"/>
      <c r="Q438" s="3111"/>
      <c r="R438" s="3111"/>
      <c r="S438" s="3111"/>
      <c r="T438" s="3111"/>
      <c r="U438" s="3111"/>
      <c r="V438" s="3111"/>
      <c r="W438" s="3111"/>
      <c r="X438" s="3111"/>
      <c r="Y438" s="3111"/>
      <c r="Z438" s="3111"/>
      <c r="AA438" s="3111"/>
      <c r="AB438" s="3111"/>
      <c r="AC438" s="3111"/>
      <c r="AD438" s="926"/>
      <c r="AE438" s="926"/>
      <c r="AF438" s="3066" t="s">
        <v>1687</v>
      </c>
      <c r="AG438" s="3066"/>
      <c r="AH438" s="3066"/>
      <c r="AI438" s="3066"/>
      <c r="AJ438" s="3066"/>
      <c r="AK438" s="3066"/>
      <c r="AL438" s="3066"/>
      <c r="AM438" s="1064"/>
      <c r="AN438" s="999"/>
    </row>
    <row r="439" spans="1:42" s="942" customFormat="1" ht="12.75" customHeight="1">
      <c r="A439" s="1598"/>
      <c r="B439" s="1005"/>
      <c r="C439" s="1636"/>
      <c r="D439" s="1105"/>
      <c r="E439" s="3111"/>
      <c r="F439" s="3111"/>
      <c r="G439" s="3111"/>
      <c r="H439" s="3111"/>
      <c r="I439" s="3111"/>
      <c r="J439" s="3111"/>
      <c r="K439" s="3111"/>
      <c r="L439" s="3111"/>
      <c r="M439" s="3111"/>
      <c r="N439" s="3111"/>
      <c r="O439" s="3111"/>
      <c r="P439" s="3111"/>
      <c r="Q439" s="3111"/>
      <c r="R439" s="3111"/>
      <c r="S439" s="3111"/>
      <c r="T439" s="3111"/>
      <c r="U439" s="3111"/>
      <c r="V439" s="3111"/>
      <c r="W439" s="3111"/>
      <c r="X439" s="3111"/>
      <c r="Y439" s="3111"/>
      <c r="Z439" s="3111"/>
      <c r="AA439" s="3111"/>
      <c r="AB439" s="3111"/>
      <c r="AC439" s="3111"/>
      <c r="AD439" s="926"/>
      <c r="AE439" s="926"/>
      <c r="AF439" s="1595"/>
      <c r="AG439" s="1595"/>
      <c r="AH439" s="1595"/>
      <c r="AI439" s="1595"/>
      <c r="AJ439" s="1595"/>
      <c r="AK439" s="1595"/>
      <c r="AL439" s="1595"/>
      <c r="AM439" s="1064"/>
      <c r="AN439" s="999"/>
    </row>
    <row r="440" spans="1:42" s="942" customFormat="1" ht="12.75" customHeight="1">
      <c r="A440" s="1125"/>
      <c r="B440" s="1005"/>
      <c r="C440" s="1636"/>
      <c r="D440" s="1105"/>
      <c r="E440" s="3111"/>
      <c r="F440" s="3111"/>
      <c r="G440" s="3111"/>
      <c r="H440" s="3111"/>
      <c r="I440" s="3111"/>
      <c r="J440" s="3111"/>
      <c r="K440" s="3111"/>
      <c r="L440" s="3111"/>
      <c r="M440" s="3111"/>
      <c r="N440" s="3111"/>
      <c r="O440" s="3111"/>
      <c r="P440" s="3111"/>
      <c r="Q440" s="3111"/>
      <c r="R440" s="3111"/>
      <c r="S440" s="3111"/>
      <c r="T440" s="3111"/>
      <c r="U440" s="3111"/>
      <c r="V440" s="3111"/>
      <c r="W440" s="3111"/>
      <c r="X440" s="3111"/>
      <c r="Y440" s="3111"/>
      <c r="Z440" s="3111"/>
      <c r="AA440" s="3111"/>
      <c r="AB440" s="3111"/>
      <c r="AC440" s="3111"/>
      <c r="AD440" s="926"/>
      <c r="AE440" s="1595"/>
      <c r="AF440" s="1595"/>
      <c r="AG440" s="1595"/>
      <c r="AH440" s="1595"/>
      <c r="AI440" s="1595"/>
      <c r="AJ440" s="1595"/>
      <c r="AK440" s="1595"/>
      <c r="AL440" s="1595"/>
      <c r="AM440" s="1064"/>
      <c r="AN440" s="999"/>
    </row>
    <row r="441" spans="1:42" s="942" customFormat="1" ht="12.75" customHeight="1">
      <c r="A441" s="1125"/>
      <c r="B441" s="1005"/>
      <c r="C441" s="1636"/>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5"/>
      <c r="AF441" s="926"/>
      <c r="AG441" s="926"/>
      <c r="AH441" s="926"/>
      <c r="AI441" s="926"/>
      <c r="AJ441" s="926"/>
      <c r="AK441" s="926"/>
      <c r="AL441" s="926"/>
      <c r="AM441" s="1064"/>
      <c r="AN441" s="999"/>
      <c r="AO441" s="942" t="s">
        <v>626</v>
      </c>
      <c r="AP441" s="1130">
        <v>0</v>
      </c>
    </row>
    <row r="442" spans="1:42" s="942" customFormat="1" ht="12.75" customHeight="1">
      <c r="A442" s="1125"/>
      <c r="B442" s="1005"/>
      <c r="C442" s="1636"/>
      <c r="D442" s="1105" t="s">
        <v>1690</v>
      </c>
      <c r="E442" s="3111" t="s">
        <v>1705</v>
      </c>
      <c r="F442" s="3111"/>
      <c r="G442" s="3111"/>
      <c r="H442" s="3111"/>
      <c r="I442" s="3111"/>
      <c r="J442" s="3111"/>
      <c r="K442" s="3111"/>
      <c r="L442" s="3111"/>
      <c r="M442" s="3111"/>
      <c r="N442" s="3111"/>
      <c r="O442" s="3111"/>
      <c r="P442" s="3111"/>
      <c r="Q442" s="3111"/>
      <c r="R442" s="3111"/>
      <c r="S442" s="3111"/>
      <c r="T442" s="3111"/>
      <c r="U442" s="3111"/>
      <c r="V442" s="3111"/>
      <c r="W442" s="3111"/>
      <c r="X442" s="3111"/>
      <c r="Y442" s="3111"/>
      <c r="Z442" s="3111"/>
      <c r="AA442" s="3111"/>
      <c r="AB442" s="3111"/>
      <c r="AC442" s="3111"/>
      <c r="AD442" s="926"/>
      <c r="AE442" s="926"/>
      <c r="AF442" s="3066" t="s">
        <v>1706</v>
      </c>
      <c r="AG442" s="3066"/>
      <c r="AH442" s="3066"/>
      <c r="AI442" s="3066"/>
      <c r="AJ442" s="3066"/>
      <c r="AK442" s="3066"/>
      <c r="AL442" s="3066"/>
      <c r="AM442" s="1064"/>
      <c r="AN442" s="999"/>
      <c r="AO442" s="1117" t="s">
        <v>725</v>
      </c>
      <c r="AP442" s="942">
        <v>3</v>
      </c>
    </row>
    <row r="443" spans="1:42" s="942" customFormat="1" ht="12.75" customHeight="1">
      <c r="A443" s="1598"/>
      <c r="B443" s="1005"/>
      <c r="C443" s="1636"/>
      <c r="D443" s="1105"/>
      <c r="E443" s="3111"/>
      <c r="F443" s="3111"/>
      <c r="G443" s="3111"/>
      <c r="H443" s="3111"/>
      <c r="I443" s="3111"/>
      <c r="J443" s="3111"/>
      <c r="K443" s="3111"/>
      <c r="L443" s="3111"/>
      <c r="M443" s="3111"/>
      <c r="N443" s="3111"/>
      <c r="O443" s="3111"/>
      <c r="P443" s="3111"/>
      <c r="Q443" s="3111"/>
      <c r="R443" s="3111"/>
      <c r="S443" s="3111"/>
      <c r="T443" s="3111"/>
      <c r="U443" s="3111"/>
      <c r="V443" s="3111"/>
      <c r="W443" s="3111"/>
      <c r="X443" s="3111"/>
      <c r="Y443" s="3111"/>
      <c r="Z443" s="3111"/>
      <c r="AA443" s="3111"/>
      <c r="AB443" s="3111"/>
      <c r="AC443" s="3111"/>
      <c r="AD443" s="926"/>
      <c r="AE443" s="926"/>
      <c r="AF443" s="1595"/>
      <c r="AG443" s="1595"/>
      <c r="AH443" s="1595"/>
      <c r="AI443" s="1595"/>
      <c r="AJ443" s="1595"/>
      <c r="AK443" s="1595"/>
      <c r="AL443" s="1595"/>
      <c r="AM443" s="1064"/>
      <c r="AN443" s="999"/>
      <c r="AO443" s="1117" t="s">
        <v>542</v>
      </c>
      <c r="AP443" s="942">
        <v>2</v>
      </c>
    </row>
    <row r="444" spans="1:42" s="942" customFormat="1" ht="12.75" customHeight="1">
      <c r="A444" s="1125"/>
      <c r="B444" s="1005"/>
      <c r="C444" s="1636"/>
      <c r="D444" s="1105"/>
      <c r="E444" s="3111"/>
      <c r="F444" s="3111"/>
      <c r="G444" s="3111"/>
      <c r="H444" s="3111"/>
      <c r="I444" s="3111"/>
      <c r="J444" s="3111"/>
      <c r="K444" s="3111"/>
      <c r="L444" s="3111"/>
      <c r="M444" s="3111"/>
      <c r="N444" s="3111"/>
      <c r="O444" s="3111"/>
      <c r="P444" s="3111"/>
      <c r="Q444" s="3111"/>
      <c r="R444" s="3111"/>
      <c r="S444" s="3111"/>
      <c r="T444" s="3111"/>
      <c r="U444" s="3111"/>
      <c r="V444" s="3111"/>
      <c r="W444" s="3111"/>
      <c r="X444" s="3111"/>
      <c r="Y444" s="3111"/>
      <c r="Z444" s="3111"/>
      <c r="AA444" s="3111"/>
      <c r="AB444" s="3111"/>
      <c r="AC444" s="3111"/>
      <c r="AD444" s="926"/>
      <c r="AE444" s="1595"/>
      <c r="AF444" s="1595"/>
      <c r="AG444" s="1595"/>
      <c r="AH444" s="1595"/>
      <c r="AI444" s="1595"/>
      <c r="AJ444" s="1595"/>
      <c r="AK444" s="1595"/>
      <c r="AL444" s="1595"/>
      <c r="AM444" s="1064"/>
      <c r="AN444" s="999"/>
    </row>
    <row r="445" spans="1:42" s="942" customFormat="1" ht="12.75" customHeight="1">
      <c r="A445" s="1114"/>
      <c r="B445" s="1022"/>
      <c r="C445" s="1655"/>
      <c r="D445" s="1105"/>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6"/>
      <c r="AE445" s="1595"/>
      <c r="AF445" s="1595"/>
      <c r="AG445" s="1595"/>
      <c r="AH445" s="1595"/>
      <c r="AI445" s="1595"/>
      <c r="AJ445" s="1595"/>
      <c r="AK445" s="1595"/>
      <c r="AL445" s="1595"/>
      <c r="AM445" s="1064"/>
      <c r="AN445" s="999"/>
    </row>
    <row r="446" spans="1:42" s="942" customFormat="1" ht="12.75" customHeight="1">
      <c r="A446" s="1125"/>
      <c r="B446" s="1005"/>
      <c r="C446" s="1636"/>
      <c r="D446" s="1022" t="s">
        <v>1679</v>
      </c>
      <c r="E446" s="1642"/>
      <c r="F446" s="1642"/>
      <c r="G446" s="1642"/>
      <c r="H446" s="3130" t="s">
        <v>725</v>
      </c>
      <c r="I446" s="3130"/>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6"/>
      <c r="D447" s="1022"/>
      <c r="E447" s="1642"/>
      <c r="F447" s="1642"/>
      <c r="G447" s="1034"/>
      <c r="H447" s="1034"/>
      <c r="I447" s="1034"/>
      <c r="J447" s="1034"/>
      <c r="K447" s="1034"/>
      <c r="L447" s="1034"/>
      <c r="M447" s="1034"/>
      <c r="N447" s="1034"/>
      <c r="O447" s="1034"/>
      <c r="P447" s="1034"/>
      <c r="Q447" s="1034"/>
      <c r="R447" s="1034"/>
      <c r="S447" s="1034"/>
      <c r="T447" s="1034"/>
      <c r="U447" s="1034"/>
      <c r="V447" s="1034"/>
      <c r="W447" s="1034"/>
      <c r="X447" s="1034"/>
      <c r="Y447" s="1034"/>
      <c r="Z447" s="1642"/>
      <c r="AA447" s="1642"/>
      <c r="AB447" s="1642"/>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2"/>
      <c r="D448" s="1018"/>
      <c r="E448" s="1647"/>
      <c r="F448" s="1107"/>
      <c r="G448" s="1107"/>
      <c r="H448" s="1107"/>
      <c r="I448" s="1107"/>
      <c r="J448" s="1107"/>
      <c r="K448" s="1107"/>
      <c r="L448" s="1107"/>
      <c r="M448" s="1107"/>
      <c r="N448" s="1107"/>
      <c r="O448" s="1107"/>
      <c r="P448" s="1107"/>
      <c r="Q448" s="1107"/>
      <c r="R448" s="1107"/>
      <c r="S448" s="1107"/>
      <c r="T448" s="1107"/>
      <c r="U448" s="1107"/>
      <c r="V448" s="1107"/>
      <c r="W448" s="1107"/>
      <c r="X448" s="1107"/>
      <c r="Y448" s="1647"/>
      <c r="Z448" s="1647"/>
      <c r="AA448" s="1647"/>
      <c r="AB448" s="1018"/>
      <c r="AC448" s="1018"/>
      <c r="AD448" s="1018"/>
      <c r="AE448" s="1018"/>
      <c r="AF448" s="1018"/>
      <c r="AG448" s="1018"/>
      <c r="AH448" s="1018"/>
      <c r="AI448" s="958" t="s">
        <v>1707</v>
      </c>
      <c r="AJ448" s="3090">
        <f>VLOOKUP($H$446,$AO$394:$AP$401,2,FALSE)</f>
        <v>5</v>
      </c>
      <c r="AK448" s="3092"/>
      <c r="AL448" s="1004"/>
      <c r="AM448" s="1001"/>
      <c r="AN448" s="999"/>
    </row>
    <row r="449" spans="1:42" s="942" customFormat="1" ht="12.75" customHeight="1">
      <c r="A449" s="1125"/>
      <c r="B449" s="1005"/>
      <c r="C449" s="1636"/>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7"/>
      <c r="AE449" s="1005"/>
      <c r="AF449" s="1005"/>
      <c r="AG449" s="1005"/>
      <c r="AH449" s="1005"/>
      <c r="AI449" s="1005"/>
      <c r="AJ449" s="990"/>
      <c r="AK449" s="1022"/>
      <c r="AL449" s="1022"/>
      <c r="AM449" s="1059"/>
      <c r="AN449" s="999"/>
    </row>
    <row r="450" spans="1:42" s="942" customFormat="1" ht="12.75" customHeight="1">
      <c r="A450" s="1125"/>
      <c r="B450" s="926"/>
      <c r="C450" s="985" t="s">
        <v>1708</v>
      </c>
      <c r="D450" s="1657"/>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7"/>
      <c r="AE450" s="1005"/>
      <c r="AF450" s="1005"/>
      <c r="AG450" s="1005"/>
      <c r="AH450" s="1005"/>
      <c r="AI450" s="1005"/>
      <c r="AJ450" s="990"/>
      <c r="AK450" s="1022"/>
      <c r="AL450" s="1022"/>
      <c r="AM450" s="1059"/>
      <c r="AN450" s="999"/>
    </row>
    <row r="451" spans="1:42" s="942" customFormat="1" ht="12.75" customHeight="1">
      <c r="A451" s="1125"/>
      <c r="B451" s="990"/>
      <c r="C451" s="1658"/>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6"/>
      <c r="D452" s="1105" t="s">
        <v>725</v>
      </c>
      <c r="E452" s="3111" t="s">
        <v>2189</v>
      </c>
      <c r="F452" s="3111"/>
      <c r="G452" s="3111"/>
      <c r="H452" s="3111"/>
      <c r="I452" s="3111"/>
      <c r="J452" s="3111"/>
      <c r="K452" s="3111"/>
      <c r="L452" s="3111"/>
      <c r="M452" s="3111"/>
      <c r="N452" s="3111"/>
      <c r="O452" s="3111"/>
      <c r="P452" s="3111"/>
      <c r="Q452" s="3111"/>
      <c r="R452" s="3111"/>
      <c r="S452" s="3111"/>
      <c r="T452" s="3111"/>
      <c r="U452" s="3111"/>
      <c r="V452" s="3111"/>
      <c r="W452" s="3111"/>
      <c r="X452" s="3111"/>
      <c r="Y452" s="3111"/>
      <c r="Z452" s="3111"/>
      <c r="AA452" s="3111"/>
      <c r="AB452" s="3111"/>
      <c r="AC452" s="926"/>
      <c r="AD452" s="926"/>
      <c r="AE452" s="929"/>
      <c r="AF452" s="3066" t="s">
        <v>1623</v>
      </c>
      <c r="AG452" s="3066"/>
      <c r="AH452" s="3066"/>
      <c r="AI452" s="3066"/>
      <c r="AJ452" s="3066"/>
      <c r="AK452" s="3066"/>
      <c r="AL452" s="3066"/>
      <c r="AM452" s="1025"/>
      <c r="AN452" s="1000"/>
    </row>
    <row r="453" spans="1:42" s="1001" customFormat="1" ht="12.75" customHeight="1">
      <c r="A453" s="1059"/>
      <c r="B453" s="1022"/>
      <c r="C453" s="1648"/>
      <c r="D453" s="1105"/>
      <c r="E453" s="3111"/>
      <c r="F453" s="3111"/>
      <c r="G453" s="3111"/>
      <c r="H453" s="3111"/>
      <c r="I453" s="3111"/>
      <c r="J453" s="3111"/>
      <c r="K453" s="3111"/>
      <c r="L453" s="3111"/>
      <c r="M453" s="3111"/>
      <c r="N453" s="3111"/>
      <c r="O453" s="3111"/>
      <c r="P453" s="3111"/>
      <c r="Q453" s="3111"/>
      <c r="R453" s="3111"/>
      <c r="S453" s="3111"/>
      <c r="T453" s="3111"/>
      <c r="U453" s="3111"/>
      <c r="V453" s="3111"/>
      <c r="W453" s="3111"/>
      <c r="X453" s="3111"/>
      <c r="Y453" s="3111"/>
      <c r="Z453" s="3111"/>
      <c r="AA453" s="3111"/>
      <c r="AB453" s="3111"/>
      <c r="AC453" s="926"/>
      <c r="AD453" s="926"/>
      <c r="AE453" s="1034"/>
      <c r="AF453" s="929"/>
      <c r="AG453" s="929"/>
      <c r="AH453" s="929"/>
      <c r="AI453" s="929"/>
      <c r="AJ453" s="929"/>
      <c r="AK453" s="929"/>
      <c r="AL453" s="929"/>
      <c r="AM453" s="1025"/>
      <c r="AN453" s="1000"/>
      <c r="AO453" s="3134"/>
      <c r="AP453" s="3134"/>
    </row>
    <row r="454" spans="1:42" s="1001" customFormat="1" ht="12.75" customHeight="1">
      <c r="A454" s="1059"/>
      <c r="B454" s="1022"/>
      <c r="C454" s="1648"/>
      <c r="D454" s="1105"/>
      <c r="E454" s="3111"/>
      <c r="F454" s="3111"/>
      <c r="G454" s="3111"/>
      <c r="H454" s="3111"/>
      <c r="I454" s="3111"/>
      <c r="J454" s="3111"/>
      <c r="K454" s="3111"/>
      <c r="L454" s="3111"/>
      <c r="M454" s="3111"/>
      <c r="N454" s="3111"/>
      <c r="O454" s="3111"/>
      <c r="P454" s="3111"/>
      <c r="Q454" s="3111"/>
      <c r="R454" s="3111"/>
      <c r="S454" s="3111"/>
      <c r="T454" s="3111"/>
      <c r="U454" s="3111"/>
      <c r="V454" s="3111"/>
      <c r="W454" s="3111"/>
      <c r="X454" s="3111"/>
      <c r="Y454" s="3111"/>
      <c r="Z454" s="3111"/>
      <c r="AA454" s="3111"/>
      <c r="AB454" s="3111"/>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8"/>
      <c r="D455" s="1105"/>
      <c r="E455" s="3111"/>
      <c r="F455" s="3111"/>
      <c r="G455" s="3111"/>
      <c r="H455" s="3111"/>
      <c r="I455" s="3111"/>
      <c r="J455" s="3111"/>
      <c r="K455" s="3111"/>
      <c r="L455" s="3111"/>
      <c r="M455" s="3111"/>
      <c r="N455" s="3111"/>
      <c r="O455" s="3111"/>
      <c r="P455" s="3111"/>
      <c r="Q455" s="3111"/>
      <c r="R455" s="3111"/>
      <c r="S455" s="3111"/>
      <c r="T455" s="3111"/>
      <c r="U455" s="3111"/>
      <c r="V455" s="3111"/>
      <c r="W455" s="3111"/>
      <c r="X455" s="3111"/>
      <c r="Y455" s="3111"/>
      <c r="Z455" s="3111"/>
      <c r="AA455" s="3111"/>
      <c r="AB455" s="3111"/>
      <c r="AC455" s="926"/>
      <c r="AD455" s="926"/>
      <c r="AE455" s="1034"/>
      <c r="AF455" s="1034"/>
      <c r="AG455" s="1034"/>
      <c r="AH455" s="1034"/>
      <c r="AI455" s="1034"/>
      <c r="AJ455" s="1034"/>
      <c r="AK455" s="1034"/>
      <c r="AL455" s="1034"/>
      <c r="AM455" s="1025"/>
      <c r="AN455" s="999"/>
      <c r="AO455" s="942" t="s">
        <v>626</v>
      </c>
      <c r="AP455" s="1119">
        <v>0</v>
      </c>
    </row>
    <row r="456" spans="1:42" s="942" customFormat="1" ht="12.75" customHeight="1">
      <c r="A456" s="1059"/>
      <c r="B456" s="1022"/>
      <c r="C456" s="1648"/>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725</v>
      </c>
      <c r="AP456" s="942">
        <v>2</v>
      </c>
    </row>
    <row r="457" spans="1:42" s="942" customFormat="1" ht="12.75" customHeight="1">
      <c r="A457" s="1059"/>
      <c r="B457" s="1005"/>
      <c r="C457" s="1636"/>
      <c r="D457" s="1105" t="s">
        <v>542</v>
      </c>
      <c r="E457" s="3111" t="s">
        <v>2191</v>
      </c>
      <c r="F457" s="3111"/>
      <c r="G457" s="3111"/>
      <c r="H457" s="3111"/>
      <c r="I457" s="3111"/>
      <c r="J457" s="3111"/>
      <c r="K457" s="3111"/>
      <c r="L457" s="3111"/>
      <c r="M457" s="3111"/>
      <c r="N457" s="3111"/>
      <c r="O457" s="3111"/>
      <c r="P457" s="3111"/>
      <c r="Q457" s="3111"/>
      <c r="R457" s="3111"/>
      <c r="S457" s="3111"/>
      <c r="T457" s="3111"/>
      <c r="U457" s="3111"/>
      <c r="V457" s="3111"/>
      <c r="W457" s="3111"/>
      <c r="X457" s="3111"/>
      <c r="Y457" s="3111"/>
      <c r="Z457" s="3111"/>
      <c r="AA457" s="3111"/>
      <c r="AB457" s="3111"/>
      <c r="AC457" s="926"/>
      <c r="AD457" s="926"/>
      <c r="AE457" s="926"/>
      <c r="AF457" s="3066" t="s">
        <v>1687</v>
      </c>
      <c r="AG457" s="3066"/>
      <c r="AH457" s="3066"/>
      <c r="AI457" s="3066"/>
      <c r="AJ457" s="3066"/>
      <c r="AK457" s="3066"/>
      <c r="AL457" s="3066"/>
      <c r="AM457" s="1025"/>
      <c r="AN457" s="999"/>
      <c r="AO457" s="1117" t="s">
        <v>542</v>
      </c>
      <c r="AP457" s="942">
        <v>1</v>
      </c>
    </row>
    <row r="458" spans="1:42" s="942" customFormat="1" ht="12" customHeight="1">
      <c r="A458" s="1025"/>
      <c r="B458" s="926"/>
      <c r="C458" s="1656"/>
      <c r="D458" s="926"/>
      <c r="E458" s="3111"/>
      <c r="F458" s="3111"/>
      <c r="G458" s="3111"/>
      <c r="H458" s="3111"/>
      <c r="I458" s="3111"/>
      <c r="J458" s="3111"/>
      <c r="K458" s="3111"/>
      <c r="L458" s="3111"/>
      <c r="M458" s="3111"/>
      <c r="N458" s="3111"/>
      <c r="O458" s="3111"/>
      <c r="P458" s="3111"/>
      <c r="Q458" s="3111"/>
      <c r="R458" s="3111"/>
      <c r="S458" s="3111"/>
      <c r="T458" s="3111"/>
      <c r="U458" s="3111"/>
      <c r="V458" s="3111"/>
      <c r="W458" s="3111"/>
      <c r="X458" s="3111"/>
      <c r="Y458" s="3111"/>
      <c r="Z458" s="3111"/>
      <c r="AA458" s="3111"/>
      <c r="AB458" s="3111"/>
      <c r="AC458" s="926"/>
      <c r="AD458" s="926"/>
      <c r="AE458" s="1034"/>
      <c r="AF458" s="926"/>
      <c r="AG458" s="926"/>
      <c r="AH458" s="926"/>
      <c r="AI458" s="926"/>
      <c r="AJ458" s="926"/>
      <c r="AK458" s="926"/>
      <c r="AL458" s="926"/>
      <c r="AM458" s="1025"/>
      <c r="AN458" s="999"/>
    </row>
    <row r="459" spans="1:42" s="942" customFormat="1" ht="12" customHeight="1">
      <c r="A459" s="1025"/>
      <c r="B459" s="926"/>
      <c r="C459" s="1656"/>
      <c r="D459" s="926"/>
      <c r="E459" s="3111"/>
      <c r="F459" s="3111"/>
      <c r="G459" s="3111"/>
      <c r="H459" s="3111"/>
      <c r="I459" s="3111"/>
      <c r="J459" s="3111"/>
      <c r="K459" s="3111"/>
      <c r="L459" s="3111"/>
      <c r="M459" s="3111"/>
      <c r="N459" s="3111"/>
      <c r="O459" s="3111"/>
      <c r="P459" s="3111"/>
      <c r="Q459" s="3111"/>
      <c r="R459" s="3111"/>
      <c r="S459" s="3111"/>
      <c r="T459" s="3111"/>
      <c r="U459" s="3111"/>
      <c r="V459" s="3111"/>
      <c r="W459" s="3111"/>
      <c r="X459" s="3111"/>
      <c r="Y459" s="3111"/>
      <c r="Z459" s="3111"/>
      <c r="AA459" s="3111"/>
      <c r="AB459" s="3111"/>
      <c r="AC459" s="926"/>
      <c r="AD459" s="926"/>
      <c r="AE459" s="1034"/>
      <c r="AF459" s="926"/>
      <c r="AG459" s="926"/>
      <c r="AH459" s="926"/>
      <c r="AI459" s="926"/>
      <c r="AJ459" s="926"/>
      <c r="AK459" s="926"/>
      <c r="AL459" s="926"/>
      <c r="AM459" s="1025"/>
      <c r="AN459" s="999"/>
    </row>
    <row r="460" spans="1:42" s="1133" customFormat="1" ht="12" customHeight="1">
      <c r="A460" s="1025"/>
      <c r="B460" s="926"/>
      <c r="C460" s="1656"/>
      <c r="D460" s="926"/>
      <c r="E460" s="3111"/>
      <c r="F460" s="3111"/>
      <c r="G460" s="3111"/>
      <c r="H460" s="3111"/>
      <c r="I460" s="3111"/>
      <c r="J460" s="3111"/>
      <c r="K460" s="3111"/>
      <c r="L460" s="3111"/>
      <c r="M460" s="3111"/>
      <c r="N460" s="3111"/>
      <c r="O460" s="3111"/>
      <c r="P460" s="3111"/>
      <c r="Q460" s="3111"/>
      <c r="R460" s="3111"/>
      <c r="S460" s="3111"/>
      <c r="T460" s="3111"/>
      <c r="U460" s="3111"/>
      <c r="V460" s="3111"/>
      <c r="W460" s="3111"/>
      <c r="X460" s="3111"/>
      <c r="Y460" s="3111"/>
      <c r="Z460" s="3111"/>
      <c r="AA460" s="3111"/>
      <c r="AB460" s="3111"/>
      <c r="AC460" s="926"/>
      <c r="AD460" s="926"/>
      <c r="AE460" s="1034"/>
      <c r="AF460" s="1034"/>
      <c r="AG460" s="1034"/>
      <c r="AH460" s="1034"/>
      <c r="AI460" s="1034"/>
      <c r="AJ460" s="926"/>
      <c r="AK460" s="1005"/>
      <c r="AL460" s="1005"/>
      <c r="AM460" s="1025"/>
      <c r="AN460" s="1132"/>
    </row>
    <row r="461" spans="1:42" s="1133" customFormat="1" ht="12" customHeight="1">
      <c r="A461" s="1025"/>
      <c r="B461" s="926"/>
      <c r="C461" s="1656"/>
      <c r="D461" s="926"/>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6"/>
      <c r="D462" s="926"/>
      <c r="E462" s="3111" t="s">
        <v>2190</v>
      </c>
      <c r="F462" s="3111"/>
      <c r="G462" s="3111"/>
      <c r="H462" s="3111"/>
      <c r="I462" s="3111"/>
      <c r="J462" s="3111"/>
      <c r="K462" s="3111"/>
      <c r="L462" s="3111"/>
      <c r="M462" s="3111"/>
      <c r="N462" s="3111"/>
      <c r="O462" s="3111"/>
      <c r="P462" s="3111"/>
      <c r="Q462" s="3111"/>
      <c r="R462" s="3111"/>
      <c r="S462" s="3111"/>
      <c r="T462" s="3111"/>
      <c r="U462" s="3111"/>
      <c r="V462" s="3111"/>
      <c r="W462" s="3111"/>
      <c r="X462" s="3111"/>
      <c r="Y462" s="3111"/>
      <c r="Z462" s="3111"/>
      <c r="AA462" s="3111"/>
      <c r="AB462" s="3111"/>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6"/>
      <c r="D463" s="926"/>
      <c r="E463" s="3111"/>
      <c r="F463" s="3111"/>
      <c r="G463" s="3111"/>
      <c r="H463" s="3111"/>
      <c r="I463" s="3111"/>
      <c r="J463" s="3111"/>
      <c r="K463" s="3111"/>
      <c r="L463" s="3111"/>
      <c r="M463" s="3111"/>
      <c r="N463" s="3111"/>
      <c r="O463" s="3111"/>
      <c r="P463" s="3111"/>
      <c r="Q463" s="3111"/>
      <c r="R463" s="3111"/>
      <c r="S463" s="3111"/>
      <c r="T463" s="3111"/>
      <c r="U463" s="3111"/>
      <c r="V463" s="3111"/>
      <c r="W463" s="3111"/>
      <c r="X463" s="3111"/>
      <c r="Y463" s="3111"/>
      <c r="Z463" s="3111"/>
      <c r="AA463" s="3111"/>
      <c r="AB463" s="3111"/>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6"/>
      <c r="D464" s="926"/>
      <c r="E464" s="3111"/>
      <c r="F464" s="3111"/>
      <c r="G464" s="3111"/>
      <c r="H464" s="3111"/>
      <c r="I464" s="3111"/>
      <c r="J464" s="3111"/>
      <c r="K464" s="3111"/>
      <c r="L464" s="3111"/>
      <c r="M464" s="3111"/>
      <c r="N464" s="3111"/>
      <c r="O464" s="3111"/>
      <c r="P464" s="3111"/>
      <c r="Q464" s="3111"/>
      <c r="R464" s="3111"/>
      <c r="S464" s="3111"/>
      <c r="T464" s="3111"/>
      <c r="U464" s="3111"/>
      <c r="V464" s="3111"/>
      <c r="W464" s="3111"/>
      <c r="X464" s="3111"/>
      <c r="Y464" s="3111"/>
      <c r="Z464" s="3111"/>
      <c r="AA464" s="3111"/>
      <c r="AB464" s="3111"/>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6"/>
      <c r="D465" s="926"/>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6"/>
      <c r="D466" s="1022" t="s">
        <v>1679</v>
      </c>
      <c r="E466" s="1642"/>
      <c r="F466" s="1642"/>
      <c r="G466" s="1642"/>
      <c r="H466" s="3130" t="s">
        <v>626</v>
      </c>
      <c r="I466" s="3130"/>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6"/>
      <c r="AD466" s="926"/>
      <c r="AE466" s="1034"/>
      <c r="AF466" s="1034"/>
      <c r="AG466" s="1034"/>
      <c r="AH466" s="1034"/>
      <c r="AI466" s="1034"/>
      <c r="AJ466" s="926"/>
      <c r="AK466" s="1005"/>
      <c r="AL466" s="1005"/>
      <c r="AM466" s="1025"/>
      <c r="AN466" s="1132"/>
      <c r="AP466" s="1133" t="s">
        <v>1709</v>
      </c>
    </row>
    <row r="467" spans="1:43" s="1133" customFormat="1">
      <c r="A467" s="1025"/>
      <c r="B467" s="926"/>
      <c r="C467" s="1656"/>
      <c r="D467" s="926"/>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6"/>
      <c r="AD467" s="926"/>
      <c r="AE467" s="1034"/>
      <c r="AF467" s="1034"/>
      <c r="AG467" s="1034"/>
      <c r="AH467" s="1034"/>
      <c r="AI467" s="1034"/>
      <c r="AJ467" s="926"/>
      <c r="AK467" s="1005"/>
      <c r="AL467" s="1005"/>
      <c r="AM467" s="1025"/>
      <c r="AN467" s="1132"/>
      <c r="AP467" s="1133" t="s">
        <v>1684</v>
      </c>
    </row>
    <row r="468" spans="1:43" s="1133" customFormat="1" ht="12.75" customHeight="1">
      <c r="A468" s="1016"/>
      <c r="B468" s="1008"/>
      <c r="C468" s="1652"/>
      <c r="D468" s="1008"/>
      <c r="E468" s="1008"/>
      <c r="F468" s="1008"/>
      <c r="G468" s="1008"/>
      <c r="H468" s="1008"/>
      <c r="I468" s="1008"/>
      <c r="J468" s="1659"/>
      <c r="K468" s="1659"/>
      <c r="L468" s="1107"/>
      <c r="M468" s="1107"/>
      <c r="N468" s="1107"/>
      <c r="O468" s="1107"/>
      <c r="P468" s="1107"/>
      <c r="Q468" s="1107"/>
      <c r="R468" s="1107"/>
      <c r="S468" s="1107"/>
      <c r="T468" s="1107"/>
      <c r="U468" s="1107"/>
      <c r="V468" s="1107"/>
      <c r="W468" s="1107"/>
      <c r="X468" s="1107"/>
      <c r="Y468" s="1647"/>
      <c r="Z468" s="1647"/>
      <c r="AA468" s="1647"/>
      <c r="AB468" s="1018"/>
      <c r="AC468" s="1018"/>
      <c r="AD468" s="1018"/>
      <c r="AE468" s="1018"/>
      <c r="AF468" s="1018"/>
      <c r="AG468" s="1018"/>
      <c r="AH468" s="1018"/>
      <c r="AI468" s="958" t="s">
        <v>1710</v>
      </c>
      <c r="AJ468" s="3090">
        <f>VLOOKUP($H$466,$AO$413:$AP$415,2,FALSE)</f>
        <v>0</v>
      </c>
      <c r="AK468" s="3092"/>
      <c r="AL468" s="1004"/>
      <c r="AM468" s="1001"/>
      <c r="AN468" s="1132"/>
      <c r="AP468" s="1133" t="s">
        <v>1691</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1711</v>
      </c>
    </row>
    <row r="470" spans="1:43" s="1133" customFormat="1" ht="12.75" customHeight="1">
      <c r="A470" s="1025"/>
      <c r="B470" s="926"/>
      <c r="C470" s="985" t="s">
        <v>1712</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1713</v>
      </c>
    </row>
    <row r="471" spans="1:43" s="1133" customFormat="1" ht="12.75" customHeight="1">
      <c r="A471" s="1025"/>
      <c r="B471" s="926"/>
      <c r="C471" s="1656"/>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1714</v>
      </c>
    </row>
    <row r="472" spans="1:43" s="1133" customFormat="1" ht="12.75" customHeight="1">
      <c r="A472" s="1118"/>
      <c r="B472" s="926"/>
      <c r="C472" s="1636"/>
      <c r="D472" s="1105" t="s">
        <v>725</v>
      </c>
      <c r="E472" s="3135" t="s">
        <v>2194</v>
      </c>
      <c r="F472" s="3135"/>
      <c r="G472" s="3135"/>
      <c r="H472" s="3135"/>
      <c r="I472" s="3135"/>
      <c r="J472" s="3135"/>
      <c r="K472" s="3135"/>
      <c r="L472" s="3135"/>
      <c r="M472" s="3135"/>
      <c r="N472" s="3135"/>
      <c r="O472" s="3135"/>
      <c r="P472" s="3135"/>
      <c r="Q472" s="3135"/>
      <c r="R472" s="3135"/>
      <c r="S472" s="3135"/>
      <c r="T472" s="3135"/>
      <c r="U472" s="3135"/>
      <c r="V472" s="3135"/>
      <c r="W472" s="3135"/>
      <c r="X472" s="3135"/>
      <c r="Y472" s="3135"/>
      <c r="Z472" s="3135"/>
      <c r="AA472" s="3135"/>
      <c r="AB472" s="3135"/>
      <c r="AC472" s="926"/>
      <c r="AD472" s="926"/>
      <c r="AE472" s="926"/>
      <c r="AF472" s="3066" t="s">
        <v>1623</v>
      </c>
      <c r="AG472" s="3066"/>
      <c r="AH472" s="3066"/>
      <c r="AI472" s="3066"/>
      <c r="AJ472" s="3066"/>
      <c r="AK472" s="3066"/>
      <c r="AL472" s="3066"/>
      <c r="AM472" s="1025"/>
      <c r="AN472" s="1132"/>
      <c r="AP472" s="1134" t="s">
        <v>1715</v>
      </c>
    </row>
    <row r="473" spans="1:43" s="1133" customFormat="1" ht="11.85" customHeight="1">
      <c r="A473" s="1059"/>
      <c r="B473" s="1022"/>
      <c r="C473" s="1638"/>
      <c r="D473" s="1105"/>
      <c r="E473" s="3135"/>
      <c r="F473" s="3135"/>
      <c r="G473" s="3135"/>
      <c r="H473" s="3135"/>
      <c r="I473" s="3135"/>
      <c r="J473" s="3135"/>
      <c r="K473" s="3135"/>
      <c r="L473" s="3135"/>
      <c r="M473" s="3135"/>
      <c r="N473" s="3135"/>
      <c r="O473" s="3135"/>
      <c r="P473" s="3135"/>
      <c r="Q473" s="3135"/>
      <c r="R473" s="3135"/>
      <c r="S473" s="3135"/>
      <c r="T473" s="3135"/>
      <c r="U473" s="3135"/>
      <c r="V473" s="3135"/>
      <c r="W473" s="3135"/>
      <c r="X473" s="3135"/>
      <c r="Y473" s="3135"/>
      <c r="Z473" s="3135"/>
      <c r="AA473" s="3135"/>
      <c r="AB473" s="3135"/>
      <c r="AC473" s="926"/>
      <c r="AD473" s="926"/>
      <c r="AE473" s="1022"/>
      <c r="AF473" s="926"/>
      <c r="AG473" s="926"/>
      <c r="AH473" s="926"/>
      <c r="AI473" s="926"/>
      <c r="AJ473" s="926"/>
      <c r="AK473" s="926"/>
      <c r="AL473" s="926"/>
      <c r="AM473" s="1025"/>
      <c r="AN473" s="1132"/>
      <c r="AP473" s="1134" t="s">
        <v>1716</v>
      </c>
    </row>
    <row r="474" spans="1:43" s="1133" customFormat="1" ht="13.9" customHeight="1">
      <c r="A474" s="1059"/>
      <c r="B474" s="1023"/>
      <c r="C474" s="1639"/>
      <c r="D474" s="1105"/>
      <c r="E474" s="3135"/>
      <c r="F474" s="3135"/>
      <c r="G474" s="3135"/>
      <c r="H474" s="3135"/>
      <c r="I474" s="3135"/>
      <c r="J474" s="3135"/>
      <c r="K474" s="3135"/>
      <c r="L474" s="3135"/>
      <c r="M474" s="3135"/>
      <c r="N474" s="3135"/>
      <c r="O474" s="3135"/>
      <c r="P474" s="3135"/>
      <c r="Q474" s="3135"/>
      <c r="R474" s="3135"/>
      <c r="S474" s="3135"/>
      <c r="T474" s="3135"/>
      <c r="U474" s="3135"/>
      <c r="V474" s="3135"/>
      <c r="W474" s="3135"/>
      <c r="X474" s="3135"/>
      <c r="Y474" s="3135"/>
      <c r="Z474" s="3135"/>
      <c r="AA474" s="3135"/>
      <c r="AB474" s="3135"/>
      <c r="AC474" s="926"/>
      <c r="AD474" s="926"/>
      <c r="AE474" s="1034"/>
      <c r="AF474" s="926"/>
      <c r="AG474" s="926"/>
      <c r="AH474" s="926"/>
      <c r="AI474" s="926"/>
      <c r="AJ474" s="926"/>
      <c r="AK474" s="926"/>
      <c r="AL474" s="926"/>
      <c r="AM474" s="1025"/>
      <c r="AN474" s="1132"/>
      <c r="AP474" s="1134" t="s">
        <v>1717</v>
      </c>
    </row>
    <row r="475" spans="1:43" s="1133" customFormat="1" ht="13.9" customHeight="1">
      <c r="A475" s="1059"/>
      <c r="B475" s="1023"/>
      <c r="C475" s="1639"/>
      <c r="D475" s="1105"/>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6"/>
      <c r="AD475" s="926"/>
      <c r="AE475" s="1034"/>
      <c r="AF475" s="926"/>
      <c r="AG475" s="926"/>
      <c r="AH475" s="926"/>
      <c r="AI475" s="926"/>
      <c r="AJ475" s="926"/>
      <c r="AK475" s="926"/>
      <c r="AL475" s="926"/>
      <c r="AM475" s="1025"/>
      <c r="AN475" s="1132"/>
      <c r="AP475" s="1136" t="s">
        <v>1719</v>
      </c>
    </row>
    <row r="476" spans="1:43" s="1133" customFormat="1" ht="13.9" customHeight="1">
      <c r="A476" s="1059"/>
      <c r="B476" s="1005"/>
      <c r="C476" s="1636"/>
      <c r="D476" s="1105" t="s">
        <v>542</v>
      </c>
      <c r="E476" s="3136" t="s">
        <v>1718</v>
      </c>
      <c r="F476" s="3136"/>
      <c r="G476" s="3136"/>
      <c r="H476" s="3136"/>
      <c r="I476" s="3136"/>
      <c r="J476" s="3136"/>
      <c r="K476" s="3136"/>
      <c r="L476" s="3136"/>
      <c r="M476" s="3136"/>
      <c r="N476" s="3136"/>
      <c r="O476" s="3136"/>
      <c r="P476" s="3136"/>
      <c r="Q476" s="3136"/>
      <c r="R476" s="3136"/>
      <c r="S476" s="3136"/>
      <c r="T476" s="3136"/>
      <c r="U476" s="3136"/>
      <c r="V476" s="3136"/>
      <c r="W476" s="3136"/>
      <c r="X476" s="3136"/>
      <c r="Y476" s="3136"/>
      <c r="Z476" s="3136"/>
      <c r="AA476" s="3136"/>
      <c r="AB476" s="3136"/>
      <c r="AC476" s="926"/>
      <c r="AD476" s="926"/>
      <c r="AE476" s="926"/>
      <c r="AF476" s="3066" t="s">
        <v>1687</v>
      </c>
      <c r="AG476" s="3066"/>
      <c r="AH476" s="3066"/>
      <c r="AI476" s="3066"/>
      <c r="AJ476" s="3066"/>
      <c r="AK476" s="3066"/>
      <c r="AL476" s="3066"/>
      <c r="AM476" s="1025"/>
      <c r="AN476" s="1135"/>
    </row>
    <row r="477" spans="1:43" s="1133" customFormat="1" ht="12.75" customHeight="1">
      <c r="A477" s="1059"/>
      <c r="B477" s="1022"/>
      <c r="C477" s="1638"/>
      <c r="D477" s="1022"/>
      <c r="E477" s="3136"/>
      <c r="F477" s="3136"/>
      <c r="G477" s="3136"/>
      <c r="H477" s="3136"/>
      <c r="I477" s="3136"/>
      <c r="J477" s="3136"/>
      <c r="K477" s="3136"/>
      <c r="L477" s="3136"/>
      <c r="M477" s="3136"/>
      <c r="N477" s="3136"/>
      <c r="O477" s="3136"/>
      <c r="P477" s="3136"/>
      <c r="Q477" s="3136"/>
      <c r="R477" s="3136"/>
      <c r="S477" s="3136"/>
      <c r="T477" s="3136"/>
      <c r="U477" s="3136"/>
      <c r="V477" s="3136"/>
      <c r="W477" s="3136"/>
      <c r="X477" s="3136"/>
      <c r="Y477" s="3136"/>
      <c r="Z477" s="3136"/>
      <c r="AA477" s="3136"/>
      <c r="AB477" s="3136"/>
      <c r="AC477" s="1022"/>
      <c r="AD477" s="1022"/>
      <c r="AE477" s="1022"/>
      <c r="AF477" s="1022"/>
      <c r="AG477" s="1022"/>
      <c r="AH477" s="1022"/>
      <c r="AI477" s="1022"/>
      <c r="AJ477" s="926"/>
      <c r="AK477" s="1005"/>
      <c r="AL477" s="1005"/>
      <c r="AM477" s="1025"/>
      <c r="AN477" s="1132"/>
      <c r="AP477" s="942" t="s">
        <v>626</v>
      </c>
      <c r="AQ477" s="1119">
        <v>0</v>
      </c>
    </row>
    <row r="478" spans="1:43" s="1133" customFormat="1" ht="13.9" customHeight="1">
      <c r="A478" s="1059"/>
      <c r="B478" s="1022"/>
      <c r="C478" s="1638"/>
      <c r="D478" s="1022"/>
      <c r="E478" s="3136"/>
      <c r="F478" s="3136"/>
      <c r="G478" s="3136"/>
      <c r="H478" s="3136"/>
      <c r="I478" s="3136"/>
      <c r="J478" s="3136"/>
      <c r="K478" s="3136"/>
      <c r="L478" s="3136"/>
      <c r="M478" s="3136"/>
      <c r="N478" s="3136"/>
      <c r="O478" s="3136"/>
      <c r="P478" s="3136"/>
      <c r="Q478" s="3136"/>
      <c r="R478" s="3136"/>
      <c r="S478" s="3136"/>
      <c r="T478" s="3136"/>
      <c r="U478" s="3136"/>
      <c r="V478" s="3136"/>
      <c r="W478" s="3136"/>
      <c r="X478" s="3136"/>
      <c r="Y478" s="3136"/>
      <c r="Z478" s="3136"/>
      <c r="AA478" s="3136"/>
      <c r="AB478" s="3136"/>
      <c r="AC478" s="1022"/>
      <c r="AD478" s="1022"/>
      <c r="AE478" s="1022"/>
      <c r="AF478" s="1022"/>
      <c r="AG478" s="1022"/>
      <c r="AH478" s="1022"/>
      <c r="AI478" s="1022"/>
      <c r="AJ478" s="926"/>
      <c r="AK478" s="1005"/>
      <c r="AL478" s="1005"/>
      <c r="AM478" s="1025"/>
      <c r="AN478" s="1132"/>
      <c r="AP478" s="1117" t="s">
        <v>725</v>
      </c>
      <c r="AQ478" s="942">
        <v>2</v>
      </c>
    </row>
    <row r="479" spans="1:43" s="1133" customFormat="1" ht="13.9" customHeight="1">
      <c r="A479" s="1059"/>
      <c r="B479" s="1022"/>
      <c r="C479" s="1638"/>
      <c r="D479" s="1022"/>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2"/>
      <c r="AD479" s="1022"/>
      <c r="AE479" s="1022"/>
      <c r="AF479" s="1022"/>
      <c r="AG479" s="1022"/>
      <c r="AH479" s="1022"/>
      <c r="AI479" s="1022"/>
      <c r="AJ479" s="926"/>
      <c r="AK479" s="1005"/>
      <c r="AL479" s="1005"/>
      <c r="AM479" s="1025"/>
      <c r="AN479" s="1132"/>
      <c r="AP479" s="1117" t="s">
        <v>542</v>
      </c>
      <c r="AQ479" s="942">
        <v>3</v>
      </c>
    </row>
    <row r="480" spans="1:43" s="1133" customFormat="1" ht="13.9" customHeight="1">
      <c r="A480" s="1059"/>
      <c r="B480" s="1022"/>
      <c r="C480" s="1638"/>
      <c r="D480" s="1022" t="s">
        <v>1679</v>
      </c>
      <c r="E480" s="1642"/>
      <c r="F480" s="1642"/>
      <c r="G480" s="1642"/>
      <c r="H480" s="3130" t="s">
        <v>626</v>
      </c>
      <c r="I480" s="3130"/>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8"/>
      <c r="D481" s="1022"/>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6"/>
      <c r="D482" s="1008"/>
      <c r="E482" s="1008"/>
      <c r="F482" s="1008"/>
      <c r="G482" s="1008"/>
      <c r="H482" s="1008"/>
      <c r="I482" s="1008"/>
      <c r="J482" s="1661"/>
      <c r="K482" s="1661"/>
      <c r="L482" s="1661"/>
      <c r="M482" s="1661"/>
      <c r="N482" s="1661"/>
      <c r="O482" s="1661"/>
      <c r="P482" s="1661"/>
      <c r="Q482" s="1661"/>
      <c r="R482" s="1661"/>
      <c r="S482" s="1661"/>
      <c r="T482" s="1661"/>
      <c r="U482" s="1107"/>
      <c r="V482" s="1107"/>
      <c r="W482" s="1107"/>
      <c r="X482" s="1107"/>
      <c r="Y482" s="1647"/>
      <c r="Z482" s="1647"/>
      <c r="AA482" s="1647"/>
      <c r="AB482" s="1018"/>
      <c r="AC482" s="1018"/>
      <c r="AD482" s="1018"/>
      <c r="AE482" s="1018"/>
      <c r="AF482" s="1018"/>
      <c r="AG482" s="1018"/>
      <c r="AH482" s="1018"/>
      <c r="AI482" s="958" t="s">
        <v>1720</v>
      </c>
      <c r="AJ482" s="3090">
        <f>VLOOKUP($H$480,$AO$413:$AP$415,2,FALSE)</f>
        <v>0</v>
      </c>
      <c r="AK482" s="3092"/>
      <c r="AL482" s="1004"/>
      <c r="AM482" s="1001"/>
      <c r="AN482" s="1137"/>
      <c r="AP482" s="3090"/>
      <c r="AQ482" s="3092"/>
    </row>
    <row r="483" spans="1:81" s="1133" customFormat="1">
      <c r="A483" s="1059"/>
      <c r="B483" s="1023"/>
      <c r="C483" s="1639"/>
      <c r="D483" s="1641"/>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c r="A484" s="1059"/>
      <c r="B484" s="926"/>
      <c r="C484" s="985" t="s">
        <v>1721</v>
      </c>
      <c r="D484" s="1662"/>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9"/>
      <c r="D485" s="1641"/>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c r="A486" s="1059"/>
      <c r="B486" s="926"/>
      <c r="C486" s="1636"/>
      <c r="D486" s="1105" t="s">
        <v>725</v>
      </c>
      <c r="E486" s="3111" t="s">
        <v>2195</v>
      </c>
      <c r="F486" s="3111"/>
      <c r="G486" s="3111"/>
      <c r="H486" s="3111"/>
      <c r="I486" s="3111"/>
      <c r="J486" s="3111"/>
      <c r="K486" s="3111"/>
      <c r="L486" s="3111"/>
      <c r="M486" s="3111"/>
      <c r="N486" s="3111"/>
      <c r="O486" s="3111"/>
      <c r="P486" s="3111"/>
      <c r="Q486" s="3111"/>
      <c r="R486" s="3111"/>
      <c r="S486" s="3111"/>
      <c r="T486" s="3111"/>
      <c r="U486" s="3111"/>
      <c r="V486" s="3111"/>
      <c r="W486" s="3111"/>
      <c r="X486" s="3111"/>
      <c r="Y486" s="3111"/>
      <c r="Z486" s="3111"/>
      <c r="AA486" s="3111"/>
      <c r="AB486" s="3111"/>
      <c r="AC486" s="926"/>
      <c r="AD486" s="926"/>
      <c r="AE486" s="926"/>
      <c r="AF486" s="3066" t="s">
        <v>1623</v>
      </c>
      <c r="AG486" s="3066"/>
      <c r="AH486" s="3066"/>
      <c r="AI486" s="3066"/>
      <c r="AJ486" s="3066"/>
      <c r="AK486" s="3066"/>
      <c r="AL486" s="3066"/>
      <c r="AM486" s="1025"/>
      <c r="AN486" s="1132"/>
      <c r="AT486" s="51"/>
      <c r="AU486" s="51"/>
      <c r="AV486" s="51"/>
      <c r="AW486" s="51"/>
      <c r="AX486" s="51"/>
      <c r="AY486" s="51"/>
      <c r="AZ486" s="51"/>
    </row>
    <row r="487" spans="1:81" s="1133" customFormat="1">
      <c r="A487" s="1059"/>
      <c r="B487" s="1022"/>
      <c r="C487" s="1638"/>
      <c r="D487" s="1105"/>
      <c r="E487" s="3111"/>
      <c r="F487" s="3111"/>
      <c r="G487" s="3111"/>
      <c r="H487" s="3111"/>
      <c r="I487" s="3111"/>
      <c r="J487" s="3111"/>
      <c r="K487" s="3111"/>
      <c r="L487" s="3111"/>
      <c r="M487" s="3111"/>
      <c r="N487" s="3111"/>
      <c r="O487" s="3111"/>
      <c r="P487" s="3111"/>
      <c r="Q487" s="3111"/>
      <c r="R487" s="3111"/>
      <c r="S487" s="3111"/>
      <c r="T487" s="3111"/>
      <c r="U487" s="3111"/>
      <c r="V487" s="3111"/>
      <c r="W487" s="3111"/>
      <c r="X487" s="3111"/>
      <c r="Y487" s="3111"/>
      <c r="Z487" s="3111"/>
      <c r="AA487" s="3111"/>
      <c r="AB487" s="3111"/>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9"/>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6"/>
      <c r="D489" s="1105" t="s">
        <v>542</v>
      </c>
      <c r="E489" s="3111" t="s">
        <v>1722</v>
      </c>
      <c r="F489" s="3111"/>
      <c r="G489" s="3111"/>
      <c r="H489" s="3111"/>
      <c r="I489" s="3111"/>
      <c r="J489" s="3111"/>
      <c r="K489" s="3111"/>
      <c r="L489" s="3111"/>
      <c r="M489" s="3111"/>
      <c r="N489" s="3111"/>
      <c r="O489" s="3111"/>
      <c r="P489" s="3111"/>
      <c r="Q489" s="3111"/>
      <c r="R489" s="3111"/>
      <c r="S489" s="3111"/>
      <c r="T489" s="3111"/>
      <c r="U489" s="3111"/>
      <c r="V489" s="3111"/>
      <c r="W489" s="3111"/>
      <c r="X489" s="3111"/>
      <c r="Y489" s="3111"/>
      <c r="Z489" s="3111"/>
      <c r="AA489" s="3111"/>
      <c r="AB489" s="3111"/>
      <c r="AC489" s="926"/>
      <c r="AD489" s="926"/>
      <c r="AE489" s="926"/>
      <c r="AF489" s="3066" t="s">
        <v>1687</v>
      </c>
      <c r="AG489" s="3066"/>
      <c r="AH489" s="3066"/>
      <c r="AI489" s="3066"/>
      <c r="AJ489" s="3066"/>
      <c r="AK489" s="3066"/>
      <c r="AL489" s="3066"/>
      <c r="AM489" s="1025"/>
      <c r="AN489" s="1132"/>
      <c r="AT489" s="51"/>
      <c r="AU489" s="51"/>
      <c r="AV489" s="51"/>
      <c r="AW489" s="51"/>
      <c r="AX489" s="51"/>
      <c r="AY489" s="51"/>
      <c r="AZ489" s="51"/>
    </row>
    <row r="490" spans="1:81" s="1133" customFormat="1">
      <c r="A490" s="1059"/>
      <c r="B490" s="1022"/>
      <c r="C490" s="1638"/>
      <c r="D490" s="1022"/>
      <c r="E490" s="3111"/>
      <c r="F490" s="3111"/>
      <c r="G490" s="3111"/>
      <c r="H490" s="3111"/>
      <c r="I490" s="3111"/>
      <c r="J490" s="3111"/>
      <c r="K490" s="3111"/>
      <c r="L490" s="3111"/>
      <c r="M490" s="3111"/>
      <c r="N490" s="3111"/>
      <c r="O490" s="3111"/>
      <c r="P490" s="3111"/>
      <c r="Q490" s="3111"/>
      <c r="R490" s="3111"/>
      <c r="S490" s="3111"/>
      <c r="T490" s="3111"/>
      <c r="U490" s="3111"/>
      <c r="V490" s="3111"/>
      <c r="W490" s="3111"/>
      <c r="X490" s="3111"/>
      <c r="Y490" s="3111"/>
      <c r="Z490" s="3111"/>
      <c r="AA490" s="3111"/>
      <c r="AB490" s="3111"/>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c r="A491" s="1059"/>
      <c r="B491" s="1022"/>
      <c r="C491" s="1638"/>
      <c r="D491" s="1022"/>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8"/>
      <c r="D492" s="1022" t="s">
        <v>1679</v>
      </c>
      <c r="E492" s="1642"/>
      <c r="F492" s="1642"/>
      <c r="G492" s="1642"/>
      <c r="H492" s="3130" t="s">
        <v>626</v>
      </c>
      <c r="I492" s="3130"/>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c r="A493" s="1059"/>
      <c r="B493" s="1022"/>
      <c r="C493" s="1638"/>
      <c r="D493" s="1022"/>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c r="A494" s="1070"/>
      <c r="B494" s="1018"/>
      <c r="C494" s="1646"/>
      <c r="D494" s="1018"/>
      <c r="E494" s="1659"/>
      <c r="F494" s="1659"/>
      <c r="G494" s="1659"/>
      <c r="H494" s="1659"/>
      <c r="I494" s="1659"/>
      <c r="J494" s="1659"/>
      <c r="K494" s="1659"/>
      <c r="L494" s="1659"/>
      <c r="M494" s="1659"/>
      <c r="N494" s="1659"/>
      <c r="O494" s="1659"/>
      <c r="P494" s="1659"/>
      <c r="Q494" s="1659"/>
      <c r="R494" s="1659"/>
      <c r="S494" s="1659"/>
      <c r="T494" s="1659"/>
      <c r="U494" s="1659"/>
      <c r="V494" s="1107"/>
      <c r="W494" s="1107"/>
      <c r="X494" s="1107"/>
      <c r="Y494" s="1647"/>
      <c r="Z494" s="1647"/>
      <c r="AA494" s="1647"/>
      <c r="AB494" s="1018"/>
      <c r="AC494" s="1018"/>
      <c r="AD494" s="1018"/>
      <c r="AE494" s="1018"/>
      <c r="AF494" s="1018"/>
      <c r="AG494" s="1018"/>
      <c r="AH494" s="1018"/>
      <c r="AI494" s="958" t="s">
        <v>1723</v>
      </c>
      <c r="AJ494" s="3090">
        <f>VLOOKUP($H$492,$AO$427:$AP$429,2,FALSE)</f>
        <v>0</v>
      </c>
      <c r="AK494" s="3092"/>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8"/>
      <c r="D495" s="926"/>
      <c r="E495" s="926"/>
      <c r="F495" s="926"/>
      <c r="G495" s="926"/>
      <c r="H495" s="926"/>
      <c r="I495" s="926"/>
      <c r="J495" s="1596"/>
      <c r="K495" s="1596"/>
      <c r="L495" s="1596"/>
      <c r="M495" s="1596"/>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1724</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3"/>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c r="A498" s="1059"/>
      <c r="B498" s="926"/>
      <c r="C498" s="1636"/>
      <c r="D498" s="1105" t="s">
        <v>725</v>
      </c>
      <c r="E498" s="3111" t="s">
        <v>1725</v>
      </c>
      <c r="F498" s="3111"/>
      <c r="G498" s="3111"/>
      <c r="H498" s="3111"/>
      <c r="I498" s="3111"/>
      <c r="J498" s="3111"/>
      <c r="K498" s="3111"/>
      <c r="L498" s="3111"/>
      <c r="M498" s="3111"/>
      <c r="N498" s="3111"/>
      <c r="O498" s="3111"/>
      <c r="P498" s="3111"/>
      <c r="Q498" s="3111"/>
      <c r="R498" s="3111"/>
      <c r="S498" s="3111"/>
      <c r="T498" s="3111"/>
      <c r="U498" s="3111"/>
      <c r="V498" s="3111"/>
      <c r="W498" s="3111"/>
      <c r="X498" s="3111"/>
      <c r="Y498" s="3111"/>
      <c r="Z498" s="3111"/>
      <c r="AA498" s="3111"/>
      <c r="AB498" s="3111"/>
      <c r="AC498" s="926"/>
      <c r="AD498" s="926"/>
      <c r="AE498" s="926"/>
      <c r="AF498" s="3066" t="s">
        <v>1623</v>
      </c>
      <c r="AG498" s="3066"/>
      <c r="AH498" s="3066"/>
      <c r="AI498" s="3066"/>
      <c r="AJ498" s="3066"/>
      <c r="AK498" s="3066"/>
      <c r="AL498" s="3066"/>
      <c r="AM498" s="1025"/>
      <c r="AN498" s="1132"/>
      <c r="AT498" s="51"/>
      <c r="AU498" s="51"/>
      <c r="AV498" s="51"/>
      <c r="AW498" s="51"/>
      <c r="AX498" s="51"/>
      <c r="AY498" s="51"/>
      <c r="AZ498" s="51"/>
    </row>
    <row r="499" spans="1:81" s="1133" customFormat="1">
      <c r="A499" s="1059"/>
      <c r="B499" s="926"/>
      <c r="C499" s="1636"/>
      <c r="D499" s="1105"/>
      <c r="E499" s="3111"/>
      <c r="F499" s="3111"/>
      <c r="G499" s="3111"/>
      <c r="H499" s="3111"/>
      <c r="I499" s="3111"/>
      <c r="J499" s="3111"/>
      <c r="K499" s="3111"/>
      <c r="L499" s="3111"/>
      <c r="M499" s="3111"/>
      <c r="N499" s="3111"/>
      <c r="O499" s="3111"/>
      <c r="P499" s="3111"/>
      <c r="Q499" s="3111"/>
      <c r="R499" s="3111"/>
      <c r="S499" s="3111"/>
      <c r="T499" s="3111"/>
      <c r="U499" s="3111"/>
      <c r="V499" s="3111"/>
      <c r="W499" s="3111"/>
      <c r="X499" s="3111"/>
      <c r="Y499" s="3111"/>
      <c r="Z499" s="3111"/>
      <c r="AA499" s="3111"/>
      <c r="AB499" s="3111"/>
      <c r="AC499" s="926"/>
      <c r="AD499" s="926"/>
      <c r="AE499" s="926"/>
      <c r="AF499" s="1595"/>
      <c r="AG499" s="1595"/>
      <c r="AH499" s="1595"/>
      <c r="AI499" s="1595"/>
      <c r="AJ499" s="1595"/>
      <c r="AK499" s="1595"/>
      <c r="AL499" s="1595"/>
      <c r="AM499" s="1025"/>
      <c r="AN499" s="1132"/>
      <c r="AT499" s="51"/>
      <c r="AU499" s="51"/>
      <c r="AV499" s="51"/>
      <c r="AW499" s="51"/>
      <c r="AX499" s="51"/>
      <c r="AY499" s="51"/>
      <c r="AZ499" s="51"/>
    </row>
    <row r="500" spans="1:81" s="1133" customFormat="1">
      <c r="A500" s="1059"/>
      <c r="B500" s="1022"/>
      <c r="C500" s="1638"/>
      <c r="D500" s="1105"/>
      <c r="E500" s="3111"/>
      <c r="F500" s="3111"/>
      <c r="G500" s="3111"/>
      <c r="H500" s="3111"/>
      <c r="I500" s="3111"/>
      <c r="J500" s="3111"/>
      <c r="K500" s="3111"/>
      <c r="L500" s="3111"/>
      <c r="M500" s="3111"/>
      <c r="N500" s="3111"/>
      <c r="O500" s="3111"/>
      <c r="P500" s="3111"/>
      <c r="Q500" s="3111"/>
      <c r="R500" s="3111"/>
      <c r="S500" s="3111"/>
      <c r="T500" s="3111"/>
      <c r="U500" s="3111"/>
      <c r="V500" s="3111"/>
      <c r="W500" s="3111"/>
      <c r="X500" s="3111"/>
      <c r="Y500" s="3111"/>
      <c r="Z500" s="3111"/>
      <c r="AA500" s="3111"/>
      <c r="AB500" s="3111"/>
      <c r="AC500" s="926"/>
      <c r="AD500" s="926"/>
      <c r="AE500" s="926"/>
      <c r="AF500" s="926"/>
      <c r="AG500" s="926"/>
      <c r="AH500" s="926"/>
      <c r="AI500" s="926"/>
      <c r="AJ500" s="926"/>
      <c r="AK500" s="926"/>
      <c r="AL500" s="1005"/>
      <c r="AM500" s="1025"/>
      <c r="AN500" s="1132"/>
    </row>
    <row r="501" spans="1:81" s="1134" customFormat="1" ht="12.75" customHeight="1">
      <c r="A501" s="1059"/>
      <c r="B501" s="1022"/>
      <c r="C501" s="1638"/>
      <c r="D501" s="1105"/>
      <c r="E501" s="3111"/>
      <c r="F501" s="3111"/>
      <c r="G501" s="3111"/>
      <c r="H501" s="3111"/>
      <c r="I501" s="3111"/>
      <c r="J501" s="3111"/>
      <c r="K501" s="3111"/>
      <c r="L501" s="3111"/>
      <c r="M501" s="3111"/>
      <c r="N501" s="3111"/>
      <c r="O501" s="3111"/>
      <c r="P501" s="3111"/>
      <c r="Q501" s="3111"/>
      <c r="R501" s="3111"/>
      <c r="S501" s="3111"/>
      <c r="T501" s="3111"/>
      <c r="U501" s="3111"/>
      <c r="V501" s="3111"/>
      <c r="W501" s="3111"/>
      <c r="X501" s="3111"/>
      <c r="Y501" s="3111"/>
      <c r="Z501" s="3111"/>
      <c r="AA501" s="3111"/>
      <c r="AB501" s="3111"/>
      <c r="AC501" s="926"/>
      <c r="AD501" s="926"/>
      <c r="AE501" s="1022"/>
      <c r="AF501" s="1022"/>
      <c r="AG501" s="1005"/>
      <c r="AH501" s="1005"/>
      <c r="AI501" s="1005"/>
      <c r="AJ501" s="1005"/>
      <c r="AK501" s="1005"/>
      <c r="AL501" s="1005"/>
      <c r="AM501" s="1025"/>
      <c r="AN501" s="1138"/>
      <c r="AO501" s="56"/>
    </row>
    <row r="502" spans="1:81" s="1133" customFormat="1">
      <c r="A502" s="1125"/>
      <c r="B502" s="1004"/>
      <c r="C502" s="1639"/>
      <c r="D502" s="1105"/>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6"/>
      <c r="AD502" s="926"/>
      <c r="AE502" s="1005"/>
      <c r="AF502" s="926"/>
      <c r="AG502" s="926"/>
      <c r="AH502" s="926"/>
      <c r="AI502" s="926"/>
      <c r="AJ502" s="926"/>
      <c r="AK502" s="926"/>
      <c r="AL502" s="926"/>
      <c r="AM502" s="1025"/>
      <c r="AN502" s="1132"/>
      <c r="AO502" s="126"/>
      <c r="AP502" s="51"/>
    </row>
    <row r="503" spans="1:81" s="1133" customFormat="1">
      <c r="A503" s="1059"/>
      <c r="B503" s="1005"/>
      <c r="C503" s="1636"/>
      <c r="D503" s="1105" t="s">
        <v>542</v>
      </c>
      <c r="E503" s="3111" t="s">
        <v>1726</v>
      </c>
      <c r="F503" s="3111"/>
      <c r="G503" s="3111"/>
      <c r="H503" s="3111"/>
      <c r="I503" s="3111"/>
      <c r="J503" s="3111"/>
      <c r="K503" s="3111"/>
      <c r="L503" s="3111"/>
      <c r="M503" s="3111"/>
      <c r="N503" s="3111"/>
      <c r="O503" s="3111"/>
      <c r="P503" s="3111"/>
      <c r="Q503" s="3111"/>
      <c r="R503" s="3111"/>
      <c r="S503" s="3111"/>
      <c r="T503" s="3111"/>
      <c r="U503" s="3111"/>
      <c r="V503" s="3111"/>
      <c r="W503" s="3111"/>
      <c r="X503" s="3111"/>
      <c r="Y503" s="3111"/>
      <c r="Z503" s="3111"/>
      <c r="AA503" s="3111"/>
      <c r="AB503" s="968"/>
      <c r="AC503" s="926"/>
      <c r="AD503" s="926"/>
      <c r="AE503" s="926"/>
      <c r="AF503" s="3066" t="s">
        <v>1687</v>
      </c>
      <c r="AG503" s="3066"/>
      <c r="AH503" s="3066"/>
      <c r="AI503" s="3066"/>
      <c r="AJ503" s="3066"/>
      <c r="AK503" s="3066"/>
      <c r="AL503" s="3066"/>
      <c r="AM503" s="1025"/>
      <c r="AN503" s="1132"/>
      <c r="AO503" s="126"/>
      <c r="AP503" s="51"/>
    </row>
    <row r="504" spans="1:81" s="1133" customFormat="1">
      <c r="A504" s="1059"/>
      <c r="B504" s="1005"/>
      <c r="C504" s="1636"/>
      <c r="D504" s="1105"/>
      <c r="E504" s="3111"/>
      <c r="F504" s="3111"/>
      <c r="G504" s="3111"/>
      <c r="H504" s="3111"/>
      <c r="I504" s="3111"/>
      <c r="J504" s="3111"/>
      <c r="K504" s="3111"/>
      <c r="L504" s="3111"/>
      <c r="M504" s="3111"/>
      <c r="N504" s="3111"/>
      <c r="O504" s="3111"/>
      <c r="P504" s="3111"/>
      <c r="Q504" s="3111"/>
      <c r="R504" s="3111"/>
      <c r="S504" s="3111"/>
      <c r="T504" s="3111"/>
      <c r="U504" s="3111"/>
      <c r="V504" s="3111"/>
      <c r="W504" s="3111"/>
      <c r="X504" s="3111"/>
      <c r="Y504" s="3111"/>
      <c r="Z504" s="3111"/>
      <c r="AA504" s="3111"/>
      <c r="AB504" s="968"/>
      <c r="AC504" s="926"/>
      <c r="AD504" s="926"/>
      <c r="AE504" s="926"/>
      <c r="AF504" s="1595"/>
      <c r="AG504" s="1595"/>
      <c r="AH504" s="1595"/>
      <c r="AI504" s="1595"/>
      <c r="AJ504" s="1595"/>
      <c r="AK504" s="1595"/>
      <c r="AL504" s="1595"/>
      <c r="AM504" s="1025"/>
      <c r="AN504" s="1132"/>
      <c r="AO504" s="126"/>
      <c r="AP504" s="51"/>
    </row>
    <row r="505" spans="1:81" s="1133" customFormat="1">
      <c r="A505" s="1059"/>
      <c r="B505" s="1005"/>
      <c r="C505" s="1636"/>
      <c r="D505" s="1022"/>
      <c r="E505" s="3111"/>
      <c r="F505" s="3111"/>
      <c r="G505" s="3111"/>
      <c r="H505" s="3111"/>
      <c r="I505" s="3111"/>
      <c r="J505" s="3111"/>
      <c r="K505" s="3111"/>
      <c r="L505" s="3111"/>
      <c r="M505" s="3111"/>
      <c r="N505" s="3111"/>
      <c r="O505" s="3111"/>
      <c r="P505" s="3111"/>
      <c r="Q505" s="3111"/>
      <c r="R505" s="3111"/>
      <c r="S505" s="3111"/>
      <c r="T505" s="3111"/>
      <c r="U505" s="3111"/>
      <c r="V505" s="3111"/>
      <c r="W505" s="3111"/>
      <c r="X505" s="3111"/>
      <c r="Y505" s="3111"/>
      <c r="Z505" s="3111"/>
      <c r="AA505" s="3111"/>
      <c r="AB505" s="968"/>
      <c r="AC505" s="1595"/>
      <c r="AD505" s="1595"/>
      <c r="AE505" s="1595"/>
      <c r="AF505" s="1595"/>
      <c r="AG505" s="1595"/>
      <c r="AH505" s="1595"/>
      <c r="AI505" s="1595"/>
      <c r="AJ505" s="926"/>
      <c r="AK505" s="1005"/>
      <c r="AL505" s="1005"/>
      <c r="AM505" s="1025"/>
      <c r="AN505" s="1132"/>
      <c r="AO505" s="126"/>
      <c r="AP505" s="51"/>
    </row>
    <row r="506" spans="1:81" s="1133" customFormat="1">
      <c r="A506" s="1059"/>
      <c r="B506" s="1005"/>
      <c r="C506" s="1636"/>
      <c r="D506" s="1022"/>
      <c r="E506" s="3111"/>
      <c r="F506" s="3111"/>
      <c r="G506" s="3111"/>
      <c r="H506" s="3111"/>
      <c r="I506" s="3111"/>
      <c r="J506" s="3111"/>
      <c r="K506" s="3111"/>
      <c r="L506" s="3111"/>
      <c r="M506" s="3111"/>
      <c r="N506" s="3111"/>
      <c r="O506" s="3111"/>
      <c r="P506" s="3111"/>
      <c r="Q506" s="3111"/>
      <c r="R506" s="3111"/>
      <c r="S506" s="3111"/>
      <c r="T506" s="3111"/>
      <c r="U506" s="3111"/>
      <c r="V506" s="3111"/>
      <c r="W506" s="3111"/>
      <c r="X506" s="3111"/>
      <c r="Y506" s="3111"/>
      <c r="Z506" s="3111"/>
      <c r="AA506" s="3111"/>
      <c r="AB506" s="968"/>
      <c r="AC506" s="1595"/>
      <c r="AD506" s="1595"/>
      <c r="AE506" s="1595"/>
      <c r="AF506" s="1595"/>
      <c r="AG506" s="1595"/>
      <c r="AH506" s="1595"/>
      <c r="AI506" s="1595"/>
      <c r="AJ506" s="926"/>
      <c r="AK506" s="1005"/>
      <c r="AL506" s="1005"/>
      <c r="AM506" s="1025"/>
      <c r="AN506" s="1132"/>
      <c r="AO506" s="126"/>
      <c r="AP506" s="51"/>
    </row>
    <row r="507" spans="1:81" s="1133" customFormat="1">
      <c r="A507" s="1059"/>
      <c r="B507" s="1005"/>
      <c r="C507" s="1636"/>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5"/>
      <c r="AD507" s="1595"/>
      <c r="AE507" s="1595"/>
      <c r="AF507" s="1595"/>
      <c r="AG507" s="1595"/>
      <c r="AH507" s="1595"/>
      <c r="AI507" s="1595"/>
      <c r="AJ507" s="926"/>
      <c r="AK507" s="1005"/>
      <c r="AL507" s="1005"/>
      <c r="AM507" s="1025"/>
      <c r="AN507" s="1132"/>
    </row>
    <row r="508" spans="1:81" s="1133" customFormat="1" ht="12.75" customHeight="1">
      <c r="A508" s="1059"/>
      <c r="B508" s="1005"/>
      <c r="C508" s="1636"/>
      <c r="D508" s="1022" t="s">
        <v>1679</v>
      </c>
      <c r="E508" s="1642"/>
      <c r="F508" s="1642"/>
      <c r="G508" s="1642"/>
      <c r="H508" s="3130" t="s">
        <v>542</v>
      </c>
      <c r="I508" s="3130"/>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5"/>
      <c r="AD508" s="1595"/>
      <c r="AE508" s="1595"/>
      <c r="AF508" s="1595"/>
      <c r="AG508" s="1595"/>
      <c r="AH508" s="1595"/>
      <c r="AI508" s="1595"/>
      <c r="AJ508" s="926"/>
      <c r="AK508" s="1005"/>
      <c r="AL508" s="1005"/>
      <c r="AM508" s="1025"/>
      <c r="AN508" s="1132"/>
    </row>
    <row r="509" spans="1:81" s="1133" customFormat="1" ht="12.75" customHeight="1">
      <c r="A509" s="1059"/>
      <c r="B509" s="1005"/>
      <c r="C509" s="1636"/>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5"/>
      <c r="AD509" s="1595"/>
      <c r="AE509" s="1595"/>
      <c r="AF509" s="1595"/>
      <c r="AG509" s="1595"/>
      <c r="AH509" s="1595"/>
      <c r="AI509" s="1595"/>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c r="A510" s="1070"/>
      <c r="B510" s="1008"/>
      <c r="C510" s="1652"/>
      <c r="D510" s="1018"/>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39"/>
      <c r="AC510" s="1139"/>
      <c r="AD510" s="1139"/>
      <c r="AE510" s="1139"/>
      <c r="AF510" s="1139"/>
      <c r="AG510" s="1139"/>
      <c r="AH510" s="1018"/>
      <c r="AI510" s="958" t="s">
        <v>1727</v>
      </c>
      <c r="AJ510" s="3090">
        <f>VLOOKUP($H$508,$AO$441:$AP$443,2,FALSE)</f>
        <v>2</v>
      </c>
      <c r="AK510" s="3092"/>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8"/>
      <c r="D511" s="926"/>
      <c r="E511" s="926"/>
      <c r="F511" s="926"/>
      <c r="G511" s="926"/>
      <c r="H511" s="926"/>
      <c r="I511" s="926"/>
      <c r="J511" s="1077"/>
      <c r="K511" s="1077"/>
      <c r="L511" s="1596"/>
      <c r="M511" s="1596"/>
      <c r="N511" s="1596"/>
      <c r="O511" s="1596"/>
      <c r="P511" s="1596"/>
      <c r="Q511" s="1596"/>
      <c r="R511" s="1596"/>
      <c r="S511" s="1596"/>
      <c r="T511" s="1596"/>
      <c r="U511" s="1596"/>
      <c r="V511" s="1034"/>
      <c r="W511" s="1034"/>
      <c r="X511" s="1034"/>
      <c r="Y511" s="1034"/>
      <c r="Z511" s="1642"/>
      <c r="AA511" s="1642"/>
      <c r="AB511" s="1642"/>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c r="A512" s="942"/>
      <c r="B512" s="926"/>
      <c r="C512" s="985" t="s">
        <v>1717</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c r="A514" s="1059"/>
      <c r="B514" s="926"/>
      <c r="C514" s="1636"/>
      <c r="D514" s="1105" t="s">
        <v>725</v>
      </c>
      <c r="E514" s="3111" t="s">
        <v>1728</v>
      </c>
      <c r="F514" s="3111"/>
      <c r="G514" s="3111"/>
      <c r="H514" s="3111"/>
      <c r="I514" s="3111"/>
      <c r="J514" s="3111"/>
      <c r="K514" s="3111"/>
      <c r="L514" s="3111"/>
      <c r="M514" s="3111"/>
      <c r="N514" s="3111"/>
      <c r="O514" s="3111"/>
      <c r="P514" s="3111"/>
      <c r="Q514" s="3111"/>
      <c r="R514" s="3111"/>
      <c r="S514" s="3111"/>
      <c r="T514" s="3111"/>
      <c r="U514" s="3111"/>
      <c r="V514" s="3111"/>
      <c r="W514" s="3111"/>
      <c r="X514" s="3111"/>
      <c r="Y514" s="3111"/>
      <c r="Z514" s="3111"/>
      <c r="AA514" s="3111"/>
      <c r="AB514" s="3111"/>
      <c r="AC514" s="926"/>
      <c r="AD514" s="926"/>
      <c r="AE514" s="926"/>
      <c r="AF514" s="3066" t="s">
        <v>1687</v>
      </c>
      <c r="AG514" s="3066"/>
      <c r="AH514" s="3066"/>
      <c r="AI514" s="3066"/>
      <c r="AJ514" s="3066"/>
      <c r="AK514" s="3066"/>
      <c r="AL514" s="3066"/>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c r="A515" s="1059"/>
      <c r="B515" s="1022"/>
      <c r="C515" s="1638"/>
      <c r="D515" s="1105"/>
      <c r="E515" s="3111"/>
      <c r="F515" s="3111"/>
      <c r="G515" s="3111"/>
      <c r="H515" s="3111"/>
      <c r="I515" s="3111"/>
      <c r="J515" s="3111"/>
      <c r="K515" s="3111"/>
      <c r="L515" s="3111"/>
      <c r="M515" s="3111"/>
      <c r="N515" s="3111"/>
      <c r="O515" s="3111"/>
      <c r="P515" s="3111"/>
      <c r="Q515" s="3111"/>
      <c r="R515" s="3111"/>
      <c r="S515" s="3111"/>
      <c r="T515" s="3111"/>
      <c r="U515" s="3111"/>
      <c r="V515" s="3111"/>
      <c r="W515" s="3111"/>
      <c r="X515" s="3111"/>
      <c r="Y515" s="3111"/>
      <c r="Z515" s="3111"/>
      <c r="AA515" s="3111"/>
      <c r="AB515" s="3111"/>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8"/>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c r="A517" s="1118"/>
      <c r="B517" s="1005"/>
      <c r="C517" s="1636"/>
      <c r="D517" s="1105" t="s">
        <v>542</v>
      </c>
      <c r="E517" s="3111" t="s">
        <v>1729</v>
      </c>
      <c r="F517" s="3111"/>
      <c r="G517" s="3111"/>
      <c r="H517" s="3111"/>
      <c r="I517" s="3111"/>
      <c r="J517" s="3111"/>
      <c r="K517" s="3111"/>
      <c r="L517" s="3111"/>
      <c r="M517" s="3111"/>
      <c r="N517" s="3111"/>
      <c r="O517" s="3111"/>
      <c r="P517" s="3111"/>
      <c r="Q517" s="3111"/>
      <c r="R517" s="3111"/>
      <c r="S517" s="3111"/>
      <c r="T517" s="3111"/>
      <c r="U517" s="3111"/>
      <c r="V517" s="3111"/>
      <c r="W517" s="3111"/>
      <c r="X517" s="3111"/>
      <c r="Y517" s="3111"/>
      <c r="Z517" s="3111"/>
      <c r="AA517" s="3111"/>
      <c r="AB517" s="3111"/>
      <c r="AC517" s="926"/>
      <c r="AD517" s="926"/>
      <c r="AE517" s="926"/>
      <c r="AF517" s="3066" t="s">
        <v>1706</v>
      </c>
      <c r="AG517" s="3066"/>
      <c r="AH517" s="3066"/>
      <c r="AI517" s="3066"/>
      <c r="AJ517" s="3066"/>
      <c r="AK517" s="3066"/>
      <c r="AL517" s="3066"/>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6"/>
      <c r="D518" s="1105"/>
      <c r="E518" s="3111"/>
      <c r="F518" s="3111"/>
      <c r="G518" s="3111"/>
      <c r="H518" s="3111"/>
      <c r="I518" s="3111"/>
      <c r="J518" s="3111"/>
      <c r="K518" s="3111"/>
      <c r="L518" s="3111"/>
      <c r="M518" s="3111"/>
      <c r="N518" s="3111"/>
      <c r="O518" s="3111"/>
      <c r="P518" s="3111"/>
      <c r="Q518" s="3111"/>
      <c r="R518" s="3111"/>
      <c r="S518" s="3111"/>
      <c r="T518" s="3111"/>
      <c r="U518" s="3111"/>
      <c r="V518" s="3111"/>
      <c r="W518" s="3111"/>
      <c r="X518" s="3111"/>
      <c r="Y518" s="3111"/>
      <c r="Z518" s="3111"/>
      <c r="AA518" s="3111"/>
      <c r="AB518" s="3111"/>
      <c r="AC518" s="926"/>
      <c r="AD518" s="926"/>
      <c r="AE518" s="1595"/>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c r="A519" s="1059"/>
      <c r="B519" s="1022"/>
      <c r="C519" s="1638"/>
      <c r="D519" s="1022"/>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1679</v>
      </c>
      <c r="E520" s="1642"/>
      <c r="F520" s="1642"/>
      <c r="G520" s="1642"/>
      <c r="H520" s="3130" t="s">
        <v>725</v>
      </c>
      <c r="I520" s="3130"/>
      <c r="J520" s="1596"/>
      <c r="K520" s="1596"/>
      <c r="L520" s="1596"/>
      <c r="M520" s="1596"/>
      <c r="N520" s="1596"/>
      <c r="O520" s="1596"/>
      <c r="P520" s="1596"/>
      <c r="Q520" s="926"/>
      <c r="R520" s="926"/>
      <c r="S520" s="926"/>
      <c r="T520" s="926"/>
      <c r="U520" s="926"/>
      <c r="V520" s="926"/>
      <c r="W520" s="1596"/>
      <c r="X520" s="1596"/>
      <c r="Y520" s="1596"/>
      <c r="Z520" s="1596"/>
      <c r="AA520" s="1596"/>
      <c r="AB520" s="1596"/>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8"/>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3.9" customHeight="1">
      <c r="A522" s="1070"/>
      <c r="B522" s="1107"/>
      <c r="C522" s="1666"/>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1730</v>
      </c>
      <c r="AJ522" s="3090">
        <f>VLOOKUP($H$520,$AO$455:$AP$457,2,FALSE)</f>
        <v>2</v>
      </c>
      <c r="AK522" s="3092"/>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c r="A523" s="1059"/>
      <c r="B523" s="1034"/>
      <c r="C523" s="1648"/>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4"/>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c r="A524" s="1059"/>
      <c r="B524" s="1034"/>
      <c r="C524" s="985" t="s">
        <v>1719</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4"/>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c r="A525" s="1059"/>
      <c r="B525" s="1034"/>
      <c r="C525" s="1648"/>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4"/>
      <c r="AJ525" s="1004"/>
      <c r="AK525" s="1004"/>
      <c r="AL525" s="1004"/>
      <c r="AM525" s="1001"/>
      <c r="AN525" s="1132"/>
    </row>
    <row r="526" spans="1:74" s="1133" customFormat="1" ht="13.7" customHeight="1">
      <c r="A526" s="1059"/>
      <c r="B526" s="1034"/>
      <c r="C526" s="1648"/>
      <c r="D526" s="1105" t="s">
        <v>725</v>
      </c>
      <c r="E526" s="3111" t="s">
        <v>2188</v>
      </c>
      <c r="F526" s="3111"/>
      <c r="G526" s="3111"/>
      <c r="H526" s="3111"/>
      <c r="I526" s="3111"/>
      <c r="J526" s="3111"/>
      <c r="K526" s="3111"/>
      <c r="L526" s="3111"/>
      <c r="M526" s="3111"/>
      <c r="N526" s="3111"/>
      <c r="O526" s="3111"/>
      <c r="P526" s="3111"/>
      <c r="Q526" s="3111"/>
      <c r="R526" s="3111"/>
      <c r="S526" s="3111"/>
      <c r="T526" s="3111"/>
      <c r="U526" s="3111"/>
      <c r="V526" s="3111"/>
      <c r="W526" s="3111"/>
      <c r="X526" s="3111"/>
      <c r="Y526" s="3111"/>
      <c r="Z526" s="3111"/>
      <c r="AA526" s="3111"/>
      <c r="AB526" s="3111"/>
      <c r="AC526" s="3111"/>
      <c r="AD526" s="3111"/>
      <c r="AE526" s="926"/>
      <c r="AF526" s="3066" t="s">
        <v>1687</v>
      </c>
      <c r="AG526" s="3066"/>
      <c r="AH526" s="3066"/>
      <c r="AI526" s="3066"/>
      <c r="AJ526" s="3066"/>
      <c r="AK526" s="3066"/>
      <c r="AL526" s="3066"/>
      <c r="AM526" s="1030"/>
      <c r="AN526" s="1132"/>
    </row>
    <row r="527" spans="1:74" s="1133" customFormat="1" ht="13.7" customHeight="1">
      <c r="A527" s="1059"/>
      <c r="B527" s="1034"/>
      <c r="C527" s="1648"/>
      <c r="D527" s="1105"/>
      <c r="E527" s="3111"/>
      <c r="F527" s="3111"/>
      <c r="G527" s="3111"/>
      <c r="H527" s="3111"/>
      <c r="I527" s="3111"/>
      <c r="J527" s="3111"/>
      <c r="K527" s="3111"/>
      <c r="L527" s="3111"/>
      <c r="M527" s="3111"/>
      <c r="N527" s="3111"/>
      <c r="O527" s="3111"/>
      <c r="P527" s="3111"/>
      <c r="Q527" s="3111"/>
      <c r="R527" s="3111"/>
      <c r="S527" s="3111"/>
      <c r="T527" s="3111"/>
      <c r="U527" s="3111"/>
      <c r="V527" s="3111"/>
      <c r="W527" s="3111"/>
      <c r="X527" s="3111"/>
      <c r="Y527" s="3111"/>
      <c r="Z527" s="3111"/>
      <c r="AA527" s="3111"/>
      <c r="AB527" s="3111"/>
      <c r="AC527" s="3111"/>
      <c r="AD527" s="3111"/>
      <c r="AE527" s="926"/>
      <c r="AF527" s="1595"/>
      <c r="AG527" s="1595"/>
      <c r="AH527" s="1595"/>
      <c r="AI527" s="1595"/>
      <c r="AJ527" s="1595"/>
      <c r="AK527" s="1595"/>
      <c r="AL527" s="1595"/>
      <c r="AM527" s="1030"/>
      <c r="AN527" s="1132"/>
    </row>
    <row r="528" spans="1:74" s="1133" customFormat="1">
      <c r="A528" s="1059"/>
      <c r="B528" s="1034"/>
      <c r="C528" s="1648"/>
      <c r="D528" s="1105"/>
      <c r="E528" s="3111"/>
      <c r="F528" s="3111"/>
      <c r="G528" s="3111"/>
      <c r="H528" s="3111"/>
      <c r="I528" s="3111"/>
      <c r="J528" s="3111"/>
      <c r="K528" s="3111"/>
      <c r="L528" s="3111"/>
      <c r="M528" s="3111"/>
      <c r="N528" s="3111"/>
      <c r="O528" s="3111"/>
      <c r="P528" s="3111"/>
      <c r="Q528" s="3111"/>
      <c r="R528" s="3111"/>
      <c r="S528" s="3111"/>
      <c r="T528" s="3111"/>
      <c r="U528" s="3111"/>
      <c r="V528" s="3111"/>
      <c r="W528" s="3111"/>
      <c r="X528" s="3111"/>
      <c r="Y528" s="3111"/>
      <c r="Z528" s="3111"/>
      <c r="AA528" s="3111"/>
      <c r="AB528" s="3111"/>
      <c r="AC528" s="3111"/>
      <c r="AD528" s="3111"/>
      <c r="AE528" s="926"/>
      <c r="AF528" s="926"/>
      <c r="AG528" s="926"/>
      <c r="AH528" s="926"/>
      <c r="AI528" s="926"/>
      <c r="AJ528" s="926"/>
      <c r="AK528" s="926"/>
      <c r="AL528" s="1595"/>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600000000000001" customHeight="1">
      <c r="A529" s="1059"/>
      <c r="B529" s="1034"/>
      <c r="C529" s="1648"/>
      <c r="D529" s="1105"/>
      <c r="E529" s="3111"/>
      <c r="F529" s="3111"/>
      <c r="G529" s="3111"/>
      <c r="H529" s="3111"/>
      <c r="I529" s="3111"/>
      <c r="J529" s="3111"/>
      <c r="K529" s="3111"/>
      <c r="L529" s="3111"/>
      <c r="M529" s="3111"/>
      <c r="N529" s="3111"/>
      <c r="O529" s="3111"/>
      <c r="P529" s="3111"/>
      <c r="Q529" s="3111"/>
      <c r="R529" s="3111"/>
      <c r="S529" s="3111"/>
      <c r="T529" s="3111"/>
      <c r="U529" s="3111"/>
      <c r="V529" s="3111"/>
      <c r="W529" s="3111"/>
      <c r="X529" s="3111"/>
      <c r="Y529" s="3111"/>
      <c r="Z529" s="3111"/>
      <c r="AA529" s="3111"/>
      <c r="AB529" s="3111"/>
      <c r="AC529" s="3111"/>
      <c r="AD529" s="3111"/>
      <c r="AE529" s="1595"/>
      <c r="AF529" s="1595"/>
      <c r="AG529" s="1595"/>
      <c r="AH529" s="1595"/>
      <c r="AI529" s="1595"/>
      <c r="AJ529" s="1595"/>
      <c r="AK529" s="1595"/>
      <c r="AL529" s="1595"/>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8"/>
      <c r="D530" s="1105"/>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6"/>
      <c r="AG530" s="926"/>
      <c r="AH530" s="926"/>
      <c r="AI530" s="926"/>
      <c r="AJ530" s="926"/>
      <c r="AK530" s="926"/>
      <c r="AL530" s="926"/>
      <c r="AM530" s="1030"/>
      <c r="AN530" s="999"/>
    </row>
    <row r="531" spans="1:81" s="942" customFormat="1" ht="12.75" customHeight="1">
      <c r="A531" s="1059"/>
      <c r="B531" s="1034"/>
      <c r="C531" s="1648"/>
      <c r="D531" s="1105" t="s">
        <v>542</v>
      </c>
      <c r="E531" s="3138" t="s">
        <v>2196</v>
      </c>
      <c r="F531" s="3138"/>
      <c r="G531" s="3138"/>
      <c r="H531" s="3138"/>
      <c r="I531" s="3138"/>
      <c r="J531" s="3138"/>
      <c r="K531" s="3138"/>
      <c r="L531" s="3138"/>
      <c r="M531" s="3138"/>
      <c r="N531" s="3138"/>
      <c r="O531" s="3138"/>
      <c r="P531" s="3138"/>
      <c r="Q531" s="3138"/>
      <c r="R531" s="3138"/>
      <c r="S531" s="3138"/>
      <c r="T531" s="3138"/>
      <c r="U531" s="3138"/>
      <c r="V531" s="3138"/>
      <c r="W531" s="3138"/>
      <c r="X531" s="3138"/>
      <c r="Y531" s="3138"/>
      <c r="Z531" s="3138"/>
      <c r="AA531" s="3138"/>
      <c r="AB531" s="3138"/>
      <c r="AC531" s="3138"/>
      <c r="AD531" s="3138"/>
      <c r="AE531" s="926"/>
      <c r="AF531" s="3066" t="s">
        <v>1623</v>
      </c>
      <c r="AG531" s="3066"/>
      <c r="AH531" s="3066"/>
      <c r="AI531" s="3066"/>
      <c r="AJ531" s="3066"/>
      <c r="AK531" s="3066"/>
      <c r="AL531" s="3066"/>
      <c r="AM531" s="1030"/>
      <c r="AN531" s="999"/>
    </row>
    <row r="532" spans="1:81" s="942" customFormat="1" ht="12.75" customHeight="1">
      <c r="A532" s="1059"/>
      <c r="B532" s="1034"/>
      <c r="C532" s="1648"/>
      <c r="D532" s="1105"/>
      <c r="E532" s="3138"/>
      <c r="F532" s="3138"/>
      <c r="G532" s="3138"/>
      <c r="H532" s="3138"/>
      <c r="I532" s="3138"/>
      <c r="J532" s="3138"/>
      <c r="K532" s="3138"/>
      <c r="L532" s="3138"/>
      <c r="M532" s="3138"/>
      <c r="N532" s="3138"/>
      <c r="O532" s="3138"/>
      <c r="P532" s="3138"/>
      <c r="Q532" s="3138"/>
      <c r="R532" s="3138"/>
      <c r="S532" s="3138"/>
      <c r="T532" s="3138"/>
      <c r="U532" s="3138"/>
      <c r="V532" s="3138"/>
      <c r="W532" s="3138"/>
      <c r="X532" s="3138"/>
      <c r="Y532" s="3138"/>
      <c r="Z532" s="3138"/>
      <c r="AA532" s="3138"/>
      <c r="AB532" s="3138"/>
      <c r="AC532" s="3138"/>
      <c r="AD532" s="3138"/>
      <c r="AE532" s="1595"/>
      <c r="AF532" s="1595"/>
      <c r="AG532" s="1595"/>
      <c r="AH532" s="1595"/>
      <c r="AI532" s="1595"/>
      <c r="AJ532" s="1595"/>
      <c r="AK532" s="1595"/>
      <c r="AL532" s="1595"/>
      <c r="AM532" s="1030"/>
      <c r="AN532" s="999"/>
    </row>
    <row r="533" spans="1:81" s="942" customFormat="1" ht="12.75" customHeight="1">
      <c r="A533" s="1059"/>
      <c r="B533" s="1034"/>
      <c r="C533" s="1648"/>
      <c r="D533" s="1105"/>
      <c r="E533" s="3138"/>
      <c r="F533" s="3138"/>
      <c r="G533" s="3138"/>
      <c r="H533" s="3138"/>
      <c r="I533" s="3138"/>
      <c r="J533" s="3138"/>
      <c r="K533" s="3138"/>
      <c r="L533" s="3138"/>
      <c r="M533" s="3138"/>
      <c r="N533" s="3138"/>
      <c r="O533" s="3138"/>
      <c r="P533" s="3138"/>
      <c r="Q533" s="3138"/>
      <c r="R533" s="3138"/>
      <c r="S533" s="3138"/>
      <c r="T533" s="3138"/>
      <c r="U533" s="3138"/>
      <c r="V533" s="3138"/>
      <c r="W533" s="3138"/>
      <c r="X533" s="3138"/>
      <c r="Y533" s="3138"/>
      <c r="Z533" s="3138"/>
      <c r="AA533" s="3138"/>
      <c r="AB533" s="3138"/>
      <c r="AC533" s="3138"/>
      <c r="AD533" s="3138"/>
      <c r="AE533" s="1595"/>
      <c r="AF533" s="1595"/>
      <c r="AG533" s="1595"/>
      <c r="AH533" s="1595"/>
      <c r="AI533" s="1595"/>
      <c r="AJ533" s="1595"/>
      <c r="AK533" s="1595"/>
      <c r="AL533" s="1595"/>
      <c r="AM533" s="1030"/>
      <c r="AN533" s="999"/>
    </row>
    <row r="534" spans="1:81" s="942" customFormat="1" ht="12.75" customHeight="1">
      <c r="A534" s="1059"/>
      <c r="B534" s="1034"/>
      <c r="C534" s="1648"/>
      <c r="D534" s="1105"/>
      <c r="E534" s="3138"/>
      <c r="F534" s="3138"/>
      <c r="G534" s="3138"/>
      <c r="H534" s="3138"/>
      <c r="I534" s="3138"/>
      <c r="J534" s="3138"/>
      <c r="K534" s="3138"/>
      <c r="L534" s="3138"/>
      <c r="M534" s="3138"/>
      <c r="N534" s="3138"/>
      <c r="O534" s="3138"/>
      <c r="P534" s="3138"/>
      <c r="Q534" s="3138"/>
      <c r="R534" s="3138"/>
      <c r="S534" s="3138"/>
      <c r="T534" s="3138"/>
      <c r="U534" s="3138"/>
      <c r="V534" s="3138"/>
      <c r="W534" s="3138"/>
      <c r="X534" s="3138"/>
      <c r="Y534" s="3138"/>
      <c r="Z534" s="3138"/>
      <c r="AA534" s="3138"/>
      <c r="AB534" s="3138"/>
      <c r="AC534" s="3138"/>
      <c r="AD534" s="3138"/>
      <c r="AE534" s="1595"/>
      <c r="AF534" s="1595"/>
      <c r="AG534" s="1595"/>
      <c r="AH534" s="1595"/>
      <c r="AI534" s="1595"/>
      <c r="AJ534" s="1595"/>
      <c r="AK534" s="1595"/>
      <c r="AL534" s="1595"/>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8"/>
      <c r="D536" s="1022" t="s">
        <v>1679</v>
      </c>
      <c r="E536" s="1642"/>
      <c r="F536" s="1642"/>
      <c r="G536" s="1642"/>
      <c r="H536" s="3130" t="s">
        <v>626</v>
      </c>
      <c r="I536" s="3130"/>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4"/>
      <c r="AH536" s="1022"/>
      <c r="AI536" s="1594"/>
      <c r="AJ536" s="1004"/>
      <c r="AK536" s="1004"/>
      <c r="AL536" s="1004"/>
      <c r="AM536" s="1001"/>
      <c r="AN536" s="999"/>
    </row>
    <row r="537" spans="1:81" s="942" customFormat="1" ht="12.75" customHeight="1">
      <c r="A537" s="1059"/>
      <c r="B537" s="1034"/>
      <c r="C537" s="1648"/>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4"/>
      <c r="AJ537" s="1004"/>
      <c r="AK537" s="1004"/>
      <c r="AL537" s="1004"/>
      <c r="AM537" s="1001"/>
      <c r="AN537" s="999"/>
    </row>
    <row r="538" spans="1:81" s="942" customFormat="1" ht="12.75" customHeight="1">
      <c r="A538" s="1070"/>
      <c r="B538" s="1107"/>
      <c r="C538" s="1666"/>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1731</v>
      </c>
      <c r="AJ538" s="3090">
        <f>VLOOKUP($H$536,$AP$477:$AQ$479,2,FALSE)</f>
        <v>0</v>
      </c>
      <c r="AK538" s="3092"/>
      <c r="AL538" s="1004"/>
      <c r="AM538" s="1001"/>
      <c r="AN538" s="999"/>
    </row>
    <row r="539" spans="1:81" s="1133" customFormat="1">
      <c r="A539" s="1059"/>
      <c r="B539" s="1034"/>
      <c r="C539" s="1648"/>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4"/>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c r="A540" s="1059"/>
      <c r="B540" s="1034"/>
      <c r="C540" s="985" t="s">
        <v>1732</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4"/>
      <c r="AJ540" s="1004"/>
      <c r="AK540" s="1004"/>
      <c r="AL540" s="1004"/>
      <c r="AM540" s="1001"/>
      <c r="AN540" s="1132"/>
      <c r="AO540" s="1134"/>
      <c r="AT540" s="1142"/>
      <c r="AU540" s="1142"/>
      <c r="AV540" s="1142"/>
      <c r="AW540" s="1142"/>
      <c r="AX540" s="1142"/>
      <c r="AY540" s="1142"/>
      <c r="AZ540" s="1142"/>
    </row>
    <row r="541" spans="1:81" s="1133" customFormat="1">
      <c r="A541" s="1059"/>
      <c r="B541" s="1034"/>
      <c r="C541" s="1648"/>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626</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7" customHeight="1">
      <c r="A542" s="1059"/>
      <c r="B542" s="1034"/>
      <c r="C542" s="1648"/>
      <c r="D542" s="1105" t="s">
        <v>725</v>
      </c>
      <c r="E542" s="3111" t="s">
        <v>2187</v>
      </c>
      <c r="F542" s="3111"/>
      <c r="G542" s="3111"/>
      <c r="H542" s="3111"/>
      <c r="I542" s="3111"/>
      <c r="J542" s="3111"/>
      <c r="K542" s="3111"/>
      <c r="L542" s="3111"/>
      <c r="M542" s="3111"/>
      <c r="N542" s="3111"/>
      <c r="O542" s="3111"/>
      <c r="P542" s="3111"/>
      <c r="Q542" s="3111"/>
      <c r="R542" s="3111"/>
      <c r="S542" s="3111"/>
      <c r="T542" s="3111"/>
      <c r="U542" s="3111"/>
      <c r="V542" s="3111"/>
      <c r="W542" s="3111"/>
      <c r="X542" s="3111"/>
      <c r="Y542" s="3111"/>
      <c r="Z542" s="3111"/>
      <c r="AA542" s="3111"/>
      <c r="AB542" s="3111"/>
      <c r="AC542" s="3111"/>
      <c r="AD542" s="3111"/>
      <c r="AE542" s="926"/>
      <c r="AF542" s="3066" t="s">
        <v>1733</v>
      </c>
      <c r="AG542" s="3066"/>
      <c r="AH542" s="3066"/>
      <c r="AI542" s="3066"/>
      <c r="AJ542" s="3066"/>
      <c r="AK542" s="3066"/>
      <c r="AL542" s="3066"/>
      <c r="AM542" s="1030"/>
      <c r="AN542" s="1132"/>
      <c r="AO542" s="1117" t="s">
        <v>578</v>
      </c>
      <c r="AP542" s="942">
        <v>8</v>
      </c>
      <c r="AT542" s="1142"/>
      <c r="AU542" s="1142"/>
      <c r="AV542" s="1142"/>
      <c r="AW542" s="1142"/>
      <c r="AX542" s="1142"/>
      <c r="AY542" s="1142"/>
      <c r="AZ542" s="1142"/>
    </row>
    <row r="543" spans="1:81" s="1133" customFormat="1" ht="13.7" customHeight="1">
      <c r="A543" s="1059"/>
      <c r="B543" s="1034"/>
      <c r="C543" s="1648"/>
      <c r="D543" s="1105"/>
      <c r="E543" s="3111"/>
      <c r="F543" s="3111"/>
      <c r="G543" s="3111"/>
      <c r="H543" s="3111"/>
      <c r="I543" s="3111"/>
      <c r="J543" s="3111"/>
      <c r="K543" s="3111"/>
      <c r="L543" s="3111"/>
      <c r="M543" s="3111"/>
      <c r="N543" s="3111"/>
      <c r="O543" s="3111"/>
      <c r="P543" s="3111"/>
      <c r="Q543" s="3111"/>
      <c r="R543" s="3111"/>
      <c r="S543" s="3111"/>
      <c r="T543" s="3111"/>
      <c r="U543" s="3111"/>
      <c r="V543" s="3111"/>
      <c r="W543" s="3111"/>
      <c r="X543" s="3111"/>
      <c r="Y543" s="3111"/>
      <c r="Z543" s="3111"/>
      <c r="AA543" s="3111"/>
      <c r="AB543" s="3111"/>
      <c r="AC543" s="3111"/>
      <c r="AD543" s="3111"/>
      <c r="AE543" s="926"/>
      <c r="AF543" s="1595"/>
      <c r="AG543" s="1595"/>
      <c r="AH543" s="1595"/>
      <c r="AI543" s="1595"/>
      <c r="AJ543" s="1595"/>
      <c r="AK543" s="1595"/>
      <c r="AL543" s="1595"/>
      <c r="AM543" s="1030"/>
      <c r="AN543" s="1132"/>
      <c r="AO543" s="1117"/>
      <c r="AP543" s="942"/>
      <c r="AT543" s="1142"/>
      <c r="AU543" s="1142"/>
      <c r="AV543" s="1142"/>
      <c r="AW543" s="1142"/>
      <c r="AX543" s="1142"/>
      <c r="AY543" s="1142"/>
      <c r="AZ543" s="1142"/>
    </row>
    <row r="544" spans="1:81" s="1133" customFormat="1">
      <c r="A544" s="1059"/>
      <c r="B544" s="1034"/>
      <c r="C544" s="1648"/>
      <c r="D544" s="1105"/>
      <c r="E544" s="3111"/>
      <c r="F544" s="3111"/>
      <c r="G544" s="3111"/>
      <c r="H544" s="3111"/>
      <c r="I544" s="3111"/>
      <c r="J544" s="3111"/>
      <c r="K544" s="3111"/>
      <c r="L544" s="3111"/>
      <c r="M544" s="3111"/>
      <c r="N544" s="3111"/>
      <c r="O544" s="3111"/>
      <c r="P544" s="3111"/>
      <c r="Q544" s="3111"/>
      <c r="R544" s="3111"/>
      <c r="S544" s="3111"/>
      <c r="T544" s="3111"/>
      <c r="U544" s="3111"/>
      <c r="V544" s="3111"/>
      <c r="W544" s="3111"/>
      <c r="X544" s="3111"/>
      <c r="Y544" s="3111"/>
      <c r="Z544" s="3111"/>
      <c r="AA544" s="3111"/>
      <c r="AB544" s="3111"/>
      <c r="AC544" s="3111"/>
      <c r="AD544" s="3111"/>
      <c r="AE544" s="1595"/>
      <c r="AF544" s="1595"/>
      <c r="AG544" s="1595"/>
      <c r="AH544" s="1595"/>
      <c r="AI544" s="1595"/>
      <c r="AJ544" s="1595"/>
      <c r="AK544" s="1595"/>
      <c r="AL544" s="1595"/>
      <c r="AM544" s="1030"/>
      <c r="AN544" s="1132"/>
      <c r="AO544" s="1117"/>
      <c r="AP544" s="942"/>
      <c r="AT544" s="1142"/>
      <c r="AU544" s="1142"/>
      <c r="AV544" s="1142"/>
      <c r="AW544" s="1142"/>
      <c r="AX544" s="1142"/>
      <c r="AY544" s="1142"/>
      <c r="AZ544" s="1142"/>
    </row>
    <row r="545" spans="1:81" s="1133" customFormat="1">
      <c r="A545" s="1059"/>
      <c r="B545" s="1034"/>
      <c r="C545" s="1648"/>
      <c r="D545" s="1105"/>
      <c r="E545" s="3111"/>
      <c r="F545" s="3111"/>
      <c r="G545" s="3111"/>
      <c r="H545" s="3111"/>
      <c r="I545" s="3111"/>
      <c r="J545" s="3111"/>
      <c r="K545" s="3111"/>
      <c r="L545" s="3111"/>
      <c r="M545" s="3111"/>
      <c r="N545" s="3111"/>
      <c r="O545" s="3111"/>
      <c r="P545" s="3111"/>
      <c r="Q545" s="3111"/>
      <c r="R545" s="3111"/>
      <c r="S545" s="3111"/>
      <c r="T545" s="3111"/>
      <c r="U545" s="3111"/>
      <c r="V545" s="3111"/>
      <c r="W545" s="3111"/>
      <c r="X545" s="3111"/>
      <c r="Y545" s="3111"/>
      <c r="Z545" s="3111"/>
      <c r="AA545" s="3111"/>
      <c r="AB545" s="3111"/>
      <c r="AC545" s="3111"/>
      <c r="AD545" s="3111"/>
      <c r="AE545" s="1595"/>
      <c r="AF545" s="1595"/>
      <c r="AG545" s="1595"/>
      <c r="AH545" s="1595"/>
      <c r="AI545" s="1595"/>
      <c r="AJ545" s="1595"/>
      <c r="AK545" s="1595"/>
      <c r="AL545" s="1595"/>
      <c r="AM545" s="1030"/>
      <c r="AN545" s="1132"/>
      <c r="AO545" s="1145"/>
      <c r="AT545" s="1142"/>
      <c r="AU545" s="1142"/>
      <c r="AV545" s="1142"/>
      <c r="AW545" s="1142"/>
      <c r="AX545" s="1142"/>
      <c r="AY545" s="1142"/>
      <c r="AZ545" s="1142"/>
    </row>
    <row r="546" spans="1:81" s="1133" customFormat="1">
      <c r="A546" s="1059"/>
      <c r="B546" s="1034"/>
      <c r="C546" s="1648"/>
      <c r="D546" s="1105"/>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0"/>
      <c r="AN546" s="1132"/>
      <c r="AO546" s="1145"/>
      <c r="AT546" s="1142"/>
      <c r="AU546" s="1142"/>
      <c r="AV546" s="1142"/>
      <c r="AW546" s="1142"/>
      <c r="AX546" s="1142"/>
      <c r="AY546" s="1142"/>
      <c r="AZ546" s="1142"/>
    </row>
    <row r="547" spans="1:81" s="1133" customFormat="1">
      <c r="A547" s="1059"/>
      <c r="B547" s="1034"/>
      <c r="C547" s="1648"/>
      <c r="D547" s="1022" t="s">
        <v>1679</v>
      </c>
      <c r="E547" s="1642"/>
      <c r="F547" s="1642"/>
      <c r="G547" s="1642"/>
      <c r="H547" s="3130" t="s">
        <v>626</v>
      </c>
      <c r="I547" s="3130"/>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4"/>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1734</v>
      </c>
      <c r="AJ549" s="3090">
        <f>VLOOKUP($H$547,$AO$541:$AP$542,2,FALSE)</f>
        <v>0</v>
      </c>
      <c r="AK549" s="3092"/>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1735</v>
      </c>
      <c r="AK551" s="3090">
        <f>IF(($AJ$382+$AJ$401+$AJ$413+$AJ$448+$AJ$468+$AJ$482+$AJ$494+$AJ$510+$AJ$522+$AJ$538+AJ549)&gt;10,10,($AJ$382+$AJ$401+$AJ$413+$AJ$448+$AJ$468+$AJ$482+$AJ$494+$AJ$510+$AJ$522+$AJ$538+AJ549))</f>
        <v>10</v>
      </c>
      <c r="AL551" s="3091"/>
      <c r="AM551" s="3092"/>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1736</v>
      </c>
      <c r="AK553" s="3090">
        <f>IF((AK320+AK551)&gt;20,20,(AK320+AK551))</f>
        <v>19</v>
      </c>
      <c r="AL553" s="3091"/>
      <c r="AM553" s="3092"/>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1737</v>
      </c>
      <c r="B556" s="1011" t="s">
        <v>908</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080" t="s">
        <v>1585</v>
      </c>
      <c r="AF556" s="3080"/>
      <c r="AG556" s="3080"/>
      <c r="AH556" s="3080"/>
      <c r="AI556" s="3080"/>
      <c r="AJ556" s="3080"/>
      <c r="AK556" s="3080"/>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137" t="s">
        <v>1738</v>
      </c>
      <c r="D558" s="3137"/>
      <c r="E558" s="3137"/>
      <c r="F558" s="3137"/>
      <c r="G558" s="3137"/>
      <c r="H558" s="3137"/>
      <c r="I558" s="3137"/>
      <c r="J558" s="3137"/>
      <c r="K558" s="3137"/>
      <c r="L558" s="3137"/>
      <c r="M558" s="3137"/>
      <c r="N558" s="3137"/>
      <c r="O558" s="3137"/>
      <c r="P558" s="3137"/>
      <c r="Q558" s="3137"/>
      <c r="R558" s="3137"/>
      <c r="S558" s="3137"/>
      <c r="T558" s="3137"/>
      <c r="U558" s="3137"/>
      <c r="V558" s="3137"/>
      <c r="W558" s="3137"/>
      <c r="X558" s="3137"/>
      <c r="Y558" s="3137"/>
      <c r="Z558" s="3137"/>
      <c r="AA558" s="3137"/>
      <c r="AB558" s="3137"/>
      <c r="AC558" s="3137"/>
      <c r="AD558" s="3137"/>
      <c r="AE558" s="3137"/>
      <c r="AF558" s="3137"/>
      <c r="AG558" s="3137"/>
      <c r="AH558" s="3137"/>
      <c r="AI558" s="3137"/>
      <c r="AJ558" s="3137"/>
      <c r="AK558" s="1026"/>
      <c r="AL558" s="1026"/>
      <c r="AM558" s="1026"/>
      <c r="AN558" s="999"/>
    </row>
    <row r="559" spans="1:81" s="942" customFormat="1" ht="12.75" customHeight="1">
      <c r="A559" s="1026"/>
      <c r="B559" s="1027"/>
      <c r="C559" s="3137"/>
      <c r="D559" s="3137"/>
      <c r="E559" s="3137"/>
      <c r="F559" s="3137"/>
      <c r="G559" s="3137"/>
      <c r="H559" s="3137"/>
      <c r="I559" s="3137"/>
      <c r="J559" s="3137"/>
      <c r="K559" s="3137"/>
      <c r="L559" s="3137"/>
      <c r="M559" s="3137"/>
      <c r="N559" s="3137"/>
      <c r="O559" s="3137"/>
      <c r="P559" s="3137"/>
      <c r="Q559" s="3137"/>
      <c r="R559" s="3137"/>
      <c r="S559" s="3137"/>
      <c r="T559" s="3137"/>
      <c r="U559" s="3137"/>
      <c r="V559" s="3137"/>
      <c r="W559" s="3137"/>
      <c r="X559" s="3137"/>
      <c r="Y559" s="3137"/>
      <c r="Z559" s="3137"/>
      <c r="AA559" s="3137"/>
      <c r="AB559" s="3137"/>
      <c r="AC559" s="3137"/>
      <c r="AD559" s="3137"/>
      <c r="AE559" s="3137"/>
      <c r="AF559" s="3137"/>
      <c r="AG559" s="3137"/>
      <c r="AH559" s="3137"/>
      <c r="AI559" s="3137"/>
      <c r="AJ559" s="3137"/>
      <c r="AK559" s="1026"/>
      <c r="AL559" s="1026"/>
      <c r="AM559" s="1026"/>
      <c r="AN559" s="999"/>
    </row>
    <row r="560" spans="1:81" s="942" customFormat="1" ht="12.75" customHeight="1">
      <c r="A560" s="1026"/>
      <c r="B560" s="1027"/>
      <c r="C560" s="3137"/>
      <c r="D560" s="3137"/>
      <c r="E560" s="3137"/>
      <c r="F560" s="3137"/>
      <c r="G560" s="3137"/>
      <c r="H560" s="3137"/>
      <c r="I560" s="3137"/>
      <c r="J560" s="3137"/>
      <c r="K560" s="3137"/>
      <c r="L560" s="3137"/>
      <c r="M560" s="3137"/>
      <c r="N560" s="3137"/>
      <c r="O560" s="3137"/>
      <c r="P560" s="3137"/>
      <c r="Q560" s="3137"/>
      <c r="R560" s="3137"/>
      <c r="S560" s="3137"/>
      <c r="T560" s="3137"/>
      <c r="U560" s="3137"/>
      <c r="V560" s="3137"/>
      <c r="W560" s="3137"/>
      <c r="X560" s="3137"/>
      <c r="Y560" s="3137"/>
      <c r="Z560" s="3137"/>
      <c r="AA560" s="3137"/>
      <c r="AB560" s="3137"/>
      <c r="AC560" s="3137"/>
      <c r="AD560" s="3137"/>
      <c r="AE560" s="3137"/>
      <c r="AF560" s="3137"/>
      <c r="AG560" s="3137"/>
      <c r="AH560" s="3137"/>
      <c r="AI560" s="3137"/>
      <c r="AJ560" s="3137"/>
      <c r="AK560" s="1026"/>
      <c r="AL560" s="1026"/>
      <c r="AM560" s="1026"/>
      <c r="AN560" s="999"/>
      <c r="AQ560" s="1134"/>
      <c r="AR560" s="1001"/>
    </row>
    <row r="561" spans="1:46" s="942" customFormat="1" ht="12.75" customHeight="1">
      <c r="A561" s="1026"/>
      <c r="B561" s="1117"/>
      <c r="C561" s="3137"/>
      <c r="D561" s="3137"/>
      <c r="E561" s="3137"/>
      <c r="F561" s="3137"/>
      <c r="G561" s="3137"/>
      <c r="H561" s="3137"/>
      <c r="I561" s="3137"/>
      <c r="J561" s="3137"/>
      <c r="K561" s="3137"/>
      <c r="L561" s="3137"/>
      <c r="M561" s="3137"/>
      <c r="N561" s="3137"/>
      <c r="O561" s="3137"/>
      <c r="P561" s="3137"/>
      <c r="Q561" s="3137"/>
      <c r="R561" s="3137"/>
      <c r="S561" s="3137"/>
      <c r="T561" s="3137"/>
      <c r="U561" s="3137"/>
      <c r="V561" s="3137"/>
      <c r="W561" s="3137"/>
      <c r="X561" s="3137"/>
      <c r="Y561" s="3137"/>
      <c r="Z561" s="3137"/>
      <c r="AA561" s="3137"/>
      <c r="AB561" s="3137"/>
      <c r="AC561" s="3137"/>
      <c r="AD561" s="3137"/>
      <c r="AE561" s="3137"/>
      <c r="AF561" s="3137"/>
      <c r="AG561" s="3137"/>
      <c r="AH561" s="3137"/>
      <c r="AI561" s="3137"/>
      <c r="AJ561" s="3137"/>
      <c r="AK561" s="1026"/>
      <c r="AL561" s="1026"/>
      <c r="AM561" s="1026"/>
      <c r="AN561" s="999"/>
      <c r="AQ561" s="1134"/>
      <c r="AR561" s="1001"/>
    </row>
    <row r="562" spans="1:46" s="942" customFormat="1" ht="12.4" customHeight="1">
      <c r="A562" s="1026"/>
      <c r="B562" s="1117"/>
      <c r="C562" s="3137"/>
      <c r="D562" s="3137"/>
      <c r="E562" s="3137"/>
      <c r="F562" s="3137"/>
      <c r="G562" s="3137"/>
      <c r="H562" s="3137"/>
      <c r="I562" s="3137"/>
      <c r="J562" s="3137"/>
      <c r="K562" s="3137"/>
      <c r="L562" s="3137"/>
      <c r="M562" s="3137"/>
      <c r="N562" s="3137"/>
      <c r="O562" s="3137"/>
      <c r="P562" s="3137"/>
      <c r="Q562" s="3137"/>
      <c r="R562" s="3137"/>
      <c r="S562" s="3137"/>
      <c r="T562" s="3137"/>
      <c r="U562" s="3137"/>
      <c r="V562" s="3137"/>
      <c r="W562" s="3137"/>
      <c r="X562" s="3137"/>
      <c r="Y562" s="3137"/>
      <c r="Z562" s="3137"/>
      <c r="AA562" s="3137"/>
      <c r="AB562" s="3137"/>
      <c r="AC562" s="3137"/>
      <c r="AD562" s="3137"/>
      <c r="AE562" s="3137"/>
      <c r="AF562" s="3137"/>
      <c r="AG562" s="3137"/>
      <c r="AH562" s="3137"/>
      <c r="AI562" s="3137"/>
      <c r="AJ562" s="3137"/>
      <c r="AK562" s="1026"/>
      <c r="AL562" s="1026"/>
      <c r="AM562" s="1026"/>
      <c r="AN562" s="999"/>
      <c r="AQ562" s="1134"/>
      <c r="AR562" s="1134"/>
    </row>
    <row r="563" spans="1:46" s="942" customFormat="1" ht="24.95" customHeight="1">
      <c r="A563" s="1026"/>
      <c r="B563" s="1117"/>
      <c r="C563" s="3137" t="s">
        <v>1739</v>
      </c>
      <c r="D563" s="3137"/>
      <c r="E563" s="3137"/>
      <c r="F563" s="3137"/>
      <c r="G563" s="3137"/>
      <c r="H563" s="3137"/>
      <c r="I563" s="3137"/>
      <c r="J563" s="3137"/>
      <c r="K563" s="3137"/>
      <c r="L563" s="3137"/>
      <c r="M563" s="3137"/>
      <c r="N563" s="3137"/>
      <c r="O563" s="3137"/>
      <c r="P563" s="3137"/>
      <c r="Q563" s="3137"/>
      <c r="R563" s="3137"/>
      <c r="S563" s="3137"/>
      <c r="T563" s="3137"/>
      <c r="U563" s="3137"/>
      <c r="V563" s="3137"/>
      <c r="W563" s="3137"/>
      <c r="X563" s="3137"/>
      <c r="Y563" s="3137"/>
      <c r="Z563" s="3137"/>
      <c r="AA563" s="3137"/>
      <c r="AB563" s="3137"/>
      <c r="AC563" s="3137"/>
      <c r="AD563" s="3137"/>
      <c r="AE563" s="3137"/>
      <c r="AF563" s="3137"/>
      <c r="AG563" s="3137"/>
      <c r="AH563" s="3137"/>
      <c r="AI563" s="3137"/>
      <c r="AJ563" s="3137"/>
      <c r="AK563" s="1026"/>
      <c r="AL563" s="1026"/>
      <c r="AM563" s="1026"/>
      <c r="AN563" s="999"/>
      <c r="AQ563" s="1134"/>
      <c r="AR563" s="1134"/>
    </row>
    <row r="564" spans="1:46" s="942" customFormat="1" ht="12.4"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137" t="s">
        <v>2393</v>
      </c>
      <c r="D565" s="3137"/>
      <c r="E565" s="3137"/>
      <c r="F565" s="3137"/>
      <c r="G565" s="3137"/>
      <c r="H565" s="3137"/>
      <c r="I565" s="3137"/>
      <c r="J565" s="3137"/>
      <c r="K565" s="3137"/>
      <c r="L565" s="3137"/>
      <c r="M565" s="3137"/>
      <c r="N565" s="3137"/>
      <c r="O565" s="3137"/>
      <c r="P565" s="3137"/>
      <c r="Q565" s="3137"/>
      <c r="R565" s="3137"/>
      <c r="S565" s="3137"/>
      <c r="T565" s="3137"/>
      <c r="U565" s="3137"/>
      <c r="V565" s="3137"/>
      <c r="W565" s="3137"/>
      <c r="X565" s="3137"/>
      <c r="Y565" s="3137"/>
      <c r="Z565" s="3137"/>
      <c r="AA565" s="3137"/>
      <c r="AB565" s="3137"/>
      <c r="AC565" s="3137"/>
      <c r="AD565" s="3137"/>
      <c r="AE565" s="3137"/>
      <c r="AF565" s="3137"/>
      <c r="AG565" s="3137"/>
      <c r="AH565" s="3137"/>
      <c r="AI565" s="3137"/>
      <c r="AJ565" s="3137"/>
      <c r="AK565" s="1026"/>
      <c r="AL565" s="1026"/>
      <c r="AM565" s="1026"/>
      <c r="AN565" s="999"/>
      <c r="AQ565" s="1134"/>
      <c r="AR565" s="1134"/>
    </row>
    <row r="566" spans="1:46" s="942" customFormat="1" ht="30" customHeight="1">
      <c r="A566" s="1026"/>
      <c r="B566" s="1117"/>
      <c r="C566" s="3137"/>
      <c r="D566" s="3137"/>
      <c r="E566" s="3137"/>
      <c r="F566" s="3137"/>
      <c r="G566" s="3137"/>
      <c r="H566" s="3137"/>
      <c r="I566" s="3137"/>
      <c r="J566" s="3137"/>
      <c r="K566" s="3137"/>
      <c r="L566" s="3137"/>
      <c r="M566" s="3137"/>
      <c r="N566" s="3137"/>
      <c r="O566" s="3137"/>
      <c r="P566" s="3137"/>
      <c r="Q566" s="3137"/>
      <c r="R566" s="3137"/>
      <c r="S566" s="3137"/>
      <c r="T566" s="3137"/>
      <c r="U566" s="3137"/>
      <c r="V566" s="3137"/>
      <c r="W566" s="3137"/>
      <c r="X566" s="3137"/>
      <c r="Y566" s="3137"/>
      <c r="Z566" s="3137"/>
      <c r="AA566" s="3137"/>
      <c r="AB566" s="3137"/>
      <c r="AC566" s="3137"/>
      <c r="AD566" s="3137"/>
      <c r="AE566" s="3137"/>
      <c r="AF566" s="3137"/>
      <c r="AG566" s="3137"/>
      <c r="AH566" s="3137"/>
      <c r="AI566" s="3137"/>
      <c r="AJ566" s="3137"/>
      <c r="AK566" s="1026"/>
      <c r="AL566" s="1026"/>
      <c r="AM566" s="1026"/>
      <c r="AN566" s="999"/>
      <c r="AQ566" s="1001"/>
      <c r="AR566" s="1134"/>
    </row>
    <row r="567" spans="1:46" s="942" customFormat="1" ht="12.75" customHeight="1">
      <c r="A567" s="1026"/>
      <c r="B567" s="1117"/>
      <c r="C567" s="3137"/>
      <c r="D567" s="3137"/>
      <c r="E567" s="3137"/>
      <c r="F567" s="3137"/>
      <c r="G567" s="3137"/>
      <c r="H567" s="3137"/>
      <c r="I567" s="3137"/>
      <c r="J567" s="3137"/>
      <c r="K567" s="3137"/>
      <c r="L567" s="3137"/>
      <c r="M567" s="3137"/>
      <c r="N567" s="3137"/>
      <c r="O567" s="3137"/>
      <c r="P567" s="3137"/>
      <c r="Q567" s="3137"/>
      <c r="R567" s="3137"/>
      <c r="S567" s="3137"/>
      <c r="T567" s="3137"/>
      <c r="U567" s="3137"/>
      <c r="V567" s="3137"/>
      <c r="W567" s="3137"/>
      <c r="X567" s="3137"/>
      <c r="Y567" s="3137"/>
      <c r="Z567" s="3137"/>
      <c r="AA567" s="3137"/>
      <c r="AB567" s="3137"/>
      <c r="AC567" s="3137"/>
      <c r="AD567" s="3137"/>
      <c r="AE567" s="3137"/>
      <c r="AF567" s="3137"/>
      <c r="AG567" s="3137"/>
      <c r="AH567" s="3137"/>
      <c r="AI567" s="3137"/>
      <c r="AJ567" s="3137"/>
      <c r="AK567" s="1026"/>
      <c r="AL567" s="1026"/>
      <c r="AM567" s="1026"/>
      <c r="AN567" s="999"/>
      <c r="AQ567" s="1001"/>
      <c r="AR567" s="1134"/>
    </row>
    <row r="568" spans="1:46" s="942" customFormat="1" ht="12.75" customHeight="1">
      <c r="A568" s="1026"/>
      <c r="B568" s="1117"/>
      <c r="C568" s="3137" t="s">
        <v>1740</v>
      </c>
      <c r="D568" s="3137"/>
      <c r="E568" s="3137"/>
      <c r="F568" s="3137"/>
      <c r="G568" s="3137"/>
      <c r="H568" s="3137"/>
      <c r="I568" s="3137"/>
      <c r="J568" s="3137"/>
      <c r="K568" s="3137"/>
      <c r="L568" s="3137"/>
      <c r="M568" s="3137"/>
      <c r="N568" s="3137"/>
      <c r="O568" s="3137"/>
      <c r="P568" s="3137"/>
      <c r="Q568" s="3137"/>
      <c r="R568" s="3137"/>
      <c r="S568" s="3137"/>
      <c r="T568" s="3137"/>
      <c r="U568" s="3137"/>
      <c r="V568" s="3137"/>
      <c r="W568" s="3137"/>
      <c r="X568" s="3137"/>
      <c r="Y568" s="3137"/>
      <c r="Z568" s="3137"/>
      <c r="AA568" s="3137"/>
      <c r="AB568" s="3137"/>
      <c r="AC568" s="3137"/>
      <c r="AD568" s="3137"/>
      <c r="AE568" s="3137"/>
      <c r="AF568" s="3137"/>
      <c r="AG568" s="3137"/>
      <c r="AH568" s="3137"/>
      <c r="AI568" s="3137"/>
      <c r="AJ568" s="3137"/>
      <c r="AK568" s="1026"/>
      <c r="AL568" s="1026"/>
      <c r="AM568" s="1026"/>
      <c r="AN568" s="999"/>
      <c r="AQ568" s="1134"/>
      <c r="AR568" s="1134"/>
    </row>
    <row r="569" spans="1:46" s="942" customFormat="1" ht="12.75" customHeight="1">
      <c r="A569" s="1026"/>
      <c r="B569" s="1117"/>
      <c r="C569" s="3137"/>
      <c r="D569" s="3137"/>
      <c r="E569" s="3137"/>
      <c r="F569" s="3137"/>
      <c r="G569" s="3137"/>
      <c r="H569" s="3137"/>
      <c r="I569" s="3137"/>
      <c r="J569" s="3137"/>
      <c r="K569" s="3137"/>
      <c r="L569" s="3137"/>
      <c r="M569" s="3137"/>
      <c r="N569" s="3137"/>
      <c r="O569" s="3137"/>
      <c r="P569" s="3137"/>
      <c r="Q569" s="3137"/>
      <c r="R569" s="3137"/>
      <c r="S569" s="3137"/>
      <c r="T569" s="3137"/>
      <c r="U569" s="3137"/>
      <c r="V569" s="3137"/>
      <c r="W569" s="3137"/>
      <c r="X569" s="3137"/>
      <c r="Y569" s="3137"/>
      <c r="Z569" s="3137"/>
      <c r="AA569" s="3137"/>
      <c r="AB569" s="3137"/>
      <c r="AC569" s="3137"/>
      <c r="AD569" s="3137"/>
      <c r="AE569" s="3137"/>
      <c r="AF569" s="3137"/>
      <c r="AG569" s="3137"/>
      <c r="AH569" s="3137"/>
      <c r="AI569" s="3137"/>
      <c r="AJ569" s="3137"/>
      <c r="AK569" s="1026"/>
      <c r="AL569" s="1026"/>
      <c r="AM569" s="1026"/>
      <c r="AN569" s="999"/>
      <c r="AQ569" s="1134"/>
      <c r="AR569" s="1134"/>
    </row>
    <row r="570" spans="1:46" s="942" customFormat="1" ht="13.15" customHeight="1">
      <c r="A570" s="1026"/>
      <c r="B570" s="1117"/>
      <c r="C570" s="3137"/>
      <c r="D570" s="3137"/>
      <c r="E570" s="3137"/>
      <c r="F570" s="3137"/>
      <c r="G570" s="3137"/>
      <c r="H570" s="3137"/>
      <c r="I570" s="3137"/>
      <c r="J570" s="3137"/>
      <c r="K570" s="3137"/>
      <c r="L570" s="3137"/>
      <c r="M570" s="3137"/>
      <c r="N570" s="3137"/>
      <c r="O570" s="3137"/>
      <c r="P570" s="3137"/>
      <c r="Q570" s="3137"/>
      <c r="R570" s="3137"/>
      <c r="S570" s="3137"/>
      <c r="T570" s="3137"/>
      <c r="U570" s="3137"/>
      <c r="V570" s="3137"/>
      <c r="W570" s="3137"/>
      <c r="X570" s="3137"/>
      <c r="Y570" s="3137"/>
      <c r="Z570" s="3137"/>
      <c r="AA570" s="3137"/>
      <c r="AB570" s="3137"/>
      <c r="AC570" s="3137"/>
      <c r="AD570" s="3137"/>
      <c r="AE570" s="3137"/>
      <c r="AF570" s="3137"/>
      <c r="AG570" s="3137"/>
      <c r="AH570" s="3137"/>
      <c r="AI570" s="3137"/>
      <c r="AJ570" s="3137"/>
      <c r="AK570" s="1026"/>
      <c r="AL570" s="1026"/>
      <c r="AM570" s="1026"/>
      <c r="AN570" s="999"/>
      <c r="AQ570" s="1134"/>
      <c r="AR570" s="1134"/>
    </row>
    <row r="571" spans="1:46" s="942" customFormat="1" ht="12.75" customHeight="1">
      <c r="A571" s="1026"/>
      <c r="B571" s="1117"/>
      <c r="C571" s="3137"/>
      <c r="D571" s="3137"/>
      <c r="E571" s="3137"/>
      <c r="F571" s="3137"/>
      <c r="G571" s="3137"/>
      <c r="H571" s="3137"/>
      <c r="I571" s="3137"/>
      <c r="J571" s="3137"/>
      <c r="K571" s="3137"/>
      <c r="L571" s="3137"/>
      <c r="M571" s="3137"/>
      <c r="N571" s="3137"/>
      <c r="O571" s="3137"/>
      <c r="P571" s="3137"/>
      <c r="Q571" s="3137"/>
      <c r="R571" s="3137"/>
      <c r="S571" s="3137"/>
      <c r="T571" s="3137"/>
      <c r="U571" s="3137"/>
      <c r="V571" s="3137"/>
      <c r="W571" s="3137"/>
      <c r="X571" s="3137"/>
      <c r="Y571" s="3137"/>
      <c r="Z571" s="3137"/>
      <c r="AA571" s="3137"/>
      <c r="AB571" s="3137"/>
      <c r="AC571" s="3137"/>
      <c r="AD571" s="3137"/>
      <c r="AE571" s="3137"/>
      <c r="AF571" s="3137"/>
      <c r="AG571" s="3137"/>
      <c r="AH571" s="3137"/>
      <c r="AI571" s="3137"/>
      <c r="AJ571" s="3137"/>
      <c r="AK571" s="1026"/>
      <c r="AL571" s="1026"/>
      <c r="AM571" s="1026"/>
      <c r="AN571" s="999"/>
      <c r="AO571" s="1149"/>
      <c r="AP571" s="1149"/>
      <c r="AQ571" s="1134"/>
      <c r="AR571" s="1001"/>
    </row>
    <row r="572" spans="1:46" s="942" customFormat="1" ht="11.85" customHeight="1">
      <c r="A572" s="1026"/>
      <c r="B572" s="1117"/>
      <c r="C572" s="3137"/>
      <c r="D572" s="3137"/>
      <c r="E572" s="3137"/>
      <c r="F572" s="3137"/>
      <c r="G572" s="3137"/>
      <c r="H572" s="3137"/>
      <c r="I572" s="3137"/>
      <c r="J572" s="3137"/>
      <c r="K572" s="3137"/>
      <c r="L572" s="3137"/>
      <c r="M572" s="3137"/>
      <c r="N572" s="3137"/>
      <c r="O572" s="3137"/>
      <c r="P572" s="3137"/>
      <c r="Q572" s="3137"/>
      <c r="R572" s="3137"/>
      <c r="S572" s="3137"/>
      <c r="T572" s="3137"/>
      <c r="U572" s="3137"/>
      <c r="V572" s="3137"/>
      <c r="W572" s="3137"/>
      <c r="X572" s="3137"/>
      <c r="Y572" s="3137"/>
      <c r="Z572" s="3137"/>
      <c r="AA572" s="3137"/>
      <c r="AB572" s="3137"/>
      <c r="AC572" s="3137"/>
      <c r="AD572" s="3137"/>
      <c r="AE572" s="3137"/>
      <c r="AF572" s="3137"/>
      <c r="AG572" s="3137"/>
      <c r="AH572" s="3137"/>
      <c r="AI572" s="3137"/>
      <c r="AJ572" s="3137"/>
      <c r="AK572" s="1026"/>
      <c r="AL572" s="1026"/>
      <c r="AM572" s="1026"/>
      <c r="AN572" s="999"/>
      <c r="AO572" s="1150" t="s">
        <v>117</v>
      </c>
      <c r="AP572" s="1151">
        <f>IF(C596="Yes",5,0)</f>
        <v>5</v>
      </c>
      <c r="AQ572" s="1001"/>
      <c r="AR572" s="1001"/>
      <c r="AS572" s="931" t="s">
        <v>1741</v>
      </c>
    </row>
    <row r="573" spans="1:46" s="942" customFormat="1" ht="12.75" customHeight="1">
      <c r="A573" s="1026"/>
      <c r="B573" s="1117"/>
      <c r="C573" s="3137"/>
      <c r="D573" s="3137"/>
      <c r="E573" s="3137"/>
      <c r="F573" s="3137"/>
      <c r="G573" s="3137"/>
      <c r="H573" s="3137"/>
      <c r="I573" s="3137"/>
      <c r="J573" s="3137"/>
      <c r="K573" s="3137"/>
      <c r="L573" s="3137"/>
      <c r="M573" s="3137"/>
      <c r="N573" s="3137"/>
      <c r="O573" s="3137"/>
      <c r="P573" s="3137"/>
      <c r="Q573" s="3137"/>
      <c r="R573" s="3137"/>
      <c r="S573" s="3137"/>
      <c r="T573" s="3137"/>
      <c r="U573" s="3137"/>
      <c r="V573" s="3137"/>
      <c r="W573" s="3137"/>
      <c r="X573" s="3137"/>
      <c r="Y573" s="3137"/>
      <c r="Z573" s="3137"/>
      <c r="AA573" s="3137"/>
      <c r="AB573" s="3137"/>
      <c r="AC573" s="3137"/>
      <c r="AD573" s="3137"/>
      <c r="AE573" s="3137"/>
      <c r="AF573" s="3137"/>
      <c r="AG573" s="3137"/>
      <c r="AH573" s="3137"/>
      <c r="AI573" s="3137"/>
      <c r="AJ573" s="3137"/>
      <c r="AK573" s="1026"/>
      <c r="AL573" s="1026"/>
      <c r="AM573" s="1026"/>
      <c r="AN573" s="999"/>
      <c r="AO573" s="1150" t="s">
        <v>118</v>
      </c>
      <c r="AP573" s="1151">
        <f>IF(C604="Yes",5,0)</f>
        <v>0</v>
      </c>
      <c r="AQ573" s="1001"/>
      <c r="AR573" s="1001"/>
      <c r="AS573" s="3144">
        <f>IF(Application!D210="Non-Targeted",(SUM(AQ581+AQ590)),AS577)</f>
        <v>10</v>
      </c>
      <c r="AT573" s="3144"/>
    </row>
    <row r="574" spans="1:46" s="942" customFormat="1" ht="12.75" customHeight="1">
      <c r="A574" s="1026"/>
      <c r="B574" s="1117"/>
      <c r="C574" s="3137"/>
      <c r="D574" s="3137"/>
      <c r="E574" s="3137"/>
      <c r="F574" s="3137"/>
      <c r="G574" s="3137"/>
      <c r="H574" s="3137"/>
      <c r="I574" s="3137"/>
      <c r="J574" s="3137"/>
      <c r="K574" s="3137"/>
      <c r="L574" s="3137"/>
      <c r="M574" s="3137"/>
      <c r="N574" s="3137"/>
      <c r="O574" s="3137"/>
      <c r="P574" s="3137"/>
      <c r="Q574" s="3137"/>
      <c r="R574" s="3137"/>
      <c r="S574" s="3137"/>
      <c r="T574" s="3137"/>
      <c r="U574" s="3137"/>
      <c r="V574" s="3137"/>
      <c r="W574" s="3137"/>
      <c r="X574" s="3137"/>
      <c r="Y574" s="3137"/>
      <c r="Z574" s="3137"/>
      <c r="AA574" s="3137"/>
      <c r="AB574" s="3137"/>
      <c r="AC574" s="3137"/>
      <c r="AD574" s="3137"/>
      <c r="AE574" s="3137"/>
      <c r="AF574" s="3137"/>
      <c r="AG574" s="3137"/>
      <c r="AH574" s="3137"/>
      <c r="AI574" s="3137"/>
      <c r="AJ574" s="3137"/>
      <c r="AK574" s="1026"/>
      <c r="AL574" s="1026"/>
      <c r="AM574" s="1026"/>
      <c r="AN574" s="999"/>
      <c r="AO574" s="1150" t="s">
        <v>124</v>
      </c>
      <c r="AP574" s="1151">
        <f>IF(C612="Yes",7,0)</f>
        <v>0</v>
      </c>
      <c r="AS574" s="931" t="s">
        <v>1742</v>
      </c>
    </row>
    <row r="575" spans="1:46" s="942" customFormat="1" ht="12.75" customHeight="1">
      <c r="A575" s="1026"/>
      <c r="B575" s="1117"/>
      <c r="C575" s="3137"/>
      <c r="D575" s="3137"/>
      <c r="E575" s="3137"/>
      <c r="F575" s="3137"/>
      <c r="G575" s="3137"/>
      <c r="H575" s="3137"/>
      <c r="I575" s="3137"/>
      <c r="J575" s="3137"/>
      <c r="K575" s="3137"/>
      <c r="L575" s="3137"/>
      <c r="M575" s="3137"/>
      <c r="N575" s="3137"/>
      <c r="O575" s="3137"/>
      <c r="P575" s="3137"/>
      <c r="Q575" s="3137"/>
      <c r="R575" s="3137"/>
      <c r="S575" s="3137"/>
      <c r="T575" s="3137"/>
      <c r="U575" s="3137"/>
      <c r="V575" s="3137"/>
      <c r="W575" s="3137"/>
      <c r="X575" s="3137"/>
      <c r="Y575" s="3137"/>
      <c r="Z575" s="3137"/>
      <c r="AA575" s="3137"/>
      <c r="AB575" s="3137"/>
      <c r="AC575" s="3137"/>
      <c r="AD575" s="3137"/>
      <c r="AE575" s="3137"/>
      <c r="AF575" s="3137"/>
      <c r="AG575" s="3137"/>
      <c r="AH575" s="3137"/>
      <c r="AI575" s="3137"/>
      <c r="AJ575" s="3137"/>
      <c r="AK575" s="1026"/>
      <c r="AL575" s="1026"/>
      <c r="AM575" s="1026"/>
      <c r="AN575" s="999"/>
      <c r="AO575" s="999"/>
      <c r="AP575" s="1151">
        <f>IF(C614="Yes",5,0)</f>
        <v>5</v>
      </c>
      <c r="AS575" s="3144">
        <f>IF(AND(AQ581&gt;0,AQ590&gt;0),(AQ581+AQ590)/2,0)</f>
        <v>0</v>
      </c>
      <c r="AT575" s="3144"/>
    </row>
    <row r="576" spans="1:46" s="942" customFormat="1" ht="12.75" customHeight="1">
      <c r="A576" s="1026"/>
      <c r="B576" s="1117"/>
      <c r="C576" s="3137"/>
      <c r="D576" s="3137"/>
      <c r="E576" s="3137"/>
      <c r="F576" s="3137"/>
      <c r="G576" s="3137"/>
      <c r="H576" s="3137"/>
      <c r="I576" s="3137"/>
      <c r="J576" s="3137"/>
      <c r="K576" s="3137"/>
      <c r="L576" s="3137"/>
      <c r="M576" s="3137"/>
      <c r="N576" s="3137"/>
      <c r="O576" s="3137"/>
      <c r="P576" s="3137"/>
      <c r="Q576" s="3137"/>
      <c r="R576" s="3137"/>
      <c r="S576" s="3137"/>
      <c r="T576" s="3137"/>
      <c r="U576" s="3137"/>
      <c r="V576" s="3137"/>
      <c r="W576" s="3137"/>
      <c r="X576" s="3137"/>
      <c r="Y576" s="3137"/>
      <c r="Z576" s="3137"/>
      <c r="AA576" s="3137"/>
      <c r="AB576" s="3137"/>
      <c r="AC576" s="3137"/>
      <c r="AD576" s="3137"/>
      <c r="AE576" s="3137"/>
      <c r="AF576" s="3137"/>
      <c r="AG576" s="3137"/>
      <c r="AH576" s="3137"/>
      <c r="AI576" s="3137"/>
      <c r="AJ576" s="3137"/>
      <c r="AK576" s="1026"/>
      <c r="AL576" s="1026"/>
      <c r="AM576" s="1026"/>
      <c r="AN576" s="999"/>
      <c r="AO576" s="1150" t="s">
        <v>616</v>
      </c>
      <c r="AP576" s="1151">
        <f>IF(C622="Yes",5,0)</f>
        <v>0</v>
      </c>
      <c r="AQ576" s="1001"/>
      <c r="AR576" s="1001"/>
      <c r="AS576" s="931" t="s">
        <v>2416</v>
      </c>
    </row>
    <row r="577" spans="1:81" s="942" customFormat="1" ht="12.75" customHeight="1">
      <c r="A577" s="1026"/>
      <c r="B577" s="1117"/>
      <c r="C577" s="3145" t="s">
        <v>1743</v>
      </c>
      <c r="D577" s="3145"/>
      <c r="E577" s="3145"/>
      <c r="F577" s="3145"/>
      <c r="G577" s="3145"/>
      <c r="H577" s="3145"/>
      <c r="I577" s="3145"/>
      <c r="J577" s="3145"/>
      <c r="K577" s="3145"/>
      <c r="L577" s="3145"/>
      <c r="M577" s="3145"/>
      <c r="N577" s="3145"/>
      <c r="O577" s="3145"/>
      <c r="P577" s="3145"/>
      <c r="Q577" s="3145"/>
      <c r="R577" s="3145"/>
      <c r="S577" s="3145"/>
      <c r="T577" s="3145"/>
      <c r="U577" s="3145"/>
      <c r="V577" s="3145"/>
      <c r="W577" s="3145"/>
      <c r="X577" s="3145"/>
      <c r="Y577" s="3145"/>
      <c r="Z577" s="3145"/>
      <c r="AA577" s="3145"/>
      <c r="AB577" s="3145"/>
      <c r="AC577" s="3145"/>
      <c r="AD577" s="3145"/>
      <c r="AE577" s="3145"/>
      <c r="AF577" s="3145"/>
      <c r="AG577" s="3145"/>
      <c r="AH577" s="3145"/>
      <c r="AI577" s="3145"/>
      <c r="AJ577" s="3145"/>
      <c r="AK577" s="1026"/>
      <c r="AL577" s="1026"/>
      <c r="AM577" s="1026"/>
      <c r="AN577" s="999"/>
      <c r="AO577" s="999"/>
      <c r="AP577" s="1151">
        <f>IF(C624="Yes",3,0)</f>
        <v>0</v>
      </c>
      <c r="AS577" s="3144">
        <f>IF(AQ581=0,AQ590,AQ581)</f>
        <v>10</v>
      </c>
      <c r="AT577" s="3144"/>
    </row>
    <row r="578" spans="1:81" s="942" customFormat="1" ht="12.75" customHeight="1">
      <c r="A578" s="1026"/>
      <c r="B578" s="1117"/>
      <c r="C578" s="3145"/>
      <c r="D578" s="3145"/>
      <c r="E578" s="3145"/>
      <c r="F578" s="3145"/>
      <c r="G578" s="3145"/>
      <c r="H578" s="3145"/>
      <c r="I578" s="3145"/>
      <c r="J578" s="3145"/>
      <c r="K578" s="3145"/>
      <c r="L578" s="3145"/>
      <c r="M578" s="3145"/>
      <c r="N578" s="3145"/>
      <c r="O578" s="3145"/>
      <c r="P578" s="3145"/>
      <c r="Q578" s="3145"/>
      <c r="R578" s="3145"/>
      <c r="S578" s="3145"/>
      <c r="T578" s="3145"/>
      <c r="U578" s="3145"/>
      <c r="V578" s="3145"/>
      <c r="W578" s="3145"/>
      <c r="X578" s="3145"/>
      <c r="Y578" s="3145"/>
      <c r="Z578" s="3145"/>
      <c r="AA578" s="3145"/>
      <c r="AB578" s="3145"/>
      <c r="AC578" s="3145"/>
      <c r="AD578" s="3145"/>
      <c r="AE578" s="3145"/>
      <c r="AF578" s="3145"/>
      <c r="AG578" s="3145"/>
      <c r="AH578" s="3145"/>
      <c r="AI578" s="3145"/>
      <c r="AJ578" s="3145"/>
      <c r="AK578" s="1026"/>
      <c r="AL578" s="1026"/>
      <c r="AM578" s="1026"/>
      <c r="AN578" s="999"/>
      <c r="AO578" s="1150" t="s">
        <v>821</v>
      </c>
      <c r="AP578" s="1151">
        <f>IF(C627="Yes",5,0)</f>
        <v>0</v>
      </c>
    </row>
    <row r="579" spans="1:81" s="942" customFormat="1" ht="12.75" customHeight="1">
      <c r="A579" s="1026"/>
      <c r="B579" s="1117"/>
      <c r="C579" s="3145"/>
      <c r="D579" s="3145"/>
      <c r="E579" s="3145"/>
      <c r="F579" s="3145"/>
      <c r="G579" s="3145"/>
      <c r="H579" s="3145"/>
      <c r="I579" s="3145"/>
      <c r="J579" s="3145"/>
      <c r="K579" s="3145"/>
      <c r="L579" s="3145"/>
      <c r="M579" s="3145"/>
      <c r="N579" s="3145"/>
      <c r="O579" s="3145"/>
      <c r="P579" s="3145"/>
      <c r="Q579" s="3145"/>
      <c r="R579" s="3145"/>
      <c r="S579" s="3145"/>
      <c r="T579" s="3145"/>
      <c r="U579" s="3145"/>
      <c r="V579" s="3145"/>
      <c r="W579" s="3145"/>
      <c r="X579" s="3145"/>
      <c r="Y579" s="3145"/>
      <c r="Z579" s="3145"/>
      <c r="AA579" s="3145"/>
      <c r="AB579" s="3145"/>
      <c r="AC579" s="3145"/>
      <c r="AD579" s="3145"/>
      <c r="AE579" s="3145"/>
      <c r="AF579" s="3145"/>
      <c r="AG579" s="3145"/>
      <c r="AH579" s="3145"/>
      <c r="AI579" s="3145"/>
      <c r="AJ579" s="3145"/>
      <c r="AK579" s="1026"/>
      <c r="AL579" s="1026"/>
      <c r="AM579" s="1026"/>
      <c r="AN579" s="999"/>
      <c r="AO579" s="1150" t="s">
        <v>619</v>
      </c>
      <c r="AP579" s="1151">
        <f>IF(C636="Yes",5,0)</f>
        <v>0</v>
      </c>
    </row>
    <row r="580" spans="1:81" s="942" customFormat="1" ht="11.85" customHeight="1">
      <c r="A580" s="1026"/>
      <c r="B580" s="1117"/>
      <c r="C580" s="3145"/>
      <c r="D580" s="3145"/>
      <c r="E580" s="3145"/>
      <c r="F580" s="3145"/>
      <c r="G580" s="3145"/>
      <c r="H580" s="3145"/>
      <c r="I580" s="3145"/>
      <c r="J580" s="3145"/>
      <c r="K580" s="3145"/>
      <c r="L580" s="3145"/>
      <c r="M580" s="3145"/>
      <c r="N580" s="3145"/>
      <c r="O580" s="3145"/>
      <c r="P580" s="3145"/>
      <c r="Q580" s="3145"/>
      <c r="R580" s="3145"/>
      <c r="S580" s="3145"/>
      <c r="T580" s="3145"/>
      <c r="U580" s="3145"/>
      <c r="V580" s="3145"/>
      <c r="W580" s="3145"/>
      <c r="X580" s="3145"/>
      <c r="Y580" s="3145"/>
      <c r="Z580" s="3145"/>
      <c r="AA580" s="3145"/>
      <c r="AB580" s="3145"/>
      <c r="AC580" s="3145"/>
      <c r="AD580" s="3145"/>
      <c r="AE580" s="3145"/>
      <c r="AF580" s="3145"/>
      <c r="AG580" s="3145"/>
      <c r="AH580" s="3145"/>
      <c r="AI580" s="3145"/>
      <c r="AJ580" s="3145"/>
      <c r="AK580" s="1026"/>
      <c r="AL580" s="1026"/>
      <c r="AM580" s="1026"/>
      <c r="AN580" s="999"/>
      <c r="AO580" s="1152"/>
      <c r="AP580" s="1153">
        <f>IF(C638="Yes",3,0)</f>
        <v>0</v>
      </c>
    </row>
    <row r="581" spans="1:81" s="942" customFormat="1" ht="12.4" customHeight="1">
      <c r="A581" s="1026"/>
      <c r="B581" s="1117"/>
      <c r="C581" s="3145"/>
      <c r="D581" s="3145"/>
      <c r="E581" s="3145"/>
      <c r="F581" s="3145"/>
      <c r="G581" s="3145"/>
      <c r="H581" s="3145"/>
      <c r="I581" s="3145"/>
      <c r="J581" s="3145"/>
      <c r="K581" s="3145"/>
      <c r="L581" s="3145"/>
      <c r="M581" s="3145"/>
      <c r="N581" s="3145"/>
      <c r="O581" s="3145"/>
      <c r="P581" s="3145"/>
      <c r="Q581" s="3145"/>
      <c r="R581" s="3145"/>
      <c r="S581" s="3145"/>
      <c r="T581" s="3145"/>
      <c r="U581" s="3145"/>
      <c r="V581" s="3145"/>
      <c r="W581" s="3145"/>
      <c r="X581" s="3145"/>
      <c r="Y581" s="3145"/>
      <c r="Z581" s="3145"/>
      <c r="AA581" s="3145"/>
      <c r="AB581" s="3145"/>
      <c r="AC581" s="3145"/>
      <c r="AD581" s="3145"/>
      <c r="AE581" s="3145"/>
      <c r="AF581" s="3145"/>
      <c r="AG581" s="3145"/>
      <c r="AH581" s="3145"/>
      <c r="AI581" s="3145"/>
      <c r="AJ581" s="3145"/>
      <c r="AK581" s="1026"/>
      <c r="AL581" s="1026"/>
      <c r="AM581" s="1026"/>
      <c r="AN581" s="999"/>
      <c r="AO581" s="1154" t="s">
        <v>233</v>
      </c>
      <c r="AP581" s="1155">
        <f>SUM(AP572:AP580)</f>
        <v>10</v>
      </c>
      <c r="AQ581" s="3146">
        <f>IF(AP581&gt;0,AP581,0)</f>
        <v>10</v>
      </c>
      <c r="AR581" s="3146"/>
    </row>
    <row r="582" spans="1:81" s="942" customFormat="1" ht="12.75" customHeight="1">
      <c r="A582" s="1026"/>
      <c r="B582" s="1117"/>
      <c r="C582" s="3145"/>
      <c r="D582" s="3145"/>
      <c r="E582" s="3145"/>
      <c r="F582" s="3145"/>
      <c r="G582" s="3145"/>
      <c r="H582" s="3145"/>
      <c r="I582" s="3145"/>
      <c r="J582" s="3145"/>
      <c r="K582" s="3145"/>
      <c r="L582" s="3145"/>
      <c r="M582" s="3145"/>
      <c r="N582" s="3145"/>
      <c r="O582" s="3145"/>
      <c r="P582" s="3145"/>
      <c r="Q582" s="3145"/>
      <c r="R582" s="3145"/>
      <c r="S582" s="3145"/>
      <c r="T582" s="3145"/>
      <c r="U582" s="3145"/>
      <c r="V582" s="3145"/>
      <c r="W582" s="3145"/>
      <c r="X582" s="3145"/>
      <c r="Y582" s="3145"/>
      <c r="Z582" s="3145"/>
      <c r="AA582" s="3145"/>
      <c r="AB582" s="3145"/>
      <c r="AC582" s="3145"/>
      <c r="AD582" s="3145"/>
      <c r="AE582" s="3145"/>
      <c r="AF582" s="3145"/>
      <c r="AG582" s="3145"/>
      <c r="AH582" s="3145"/>
      <c r="AI582" s="3145"/>
      <c r="AJ582" s="3145"/>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487</v>
      </c>
      <c r="AP583" s="1151">
        <f>IF(C645="Yes",5,0)</f>
        <v>0</v>
      </c>
    </row>
    <row r="584" spans="1:81" s="942" customFormat="1" ht="12.75" customHeight="1">
      <c r="A584" s="1026"/>
      <c r="B584" s="1117"/>
      <c r="C584" s="3137" t="s">
        <v>1744</v>
      </c>
      <c r="D584" s="3137"/>
      <c r="E584" s="3137"/>
      <c r="F584" s="3137"/>
      <c r="G584" s="3137"/>
      <c r="H584" s="3137"/>
      <c r="I584" s="3137"/>
      <c r="J584" s="3137"/>
      <c r="K584" s="3137"/>
      <c r="L584" s="3137"/>
      <c r="M584" s="3137"/>
      <c r="N584" s="3137"/>
      <c r="O584" s="3137"/>
      <c r="P584" s="3137"/>
      <c r="Q584" s="3137"/>
      <c r="R584" s="3137"/>
      <c r="S584" s="3137"/>
      <c r="T584" s="3137"/>
      <c r="U584" s="3137"/>
      <c r="V584" s="3137"/>
      <c r="W584" s="3137"/>
      <c r="X584" s="3137"/>
      <c r="Y584" s="3137"/>
      <c r="Z584" s="3137"/>
      <c r="AA584" s="3137"/>
      <c r="AB584" s="3137"/>
      <c r="AC584" s="3137"/>
      <c r="AD584" s="3137"/>
      <c r="AE584" s="3137"/>
      <c r="AF584" s="3137"/>
      <c r="AG584" s="3137"/>
      <c r="AH584" s="3137"/>
      <c r="AI584" s="3137"/>
      <c r="AJ584" s="3137"/>
      <c r="AK584" s="1026"/>
      <c r="AL584" s="1026"/>
      <c r="AM584" s="1026"/>
      <c r="AN584" s="999"/>
      <c r="AO584" s="1150" t="s">
        <v>488</v>
      </c>
      <c r="AP584" s="1151">
        <f>IF(C657="Yes",5,0)</f>
        <v>0</v>
      </c>
    </row>
    <row r="585" spans="1:81" s="942" customFormat="1" ht="12.75" customHeight="1">
      <c r="A585" s="1026"/>
      <c r="B585" s="1117"/>
      <c r="C585" s="3137"/>
      <c r="D585" s="3137"/>
      <c r="E585" s="3137"/>
      <c r="F585" s="3137"/>
      <c r="G585" s="3137"/>
      <c r="H585" s="3137"/>
      <c r="I585" s="3137"/>
      <c r="J585" s="3137"/>
      <c r="K585" s="3137"/>
      <c r="L585" s="3137"/>
      <c r="M585" s="3137"/>
      <c r="N585" s="3137"/>
      <c r="O585" s="3137"/>
      <c r="P585" s="3137"/>
      <c r="Q585" s="3137"/>
      <c r="R585" s="3137"/>
      <c r="S585" s="3137"/>
      <c r="T585" s="3137"/>
      <c r="U585" s="3137"/>
      <c r="V585" s="3137"/>
      <c r="W585" s="3137"/>
      <c r="X585" s="3137"/>
      <c r="Y585" s="3137"/>
      <c r="Z585" s="3137"/>
      <c r="AA585" s="3137"/>
      <c r="AB585" s="3137"/>
      <c r="AC585" s="3137"/>
      <c r="AD585" s="3137"/>
      <c r="AE585" s="3137"/>
      <c r="AF585" s="3137"/>
      <c r="AG585" s="3137"/>
      <c r="AH585" s="3137"/>
      <c r="AI585" s="3137"/>
      <c r="AJ585" s="3137"/>
      <c r="AK585" s="1026"/>
      <c r="AL585" s="1026"/>
      <c r="AM585" s="1026"/>
      <c r="AN585" s="999"/>
      <c r="AO585" s="1150" t="s">
        <v>494</v>
      </c>
      <c r="AP585" s="1151">
        <f>IF(C664="Yes",5,0)</f>
        <v>0</v>
      </c>
    </row>
    <row r="586" spans="1:81" s="942" customFormat="1" ht="68.099999999999994" customHeight="1">
      <c r="A586" s="1026"/>
      <c r="B586" s="1117"/>
      <c r="C586" s="3137"/>
      <c r="D586" s="3137"/>
      <c r="E586" s="3137"/>
      <c r="F586" s="3137"/>
      <c r="G586" s="3137"/>
      <c r="H586" s="3137"/>
      <c r="I586" s="3137"/>
      <c r="J586" s="3137"/>
      <c r="K586" s="3137"/>
      <c r="L586" s="3137"/>
      <c r="M586" s="3137"/>
      <c r="N586" s="3137"/>
      <c r="O586" s="3137"/>
      <c r="P586" s="3137"/>
      <c r="Q586" s="3137"/>
      <c r="R586" s="3137"/>
      <c r="S586" s="3137"/>
      <c r="T586" s="3137"/>
      <c r="U586" s="3137"/>
      <c r="V586" s="3137"/>
      <c r="W586" s="3137"/>
      <c r="X586" s="3137"/>
      <c r="Y586" s="3137"/>
      <c r="Z586" s="3137"/>
      <c r="AA586" s="3137"/>
      <c r="AB586" s="3137"/>
      <c r="AC586" s="3137"/>
      <c r="AD586" s="3137"/>
      <c r="AE586" s="3137"/>
      <c r="AF586" s="3137"/>
      <c r="AG586" s="3137"/>
      <c r="AH586" s="3137"/>
      <c r="AI586" s="3137"/>
      <c r="AJ586" s="3137"/>
      <c r="AK586" s="1026"/>
      <c r="AL586" s="1026"/>
      <c r="AM586" s="1026"/>
      <c r="AN586" s="999"/>
      <c r="AO586" s="1150" t="s">
        <v>681</v>
      </c>
      <c r="AP586" s="1157">
        <f>IF(C668="Yes",5,0)</f>
        <v>0</v>
      </c>
      <c r="AQ586" s="1001"/>
      <c r="AR586" s="1001"/>
    </row>
    <row r="587" spans="1:81" s="942" customFormat="1" ht="12.4" customHeight="1">
      <c r="A587" s="1026"/>
      <c r="B587" s="1117"/>
      <c r="C587" s="1158" t="s">
        <v>1745</v>
      </c>
      <c r="AF587" s="1026"/>
      <c r="AG587" s="1026"/>
      <c r="AH587" s="1026"/>
      <c r="AI587" s="1026"/>
      <c r="AJ587" s="1026"/>
      <c r="AK587" s="1026"/>
      <c r="AL587" s="1026"/>
      <c r="AM587" s="1026"/>
      <c r="AN587" s="999"/>
      <c r="AO587" s="1150" t="s">
        <v>372</v>
      </c>
      <c r="AP587" s="1151">
        <f>IF(C672="Yes",5,0)</f>
        <v>0</v>
      </c>
    </row>
    <row r="588" spans="1:81" s="942" customFormat="1" ht="12.75" customHeight="1">
      <c r="A588" s="1026"/>
      <c r="B588" s="1117"/>
      <c r="C588" s="1159" t="s">
        <v>1746</v>
      </c>
      <c r="D588" s="1160"/>
      <c r="E588" s="1160"/>
      <c r="F588" s="1160"/>
      <c r="G588" s="1160"/>
      <c r="H588" s="1160"/>
      <c r="I588" s="1160"/>
      <c r="J588" s="1160"/>
      <c r="K588" s="1160"/>
      <c r="L588" s="1160"/>
      <c r="M588" s="1109"/>
      <c r="N588" s="1109"/>
      <c r="O588" s="1161"/>
      <c r="P588" s="1160"/>
      <c r="Q588" s="1160"/>
      <c r="R588" s="1109"/>
      <c r="S588" s="1109"/>
      <c r="T588" s="1160"/>
      <c r="U588" s="3246">
        <f>'Service Amenities Budget'!J10</f>
        <v>69</v>
      </c>
      <c r="V588" s="3246"/>
      <c r="W588" s="3246"/>
      <c r="X588" s="1160"/>
      <c r="Y588" s="1160"/>
      <c r="Z588" s="1160"/>
      <c r="AA588" s="1162"/>
      <c r="AB588" s="1163"/>
      <c r="AC588" s="1163"/>
      <c r="AD588" s="1163"/>
      <c r="AE588" s="1026"/>
      <c r="AF588" s="1026"/>
      <c r="AG588" s="1026"/>
      <c r="AH588" s="1026"/>
      <c r="AI588" s="1026"/>
      <c r="AJ588" s="1026"/>
      <c r="AK588" s="1026"/>
      <c r="AL588" s="1026"/>
      <c r="AM588" s="1026"/>
      <c r="AN588" s="999"/>
      <c r="AO588" s="1150" t="s">
        <v>373</v>
      </c>
      <c r="AP588" s="1151">
        <f>IF(C681="Yes",5,0)</f>
        <v>0</v>
      </c>
    </row>
    <row r="589" spans="1:81" s="942" customFormat="1" ht="12.75" customHeight="1">
      <c r="A589" s="1026"/>
      <c r="B589" s="1117"/>
      <c r="C589" s="1164" t="s">
        <v>1747</v>
      </c>
      <c r="D589" s="1165"/>
      <c r="E589" s="1165"/>
      <c r="F589" s="1165"/>
      <c r="G589" s="1165"/>
      <c r="H589" s="1165"/>
      <c r="I589" s="1165"/>
      <c r="J589" s="1165"/>
      <c r="K589" s="1165"/>
      <c r="L589" s="1165"/>
      <c r="M589" s="1149"/>
      <c r="N589" s="1149"/>
      <c r="O589" s="1165"/>
      <c r="P589" s="1165"/>
      <c r="Q589" s="1165"/>
      <c r="R589" s="1165"/>
      <c r="S589" s="1165"/>
      <c r="T589" s="1165"/>
      <c r="U589" s="3247">
        <f>'Service Amenities Budget'!J9</f>
        <v>0</v>
      </c>
      <c r="V589" s="3247"/>
      <c r="W589" s="3247"/>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9"/>
      <c r="E590" s="1669"/>
      <c r="F590" s="1669"/>
      <c r="G590" s="1669"/>
      <c r="H590" s="1669"/>
      <c r="I590" s="1669"/>
      <c r="J590" s="1669"/>
      <c r="K590" s="1669"/>
      <c r="L590" s="1669"/>
      <c r="M590" s="1024"/>
      <c r="N590" s="1024"/>
      <c r="O590" s="1669"/>
      <c r="P590" s="1669"/>
      <c r="Q590" s="1669"/>
      <c r="R590" s="1669"/>
      <c r="S590" s="1669"/>
      <c r="T590" s="1669"/>
      <c r="U590" s="1670"/>
      <c r="V590" s="1670"/>
      <c r="W590" s="1670"/>
      <c r="X590" s="1669"/>
      <c r="Y590" s="1669"/>
      <c r="Z590" s="1669"/>
      <c r="AA590" s="1669"/>
      <c r="AB590" s="1158"/>
      <c r="AC590" s="1167"/>
      <c r="AD590" s="1167"/>
      <c r="AE590" s="1026"/>
      <c r="AF590" s="1026"/>
      <c r="AG590" s="1026"/>
      <c r="AH590" s="1026"/>
      <c r="AI590" s="1026"/>
      <c r="AJ590" s="1026"/>
      <c r="AK590" s="1026"/>
      <c r="AL590" s="1026"/>
      <c r="AM590" s="1026"/>
      <c r="AN590" s="999"/>
      <c r="AO590" s="1168" t="s">
        <v>233</v>
      </c>
      <c r="AP590" s="1169">
        <f>SUM(AP583:AP588)</f>
        <v>0</v>
      </c>
      <c r="AQ590" s="3146">
        <f>IF(AP590&gt;0,AP590,0)</f>
        <v>0</v>
      </c>
      <c r="AR590" s="3146"/>
    </row>
    <row r="591" spans="1:81" s="942" customFormat="1" ht="12.75" customHeight="1">
      <c r="A591" s="1026"/>
      <c r="B591" s="51"/>
      <c r="C591" s="1170" t="s">
        <v>1748</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1586</v>
      </c>
      <c r="F592" s="3142" t="s">
        <v>1749</v>
      </c>
      <c r="G592" s="3142"/>
      <c r="H592" s="3142"/>
      <c r="I592" s="3142"/>
      <c r="J592" s="3142"/>
      <c r="K592" s="3142"/>
      <c r="L592" s="3142"/>
      <c r="M592" s="3142"/>
      <c r="N592" s="3142"/>
      <c r="O592" s="3142"/>
      <c r="P592" s="3142"/>
      <c r="Q592" s="3142"/>
      <c r="R592" s="3142"/>
      <c r="S592" s="3142"/>
      <c r="T592" s="3142"/>
      <c r="U592" s="3142"/>
      <c r="V592" s="3142"/>
      <c r="W592" s="3142"/>
      <c r="X592" s="3142"/>
      <c r="Y592" s="3142"/>
      <c r="Z592" s="3142"/>
      <c r="AA592" s="3142"/>
      <c r="AB592" s="3142"/>
      <c r="AC592" s="3142"/>
      <c r="AD592" s="3142"/>
      <c r="AE592" s="3142"/>
      <c r="AF592" s="3142"/>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143"/>
      <c r="G593" s="3143"/>
      <c r="H593" s="3143"/>
      <c r="I593" s="3143"/>
      <c r="J593" s="3143"/>
      <c r="K593" s="3143"/>
      <c r="L593" s="3143"/>
      <c r="M593" s="3143"/>
      <c r="N593" s="3143"/>
      <c r="O593" s="3143"/>
      <c r="P593" s="3143"/>
      <c r="Q593" s="3143"/>
      <c r="R593" s="3143"/>
      <c r="S593" s="3143"/>
      <c r="T593" s="3143"/>
      <c r="U593" s="3143"/>
      <c r="V593" s="3143"/>
      <c r="W593" s="3143"/>
      <c r="X593" s="3143"/>
      <c r="Y593" s="3143"/>
      <c r="Z593" s="3143"/>
      <c r="AA593" s="3143"/>
      <c r="AB593" s="3143"/>
      <c r="AC593" s="3143"/>
      <c r="AD593" s="3143"/>
      <c r="AE593" s="3143"/>
      <c r="AF593" s="3143"/>
      <c r="AG593" s="1178"/>
      <c r="AH593" s="1178"/>
      <c r="AI593" s="1178"/>
      <c r="AJ593" s="1178"/>
      <c r="AK593" s="1178"/>
      <c r="AL593" s="1599"/>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143"/>
      <c r="G594" s="3143"/>
      <c r="H594" s="3143"/>
      <c r="I594" s="3143"/>
      <c r="J594" s="3143"/>
      <c r="K594" s="3143"/>
      <c r="L594" s="3143"/>
      <c r="M594" s="3143"/>
      <c r="N594" s="3143"/>
      <c r="O594" s="3143"/>
      <c r="P594" s="3143"/>
      <c r="Q594" s="3143"/>
      <c r="R594" s="3143"/>
      <c r="S594" s="3143"/>
      <c r="T594" s="3143"/>
      <c r="U594" s="3143"/>
      <c r="V594" s="3143"/>
      <c r="W594" s="3143"/>
      <c r="X594" s="3143"/>
      <c r="Y594" s="3143"/>
      <c r="Z594" s="3143"/>
      <c r="AA594" s="3143"/>
      <c r="AB594" s="3143"/>
      <c r="AC594" s="3143"/>
      <c r="AD594" s="3143"/>
      <c r="AE594" s="3143"/>
      <c r="AF594" s="3143"/>
      <c r="AG594" s="1178"/>
      <c r="AH594" s="1178"/>
      <c r="AI594" s="1178"/>
      <c r="AJ594" s="1178"/>
      <c r="AK594" s="1178"/>
      <c r="AL594" s="1599"/>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143"/>
      <c r="G595" s="3143"/>
      <c r="H595" s="3143"/>
      <c r="I595" s="3143"/>
      <c r="J595" s="3143"/>
      <c r="K595" s="3143"/>
      <c r="L595" s="3143"/>
      <c r="M595" s="3143"/>
      <c r="N595" s="3143"/>
      <c r="O595" s="3143"/>
      <c r="P595" s="3143"/>
      <c r="Q595" s="3143"/>
      <c r="R595" s="3143"/>
      <c r="S595" s="3143"/>
      <c r="T595" s="3143"/>
      <c r="U595" s="3143"/>
      <c r="V595" s="3143"/>
      <c r="W595" s="3143"/>
      <c r="X595" s="3143"/>
      <c r="Y595" s="3143"/>
      <c r="Z595" s="3143"/>
      <c r="AA595" s="3143"/>
      <c r="AB595" s="3143"/>
      <c r="AC595" s="3143"/>
      <c r="AD595" s="3143"/>
      <c r="AE595" s="3143"/>
      <c r="AF595" s="3143"/>
      <c r="AG595" s="1178"/>
      <c r="AH595" s="1178"/>
      <c r="AI595" s="1178"/>
      <c r="AJ595" s="1178"/>
      <c r="AK595" s="1178"/>
      <c r="AL595" s="1599"/>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139" t="s">
        <v>578</v>
      </c>
      <c r="D596" s="3087"/>
      <c r="E596" s="1177"/>
      <c r="F596" s="1180" t="s">
        <v>1750</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140" t="s">
        <v>1751</v>
      </c>
      <c r="AG596" s="3140"/>
      <c r="AH596" s="3140"/>
      <c r="AI596" s="3140"/>
      <c r="AJ596" s="3140"/>
      <c r="AK596" s="3140"/>
      <c r="AL596" s="3141"/>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1588</v>
      </c>
      <c r="F599" s="3142" t="s">
        <v>1752</v>
      </c>
      <c r="G599" s="3142"/>
      <c r="H599" s="3142"/>
      <c r="I599" s="3142"/>
      <c r="J599" s="3142"/>
      <c r="K599" s="3142"/>
      <c r="L599" s="3142"/>
      <c r="M599" s="3142"/>
      <c r="N599" s="3142"/>
      <c r="O599" s="3142"/>
      <c r="P599" s="3142"/>
      <c r="Q599" s="3142"/>
      <c r="R599" s="3142"/>
      <c r="S599" s="3142"/>
      <c r="T599" s="3142"/>
      <c r="U599" s="3142"/>
      <c r="V599" s="3142"/>
      <c r="W599" s="3142"/>
      <c r="X599" s="3142"/>
      <c r="Y599" s="3142"/>
      <c r="Z599" s="3142"/>
      <c r="AA599" s="3142"/>
      <c r="AB599" s="3142"/>
      <c r="AC599" s="3142"/>
      <c r="AD599" s="3142"/>
      <c r="AE599" s="3142"/>
      <c r="AF599" s="3142"/>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143"/>
      <c r="G600" s="3143"/>
      <c r="H600" s="3143"/>
      <c r="I600" s="3143"/>
      <c r="J600" s="3143"/>
      <c r="K600" s="3143"/>
      <c r="L600" s="3143"/>
      <c r="M600" s="3143"/>
      <c r="N600" s="3143"/>
      <c r="O600" s="3143"/>
      <c r="P600" s="3143"/>
      <c r="Q600" s="3143"/>
      <c r="R600" s="3143"/>
      <c r="S600" s="3143"/>
      <c r="T600" s="3143"/>
      <c r="U600" s="3143"/>
      <c r="V600" s="3143"/>
      <c r="W600" s="3143"/>
      <c r="X600" s="3143"/>
      <c r="Y600" s="3143"/>
      <c r="Z600" s="3143"/>
      <c r="AA600" s="3143"/>
      <c r="AB600" s="3143"/>
      <c r="AC600" s="3143"/>
      <c r="AD600" s="3143"/>
      <c r="AE600" s="3143"/>
      <c r="AF600" s="3143"/>
      <c r="AG600" s="1178"/>
      <c r="AH600" s="1178"/>
      <c r="AI600" s="1178"/>
      <c r="AJ600" s="1178"/>
      <c r="AK600" s="1178"/>
      <c r="AL600" s="1599"/>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143"/>
      <c r="G601" s="3143"/>
      <c r="H601" s="3143"/>
      <c r="I601" s="3143"/>
      <c r="J601" s="3143"/>
      <c r="K601" s="3143"/>
      <c r="L601" s="3143"/>
      <c r="M601" s="3143"/>
      <c r="N601" s="3143"/>
      <c r="O601" s="3143"/>
      <c r="P601" s="3143"/>
      <c r="Q601" s="3143"/>
      <c r="R601" s="3143"/>
      <c r="S601" s="3143"/>
      <c r="T601" s="3143"/>
      <c r="U601" s="3143"/>
      <c r="V601" s="3143"/>
      <c r="W601" s="3143"/>
      <c r="X601" s="3143"/>
      <c r="Y601" s="3143"/>
      <c r="Z601" s="3143"/>
      <c r="AA601" s="3143"/>
      <c r="AB601" s="3143"/>
      <c r="AC601" s="3143"/>
      <c r="AD601" s="3143"/>
      <c r="AE601" s="3143"/>
      <c r="AF601" s="3143"/>
      <c r="AG601" s="1178"/>
      <c r="AH601" s="1178"/>
      <c r="AI601" s="1178"/>
      <c r="AJ601" s="1178"/>
      <c r="AK601" s="1178"/>
      <c r="AL601" s="1599"/>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143"/>
      <c r="G602" s="3143"/>
      <c r="H602" s="3143"/>
      <c r="I602" s="3143"/>
      <c r="J602" s="3143"/>
      <c r="K602" s="3143"/>
      <c r="L602" s="3143"/>
      <c r="M602" s="3143"/>
      <c r="N602" s="3143"/>
      <c r="O602" s="3143"/>
      <c r="P602" s="3143"/>
      <c r="Q602" s="3143"/>
      <c r="R602" s="3143"/>
      <c r="S602" s="3143"/>
      <c r="T602" s="3143"/>
      <c r="U602" s="3143"/>
      <c r="V602" s="3143"/>
      <c r="W602" s="3143"/>
      <c r="X602" s="3143"/>
      <c r="Y602" s="3143"/>
      <c r="Z602" s="3143"/>
      <c r="AA602" s="3143"/>
      <c r="AB602" s="3143"/>
      <c r="AC602" s="3143"/>
      <c r="AD602" s="3143"/>
      <c r="AE602" s="3143"/>
      <c r="AF602" s="3143"/>
      <c r="AG602" s="1178"/>
      <c r="AH602" s="1178"/>
      <c r="AI602" s="1178"/>
      <c r="AJ602" s="1178"/>
      <c r="AK602" s="1178"/>
      <c r="AL602" s="1599"/>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143"/>
      <c r="G603" s="3143"/>
      <c r="H603" s="3143"/>
      <c r="I603" s="3143"/>
      <c r="J603" s="3143"/>
      <c r="K603" s="3143"/>
      <c r="L603" s="3143"/>
      <c r="M603" s="3143"/>
      <c r="N603" s="3143"/>
      <c r="O603" s="3143"/>
      <c r="P603" s="3143"/>
      <c r="Q603" s="3143"/>
      <c r="R603" s="3143"/>
      <c r="S603" s="3143"/>
      <c r="T603" s="3143"/>
      <c r="U603" s="3143"/>
      <c r="V603" s="3143"/>
      <c r="W603" s="3143"/>
      <c r="X603" s="3143"/>
      <c r="Y603" s="3143"/>
      <c r="Z603" s="3143"/>
      <c r="AA603" s="3143"/>
      <c r="AB603" s="3143"/>
      <c r="AC603" s="3143"/>
      <c r="AD603" s="3143"/>
      <c r="AE603" s="3143"/>
      <c r="AF603" s="3143"/>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139" t="s">
        <v>626</v>
      </c>
      <c r="D604" s="3087"/>
      <c r="E604" s="1145"/>
      <c r="F604" s="1180" t="s">
        <v>1753</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140" t="s">
        <v>1751</v>
      </c>
      <c r="AG604" s="3140"/>
      <c r="AH604" s="3140"/>
      <c r="AI604" s="3140"/>
      <c r="AJ604" s="3140"/>
      <c r="AK604" s="3140"/>
      <c r="AL604" s="3141"/>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1591</v>
      </c>
      <c r="F607" s="3142" t="s">
        <v>1754</v>
      </c>
      <c r="G607" s="3142"/>
      <c r="H607" s="3142"/>
      <c r="I607" s="3142"/>
      <c r="J607" s="3142"/>
      <c r="K607" s="3142"/>
      <c r="L607" s="3142"/>
      <c r="M607" s="3142"/>
      <c r="N607" s="3142"/>
      <c r="O607" s="3142"/>
      <c r="P607" s="3142"/>
      <c r="Q607" s="3142"/>
      <c r="R607" s="3142"/>
      <c r="S607" s="3142"/>
      <c r="T607" s="3142"/>
      <c r="U607" s="3142"/>
      <c r="V607" s="3142"/>
      <c r="W607" s="3142"/>
      <c r="X607" s="3142"/>
      <c r="Y607" s="3142"/>
      <c r="Z607" s="3142"/>
      <c r="AA607" s="3142"/>
      <c r="AB607" s="3142"/>
      <c r="AC607" s="3142"/>
      <c r="AD607" s="3142"/>
      <c r="AE607" s="3142"/>
      <c r="AF607" s="3142"/>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143"/>
      <c r="G608" s="3143"/>
      <c r="H608" s="3143"/>
      <c r="I608" s="3143"/>
      <c r="J608" s="3143"/>
      <c r="K608" s="3143"/>
      <c r="L608" s="3143"/>
      <c r="M608" s="3143"/>
      <c r="N608" s="3143"/>
      <c r="O608" s="3143"/>
      <c r="P608" s="3143"/>
      <c r="Q608" s="3143"/>
      <c r="R608" s="3143"/>
      <c r="S608" s="3143"/>
      <c r="T608" s="3143"/>
      <c r="U608" s="3143"/>
      <c r="V608" s="3143"/>
      <c r="W608" s="3143"/>
      <c r="X608" s="3143"/>
      <c r="Y608" s="3143"/>
      <c r="Z608" s="3143"/>
      <c r="AA608" s="3143"/>
      <c r="AB608" s="3143"/>
      <c r="AC608" s="3143"/>
      <c r="AD608" s="3143"/>
      <c r="AE608" s="3143"/>
      <c r="AF608" s="3143"/>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143"/>
      <c r="G609" s="3143"/>
      <c r="H609" s="3143"/>
      <c r="I609" s="3143"/>
      <c r="J609" s="3143"/>
      <c r="K609" s="3143"/>
      <c r="L609" s="3143"/>
      <c r="M609" s="3143"/>
      <c r="N609" s="3143"/>
      <c r="O609" s="3143"/>
      <c r="P609" s="3143"/>
      <c r="Q609" s="3143"/>
      <c r="R609" s="3143"/>
      <c r="S609" s="3143"/>
      <c r="T609" s="3143"/>
      <c r="U609" s="3143"/>
      <c r="V609" s="3143"/>
      <c r="W609" s="3143"/>
      <c r="X609" s="3143"/>
      <c r="Y609" s="3143"/>
      <c r="Z609" s="3143"/>
      <c r="AA609" s="3143"/>
      <c r="AB609" s="3143"/>
      <c r="AC609" s="3143"/>
      <c r="AD609" s="3143"/>
      <c r="AE609" s="3143"/>
      <c r="AF609" s="3143"/>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143"/>
      <c r="G610" s="3143"/>
      <c r="H610" s="3143"/>
      <c r="I610" s="3143"/>
      <c r="J610" s="3143"/>
      <c r="K610" s="3143"/>
      <c r="L610" s="3143"/>
      <c r="M610" s="3143"/>
      <c r="N610" s="3143"/>
      <c r="O610" s="3143"/>
      <c r="P610" s="3143"/>
      <c r="Q610" s="3143"/>
      <c r="R610" s="3143"/>
      <c r="S610" s="3143"/>
      <c r="T610" s="3143"/>
      <c r="U610" s="3143"/>
      <c r="V610" s="3143"/>
      <c r="W610" s="3143"/>
      <c r="X610" s="3143"/>
      <c r="Y610" s="3143"/>
      <c r="Z610" s="3143"/>
      <c r="AA610" s="3143"/>
      <c r="AB610" s="3143"/>
      <c r="AC610" s="3143"/>
      <c r="AD610" s="3143"/>
      <c r="AE610" s="3143"/>
      <c r="AF610" s="3143"/>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143"/>
      <c r="G611" s="3143"/>
      <c r="H611" s="3143"/>
      <c r="I611" s="3143"/>
      <c r="J611" s="3143"/>
      <c r="K611" s="3143"/>
      <c r="L611" s="3143"/>
      <c r="M611" s="3143"/>
      <c r="N611" s="3143"/>
      <c r="O611" s="3143"/>
      <c r="P611" s="3143"/>
      <c r="Q611" s="3143"/>
      <c r="R611" s="3143"/>
      <c r="S611" s="3143"/>
      <c r="T611" s="3143"/>
      <c r="U611" s="3143"/>
      <c r="V611" s="3143"/>
      <c r="W611" s="3143"/>
      <c r="X611" s="3143"/>
      <c r="Y611" s="3143"/>
      <c r="Z611" s="3143"/>
      <c r="AA611" s="3143"/>
      <c r="AB611" s="3143"/>
      <c r="AC611" s="3143"/>
      <c r="AD611" s="3143"/>
      <c r="AE611" s="3143"/>
      <c r="AF611" s="3143"/>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139" t="s">
        <v>626</v>
      </c>
      <c r="D612" s="3087"/>
      <c r="E612" s="1145"/>
      <c r="F612" s="1180" t="s">
        <v>1755</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140" t="s">
        <v>1756</v>
      </c>
      <c r="AG612" s="3140"/>
      <c r="AH612" s="3140"/>
      <c r="AI612" s="3140"/>
      <c r="AJ612" s="3140"/>
      <c r="AK612" s="3140"/>
      <c r="AL612" s="3141"/>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139" t="s">
        <v>578</v>
      </c>
      <c r="D614" s="3087"/>
      <c r="E614" s="1145"/>
      <c r="F614" s="1199" t="s">
        <v>1757</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140" t="s">
        <v>1751</v>
      </c>
      <c r="AG614" s="3140"/>
      <c r="AH614" s="3140"/>
      <c r="AI614" s="3140"/>
      <c r="AJ614" s="3140"/>
      <c r="AK614" s="3140"/>
      <c r="AL614" s="3141"/>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1758</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1759</v>
      </c>
      <c r="F618" s="3142" t="s">
        <v>1760</v>
      </c>
      <c r="G618" s="3142"/>
      <c r="H618" s="3142"/>
      <c r="I618" s="3142"/>
      <c r="J618" s="3142"/>
      <c r="K618" s="3142"/>
      <c r="L618" s="3142"/>
      <c r="M618" s="3142"/>
      <c r="N618" s="3142"/>
      <c r="O618" s="3142"/>
      <c r="P618" s="3142"/>
      <c r="Q618" s="3142"/>
      <c r="R618" s="3142"/>
      <c r="S618" s="3142"/>
      <c r="T618" s="3142"/>
      <c r="U618" s="3142"/>
      <c r="V618" s="3142"/>
      <c r="W618" s="3142"/>
      <c r="X618" s="3142"/>
      <c r="Y618" s="3142"/>
      <c r="Z618" s="3142"/>
      <c r="AA618" s="3142"/>
      <c r="AB618" s="3142"/>
      <c r="AC618" s="3142"/>
      <c r="AD618" s="3142"/>
      <c r="AE618" s="3142"/>
      <c r="AF618" s="3142"/>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143"/>
      <c r="G619" s="3143"/>
      <c r="H619" s="3143"/>
      <c r="I619" s="3143"/>
      <c r="J619" s="3143"/>
      <c r="K619" s="3143"/>
      <c r="L619" s="3143"/>
      <c r="M619" s="3143"/>
      <c r="N619" s="3143"/>
      <c r="O619" s="3143"/>
      <c r="P619" s="3143"/>
      <c r="Q619" s="3143"/>
      <c r="R619" s="3143"/>
      <c r="S619" s="3143"/>
      <c r="T619" s="3143"/>
      <c r="U619" s="3143"/>
      <c r="V619" s="3143"/>
      <c r="W619" s="3143"/>
      <c r="X619" s="3143"/>
      <c r="Y619" s="3143"/>
      <c r="Z619" s="3143"/>
      <c r="AA619" s="3143"/>
      <c r="AB619" s="3143"/>
      <c r="AC619" s="3143"/>
      <c r="AD619" s="3143"/>
      <c r="AE619" s="3143"/>
      <c r="AF619" s="3143"/>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c r="A620" s="926"/>
      <c r="C620" s="1191"/>
      <c r="D620" s="112"/>
      <c r="E620" s="1145"/>
      <c r="F620" s="3143"/>
      <c r="G620" s="3143"/>
      <c r="H620" s="3143"/>
      <c r="I620" s="3143"/>
      <c r="J620" s="3143"/>
      <c r="K620" s="3143"/>
      <c r="L620" s="3143"/>
      <c r="M620" s="3143"/>
      <c r="N620" s="3143"/>
      <c r="O620" s="3143"/>
      <c r="P620" s="3143"/>
      <c r="Q620" s="3143"/>
      <c r="R620" s="3143"/>
      <c r="S620" s="3143"/>
      <c r="T620" s="3143"/>
      <c r="U620" s="3143"/>
      <c r="V620" s="3143"/>
      <c r="W620" s="3143"/>
      <c r="X620" s="3143"/>
      <c r="Y620" s="3143"/>
      <c r="Z620" s="3143"/>
      <c r="AA620" s="3143"/>
      <c r="AB620" s="3143"/>
      <c r="AC620" s="3143"/>
      <c r="AD620" s="3143"/>
      <c r="AE620" s="3143"/>
      <c r="AF620" s="3143"/>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143"/>
      <c r="G621" s="3143"/>
      <c r="H621" s="3143"/>
      <c r="I621" s="3143"/>
      <c r="J621" s="3143"/>
      <c r="K621" s="3143"/>
      <c r="L621" s="3143"/>
      <c r="M621" s="3143"/>
      <c r="N621" s="3143"/>
      <c r="O621" s="3143"/>
      <c r="P621" s="3143"/>
      <c r="Q621" s="3143"/>
      <c r="R621" s="3143"/>
      <c r="S621" s="3143"/>
      <c r="T621" s="3143"/>
      <c r="U621" s="3143"/>
      <c r="V621" s="3143"/>
      <c r="W621" s="3143"/>
      <c r="X621" s="3143"/>
      <c r="Y621" s="3143"/>
      <c r="Z621" s="3143"/>
      <c r="AA621" s="3143"/>
      <c r="AB621" s="3143"/>
      <c r="AC621" s="3143"/>
      <c r="AD621" s="3143"/>
      <c r="AE621" s="3143"/>
      <c r="AF621" s="3143"/>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139" t="s">
        <v>626</v>
      </c>
      <c r="D622" s="3087"/>
      <c r="E622" s="1145"/>
      <c r="F622" s="1180" t="s">
        <v>1761</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140" t="s">
        <v>1751</v>
      </c>
      <c r="AG622" s="3140"/>
      <c r="AH622" s="3140"/>
      <c r="AI622" s="3140"/>
      <c r="AJ622" s="3140"/>
      <c r="AK622" s="3140"/>
      <c r="AL622" s="3141"/>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139" t="s">
        <v>626</v>
      </c>
      <c r="D624" s="3087"/>
      <c r="E624" s="1177"/>
      <c r="F624" s="1180" t="s">
        <v>1762</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140" t="s">
        <v>1763</v>
      </c>
      <c r="AG624" s="3140"/>
      <c r="AH624" s="3140"/>
      <c r="AI624" s="3140"/>
      <c r="AJ624" s="3140"/>
      <c r="AK624" s="3140"/>
      <c r="AL624" s="3141"/>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139" t="s">
        <v>626</v>
      </c>
      <c r="D627" s="3087"/>
      <c r="E627" s="1173" t="s">
        <v>1764</v>
      </c>
      <c r="F627" s="3142" t="s">
        <v>1765</v>
      </c>
      <c r="G627" s="3142"/>
      <c r="H627" s="3142"/>
      <c r="I627" s="3142"/>
      <c r="J627" s="3142"/>
      <c r="K627" s="3142"/>
      <c r="L627" s="3142"/>
      <c r="M627" s="3142"/>
      <c r="N627" s="3142"/>
      <c r="O627" s="3142"/>
      <c r="P627" s="3142"/>
      <c r="Q627" s="3142"/>
      <c r="R627" s="3142"/>
      <c r="S627" s="3142"/>
      <c r="T627" s="3142"/>
      <c r="U627" s="3142"/>
      <c r="V627" s="3142"/>
      <c r="W627" s="3142"/>
      <c r="X627" s="3142"/>
      <c r="Y627" s="3142"/>
      <c r="Z627" s="3142"/>
      <c r="AA627" s="3142"/>
      <c r="AB627" s="3142"/>
      <c r="AC627" s="3142"/>
      <c r="AD627" s="3142"/>
      <c r="AE627" s="3142"/>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143"/>
      <c r="G628" s="3143"/>
      <c r="H628" s="3143"/>
      <c r="I628" s="3143"/>
      <c r="J628" s="3143"/>
      <c r="K628" s="3143"/>
      <c r="L628" s="3143"/>
      <c r="M628" s="3143"/>
      <c r="N628" s="3143"/>
      <c r="O628" s="3143"/>
      <c r="P628" s="3143"/>
      <c r="Q628" s="3143"/>
      <c r="R628" s="3143"/>
      <c r="S628" s="3143"/>
      <c r="T628" s="3143"/>
      <c r="U628" s="3143"/>
      <c r="V628" s="3143"/>
      <c r="W628" s="3143"/>
      <c r="X628" s="3143"/>
      <c r="Y628" s="3143"/>
      <c r="Z628" s="3143"/>
      <c r="AA628" s="3143"/>
      <c r="AB628" s="3143"/>
      <c r="AC628" s="3143"/>
      <c r="AD628" s="3143"/>
      <c r="AE628" s="3143"/>
      <c r="AF628" s="3148" t="s">
        <v>1751</v>
      </c>
      <c r="AG628" s="3148"/>
      <c r="AH628" s="3148"/>
      <c r="AI628" s="3148"/>
      <c r="AJ628" s="3148"/>
      <c r="AK628" s="3148"/>
      <c r="AL628" s="3149"/>
      <c r="AM628" s="1133"/>
      <c r="AN628" s="999"/>
      <c r="BS628" s="1133"/>
      <c r="BT628" s="1133"/>
      <c r="BY628" s="1133"/>
      <c r="BZ628" s="1133"/>
      <c r="CA628" s="1133"/>
      <c r="CB628" s="1133"/>
      <c r="CC628" s="1133"/>
    </row>
    <row r="629" spans="1:81" s="942" customFormat="1" ht="12.75" customHeight="1">
      <c r="A629" s="926"/>
      <c r="B629" s="51"/>
      <c r="C629" s="1191"/>
      <c r="D629" s="112"/>
      <c r="E629" s="1145"/>
      <c r="F629" s="3143"/>
      <c r="G629" s="3143"/>
      <c r="H629" s="3143"/>
      <c r="I629" s="3143"/>
      <c r="J629" s="3143"/>
      <c r="K629" s="3143"/>
      <c r="L629" s="3143"/>
      <c r="M629" s="3143"/>
      <c r="N629" s="3143"/>
      <c r="O629" s="3143"/>
      <c r="P629" s="3143"/>
      <c r="Q629" s="3143"/>
      <c r="R629" s="3143"/>
      <c r="S629" s="3143"/>
      <c r="T629" s="3143"/>
      <c r="U629" s="3143"/>
      <c r="V629" s="3143"/>
      <c r="W629" s="3143"/>
      <c r="X629" s="3143"/>
      <c r="Y629" s="3143"/>
      <c r="Z629" s="3143"/>
      <c r="AA629" s="3143"/>
      <c r="AB629" s="3143"/>
      <c r="AC629" s="3143"/>
      <c r="AD629" s="3143"/>
      <c r="AE629" s="3143"/>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47"/>
      <c r="G630" s="3147"/>
      <c r="H630" s="3147"/>
      <c r="I630" s="3147"/>
      <c r="J630" s="3147"/>
      <c r="K630" s="3147"/>
      <c r="L630" s="3147"/>
      <c r="M630" s="3147"/>
      <c r="N630" s="3147"/>
      <c r="O630" s="3147"/>
      <c r="P630" s="3147"/>
      <c r="Q630" s="3147"/>
      <c r="R630" s="3147"/>
      <c r="S630" s="3147"/>
      <c r="T630" s="3147"/>
      <c r="U630" s="3147"/>
      <c r="V630" s="3147"/>
      <c r="W630" s="3147"/>
      <c r="X630" s="3147"/>
      <c r="Y630" s="3147"/>
      <c r="Z630" s="3147"/>
      <c r="AA630" s="3147"/>
      <c r="AB630" s="3147"/>
      <c r="AC630" s="3147"/>
      <c r="AD630" s="3147"/>
      <c r="AE630" s="3147"/>
      <c r="AF630" s="976"/>
      <c r="AG630" s="1197"/>
      <c r="AH630" s="1187"/>
      <c r="AI630" s="1187"/>
      <c r="AJ630" s="1187"/>
      <c r="AK630" s="1187"/>
      <c r="AL630" s="1203"/>
      <c r="AM630" s="1133"/>
      <c r="AN630" s="999"/>
    </row>
    <row r="631" spans="1:81">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1766</v>
      </c>
      <c r="F632" s="3150" t="s">
        <v>1767</v>
      </c>
      <c r="G632" s="3150"/>
      <c r="H632" s="3150"/>
      <c r="I632" s="3150"/>
      <c r="J632" s="3150"/>
      <c r="K632" s="3150"/>
      <c r="L632" s="3150"/>
      <c r="M632" s="3150"/>
      <c r="N632" s="3150"/>
      <c r="O632" s="3150"/>
      <c r="P632" s="3150"/>
      <c r="Q632" s="3150"/>
      <c r="R632" s="3150"/>
      <c r="S632" s="3150"/>
      <c r="T632" s="3150"/>
      <c r="U632" s="3150"/>
      <c r="V632" s="3150"/>
      <c r="W632" s="3150"/>
      <c r="X632" s="3150"/>
      <c r="Y632" s="3150"/>
      <c r="Z632" s="3150"/>
      <c r="AA632" s="3150"/>
      <c r="AB632" s="3150"/>
      <c r="AC632" s="3150"/>
      <c r="AD632" s="3150"/>
      <c r="AE632" s="3150"/>
      <c r="AF632" s="1210"/>
      <c r="AG632" s="1210"/>
      <c r="AH632" s="1210"/>
      <c r="AI632" s="1210"/>
      <c r="AJ632" s="1210"/>
      <c r="AK632" s="1210"/>
      <c r="AL632" s="1211"/>
      <c r="AM632" s="1133"/>
    </row>
    <row r="633" spans="1:81">
      <c r="A633" s="926"/>
      <c r="C633" s="1191"/>
      <c r="D633" s="112"/>
      <c r="E633" s="1145"/>
      <c r="F633" s="3151"/>
      <c r="G633" s="3151"/>
      <c r="H633" s="3151"/>
      <c r="I633" s="3151"/>
      <c r="J633" s="3151"/>
      <c r="K633" s="3151"/>
      <c r="L633" s="3151"/>
      <c r="M633" s="3151"/>
      <c r="N633" s="3151"/>
      <c r="O633" s="3151"/>
      <c r="P633" s="3151"/>
      <c r="Q633" s="3151"/>
      <c r="R633" s="3151"/>
      <c r="S633" s="3151"/>
      <c r="T633" s="3151"/>
      <c r="U633" s="3151"/>
      <c r="V633" s="3151"/>
      <c r="W633" s="3151"/>
      <c r="X633" s="3151"/>
      <c r="Y633" s="3151"/>
      <c r="Z633" s="3151"/>
      <c r="AA633" s="3151"/>
      <c r="AB633" s="3151"/>
      <c r="AC633" s="3151"/>
      <c r="AD633" s="3151"/>
      <c r="AE633" s="3151"/>
      <c r="AF633" s="1212"/>
      <c r="AG633" s="990"/>
      <c r="AH633" s="1024"/>
      <c r="AI633" s="1024"/>
      <c r="AJ633" s="1024"/>
      <c r="AK633" s="1024"/>
      <c r="AL633" s="1192"/>
      <c r="AM633" s="1133"/>
    </row>
    <row r="634" spans="1:81" s="942" customFormat="1" ht="12.75" customHeight="1">
      <c r="A634" s="926"/>
      <c r="B634" s="51"/>
      <c r="C634" s="1191"/>
      <c r="D634" s="112"/>
      <c r="E634" s="1145"/>
      <c r="F634" s="3151"/>
      <c r="G634" s="3151"/>
      <c r="H634" s="3151"/>
      <c r="I634" s="3151"/>
      <c r="J634" s="3151"/>
      <c r="K634" s="3151"/>
      <c r="L634" s="3151"/>
      <c r="M634" s="3151"/>
      <c r="N634" s="3151"/>
      <c r="O634" s="3151"/>
      <c r="P634" s="3151"/>
      <c r="Q634" s="3151"/>
      <c r="R634" s="3151"/>
      <c r="S634" s="3151"/>
      <c r="T634" s="3151"/>
      <c r="U634" s="3151"/>
      <c r="V634" s="3151"/>
      <c r="W634" s="3151"/>
      <c r="X634" s="3151"/>
      <c r="Y634" s="3151"/>
      <c r="Z634" s="3151"/>
      <c r="AA634" s="3151"/>
      <c r="AB634" s="3151"/>
      <c r="AC634" s="3151"/>
      <c r="AD634" s="3151"/>
      <c r="AE634" s="3151"/>
      <c r="AF634" s="1024"/>
      <c r="AG634" s="1024"/>
      <c r="AH634" s="1024"/>
      <c r="AI634" s="1024"/>
      <c r="AJ634" s="1024"/>
      <c r="AK634" s="1024"/>
      <c r="AL634" s="1192"/>
      <c r="AM634" s="1133"/>
      <c r="AN634" s="999"/>
    </row>
    <row r="635" spans="1:81" s="942" customFormat="1" ht="12.75" customHeight="1">
      <c r="A635" s="926"/>
      <c r="B635" s="51"/>
      <c r="C635" s="1200"/>
      <c r="D635" s="1024"/>
      <c r="E635" s="1024"/>
      <c r="F635" s="3151"/>
      <c r="G635" s="3151"/>
      <c r="H635" s="3151"/>
      <c r="I635" s="3151"/>
      <c r="J635" s="3151"/>
      <c r="K635" s="3151"/>
      <c r="L635" s="3151"/>
      <c r="M635" s="3151"/>
      <c r="N635" s="3151"/>
      <c r="O635" s="3151"/>
      <c r="P635" s="3151"/>
      <c r="Q635" s="3151"/>
      <c r="R635" s="3151"/>
      <c r="S635" s="3151"/>
      <c r="T635" s="3151"/>
      <c r="U635" s="3151"/>
      <c r="V635" s="3151"/>
      <c r="W635" s="3151"/>
      <c r="X635" s="3151"/>
      <c r="Y635" s="3151"/>
      <c r="Z635" s="3151"/>
      <c r="AA635" s="3151"/>
      <c r="AB635" s="3151"/>
      <c r="AC635" s="3151"/>
      <c r="AD635" s="3151"/>
      <c r="AE635" s="3151"/>
      <c r="AF635" s="1024"/>
      <c r="AG635" s="1024"/>
      <c r="AH635" s="1024"/>
      <c r="AI635" s="1024"/>
      <c r="AJ635" s="1024"/>
      <c r="AK635" s="1024"/>
      <c r="AL635" s="1192"/>
      <c r="AM635" s="1133"/>
      <c r="AN635" s="999"/>
    </row>
    <row r="636" spans="1:81" s="942" customFormat="1" ht="12.75" customHeight="1">
      <c r="A636" s="926"/>
      <c r="B636" s="51"/>
      <c r="C636" s="3139" t="s">
        <v>626</v>
      </c>
      <c r="D636" s="3087"/>
      <c r="E636" s="1145"/>
      <c r="F636" s="1213" t="s">
        <v>1768</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48" t="s">
        <v>1751</v>
      </c>
      <c r="AG636" s="3148"/>
      <c r="AH636" s="3148"/>
      <c r="AI636" s="3148"/>
      <c r="AJ636" s="3148"/>
      <c r="AK636" s="3148"/>
      <c r="AL636" s="3149"/>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139" t="s">
        <v>626</v>
      </c>
      <c r="D638" s="3087"/>
      <c r="E638" s="1177"/>
      <c r="F638" s="1213" t="s">
        <v>1769</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48" t="s">
        <v>1763</v>
      </c>
      <c r="AG638" s="3148"/>
      <c r="AH638" s="3148"/>
      <c r="AI638" s="3148"/>
      <c r="AJ638" s="3148"/>
      <c r="AK638" s="3148"/>
      <c r="AL638" s="3149"/>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1770</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1771</v>
      </c>
      <c r="F642" s="3142" t="s">
        <v>1772</v>
      </c>
      <c r="G642" s="3142"/>
      <c r="H642" s="3142"/>
      <c r="I642" s="3142"/>
      <c r="J642" s="3142"/>
      <c r="K642" s="3142"/>
      <c r="L642" s="3142"/>
      <c r="M642" s="3142"/>
      <c r="N642" s="3142"/>
      <c r="O642" s="3142"/>
      <c r="P642" s="3142"/>
      <c r="Q642" s="3142"/>
      <c r="R642" s="3142"/>
      <c r="S642" s="3142"/>
      <c r="T642" s="3142"/>
      <c r="U642" s="3142"/>
      <c r="V642" s="3142"/>
      <c r="W642" s="3142"/>
      <c r="X642" s="3142"/>
      <c r="Y642" s="3142"/>
      <c r="Z642" s="3142"/>
      <c r="AA642" s="3142"/>
      <c r="AB642" s="3142"/>
      <c r="AC642" s="3142"/>
      <c r="AD642" s="3142"/>
      <c r="AE642" s="3142"/>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143"/>
      <c r="G643" s="3143"/>
      <c r="H643" s="3143"/>
      <c r="I643" s="3143"/>
      <c r="J643" s="3143"/>
      <c r="K643" s="3143"/>
      <c r="L643" s="3143"/>
      <c r="M643" s="3143"/>
      <c r="N643" s="3143"/>
      <c r="O643" s="3143"/>
      <c r="P643" s="3143"/>
      <c r="Q643" s="3143"/>
      <c r="R643" s="3143"/>
      <c r="S643" s="3143"/>
      <c r="T643" s="3143"/>
      <c r="U643" s="3143"/>
      <c r="V643" s="3143"/>
      <c r="W643" s="3143"/>
      <c r="X643" s="3143"/>
      <c r="Y643" s="3143"/>
      <c r="Z643" s="3143"/>
      <c r="AA643" s="3143"/>
      <c r="AB643" s="3143"/>
      <c r="AC643" s="3143"/>
      <c r="AD643" s="3143"/>
      <c r="AE643" s="3143"/>
      <c r="AF643" s="1212"/>
      <c r="AG643" s="990"/>
      <c r="AH643" s="1024"/>
      <c r="AI643" s="1024"/>
      <c r="AJ643" s="1024"/>
      <c r="AK643" s="1024"/>
      <c r="AL643" s="1192"/>
      <c r="AM643" s="1133"/>
      <c r="AN643" s="1000"/>
      <c r="AO643" s="1024"/>
      <c r="AP643" s="1024"/>
    </row>
    <row r="644" spans="1:60" s="942" customFormat="1" ht="12.4" customHeight="1">
      <c r="A644" s="926"/>
      <c r="B644" s="51"/>
      <c r="C644" s="1191"/>
      <c r="D644" s="112"/>
      <c r="E644" s="1145"/>
      <c r="F644" s="3143"/>
      <c r="G644" s="3143"/>
      <c r="H644" s="3143"/>
      <c r="I644" s="3143"/>
      <c r="J644" s="3143"/>
      <c r="K644" s="3143"/>
      <c r="L644" s="3143"/>
      <c r="M644" s="3143"/>
      <c r="N644" s="3143"/>
      <c r="O644" s="3143"/>
      <c r="P644" s="3143"/>
      <c r="Q644" s="3143"/>
      <c r="R644" s="3143"/>
      <c r="S644" s="3143"/>
      <c r="T644" s="3143"/>
      <c r="U644" s="3143"/>
      <c r="V644" s="3143"/>
      <c r="W644" s="3143"/>
      <c r="X644" s="3143"/>
      <c r="Y644" s="3143"/>
      <c r="Z644" s="3143"/>
      <c r="AA644" s="3143"/>
      <c r="AB644" s="3143"/>
      <c r="AC644" s="3143"/>
      <c r="AD644" s="3143"/>
      <c r="AE644" s="3143"/>
      <c r="AF644" s="1024"/>
      <c r="AG644" s="1024"/>
      <c r="AH644" s="1024"/>
      <c r="AI644" s="1024"/>
      <c r="AJ644" s="1024"/>
      <c r="AK644" s="1024"/>
      <c r="AL644" s="1192"/>
      <c r="AM644" s="1133"/>
      <c r="AN644" s="999"/>
      <c r="AO644" s="1024"/>
      <c r="AP644" s="1024"/>
    </row>
    <row r="645" spans="1:60" s="942" customFormat="1" ht="12.75" customHeight="1">
      <c r="A645" s="926"/>
      <c r="B645" s="51"/>
      <c r="C645" s="3139" t="s">
        <v>626</v>
      </c>
      <c r="D645" s="3087"/>
      <c r="E645" s="1145"/>
      <c r="F645" s="1180" t="s">
        <v>1773</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48" t="s">
        <v>1751</v>
      </c>
      <c r="AG645" s="3148"/>
      <c r="AH645" s="3148"/>
      <c r="AI645" s="3148"/>
      <c r="AJ645" s="3148"/>
      <c r="AK645" s="3148"/>
      <c r="AL645" s="3149"/>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15" customHeight="1">
      <c r="A648" s="926"/>
      <c r="C648" s="1209"/>
      <c r="D648" s="1210"/>
      <c r="E648" s="1173" t="s">
        <v>1774</v>
      </c>
      <c r="F648" s="3142" t="s">
        <v>1775</v>
      </c>
      <c r="G648" s="3142"/>
      <c r="H648" s="3142"/>
      <c r="I648" s="3142"/>
      <c r="J648" s="3142"/>
      <c r="K648" s="3142"/>
      <c r="L648" s="3142"/>
      <c r="M648" s="3142"/>
      <c r="N648" s="3142"/>
      <c r="O648" s="3142"/>
      <c r="P648" s="3142"/>
      <c r="Q648" s="3142"/>
      <c r="R648" s="3142"/>
      <c r="S648" s="3142"/>
      <c r="T648" s="3142"/>
      <c r="U648" s="3142"/>
      <c r="V648" s="3142"/>
      <c r="W648" s="3142"/>
      <c r="X648" s="3142"/>
      <c r="Y648" s="3142"/>
      <c r="Z648" s="3142"/>
      <c r="AA648" s="3142"/>
      <c r="AB648" s="3142"/>
      <c r="AC648" s="3142"/>
      <c r="AD648" s="3142"/>
      <c r="AE648" s="3142"/>
      <c r="AF648" s="1210"/>
      <c r="AG648" s="1210"/>
      <c r="AH648" s="1210"/>
      <c r="AI648" s="1210"/>
      <c r="AJ648" s="1210"/>
      <c r="AK648" s="1210"/>
      <c r="AL648" s="1211"/>
      <c r="AM648" s="1133"/>
      <c r="AO648" s="1024"/>
      <c r="AP648" s="1024"/>
      <c r="BD648" s="51"/>
      <c r="BE648" s="51"/>
      <c r="BF648" s="51"/>
      <c r="BG648" s="51"/>
      <c r="BH648" s="51"/>
    </row>
    <row r="649" spans="1:60">
      <c r="A649" s="926"/>
      <c r="C649" s="1191"/>
      <c r="D649" s="112"/>
      <c r="E649" s="1145"/>
      <c r="F649" s="3143"/>
      <c r="G649" s="3143"/>
      <c r="H649" s="3143"/>
      <c r="I649" s="3143"/>
      <c r="J649" s="3143"/>
      <c r="K649" s="3143"/>
      <c r="L649" s="3143"/>
      <c r="M649" s="3143"/>
      <c r="N649" s="3143"/>
      <c r="O649" s="3143"/>
      <c r="P649" s="3143"/>
      <c r="Q649" s="3143"/>
      <c r="R649" s="3143"/>
      <c r="S649" s="3143"/>
      <c r="T649" s="3143"/>
      <c r="U649" s="3143"/>
      <c r="V649" s="3143"/>
      <c r="W649" s="3143"/>
      <c r="X649" s="3143"/>
      <c r="Y649" s="3143"/>
      <c r="Z649" s="3143"/>
      <c r="AA649" s="3143"/>
      <c r="AB649" s="3143"/>
      <c r="AC649" s="3143"/>
      <c r="AD649" s="3143"/>
      <c r="AE649" s="3143"/>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143"/>
      <c r="G650" s="3143"/>
      <c r="H650" s="3143"/>
      <c r="I650" s="3143"/>
      <c r="J650" s="3143"/>
      <c r="K650" s="3143"/>
      <c r="L650" s="3143"/>
      <c r="M650" s="3143"/>
      <c r="N650" s="3143"/>
      <c r="O650" s="3143"/>
      <c r="P650" s="3143"/>
      <c r="Q650" s="3143"/>
      <c r="R650" s="3143"/>
      <c r="S650" s="3143"/>
      <c r="T650" s="3143"/>
      <c r="U650" s="3143"/>
      <c r="V650" s="3143"/>
      <c r="W650" s="3143"/>
      <c r="X650" s="3143"/>
      <c r="Y650" s="3143"/>
      <c r="Z650" s="3143"/>
      <c r="AA650" s="3143"/>
      <c r="AB650" s="3143"/>
      <c r="AC650" s="3143"/>
      <c r="AD650" s="3143"/>
      <c r="AE650" s="3143"/>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143"/>
      <c r="G651" s="3143"/>
      <c r="H651" s="3143"/>
      <c r="I651" s="3143"/>
      <c r="J651" s="3143"/>
      <c r="K651" s="3143"/>
      <c r="L651" s="3143"/>
      <c r="M651" s="3143"/>
      <c r="N651" s="3143"/>
      <c r="O651" s="3143"/>
      <c r="P651" s="3143"/>
      <c r="Q651" s="3143"/>
      <c r="R651" s="3143"/>
      <c r="S651" s="3143"/>
      <c r="T651" s="3143"/>
      <c r="U651" s="3143"/>
      <c r="V651" s="3143"/>
      <c r="W651" s="3143"/>
      <c r="X651" s="3143"/>
      <c r="Y651" s="3143"/>
      <c r="Z651" s="3143"/>
      <c r="AA651" s="3143"/>
      <c r="AB651" s="3143"/>
      <c r="AC651" s="3143"/>
      <c r="AD651" s="3143"/>
      <c r="AE651" s="3143"/>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143"/>
      <c r="G652" s="3143"/>
      <c r="H652" s="3143"/>
      <c r="I652" s="3143"/>
      <c r="J652" s="3143"/>
      <c r="K652" s="3143"/>
      <c r="L652" s="3143"/>
      <c r="M652" s="3143"/>
      <c r="N652" s="3143"/>
      <c r="O652" s="3143"/>
      <c r="P652" s="3143"/>
      <c r="Q652" s="3143"/>
      <c r="R652" s="3143"/>
      <c r="S652" s="3143"/>
      <c r="T652" s="3143"/>
      <c r="U652" s="3143"/>
      <c r="V652" s="3143"/>
      <c r="W652" s="3143"/>
      <c r="X652" s="3143"/>
      <c r="Y652" s="3143"/>
      <c r="Z652" s="3143"/>
      <c r="AA652" s="3143"/>
      <c r="AB652" s="3143"/>
      <c r="AC652" s="3143"/>
      <c r="AD652" s="3143"/>
      <c r="AE652" s="3143"/>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143"/>
      <c r="G653" s="3143"/>
      <c r="H653" s="3143"/>
      <c r="I653" s="3143"/>
      <c r="J653" s="3143"/>
      <c r="K653" s="3143"/>
      <c r="L653" s="3143"/>
      <c r="M653" s="3143"/>
      <c r="N653" s="3143"/>
      <c r="O653" s="3143"/>
      <c r="P653" s="3143"/>
      <c r="Q653" s="3143"/>
      <c r="R653" s="3143"/>
      <c r="S653" s="3143"/>
      <c r="T653" s="3143"/>
      <c r="U653" s="3143"/>
      <c r="V653" s="3143"/>
      <c r="W653" s="3143"/>
      <c r="X653" s="3143"/>
      <c r="Y653" s="3143"/>
      <c r="Z653" s="3143"/>
      <c r="AA653" s="3143"/>
      <c r="AB653" s="3143"/>
      <c r="AC653" s="3143"/>
      <c r="AD653" s="3143"/>
      <c r="AE653" s="3143"/>
      <c r="AF653" s="1223"/>
      <c r="AG653" s="1223"/>
      <c r="AH653" s="1223"/>
      <c r="AI653" s="1223"/>
      <c r="AJ653" s="1223"/>
      <c r="AK653" s="1223"/>
      <c r="AL653" s="1224"/>
      <c r="AM653" s="1133"/>
      <c r="AN653" s="999"/>
    </row>
    <row r="654" spans="1:60" s="942" customFormat="1" ht="12.75" customHeight="1">
      <c r="A654" s="926"/>
      <c r="B654" s="51"/>
      <c r="C654" s="1225"/>
      <c r="D654" s="1190"/>
      <c r="E654" s="1177"/>
      <c r="F654" s="3143"/>
      <c r="G654" s="3143"/>
      <c r="H654" s="3143"/>
      <c r="I654" s="3143"/>
      <c r="J654" s="3143"/>
      <c r="K654" s="3143"/>
      <c r="L654" s="3143"/>
      <c r="M654" s="3143"/>
      <c r="N654" s="3143"/>
      <c r="O654" s="3143"/>
      <c r="P654" s="3143"/>
      <c r="Q654" s="3143"/>
      <c r="R654" s="3143"/>
      <c r="S654" s="3143"/>
      <c r="T654" s="3143"/>
      <c r="U654" s="3143"/>
      <c r="V654" s="3143"/>
      <c r="W654" s="3143"/>
      <c r="X654" s="3143"/>
      <c r="Y654" s="3143"/>
      <c r="Z654" s="3143"/>
      <c r="AA654" s="3143"/>
      <c r="AB654" s="3143"/>
      <c r="AC654" s="3143"/>
      <c r="AD654" s="3143"/>
      <c r="AE654" s="3143"/>
      <c r="AF654" s="1223"/>
      <c r="AG654" s="1223"/>
      <c r="AH654" s="1223"/>
      <c r="AI654" s="1223"/>
      <c r="AJ654" s="1223"/>
      <c r="AK654" s="1223"/>
      <c r="AL654" s="1224"/>
      <c r="AM654" s="1133"/>
      <c r="AN654" s="999"/>
    </row>
    <row r="655" spans="1:60" s="942" customFormat="1" ht="12.75" customHeight="1">
      <c r="A655" s="926"/>
      <c r="B655" s="51"/>
      <c r="C655" s="1225"/>
      <c r="D655" s="1190"/>
      <c r="E655" s="1177"/>
      <c r="F655" s="3143"/>
      <c r="G655" s="3143"/>
      <c r="H655" s="3143"/>
      <c r="I655" s="3143"/>
      <c r="J655" s="3143"/>
      <c r="K655" s="3143"/>
      <c r="L655" s="3143"/>
      <c r="M655" s="3143"/>
      <c r="N655" s="3143"/>
      <c r="O655" s="3143"/>
      <c r="P655" s="3143"/>
      <c r="Q655" s="3143"/>
      <c r="R655" s="3143"/>
      <c r="S655" s="3143"/>
      <c r="T655" s="3143"/>
      <c r="U655" s="3143"/>
      <c r="V655" s="3143"/>
      <c r="W655" s="3143"/>
      <c r="X655" s="3143"/>
      <c r="Y655" s="3143"/>
      <c r="Z655" s="3143"/>
      <c r="AA655" s="3143"/>
      <c r="AB655" s="3143"/>
      <c r="AC655" s="3143"/>
      <c r="AD655" s="3143"/>
      <c r="AE655" s="3143"/>
      <c r="AF655" s="1223"/>
      <c r="AG655" s="1223"/>
      <c r="AH655" s="1223"/>
      <c r="AI655" s="1223"/>
      <c r="AJ655" s="1223"/>
      <c r="AK655" s="1223"/>
      <c r="AL655" s="1224"/>
      <c r="AM655" s="1133"/>
      <c r="AN655" s="999"/>
    </row>
    <row r="656" spans="1:60" s="942" customFormat="1" ht="17.25" customHeight="1">
      <c r="A656" s="926"/>
      <c r="B656" s="51"/>
      <c r="C656" s="1225"/>
      <c r="D656" s="1190"/>
      <c r="E656" s="1177"/>
      <c r="F656" s="3143"/>
      <c r="G656" s="3143"/>
      <c r="H656" s="3143"/>
      <c r="I656" s="3143"/>
      <c r="J656" s="3143"/>
      <c r="K656" s="3143"/>
      <c r="L656" s="3143"/>
      <c r="M656" s="3143"/>
      <c r="N656" s="3143"/>
      <c r="O656" s="3143"/>
      <c r="P656" s="3143"/>
      <c r="Q656" s="3143"/>
      <c r="R656" s="3143"/>
      <c r="S656" s="3143"/>
      <c r="T656" s="3143"/>
      <c r="U656" s="3143"/>
      <c r="V656" s="3143"/>
      <c r="W656" s="3143"/>
      <c r="X656" s="3143"/>
      <c r="Y656" s="3143"/>
      <c r="Z656" s="3143"/>
      <c r="AA656" s="3143"/>
      <c r="AB656" s="3143"/>
      <c r="AC656" s="3143"/>
      <c r="AD656" s="3143"/>
      <c r="AE656" s="3143"/>
      <c r="AF656" s="1024"/>
      <c r="AG656" s="1024"/>
      <c r="AH656" s="1024"/>
      <c r="AI656" s="1024"/>
      <c r="AJ656" s="1024"/>
      <c r="AK656" s="1024"/>
      <c r="AL656" s="1192"/>
      <c r="AM656" s="1133"/>
      <c r="AN656" s="999"/>
    </row>
    <row r="657" spans="1:54" s="942" customFormat="1" ht="12.75" customHeight="1">
      <c r="A657" s="926"/>
      <c r="B657" s="51"/>
      <c r="C657" s="3139" t="s">
        <v>626</v>
      </c>
      <c r="D657" s="3087"/>
      <c r="E657" s="1177"/>
      <c r="F657" s="1215" t="s">
        <v>1776</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48" t="s">
        <v>1751</v>
      </c>
      <c r="AG657" s="3148"/>
      <c r="AH657" s="3148"/>
      <c r="AI657" s="3148"/>
      <c r="AJ657" s="3148"/>
      <c r="AK657" s="3148"/>
      <c r="AL657" s="3149"/>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1777</v>
      </c>
      <c r="F660" s="3142" t="s">
        <v>1778</v>
      </c>
      <c r="G660" s="3142"/>
      <c r="H660" s="3142"/>
      <c r="I660" s="3142"/>
      <c r="J660" s="3142"/>
      <c r="K660" s="3142"/>
      <c r="L660" s="3142"/>
      <c r="M660" s="3142"/>
      <c r="N660" s="3142"/>
      <c r="O660" s="3142"/>
      <c r="P660" s="3142"/>
      <c r="Q660" s="3142"/>
      <c r="R660" s="3142"/>
      <c r="S660" s="3142"/>
      <c r="T660" s="3142"/>
      <c r="U660" s="3142"/>
      <c r="V660" s="3142"/>
      <c r="W660" s="3142"/>
      <c r="X660" s="3142"/>
      <c r="Y660" s="3142"/>
      <c r="Z660" s="3142"/>
      <c r="AA660" s="3142"/>
      <c r="AB660" s="3142"/>
      <c r="AC660" s="3142"/>
      <c r="AD660" s="3142"/>
      <c r="AE660" s="3142"/>
      <c r="AF660" s="1172"/>
      <c r="AG660" s="1172"/>
      <c r="AH660" s="1172"/>
      <c r="AI660" s="1172"/>
      <c r="AJ660" s="1172"/>
      <c r="AK660" s="1172"/>
      <c r="AL660" s="1208"/>
      <c r="AM660" s="1133"/>
      <c r="AN660" s="999"/>
      <c r="AO660" s="942" t="s">
        <v>626</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143"/>
      <c r="G661" s="3143"/>
      <c r="H661" s="3143"/>
      <c r="I661" s="3143"/>
      <c r="J661" s="3143"/>
      <c r="K661" s="3143"/>
      <c r="L661" s="3143"/>
      <c r="M661" s="3143"/>
      <c r="N661" s="3143"/>
      <c r="O661" s="3143"/>
      <c r="P661" s="3143"/>
      <c r="Q661" s="3143"/>
      <c r="R661" s="3143"/>
      <c r="S661" s="3143"/>
      <c r="T661" s="3143"/>
      <c r="U661" s="3143"/>
      <c r="V661" s="3143"/>
      <c r="W661" s="3143"/>
      <c r="X661" s="3143"/>
      <c r="Y661" s="3143"/>
      <c r="Z661" s="3143"/>
      <c r="AA661" s="3143"/>
      <c r="AB661" s="3143"/>
      <c r="AC661" s="3143"/>
      <c r="AD661" s="3143"/>
      <c r="AE661" s="3143"/>
      <c r="AF661" s="1229"/>
      <c r="AG661" s="1229"/>
      <c r="AH661" s="1229"/>
      <c r="AI661" s="1229"/>
      <c r="AJ661" s="1229"/>
      <c r="AK661" s="1229"/>
      <c r="AL661" s="1179"/>
      <c r="AM661" s="1133"/>
      <c r="AN661" s="999"/>
      <c r="AO661" s="942" t="s">
        <v>1779</v>
      </c>
      <c r="AP661" s="942">
        <v>5</v>
      </c>
      <c r="AQ661" s="1228"/>
    </row>
    <row r="662" spans="1:54" s="942" customFormat="1" ht="12.75" customHeight="1">
      <c r="A662" s="926"/>
      <c r="B662" s="51"/>
      <c r="C662" s="1225"/>
      <c r="D662" s="1190"/>
      <c r="E662" s="1177"/>
      <c r="F662" s="3143"/>
      <c r="G662" s="3143"/>
      <c r="H662" s="3143"/>
      <c r="I662" s="3143"/>
      <c r="J662" s="3143"/>
      <c r="K662" s="3143"/>
      <c r="L662" s="3143"/>
      <c r="M662" s="3143"/>
      <c r="N662" s="3143"/>
      <c r="O662" s="3143"/>
      <c r="P662" s="3143"/>
      <c r="Q662" s="3143"/>
      <c r="R662" s="3143"/>
      <c r="S662" s="3143"/>
      <c r="T662" s="3143"/>
      <c r="U662" s="3143"/>
      <c r="V662" s="3143"/>
      <c r="W662" s="3143"/>
      <c r="X662" s="3143"/>
      <c r="Y662" s="3143"/>
      <c r="Z662" s="3143"/>
      <c r="AA662" s="3143"/>
      <c r="AB662" s="3143"/>
      <c r="AC662" s="3143"/>
      <c r="AD662" s="3143"/>
      <c r="AE662" s="3143"/>
      <c r="AF662" s="1229"/>
      <c r="AG662" s="1229"/>
      <c r="AH662" s="1229"/>
      <c r="AI662" s="1229"/>
      <c r="AJ662" s="1229"/>
      <c r="AK662" s="1229"/>
      <c r="AL662" s="1179"/>
      <c r="AM662" s="1133"/>
      <c r="AN662" s="999"/>
      <c r="AO662" s="942" t="s">
        <v>1780</v>
      </c>
      <c r="AP662" s="942">
        <v>5</v>
      </c>
      <c r="AQ662" s="1230"/>
    </row>
    <row r="663" spans="1:54" s="942" customFormat="1" ht="12.75" customHeight="1">
      <c r="A663" s="926"/>
      <c r="B663" s="51"/>
      <c r="C663" s="1225"/>
      <c r="D663" s="1190"/>
      <c r="E663" s="1177"/>
      <c r="F663" s="3143"/>
      <c r="G663" s="3143"/>
      <c r="H663" s="3143"/>
      <c r="I663" s="3143"/>
      <c r="J663" s="3143"/>
      <c r="K663" s="3143"/>
      <c r="L663" s="3143"/>
      <c r="M663" s="3143"/>
      <c r="N663" s="3143"/>
      <c r="O663" s="3143"/>
      <c r="P663" s="3143"/>
      <c r="Q663" s="3143"/>
      <c r="R663" s="3143"/>
      <c r="S663" s="3143"/>
      <c r="T663" s="3143"/>
      <c r="U663" s="3143"/>
      <c r="V663" s="3143"/>
      <c r="W663" s="3143"/>
      <c r="X663" s="3143"/>
      <c r="Y663" s="3143"/>
      <c r="Z663" s="3143"/>
      <c r="AA663" s="3143"/>
      <c r="AB663" s="3143"/>
      <c r="AC663" s="3143"/>
      <c r="AD663" s="3143"/>
      <c r="AE663" s="3143"/>
      <c r="AF663" s="1024"/>
      <c r="AG663" s="1024"/>
      <c r="AH663" s="1024"/>
      <c r="AI663" s="1024"/>
      <c r="AJ663" s="1024"/>
      <c r="AK663" s="1024"/>
      <c r="AL663" s="1192"/>
      <c r="AM663" s="1133"/>
      <c r="AN663" s="999"/>
      <c r="AO663" s="942" t="s">
        <v>1781</v>
      </c>
      <c r="AP663" s="942">
        <v>5</v>
      </c>
      <c r="AQ663" s="1231"/>
    </row>
    <row r="664" spans="1:54" s="1024" customFormat="1" ht="12.75" customHeight="1">
      <c r="A664" s="926"/>
      <c r="B664" s="51"/>
      <c r="C664" s="3139" t="s">
        <v>626</v>
      </c>
      <c r="D664" s="3087"/>
      <c r="E664" s="1177"/>
      <c r="F664" s="1180" t="s">
        <v>1782</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48" t="s">
        <v>1751</v>
      </c>
      <c r="AG664" s="3148"/>
      <c r="AH664" s="3148"/>
      <c r="AI664" s="3148"/>
      <c r="AJ664" s="3148"/>
      <c r="AK664" s="3148"/>
      <c r="AL664" s="3149"/>
      <c r="AM664" s="1133"/>
      <c r="AN664" s="1232"/>
      <c r="AO664" s="942" t="s">
        <v>1783</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1784</v>
      </c>
      <c r="AP665" s="942">
        <v>5</v>
      </c>
    </row>
    <row r="666" spans="1:54" s="942" customFormat="1" ht="12.75" customHeight="1">
      <c r="A666" s="926"/>
      <c r="B666" s="51"/>
      <c r="C666" s="1201"/>
      <c r="D666" s="1193"/>
      <c r="E666" s="1194"/>
      <c r="F666" s="1187" t="s">
        <v>1758</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1785</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1786</v>
      </c>
      <c r="AP667" s="942">
        <v>5</v>
      </c>
    </row>
    <row r="668" spans="1:54" s="1001" customFormat="1" ht="12.75" customHeight="1">
      <c r="A668" s="926"/>
      <c r="B668" s="51"/>
      <c r="C668" s="3152" t="s">
        <v>626</v>
      </c>
      <c r="D668" s="3153"/>
      <c r="E668" s="1173" t="s">
        <v>1787</v>
      </c>
      <c r="F668" s="3142" t="s">
        <v>1788</v>
      </c>
      <c r="G668" s="3142"/>
      <c r="H668" s="3142"/>
      <c r="I668" s="3142"/>
      <c r="J668" s="3142"/>
      <c r="K668" s="3142"/>
      <c r="L668" s="3142"/>
      <c r="M668" s="3142"/>
      <c r="N668" s="3142"/>
      <c r="O668" s="3142"/>
      <c r="P668" s="3142"/>
      <c r="Q668" s="3142"/>
      <c r="R668" s="3142"/>
      <c r="S668" s="3142"/>
      <c r="T668" s="3142"/>
      <c r="U668" s="3142"/>
      <c r="V668" s="3142"/>
      <c r="W668" s="3142"/>
      <c r="X668" s="3142"/>
      <c r="Y668" s="3142"/>
      <c r="Z668" s="3142"/>
      <c r="AA668" s="3142"/>
      <c r="AB668" s="3142"/>
      <c r="AC668" s="3142"/>
      <c r="AD668" s="3142"/>
      <c r="AE668" s="3142"/>
      <c r="AF668" s="3154" t="s">
        <v>1751</v>
      </c>
      <c r="AG668" s="3154"/>
      <c r="AH668" s="3154"/>
      <c r="AI668" s="3154"/>
      <c r="AJ668" s="3154"/>
      <c r="AK668" s="3154"/>
      <c r="AL668" s="3155"/>
      <c r="AM668" s="1133"/>
      <c r="AN668" s="1232"/>
      <c r="AO668" s="942" t="s">
        <v>1789</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143"/>
      <c r="G669" s="3143"/>
      <c r="H669" s="3143"/>
      <c r="I669" s="3143"/>
      <c r="J669" s="3143"/>
      <c r="K669" s="3143"/>
      <c r="L669" s="3143"/>
      <c r="M669" s="3143"/>
      <c r="N669" s="3143"/>
      <c r="O669" s="3143"/>
      <c r="P669" s="3143"/>
      <c r="Q669" s="3143"/>
      <c r="R669" s="3143"/>
      <c r="S669" s="3143"/>
      <c r="T669" s="3143"/>
      <c r="U669" s="3143"/>
      <c r="V669" s="3143"/>
      <c r="W669" s="3143"/>
      <c r="X669" s="3143"/>
      <c r="Y669" s="3143"/>
      <c r="Z669" s="3143"/>
      <c r="AA669" s="3143"/>
      <c r="AB669" s="3143"/>
      <c r="AC669" s="3143"/>
      <c r="AD669" s="3143"/>
      <c r="AE669" s="3143"/>
      <c r="AF669" s="1229"/>
      <c r="AG669" s="1229"/>
      <c r="AH669" s="1229"/>
      <c r="AI669" s="1229"/>
      <c r="AJ669" s="1229"/>
      <c r="AK669" s="1229"/>
      <c r="AL669" s="1179"/>
      <c r="AM669" s="1133"/>
      <c r="AN669" s="1233"/>
      <c r="AO669" s="942"/>
      <c r="AP669" s="942"/>
      <c r="AQ669" s="942"/>
      <c r="AR669" s="942"/>
      <c r="AS669" s="1234"/>
      <c r="AT669" s="942"/>
      <c r="AU669" s="942"/>
      <c r="AV669" s="942"/>
      <c r="AW669" s="1234" t="s">
        <v>1790</v>
      </c>
      <c r="AX669" s="942"/>
      <c r="AY669" s="942"/>
      <c r="AZ669" s="942"/>
      <c r="BA669" s="1234" t="s">
        <v>1791</v>
      </c>
      <c r="BB669" s="942"/>
    </row>
    <row r="670" spans="1:54" s="942" customFormat="1" ht="17.649999999999999" customHeight="1">
      <c r="A670" s="926"/>
      <c r="B670" s="51"/>
      <c r="C670" s="1235"/>
      <c r="D670" s="1183"/>
      <c r="E670" s="1184"/>
      <c r="F670" s="3147"/>
      <c r="G670" s="3147"/>
      <c r="H670" s="3147"/>
      <c r="I670" s="3147"/>
      <c r="J670" s="3147"/>
      <c r="K670" s="3147"/>
      <c r="L670" s="3147"/>
      <c r="M670" s="3147"/>
      <c r="N670" s="3147"/>
      <c r="O670" s="3147"/>
      <c r="P670" s="3147"/>
      <c r="Q670" s="3147"/>
      <c r="R670" s="3147"/>
      <c r="S670" s="3147"/>
      <c r="T670" s="3147"/>
      <c r="U670" s="3147"/>
      <c r="V670" s="3147"/>
      <c r="W670" s="3147"/>
      <c r="X670" s="3147"/>
      <c r="Y670" s="3147"/>
      <c r="Z670" s="3147"/>
      <c r="AA670" s="3147"/>
      <c r="AB670" s="3147"/>
      <c r="AC670" s="3147"/>
      <c r="AD670" s="3147"/>
      <c r="AE670" s="3147"/>
      <c r="AF670" s="1188"/>
      <c r="AG670" s="1188"/>
      <c r="AH670" s="1188"/>
      <c r="AI670" s="1188"/>
      <c r="AJ670" s="1188"/>
      <c r="AK670" s="1188"/>
      <c r="AL670" s="1236"/>
      <c r="AM670" s="1133"/>
      <c r="AN670" s="1237"/>
      <c r="AO670" s="942" t="s">
        <v>626</v>
      </c>
      <c r="AP670" s="1067">
        <v>0</v>
      </c>
      <c r="AR670" s="942" t="s">
        <v>626</v>
      </c>
      <c r="AS670" s="1067">
        <v>0</v>
      </c>
      <c r="AT670" s="1238"/>
      <c r="AW670" s="942" t="s">
        <v>626</v>
      </c>
      <c r="AX670" s="1238">
        <v>0</v>
      </c>
      <c r="BA670" s="942" t="s">
        <v>626</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1792</v>
      </c>
      <c r="AS671" s="1067">
        <v>3</v>
      </c>
      <c r="AT671" s="1238"/>
      <c r="AW671" s="1240">
        <v>0.4</v>
      </c>
      <c r="AX671" s="1238">
        <v>3</v>
      </c>
      <c r="BA671" s="1240">
        <v>0.4</v>
      </c>
      <c r="BB671" s="1238">
        <v>4</v>
      </c>
    </row>
    <row r="672" spans="1:54" s="942" customFormat="1" ht="12.75" customHeight="1">
      <c r="A672" s="926"/>
      <c r="B672" s="51"/>
      <c r="C672" s="3139" t="s">
        <v>626</v>
      </c>
      <c r="D672" s="3087"/>
      <c r="E672" s="1173" t="s">
        <v>1793</v>
      </c>
      <c r="F672" s="3142" t="s">
        <v>1794</v>
      </c>
      <c r="G672" s="3142"/>
      <c r="H672" s="3142"/>
      <c r="I672" s="3142"/>
      <c r="J672" s="3142"/>
      <c r="K672" s="3142"/>
      <c r="L672" s="3142"/>
      <c r="M672" s="3142"/>
      <c r="N672" s="3142"/>
      <c r="O672" s="3142"/>
      <c r="P672" s="3142"/>
      <c r="Q672" s="3142"/>
      <c r="R672" s="3142"/>
      <c r="S672" s="3142"/>
      <c r="T672" s="3142"/>
      <c r="U672" s="3142"/>
      <c r="V672" s="3142"/>
      <c r="W672" s="3142"/>
      <c r="X672" s="3142"/>
      <c r="Y672" s="3142"/>
      <c r="Z672" s="3142"/>
      <c r="AA672" s="3142"/>
      <c r="AB672" s="3142"/>
      <c r="AC672" s="3142"/>
      <c r="AD672" s="3142"/>
      <c r="AE672" s="3142"/>
      <c r="AF672" s="3154" t="s">
        <v>1751</v>
      </c>
      <c r="AG672" s="3154"/>
      <c r="AH672" s="3154"/>
      <c r="AI672" s="3154"/>
      <c r="AJ672" s="3154"/>
      <c r="AK672" s="3154"/>
      <c r="AL672" s="3155"/>
      <c r="AM672" s="1133"/>
      <c r="AN672" s="1239"/>
      <c r="AO672" s="1240">
        <v>0.12</v>
      </c>
      <c r="AP672" s="1067">
        <v>5</v>
      </c>
      <c r="AR672" s="942" t="s">
        <v>1795</v>
      </c>
      <c r="AS672" s="1067">
        <v>5</v>
      </c>
      <c r="AT672" s="1238"/>
      <c r="AW672" s="1240">
        <v>0.6</v>
      </c>
      <c r="AX672" s="1238">
        <v>4</v>
      </c>
      <c r="BA672" s="1240">
        <v>0.6</v>
      </c>
      <c r="BB672" s="1238">
        <v>5</v>
      </c>
    </row>
    <row r="673" spans="1:54" s="942" customFormat="1" ht="12.75" customHeight="1">
      <c r="A673" s="926"/>
      <c r="B673" s="51"/>
      <c r="C673" s="1191"/>
      <c r="D673" s="112"/>
      <c r="E673" s="1145"/>
      <c r="F673" s="3143"/>
      <c r="G673" s="3143"/>
      <c r="H673" s="3143"/>
      <c r="I673" s="3143"/>
      <c r="J673" s="3143"/>
      <c r="K673" s="3143"/>
      <c r="L673" s="3143"/>
      <c r="M673" s="3143"/>
      <c r="N673" s="3143"/>
      <c r="O673" s="3143"/>
      <c r="P673" s="3143"/>
      <c r="Q673" s="3143"/>
      <c r="R673" s="3143"/>
      <c r="S673" s="3143"/>
      <c r="T673" s="3143"/>
      <c r="U673" s="3143"/>
      <c r="V673" s="3143"/>
      <c r="W673" s="3143"/>
      <c r="X673" s="3143"/>
      <c r="Y673" s="3143"/>
      <c r="Z673" s="3143"/>
      <c r="AA673" s="3143"/>
      <c r="AB673" s="3143"/>
      <c r="AC673" s="3143"/>
      <c r="AD673" s="3143"/>
      <c r="AE673" s="3143"/>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143"/>
      <c r="G674" s="3143"/>
      <c r="H674" s="3143"/>
      <c r="I674" s="3143"/>
      <c r="J674" s="3143"/>
      <c r="K674" s="3143"/>
      <c r="L674" s="3143"/>
      <c r="M674" s="3143"/>
      <c r="N674" s="3143"/>
      <c r="O674" s="3143"/>
      <c r="P674" s="3143"/>
      <c r="Q674" s="3143"/>
      <c r="R674" s="3143"/>
      <c r="S674" s="3143"/>
      <c r="T674" s="3143"/>
      <c r="U674" s="3143"/>
      <c r="V674" s="3143"/>
      <c r="W674" s="3143"/>
      <c r="X674" s="3143"/>
      <c r="Y674" s="3143"/>
      <c r="Z674" s="3143"/>
      <c r="AA674" s="3143"/>
      <c r="AB674" s="3143"/>
      <c r="AC674" s="3143"/>
      <c r="AD674" s="3143"/>
      <c r="AE674" s="3143"/>
      <c r="AF674" s="1212"/>
      <c r="AG674" s="990"/>
      <c r="AH674" s="1024"/>
      <c r="AI674" s="1024"/>
      <c r="AJ674" s="1024"/>
      <c r="AK674" s="1024"/>
      <c r="AL674" s="1192"/>
      <c r="AM674" s="1133"/>
      <c r="AN674" s="1239"/>
      <c r="AO674" s="942" t="s">
        <v>626</v>
      </c>
      <c r="AP674" s="1067">
        <v>0</v>
      </c>
      <c r="AW674" s="1240"/>
      <c r="AX674" s="1238"/>
    </row>
    <row r="675" spans="1:54" s="942" customFormat="1" ht="12.75" customHeight="1">
      <c r="A675" s="926"/>
      <c r="B675" s="51"/>
      <c r="C675" s="1235"/>
      <c r="D675" s="1183"/>
      <c r="E675" s="1184"/>
      <c r="F675" s="3147"/>
      <c r="G675" s="3147"/>
      <c r="H675" s="3147"/>
      <c r="I675" s="3147"/>
      <c r="J675" s="3147"/>
      <c r="K675" s="3147"/>
      <c r="L675" s="3147"/>
      <c r="M675" s="3147"/>
      <c r="N675" s="3147"/>
      <c r="O675" s="3147"/>
      <c r="P675" s="3147"/>
      <c r="Q675" s="3147"/>
      <c r="R675" s="3147"/>
      <c r="S675" s="3147"/>
      <c r="T675" s="3147"/>
      <c r="U675" s="3147"/>
      <c r="V675" s="3147"/>
      <c r="W675" s="3147"/>
      <c r="X675" s="3147"/>
      <c r="Y675" s="3147"/>
      <c r="Z675" s="3147"/>
      <c r="AA675" s="3147"/>
      <c r="AB675" s="3147"/>
      <c r="AC675" s="3147"/>
      <c r="AD675" s="3147"/>
      <c r="AE675" s="3147"/>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1796</v>
      </c>
      <c r="F677" s="3150" t="s">
        <v>1797</v>
      </c>
      <c r="G677" s="3150"/>
      <c r="H677" s="3150"/>
      <c r="I677" s="3150"/>
      <c r="J677" s="3150"/>
      <c r="K677" s="3150"/>
      <c r="L677" s="3150"/>
      <c r="M677" s="3150"/>
      <c r="N677" s="3150"/>
      <c r="O677" s="3150"/>
      <c r="P677" s="3150"/>
      <c r="Q677" s="3150"/>
      <c r="R677" s="3150"/>
      <c r="S677" s="3150"/>
      <c r="T677" s="3150"/>
      <c r="U677" s="3150"/>
      <c r="V677" s="3150"/>
      <c r="W677" s="3150"/>
      <c r="X677" s="3150"/>
      <c r="Y677" s="3150"/>
      <c r="Z677" s="3150"/>
      <c r="AA677" s="3150"/>
      <c r="AB677" s="3150"/>
      <c r="AC677" s="3150"/>
      <c r="AD677" s="3150"/>
      <c r="AE677" s="3150"/>
      <c r="AF677" s="3150"/>
      <c r="AG677" s="1207"/>
      <c r="AH677" s="1172"/>
      <c r="AI677" s="1172"/>
      <c r="AJ677" s="1172"/>
      <c r="AK677" s="1172"/>
      <c r="AL677" s="1208"/>
      <c r="AM677" s="1133"/>
      <c r="AN677" s="999"/>
    </row>
    <row r="678" spans="1:54" s="942" customFormat="1" ht="12.75" customHeight="1">
      <c r="A678" s="926"/>
      <c r="B678" s="51"/>
      <c r="C678" s="1191"/>
      <c r="D678" s="112"/>
      <c r="E678" s="1145"/>
      <c r="F678" s="3151"/>
      <c r="G678" s="3151"/>
      <c r="H678" s="3151"/>
      <c r="I678" s="3151"/>
      <c r="J678" s="3151"/>
      <c r="K678" s="3151"/>
      <c r="L678" s="3151"/>
      <c r="M678" s="3151"/>
      <c r="N678" s="3151"/>
      <c r="O678" s="3151"/>
      <c r="P678" s="3151"/>
      <c r="Q678" s="3151"/>
      <c r="R678" s="3151"/>
      <c r="S678" s="3151"/>
      <c r="T678" s="3151"/>
      <c r="U678" s="3151"/>
      <c r="V678" s="3151"/>
      <c r="W678" s="3151"/>
      <c r="X678" s="3151"/>
      <c r="Y678" s="3151"/>
      <c r="Z678" s="3151"/>
      <c r="AA678" s="3151"/>
      <c r="AB678" s="3151"/>
      <c r="AC678" s="3151"/>
      <c r="AD678" s="3151"/>
      <c r="AE678" s="3151"/>
      <c r="AF678" s="3151"/>
      <c r="AG678" s="1024"/>
      <c r="AH678" s="1024"/>
      <c r="AI678" s="1024"/>
      <c r="AJ678" s="1024"/>
      <c r="AK678" s="1024"/>
      <c r="AL678" s="1192"/>
      <c r="AM678" s="1133"/>
      <c r="AN678" s="999"/>
    </row>
    <row r="679" spans="1:54" s="942" customFormat="1" ht="12.75" customHeight="1">
      <c r="A679" s="926"/>
      <c r="B679" s="51"/>
      <c r="C679" s="1200"/>
      <c r="D679" s="1024"/>
      <c r="E679" s="1024"/>
      <c r="F679" s="3151"/>
      <c r="G679" s="3151"/>
      <c r="H679" s="3151"/>
      <c r="I679" s="3151"/>
      <c r="J679" s="3151"/>
      <c r="K679" s="3151"/>
      <c r="L679" s="3151"/>
      <c r="M679" s="3151"/>
      <c r="N679" s="3151"/>
      <c r="O679" s="3151"/>
      <c r="P679" s="3151"/>
      <c r="Q679" s="3151"/>
      <c r="R679" s="3151"/>
      <c r="S679" s="3151"/>
      <c r="T679" s="3151"/>
      <c r="U679" s="3151"/>
      <c r="V679" s="3151"/>
      <c r="W679" s="3151"/>
      <c r="X679" s="3151"/>
      <c r="Y679" s="3151"/>
      <c r="Z679" s="3151"/>
      <c r="AA679" s="3151"/>
      <c r="AB679" s="3151"/>
      <c r="AC679" s="3151"/>
      <c r="AD679" s="3151"/>
      <c r="AE679" s="3151"/>
      <c r="AF679" s="3151"/>
      <c r="AG679" s="1024"/>
      <c r="AH679" s="1024"/>
      <c r="AI679" s="1024"/>
      <c r="AJ679" s="1024"/>
      <c r="AK679" s="1024"/>
      <c r="AL679" s="1192"/>
      <c r="AM679" s="1133"/>
      <c r="AN679" s="999"/>
    </row>
    <row r="680" spans="1:54" s="942" customFormat="1" ht="12.75" customHeight="1">
      <c r="A680" s="926"/>
      <c r="B680" s="51"/>
      <c r="C680" s="1200"/>
      <c r="D680" s="1024"/>
      <c r="E680" s="1024"/>
      <c r="F680" s="3151"/>
      <c r="G680" s="3151"/>
      <c r="H680" s="3151"/>
      <c r="I680" s="3151"/>
      <c r="J680" s="3151"/>
      <c r="K680" s="3151"/>
      <c r="L680" s="3151"/>
      <c r="M680" s="3151"/>
      <c r="N680" s="3151"/>
      <c r="O680" s="3151"/>
      <c r="P680" s="3151"/>
      <c r="Q680" s="3151"/>
      <c r="R680" s="3151"/>
      <c r="S680" s="3151"/>
      <c r="T680" s="3151"/>
      <c r="U680" s="3151"/>
      <c r="V680" s="3151"/>
      <c r="W680" s="3151"/>
      <c r="X680" s="3151"/>
      <c r="Y680" s="3151"/>
      <c r="Z680" s="3151"/>
      <c r="AA680" s="3151"/>
      <c r="AB680" s="3151"/>
      <c r="AC680" s="3151"/>
      <c r="AD680" s="3151"/>
      <c r="AE680" s="3151"/>
      <c r="AF680" s="3151"/>
      <c r="AG680" s="1024"/>
      <c r="AH680" s="1024"/>
      <c r="AI680" s="1024"/>
      <c r="AJ680" s="1024"/>
      <c r="AK680" s="1024"/>
      <c r="AL680" s="1192"/>
      <c r="AM680" s="1133"/>
      <c r="AN680" s="999"/>
    </row>
    <row r="681" spans="1:54" s="942" customFormat="1" ht="12.75" customHeight="1">
      <c r="A681" s="926"/>
      <c r="B681" s="51"/>
      <c r="C681" s="3139" t="s">
        <v>626</v>
      </c>
      <c r="D681" s="3087"/>
      <c r="E681" s="1177"/>
      <c r="F681" s="1213" t="s">
        <v>1768</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140" t="s">
        <v>1751</v>
      </c>
      <c r="AG681" s="3140"/>
      <c r="AH681" s="3140"/>
      <c r="AI681" s="3140"/>
      <c r="AJ681" s="3140"/>
      <c r="AK681" s="3140"/>
      <c r="AL681" s="3141"/>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1"/>
      <c r="D683" s="1255"/>
      <c r="E683" s="1025"/>
      <c r="F683" s="1812"/>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1798</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1799</v>
      </c>
      <c r="AK684" s="3090">
        <f>IF(Application!D213="N/A",AS573,AS575)</f>
        <v>10</v>
      </c>
      <c r="AL684" s="3091"/>
      <c r="AM684" s="3092"/>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2"/>
      <c r="J686" s="1792"/>
      <c r="K686" s="1792"/>
      <c r="L686" s="1792"/>
      <c r="M686" s="1792"/>
      <c r="N686" s="1792"/>
      <c r="O686" s="1792"/>
      <c r="P686" s="1792"/>
      <c r="Q686" s="1792"/>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626</v>
      </c>
      <c r="AP686" s="1024">
        <v>0</v>
      </c>
    </row>
    <row r="687" spans="1:54" s="942" customFormat="1" ht="12.75" hidden="1" customHeight="1">
      <c r="A687" s="1011" t="s">
        <v>1800</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206" t="s">
        <v>1801</v>
      </c>
      <c r="AF687" s="3206"/>
      <c r="AG687" s="3206"/>
      <c r="AH687" s="3206"/>
      <c r="AI687" s="3206"/>
      <c r="AJ687" s="3206"/>
      <c r="AK687" s="3206"/>
      <c r="AL687" s="1788"/>
      <c r="AM687" s="1025"/>
      <c r="AN687" s="999"/>
      <c r="AO687" s="942" t="s">
        <v>1779</v>
      </c>
      <c r="AP687" s="942">
        <v>5</v>
      </c>
      <c r="AQ687" s="1024"/>
      <c r="AR687" s="1024"/>
      <c r="AS687" s="1024"/>
      <c r="AT687" s="1024"/>
      <c r="AU687" s="1024"/>
      <c r="AV687" s="1024"/>
      <c r="AW687" s="1024"/>
    </row>
    <row r="688" spans="1:54" s="942" customFormat="1" ht="12.75" hidden="1" customHeight="1">
      <c r="A688" s="1011"/>
      <c r="B688" s="1005" t="s">
        <v>1802</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8"/>
      <c r="AF688" s="1788"/>
      <c r="AG688" s="1788"/>
      <c r="AH688" s="1788"/>
      <c r="AI688" s="1788"/>
      <c r="AJ688" s="1788"/>
      <c r="AK688" s="1788"/>
      <c r="AL688" s="1788"/>
      <c r="AM688" s="1025"/>
      <c r="AN688" s="999"/>
      <c r="AO688" s="942" t="s">
        <v>1803</v>
      </c>
      <c r="AP688" s="942">
        <v>5</v>
      </c>
      <c r="AQ688" s="1024"/>
      <c r="AR688" s="1024"/>
      <c r="AS688" s="1024"/>
      <c r="AT688" s="1024"/>
      <c r="AU688" s="1024"/>
      <c r="AV688" s="1024"/>
      <c r="AW688" s="1024"/>
    </row>
    <row r="689" spans="1:50" s="942" customFormat="1" ht="12.75" hidden="1" customHeight="1">
      <c r="A689" s="1011"/>
      <c r="B689" s="985" t="s">
        <v>1804</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8"/>
      <c r="AF689" s="1788"/>
      <c r="AG689" s="1788"/>
      <c r="AH689" s="1788"/>
      <c r="AI689" s="1788"/>
      <c r="AJ689" s="1788"/>
      <c r="AK689" s="1788"/>
      <c r="AL689" s="1788"/>
      <c r="AM689" s="1025"/>
      <c r="AN689" s="999"/>
      <c r="AO689" s="942" t="s">
        <v>1781</v>
      </c>
      <c r="AP689" s="942">
        <v>5</v>
      </c>
      <c r="AQ689" s="1178"/>
      <c r="AR689" s="1178"/>
      <c r="AS689" s="1234"/>
      <c r="AW689" s="1234"/>
    </row>
    <row r="690" spans="1:50" s="942" customFormat="1" ht="12.75" hidden="1" customHeight="1">
      <c r="A690" s="1011"/>
      <c r="B690" s="985" t="s">
        <v>1805</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8"/>
      <c r="AF690" s="1788"/>
      <c r="AG690" s="1788"/>
      <c r="AH690" s="1788"/>
      <c r="AI690" s="1788"/>
      <c r="AJ690" s="1788"/>
      <c r="AK690" s="1788"/>
      <c r="AL690" s="1788"/>
      <c r="AM690" s="1025"/>
      <c r="AN690" s="999"/>
      <c r="AO690" s="942" t="s">
        <v>1783</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8"/>
      <c r="AF691" s="1788"/>
      <c r="AG691" s="1788"/>
      <c r="AH691" s="1788"/>
      <c r="AI691" s="1788"/>
      <c r="AJ691" s="1788"/>
      <c r="AK691" s="1788"/>
      <c r="AL691" s="1788"/>
      <c r="AM691" s="1025"/>
      <c r="AN691" s="999"/>
      <c r="AO691" s="942" t="s">
        <v>1784</v>
      </c>
      <c r="AP691" s="942">
        <v>5</v>
      </c>
      <c r="AQ691" s="1178"/>
      <c r="AR691" s="1178"/>
      <c r="AW691" s="1245"/>
    </row>
    <row r="692" spans="1:50" s="942" customFormat="1" ht="12.75" hidden="1" customHeight="1">
      <c r="A692" s="1011"/>
      <c r="B692" s="1025"/>
      <c r="C692" s="1246" t="s">
        <v>1806</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8"/>
      <c r="AF692" s="1788"/>
      <c r="AG692" s="998"/>
      <c r="AH692" s="998"/>
      <c r="AI692" s="998"/>
      <c r="AJ692" s="998"/>
      <c r="AK692" s="998"/>
      <c r="AL692" s="998"/>
      <c r="AM692" s="1025"/>
      <c r="AN692" s="999"/>
      <c r="AO692" s="942" t="s">
        <v>1785</v>
      </c>
      <c r="AP692" s="942">
        <v>5</v>
      </c>
      <c r="AW692" s="1245"/>
    </row>
    <row r="693" spans="1:50" s="942" customFormat="1" ht="12.75" hidden="1" customHeight="1">
      <c r="A693" s="1011"/>
      <c r="C693" s="3156" t="s">
        <v>626</v>
      </c>
      <c r="D693" s="3157"/>
      <c r="E693" s="1247" t="s">
        <v>540</v>
      </c>
      <c r="F693" s="3158" t="s">
        <v>1807</v>
      </c>
      <c r="G693" s="3158"/>
      <c r="H693" s="3158"/>
      <c r="I693" s="3158"/>
      <c r="J693" s="3158"/>
      <c r="K693" s="3158"/>
      <c r="L693" s="3158"/>
      <c r="M693" s="3158"/>
      <c r="N693" s="3158"/>
      <c r="O693" s="3158"/>
      <c r="P693" s="3158"/>
      <c r="Q693" s="3158"/>
      <c r="R693" s="3158"/>
      <c r="S693" s="3158"/>
      <c r="T693" s="3158"/>
      <c r="U693" s="3158"/>
      <c r="V693" s="3158"/>
      <c r="W693" s="3158"/>
      <c r="X693" s="3158"/>
      <c r="Y693" s="3158"/>
      <c r="Z693" s="3158"/>
      <c r="AA693" s="3158"/>
      <c r="AB693" s="3158"/>
      <c r="AC693" s="3158"/>
      <c r="AD693" s="3158"/>
      <c r="AE693" s="3158"/>
      <c r="AF693" s="1172"/>
      <c r="AG693" s="1172"/>
      <c r="AH693" s="1172"/>
      <c r="AI693" s="1172"/>
      <c r="AJ693" s="1172"/>
      <c r="AK693" s="1208"/>
      <c r="AL693" s="1024"/>
      <c r="AN693" s="999"/>
      <c r="AO693" s="942" t="s">
        <v>1808</v>
      </c>
      <c r="AP693" s="942">
        <v>5</v>
      </c>
      <c r="AS693" s="1240"/>
      <c r="AT693" s="1238"/>
      <c r="AW693" s="1245"/>
      <c r="AX693" s="1067"/>
    </row>
    <row r="694" spans="1:50" s="942" customFormat="1" ht="12.75" hidden="1" customHeight="1">
      <c r="A694" s="1059"/>
      <c r="C694" s="1248"/>
      <c r="D694" s="1024"/>
      <c r="E694" s="1249"/>
      <c r="F694" s="3159"/>
      <c r="G694" s="3159"/>
      <c r="H694" s="3159"/>
      <c r="I694" s="3159"/>
      <c r="J694" s="3159"/>
      <c r="K694" s="3159"/>
      <c r="L694" s="3159"/>
      <c r="M694" s="3159"/>
      <c r="N694" s="3159"/>
      <c r="O694" s="3159"/>
      <c r="P694" s="3159"/>
      <c r="Q694" s="3159"/>
      <c r="R694" s="3159"/>
      <c r="S694" s="3159"/>
      <c r="T694" s="3159"/>
      <c r="U694" s="3159"/>
      <c r="V694" s="3159"/>
      <c r="W694" s="3159"/>
      <c r="X694" s="3159"/>
      <c r="Y694" s="3159"/>
      <c r="Z694" s="3159"/>
      <c r="AA694" s="3159"/>
      <c r="AB694" s="3159"/>
      <c r="AC694" s="3159"/>
      <c r="AD694" s="3159"/>
      <c r="AE694" s="3159"/>
      <c r="AF694" s="1024"/>
      <c r="AG694" s="943"/>
      <c r="AH694" s="943"/>
      <c r="AI694" s="943"/>
      <c r="AJ694" s="943"/>
      <c r="AK694" s="1192"/>
      <c r="AL694" s="1024"/>
      <c r="AN694" s="999"/>
      <c r="AO694" s="942" t="s">
        <v>1789</v>
      </c>
      <c r="AP694" s="942">
        <v>1</v>
      </c>
    </row>
    <row r="695" spans="1:50" s="942" customFormat="1" ht="12.75" hidden="1" customHeight="1">
      <c r="A695" s="1059"/>
      <c r="C695" s="1250"/>
      <c r="D695" s="1187"/>
      <c r="E695" s="1251"/>
      <c r="F695" s="3160" t="s">
        <v>626</v>
      </c>
      <c r="G695" s="3160"/>
      <c r="H695" s="3160"/>
      <c r="I695" s="3160"/>
      <c r="J695" s="3160"/>
      <c r="K695" s="3160"/>
      <c r="L695" s="3160"/>
      <c r="M695" s="3160"/>
      <c r="N695" s="3160"/>
      <c r="O695" s="3160"/>
      <c r="P695" s="3160"/>
      <c r="Q695" s="3160"/>
      <c r="R695" s="3160"/>
      <c r="S695" s="3160"/>
      <c r="T695" s="3160"/>
      <c r="U695" s="3160"/>
      <c r="V695" s="3160"/>
      <c r="W695" s="3160"/>
      <c r="X695" s="3160"/>
      <c r="Y695" s="3160"/>
      <c r="Z695" s="3160"/>
      <c r="AA695" s="1252"/>
      <c r="AB695" s="1099"/>
      <c r="AC695" s="1099"/>
      <c r="AD695" s="1187"/>
      <c r="AE695" s="1187"/>
      <c r="AF695" s="1187"/>
      <c r="AG695" s="1253">
        <f>IF($C$693="Yes",(VLOOKUP($F$695,$AO$660:$AP$668,2,FALSE)),0)</f>
        <v>0</v>
      </c>
      <c r="AH695" s="1254" t="s">
        <v>1599</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626</v>
      </c>
      <c r="AP696" s="1067">
        <v>0</v>
      </c>
    </row>
    <row r="697" spans="1:50" s="942" customFormat="1" ht="12.75" hidden="1" customHeight="1">
      <c r="A697" s="1059"/>
      <c r="C697" s="3161" t="s">
        <v>578</v>
      </c>
      <c r="D697" s="3162"/>
      <c r="E697" s="1247" t="s">
        <v>798</v>
      </c>
      <c r="F697" s="1256" t="s">
        <v>1809</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1810</v>
      </c>
      <c r="D698" s="1024"/>
      <c r="E698" s="1024"/>
      <c r="F698" s="1258" t="s">
        <v>1811</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8"/>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90"/>
      <c r="D699" s="1791"/>
      <c r="E699" s="1259"/>
      <c r="F699" s="1258" t="s">
        <v>1812</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1813</v>
      </c>
      <c r="G700" s="1024"/>
      <c r="H700" s="1024"/>
      <c r="I700" s="1258"/>
      <c r="J700" s="1258"/>
      <c r="K700" s="1258"/>
      <c r="L700" s="1258"/>
      <c r="M700" s="1258"/>
      <c r="N700" s="1258"/>
      <c r="O700" s="1258"/>
      <c r="P700" s="1258"/>
      <c r="Q700" s="1258"/>
      <c r="R700" s="1258"/>
      <c r="S700" s="1258"/>
      <c r="T700" s="1258"/>
      <c r="U700" s="1258"/>
      <c r="V700" s="3168" t="s">
        <v>626</v>
      </c>
      <c r="W700" s="3168"/>
      <c r="X700" s="3168"/>
      <c r="Y700" s="1258"/>
      <c r="Z700" s="1258"/>
      <c r="AA700" s="1258"/>
      <c r="AB700" s="1258"/>
      <c r="AC700" s="1258"/>
      <c r="AD700" s="1261"/>
      <c r="AE700" s="1261"/>
      <c r="AF700" s="1261"/>
      <c r="AG700" s="1030">
        <f>IF(AND($C$697="Yes",$V$702="N/A",$V$707="N/A",$V$711="N/A",$V$713="N/A"),(VLOOKUP(V700,$AR$670:$AS$672,2,FALSE)),0)</f>
        <v>0</v>
      </c>
      <c r="AH700" s="1796" t="s">
        <v>1599</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6"/>
      <c r="AI701" s="943"/>
      <c r="AJ701" s="943"/>
      <c r="AK701" s="1192"/>
      <c r="AL701" s="1024"/>
      <c r="AM701" s="942"/>
      <c r="AN701" s="999"/>
    </row>
    <row r="702" spans="1:50" s="992" customFormat="1" ht="12.75" hidden="1" customHeight="1">
      <c r="A702" s="1118"/>
      <c r="B702" s="942"/>
      <c r="C702" s="1248"/>
      <c r="D702" s="1024"/>
      <c r="E702" s="1249"/>
      <c r="F702" s="1263" t="s">
        <v>1814</v>
      </c>
      <c r="G702" s="1024"/>
      <c r="H702" s="1024"/>
      <c r="I702" s="1258"/>
      <c r="J702" s="1258"/>
      <c r="K702" s="1258"/>
      <c r="L702" s="1258"/>
      <c r="M702" s="1258"/>
      <c r="N702" s="1258"/>
      <c r="O702" s="1258"/>
      <c r="P702" s="1258"/>
      <c r="Q702" s="1258"/>
      <c r="R702" s="1258"/>
      <c r="S702" s="1258"/>
      <c r="T702" s="1258"/>
      <c r="U702" s="1258"/>
      <c r="V702" s="3168" t="s">
        <v>626</v>
      </c>
      <c r="W702" s="3168"/>
      <c r="X702" s="3168"/>
      <c r="Y702" s="1258"/>
      <c r="Z702" s="1258"/>
      <c r="AA702" s="1258"/>
      <c r="AB702" s="1258"/>
      <c r="AC702" s="1258"/>
      <c r="AD702" s="1261"/>
      <c r="AE702" s="1261"/>
      <c r="AF702" s="1261"/>
      <c r="AG702" s="1030">
        <f>IF(AND($C$697="Yes",$V$700="N/A", $V$707="N/A",$V$711="N/A",$V$713="N/A"),(VLOOKUP(V702,$AO$670:$AP$672,2,FALSE)),0)</f>
        <v>0</v>
      </c>
      <c r="AH702" s="1796" t="s">
        <v>1599</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626</v>
      </c>
      <c r="AP703" s="942">
        <v>0</v>
      </c>
    </row>
    <row r="704" spans="1:50" s="942" customFormat="1" ht="12.75" hidden="1" customHeight="1">
      <c r="A704" s="1059"/>
      <c r="C704" s="1248"/>
      <c r="D704" s="1024"/>
      <c r="E704" s="1249"/>
      <c r="F704" s="1264" t="s">
        <v>1815</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1816</v>
      </c>
      <c r="AP704" s="1067">
        <v>2</v>
      </c>
    </row>
    <row r="705" spans="1:81" s="942" customFormat="1" ht="12.75" hidden="1" customHeight="1">
      <c r="A705" s="1059"/>
      <c r="C705" s="1248"/>
      <c r="D705" s="1059"/>
      <c r="E705" s="1059"/>
      <c r="F705" s="1261" t="s">
        <v>1817</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6"/>
      <c r="AI705" s="943"/>
      <c r="AJ705" s="943"/>
      <c r="AK705" s="1192"/>
      <c r="AL705" s="1024"/>
      <c r="AN705" s="999"/>
      <c r="AO705" s="942" t="s">
        <v>1818</v>
      </c>
      <c r="AP705" s="942">
        <v>2</v>
      </c>
    </row>
    <row r="706" spans="1:81" s="992" customFormat="1" ht="12.75" hidden="1" customHeight="1">
      <c r="A706" s="1059"/>
      <c r="B706" s="942"/>
      <c r="C706" s="1200"/>
      <c r="D706" s="1255"/>
      <c r="E706" s="1255"/>
      <c r="F706" s="1261" t="s">
        <v>1819</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6"/>
      <c r="AI706" s="943"/>
      <c r="AJ706" s="943"/>
      <c r="AK706" s="1192"/>
      <c r="AL706" s="1024"/>
      <c r="AM706" s="942"/>
      <c r="AN706" s="1124"/>
      <c r="AO706" s="942" t="s">
        <v>1820</v>
      </c>
      <c r="AP706" s="942">
        <v>2</v>
      </c>
    </row>
    <row r="707" spans="1:81" s="942" customFormat="1" ht="12.75" hidden="1" customHeight="1">
      <c r="A707" s="1059"/>
      <c r="C707" s="1265"/>
      <c r="D707" s="1059"/>
      <c r="E707" s="1059"/>
      <c r="F707" s="1263" t="s">
        <v>1821</v>
      </c>
      <c r="G707" s="1059"/>
      <c r="H707" s="1059"/>
      <c r="I707" s="1059"/>
      <c r="J707" s="1059"/>
      <c r="K707" s="1059"/>
      <c r="L707" s="1059"/>
      <c r="M707" s="1249"/>
      <c r="N707" s="1249"/>
      <c r="O707" s="1249"/>
      <c r="P707" s="1249"/>
      <c r="Q707" s="943"/>
      <c r="R707" s="943"/>
      <c r="S707" s="943"/>
      <c r="T707" s="943"/>
      <c r="U707" s="943"/>
      <c r="V707" s="3168" t="s">
        <v>626</v>
      </c>
      <c r="W707" s="3168"/>
      <c r="X707" s="3168"/>
      <c r="Y707" s="943"/>
      <c r="Z707" s="943"/>
      <c r="AA707" s="943"/>
      <c r="AB707" s="943"/>
      <c r="AC707" s="943"/>
      <c r="AD707" s="1024"/>
      <c r="AE707" s="1024"/>
      <c r="AF707" s="1024"/>
      <c r="AG707" s="1030">
        <f>IF(AND($C$697="Yes",$V$700="N/A",$V$702="N/A", $V$711="N/A",$V$713="N/A"),(VLOOKUP($V$707,$AO$674:$AP$676,2,FALSE)),0)</f>
        <v>0</v>
      </c>
      <c r="AH707" s="1796" t="s">
        <v>1599</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1822</v>
      </c>
      <c r="D709" s="1268"/>
      <c r="E709" s="1268"/>
      <c r="F709" s="1269" t="s">
        <v>1823</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626</v>
      </c>
      <c r="AP709" s="942">
        <v>0</v>
      </c>
      <c r="AQ709" s="1212"/>
    </row>
    <row r="710" spans="1:81" s="992" customFormat="1" ht="12.75" hidden="1" customHeight="1">
      <c r="A710" s="1059"/>
      <c r="B710" s="1025"/>
      <c r="C710" s="1270"/>
      <c r="D710" s="3167"/>
      <c r="E710" s="3167"/>
      <c r="F710" s="1258" t="s">
        <v>1824</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1825</v>
      </c>
      <c r="AP710" s="1067">
        <v>5</v>
      </c>
      <c r="AQ710" s="931"/>
    </row>
    <row r="711" spans="1:81" s="1133" customFormat="1" ht="12.75" hidden="1" customHeight="1">
      <c r="A711" s="1794"/>
      <c r="B711" s="1025"/>
      <c r="C711" s="1248"/>
      <c r="D711" s="1024"/>
      <c r="E711" s="1024"/>
      <c r="F711" s="1271" t="s">
        <v>1813</v>
      </c>
      <c r="G711" s="1024"/>
      <c r="H711" s="1024"/>
      <c r="I711" s="1024"/>
      <c r="J711" s="1024"/>
      <c r="K711" s="1024"/>
      <c r="L711" s="1024"/>
      <c r="M711" s="1024"/>
      <c r="N711" s="1024"/>
      <c r="O711" s="1024"/>
      <c r="P711" s="1024"/>
      <c r="Q711" s="1024"/>
      <c r="R711" s="1024"/>
      <c r="S711" s="1024"/>
      <c r="T711" s="1024"/>
      <c r="U711" s="1024"/>
      <c r="V711" s="3168" t="s">
        <v>626</v>
      </c>
      <c r="W711" s="3168"/>
      <c r="X711" s="3168"/>
      <c r="Y711" s="1024"/>
      <c r="Z711" s="1024"/>
      <c r="AA711" s="1024"/>
      <c r="AB711" s="1024"/>
      <c r="AC711" s="1024"/>
      <c r="AD711" s="1024"/>
      <c r="AE711" s="1024"/>
      <c r="AF711" s="1024"/>
      <c r="AG711" s="1030">
        <f>IF(AND($C$697="Yes",$V$700="N/A",V702="N/A",$V$707="N/A",$V$713="N/A"),(VLOOKUP($V$711,$AW$670:$AX$673,2,FALSE)),0)</f>
        <v>0</v>
      </c>
      <c r="AH711" s="1796" t="s">
        <v>1599</v>
      </c>
      <c r="AI711" s="943"/>
      <c r="AJ711" s="1024"/>
      <c r="AK711" s="1192"/>
      <c r="AL711" s="1024"/>
      <c r="AM711" s="942"/>
      <c r="AN711" s="1132"/>
      <c r="AO711" s="942" t="s">
        <v>1826</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4"/>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1827</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4"/>
      <c r="B713" s="1025"/>
      <c r="C713" s="1250"/>
      <c r="D713" s="1187"/>
      <c r="E713" s="1187"/>
      <c r="F713" s="1263" t="s">
        <v>1814</v>
      </c>
      <c r="G713" s="1272"/>
      <c r="H713" s="1272"/>
      <c r="I713" s="1187"/>
      <c r="J713" s="1187"/>
      <c r="K713" s="1187"/>
      <c r="L713" s="1187"/>
      <c r="M713" s="1187"/>
      <c r="N713" s="1187"/>
      <c r="O713" s="1187"/>
      <c r="P713" s="1187"/>
      <c r="Q713" s="1187"/>
      <c r="R713" s="1187"/>
      <c r="S713" s="1187"/>
      <c r="T713" s="1187"/>
      <c r="U713" s="1187"/>
      <c r="V713" s="3168" t="s">
        <v>626</v>
      </c>
      <c r="W713" s="3168"/>
      <c r="X713" s="3168"/>
      <c r="Y713" s="1187"/>
      <c r="Z713" s="1187"/>
      <c r="AA713" s="1187"/>
      <c r="AB713" s="1187"/>
      <c r="AC713" s="1187"/>
      <c r="AD713" s="1187"/>
      <c r="AE713" s="1187"/>
      <c r="AF713" s="1187"/>
      <c r="AG713" s="1273">
        <f>IF(AND($C$697="Yes",$V$700="N/A",$V$702="N/A",$V$707="N/A",$V$711="N/A"),(VLOOKUP($V$713,$BA$670:$BB$672,2,FALSE)),0)</f>
        <v>0</v>
      </c>
      <c r="AH713" s="1254" t="s">
        <v>1599</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4"/>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4"/>
      <c r="B715" s="942"/>
      <c r="C715" s="1246" t="s">
        <v>1828</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4"/>
      <c r="B716" s="942"/>
      <c r="C716" s="3156" t="s">
        <v>626</v>
      </c>
      <c r="D716" s="3157"/>
      <c r="E716" s="1247" t="s">
        <v>540</v>
      </c>
      <c r="F716" s="3158" t="s">
        <v>1807</v>
      </c>
      <c r="G716" s="3158"/>
      <c r="H716" s="3158"/>
      <c r="I716" s="3158"/>
      <c r="J716" s="3158"/>
      <c r="K716" s="3158"/>
      <c r="L716" s="3158"/>
      <c r="M716" s="3158"/>
      <c r="N716" s="3158"/>
      <c r="O716" s="3158"/>
      <c r="P716" s="3158"/>
      <c r="Q716" s="3158"/>
      <c r="R716" s="3158"/>
      <c r="S716" s="3158"/>
      <c r="T716" s="3158"/>
      <c r="U716" s="3158"/>
      <c r="V716" s="3158"/>
      <c r="W716" s="3158"/>
      <c r="X716" s="3158"/>
      <c r="Y716" s="3158"/>
      <c r="Z716" s="3158"/>
      <c r="AA716" s="3158"/>
      <c r="AB716" s="3158"/>
      <c r="AC716" s="3158"/>
      <c r="AD716" s="3158"/>
      <c r="AE716" s="3158"/>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4"/>
      <c r="B717" s="942"/>
      <c r="C717" s="1248"/>
      <c r="D717" s="1024"/>
      <c r="E717" s="1249"/>
      <c r="F717" s="3159"/>
      <c r="G717" s="3159"/>
      <c r="H717" s="3159"/>
      <c r="I717" s="3159"/>
      <c r="J717" s="3159"/>
      <c r="K717" s="3159"/>
      <c r="L717" s="3159"/>
      <c r="M717" s="3159"/>
      <c r="N717" s="3159"/>
      <c r="O717" s="3159"/>
      <c r="P717" s="3159"/>
      <c r="Q717" s="3159"/>
      <c r="R717" s="3159"/>
      <c r="S717" s="3159"/>
      <c r="T717" s="3159"/>
      <c r="U717" s="3159"/>
      <c r="V717" s="3159"/>
      <c r="W717" s="3159"/>
      <c r="X717" s="3159"/>
      <c r="Y717" s="3159"/>
      <c r="Z717" s="3159"/>
      <c r="AA717" s="3159"/>
      <c r="AB717" s="3159"/>
      <c r="AC717" s="3159"/>
      <c r="AD717" s="3159"/>
      <c r="AE717" s="3159"/>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4"/>
      <c r="B718" s="942"/>
      <c r="C718" s="1250"/>
      <c r="D718" s="1187"/>
      <c r="E718" s="1251"/>
      <c r="F718" s="3163" t="s">
        <v>626</v>
      </c>
      <c r="G718" s="3163"/>
      <c r="H718" s="3163"/>
      <c r="I718" s="3163"/>
      <c r="J718" s="3163"/>
      <c r="K718" s="3163"/>
      <c r="L718" s="3163"/>
      <c r="M718" s="3163"/>
      <c r="N718" s="3163"/>
      <c r="O718" s="3163"/>
      <c r="P718" s="3163"/>
      <c r="Q718" s="3163"/>
      <c r="R718" s="3163"/>
      <c r="S718" s="3163"/>
      <c r="T718" s="3163"/>
      <c r="U718" s="3163"/>
      <c r="V718" s="3163"/>
      <c r="W718" s="3163"/>
      <c r="X718" s="3163"/>
      <c r="Y718" s="3163"/>
      <c r="Z718" s="3163"/>
      <c r="AA718" s="1252"/>
      <c r="AB718" s="1099"/>
      <c r="AC718" s="1099"/>
      <c r="AD718" s="1187"/>
      <c r="AE718" s="1187"/>
      <c r="AF718" s="1187"/>
      <c r="AG718" s="1253">
        <f>IF($C$716="Yes",(VLOOKUP($F$718,$AO$686:$AP$694,2,FALSE)),0)</f>
        <v>0</v>
      </c>
      <c r="AH718" s="1254" t="s">
        <v>1599</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4"/>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56" t="s">
        <v>626</v>
      </c>
      <c r="D720" s="3157"/>
      <c r="E720" s="1247" t="s">
        <v>798</v>
      </c>
      <c r="F720" s="3164" t="s">
        <v>1829</v>
      </c>
      <c r="G720" s="3164"/>
      <c r="H720" s="3164"/>
      <c r="I720" s="3164"/>
      <c r="J720" s="3164"/>
      <c r="K720" s="3164"/>
      <c r="L720" s="3164"/>
      <c r="M720" s="3164"/>
      <c r="N720" s="3164"/>
      <c r="O720" s="3164"/>
      <c r="P720" s="3164"/>
      <c r="Q720" s="3164"/>
      <c r="R720" s="3164"/>
      <c r="S720" s="3164"/>
      <c r="T720" s="3164"/>
      <c r="U720" s="3164"/>
      <c r="V720" s="3164"/>
      <c r="W720" s="3164"/>
      <c r="X720" s="3164"/>
      <c r="Y720" s="3164"/>
      <c r="Z720" s="3164"/>
      <c r="AA720" s="3164"/>
      <c r="AB720" s="3164"/>
      <c r="AC720" s="3164"/>
      <c r="AD720" s="3164"/>
      <c r="AE720" s="3164"/>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65"/>
      <c r="G721" s="3165"/>
      <c r="H721" s="3165"/>
      <c r="I721" s="3165"/>
      <c r="J721" s="3165"/>
      <c r="K721" s="3165"/>
      <c r="L721" s="3165"/>
      <c r="M721" s="3165"/>
      <c r="N721" s="3165"/>
      <c r="O721" s="3165"/>
      <c r="P721" s="3165"/>
      <c r="Q721" s="3165"/>
      <c r="R721" s="3165"/>
      <c r="S721" s="3165"/>
      <c r="T721" s="3165"/>
      <c r="U721" s="3165"/>
      <c r="V721" s="3165"/>
      <c r="W721" s="3165"/>
      <c r="X721" s="3165"/>
      <c r="Y721" s="3165"/>
      <c r="Z721" s="3165"/>
      <c r="AA721" s="3165"/>
      <c r="AB721" s="3165"/>
      <c r="AC721" s="3165"/>
      <c r="AD721" s="3165"/>
      <c r="AE721" s="3165"/>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1830</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8"/>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5" hidden="1" thickTop="1">
      <c r="A723" s="1059"/>
      <c r="B723" s="942"/>
      <c r="C723" s="1250"/>
      <c r="D723" s="1187"/>
      <c r="E723" s="1251"/>
      <c r="F723" s="3166" t="s">
        <v>626</v>
      </c>
      <c r="G723" s="3166"/>
      <c r="H723" s="3166"/>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1599</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5"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6"/>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5" hidden="1" thickTop="1">
      <c r="A725" s="1059"/>
      <c r="B725" s="942"/>
      <c r="C725" s="3156" t="s">
        <v>626</v>
      </c>
      <c r="D725" s="3157"/>
      <c r="E725" s="1247" t="s">
        <v>1831</v>
      </c>
      <c r="F725" s="1269" t="s">
        <v>1832</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5"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5" hidden="1" thickTop="1">
      <c r="A727" s="1025"/>
      <c r="B727" s="942"/>
      <c r="C727" s="3179"/>
      <c r="D727" s="3167"/>
      <c r="E727" s="1259"/>
      <c r="F727" s="943" t="s">
        <v>1833</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8"/>
      <c r="AD727" s="1024"/>
      <c r="AE727" s="1024"/>
      <c r="AF727" s="1024"/>
      <c r="AG727" s="1030">
        <f>IF($C$725="Yes",(VLOOKUP($G$728,$AO$703:$AP$706,2,FALSE)),0)</f>
        <v>0</v>
      </c>
      <c r="AH727" s="1796" t="s">
        <v>1599</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5" hidden="1" thickTop="1">
      <c r="A728" s="1025"/>
      <c r="B728" s="942"/>
      <c r="C728" s="1248"/>
      <c r="D728" s="1025"/>
      <c r="E728" s="1249"/>
      <c r="F728" s="943"/>
      <c r="G728" s="3180" t="s">
        <v>626</v>
      </c>
      <c r="H728" s="3180"/>
      <c r="I728" s="3180"/>
      <c r="J728" s="3180"/>
      <c r="K728" s="3180"/>
      <c r="L728" s="3180"/>
      <c r="M728" s="3180"/>
      <c r="N728" s="3180"/>
      <c r="O728" s="3180"/>
      <c r="P728" s="3180"/>
      <c r="Q728" s="3180"/>
      <c r="R728" s="3180"/>
      <c r="S728" s="3180"/>
      <c r="T728" s="3180"/>
      <c r="U728" s="3180"/>
      <c r="V728" s="3180"/>
      <c r="W728" s="3180"/>
      <c r="X728" s="3180"/>
      <c r="Y728" s="3180"/>
      <c r="Z728" s="3180"/>
      <c r="AA728" s="3180"/>
      <c r="AB728" s="3180"/>
      <c r="AC728" s="3180"/>
      <c r="AD728" s="3180"/>
      <c r="AE728" s="3180"/>
      <c r="AF728" s="3180"/>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5"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81" t="s">
        <v>626</v>
      </c>
      <c r="D730" s="3182"/>
      <c r="E730" s="963"/>
      <c r="F730" s="943" t="s">
        <v>1834</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8"/>
      <c r="AD730" s="1024"/>
      <c r="AE730" s="1024"/>
      <c r="AF730" s="1024"/>
      <c r="AG730" s="1030">
        <f>IF(AND($C$730="Yes",$C$725="Yes"),2,0)</f>
        <v>0</v>
      </c>
      <c r="AH730" s="1796" t="s">
        <v>1599</v>
      </c>
      <c r="AI730" s="943"/>
      <c r="AJ730" s="1793"/>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5" hidden="1" thickTop="1">
      <c r="A731" s="51"/>
      <c r="B731" s="942"/>
      <c r="C731" s="1270"/>
      <c r="D731" s="1791"/>
      <c r="E731" s="1791"/>
      <c r="F731" s="943"/>
      <c r="G731" s="943" t="s">
        <v>1835</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8"/>
      <c r="AD731" s="1024"/>
      <c r="AE731" s="1024"/>
      <c r="AF731" s="1024"/>
      <c r="AG731" s="1793"/>
      <c r="AH731" s="1793"/>
      <c r="AI731" s="1793"/>
      <c r="AJ731" s="1793"/>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1"/>
      <c r="E732" s="1791"/>
      <c r="F732" s="943"/>
      <c r="G732" s="943" t="s">
        <v>1836</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8"/>
      <c r="AD732" s="1025"/>
      <c r="AE732" s="1025"/>
      <c r="AF732" s="1025"/>
      <c r="AG732" s="1793"/>
      <c r="AH732" s="1793"/>
      <c r="AI732" s="1793"/>
      <c r="AJ732" s="1793"/>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8"/>
      <c r="AH733" s="1788"/>
      <c r="AI733" s="1788"/>
      <c r="AJ733" s="1788"/>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81" t="s">
        <v>626</v>
      </c>
      <c r="D734" s="3182"/>
      <c r="E734" s="1024"/>
      <c r="F734" s="1289" t="s">
        <v>1837</v>
      </c>
      <c r="G734" s="3183" t="s">
        <v>1838</v>
      </c>
      <c r="H734" s="3183"/>
      <c r="I734" s="3183"/>
      <c r="J734" s="3183"/>
      <c r="K734" s="3183"/>
      <c r="L734" s="3183"/>
      <c r="M734" s="3183"/>
      <c r="N734" s="3183"/>
      <c r="O734" s="3183"/>
      <c r="P734" s="3183"/>
      <c r="Q734" s="3183"/>
      <c r="R734" s="3183"/>
      <c r="S734" s="3183"/>
      <c r="T734" s="3183"/>
      <c r="U734" s="3183"/>
      <c r="V734" s="3183"/>
      <c r="W734" s="3183"/>
      <c r="X734" s="3183"/>
      <c r="Y734" s="3183"/>
      <c r="Z734" s="3183"/>
      <c r="AA734" s="3183"/>
      <c r="AB734" s="3183"/>
      <c r="AC734" s="3183"/>
      <c r="AD734" s="3183"/>
      <c r="AE734" s="3183"/>
      <c r="AF734" s="3183"/>
      <c r="AG734" s="1030">
        <f>IF(AND($C$734="Yes",$C$725="Yes"),2,0)</f>
        <v>0</v>
      </c>
      <c r="AH734" s="1796" t="s">
        <v>1599</v>
      </c>
      <c r="AI734" s="943"/>
      <c r="AJ734" s="1793"/>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84"/>
      <c r="H735" s="3184"/>
      <c r="I735" s="3184"/>
      <c r="J735" s="3184"/>
      <c r="K735" s="3184"/>
      <c r="L735" s="3184"/>
      <c r="M735" s="3184"/>
      <c r="N735" s="3184"/>
      <c r="O735" s="3184"/>
      <c r="P735" s="3184"/>
      <c r="Q735" s="3184"/>
      <c r="R735" s="3184"/>
      <c r="S735" s="3184"/>
      <c r="T735" s="3184"/>
      <c r="U735" s="3184"/>
      <c r="V735" s="3184"/>
      <c r="W735" s="3184"/>
      <c r="X735" s="3184"/>
      <c r="Y735" s="3184"/>
      <c r="Z735" s="3184"/>
      <c r="AA735" s="3184"/>
      <c r="AB735" s="3184"/>
      <c r="AC735" s="3184"/>
      <c r="AD735" s="3184"/>
      <c r="AE735" s="3184"/>
      <c r="AF735" s="3184"/>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1839</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69" t="s">
        <v>626</v>
      </c>
      <c r="D738" s="3170"/>
      <c r="E738" s="1298" t="s">
        <v>1840</v>
      </c>
      <c r="F738" s="1258" t="s">
        <v>1841</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0">
        <f>IF(C$738="Yes",(VLOOKUP(F$739,$AO$709:$AP$712,2,FALSE)),0)</f>
        <v>0</v>
      </c>
      <c r="AH738" s="1796" t="s">
        <v>1599</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71" t="s">
        <v>626</v>
      </c>
      <c r="G739" s="3171"/>
      <c r="H739" s="3171"/>
      <c r="I739" s="3171"/>
      <c r="J739" s="3171"/>
      <c r="K739" s="3171"/>
      <c r="L739" s="3171"/>
      <c r="M739" s="3171"/>
      <c r="N739" s="3171"/>
      <c r="O739" s="3171"/>
      <c r="P739" s="3171"/>
      <c r="Q739" s="3171"/>
      <c r="R739" s="3171"/>
      <c r="S739" s="3171"/>
      <c r="T739" s="3171"/>
      <c r="U739" s="3171"/>
      <c r="V739" s="3171"/>
      <c r="W739" s="3171"/>
      <c r="X739" s="3171"/>
      <c r="Y739" s="3171"/>
      <c r="Z739" s="3171"/>
      <c r="AA739" s="3171"/>
      <c r="AB739" s="3171"/>
      <c r="AC739" s="3171"/>
      <c r="AD739" s="3171"/>
      <c r="AE739" s="3171"/>
      <c r="AF739" s="3171"/>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72"/>
      <c r="G740" s="3172"/>
      <c r="H740" s="3172"/>
      <c r="I740" s="3172"/>
      <c r="J740" s="3172"/>
      <c r="K740" s="3172"/>
      <c r="L740" s="3172"/>
      <c r="M740" s="3172"/>
      <c r="N740" s="3172"/>
      <c r="O740" s="3172"/>
      <c r="P740" s="3172"/>
      <c r="Q740" s="3172"/>
      <c r="R740" s="3172"/>
      <c r="S740" s="3172"/>
      <c r="T740" s="3172"/>
      <c r="U740" s="3172"/>
      <c r="V740" s="3172"/>
      <c r="W740" s="3172"/>
      <c r="X740" s="3172"/>
      <c r="Y740" s="3172"/>
      <c r="Z740" s="3172"/>
      <c r="AA740" s="3172"/>
      <c r="AB740" s="3172"/>
      <c r="AC740" s="3172"/>
      <c r="AD740" s="3172"/>
      <c r="AE740" s="3172"/>
      <c r="AF740" s="3172"/>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1842</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1843</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1844</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1845</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1846</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1847</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1848</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1849</v>
      </c>
      <c r="AK750" s="3090">
        <f>SUM(AG694:AG739)</f>
        <v>0</v>
      </c>
      <c r="AL750" s="3091"/>
      <c r="AM750" s="3092"/>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9"/>
      <c r="AJ751" s="1789"/>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5" thickTop="1"/>
    <row r="753" spans="1:49" s="942" customFormat="1" ht="12.75" customHeight="1">
      <c r="A753" s="1011" t="s">
        <v>1850</v>
      </c>
      <c r="B753" s="1011" t="s">
        <v>1851</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080" t="s">
        <v>1852</v>
      </c>
      <c r="AF753" s="3080"/>
      <c r="AG753" s="3080"/>
      <c r="AH753" s="3080"/>
      <c r="AI753" s="3080"/>
      <c r="AJ753" s="3080"/>
      <c r="AK753" s="3080"/>
      <c r="AL753" s="1004"/>
      <c r="AM753" s="1004"/>
      <c r="AN753" s="999"/>
    </row>
    <row r="754" spans="1:49" s="942" customFormat="1" ht="12.75" customHeight="1">
      <c r="A754" s="1011"/>
      <c r="B754" s="1011" t="s">
        <v>1595</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9"/>
      <c r="AF754" s="1789"/>
      <c r="AG754" s="1789"/>
      <c r="AH754" s="1789"/>
      <c r="AI754" s="1789"/>
      <c r="AJ754" s="1789"/>
      <c r="AK754" s="1789"/>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087" t="s">
        <v>578</v>
      </c>
      <c r="D756" s="3087"/>
      <c r="E756" s="943"/>
      <c r="F756" s="3173" t="s">
        <v>1853</v>
      </c>
      <c r="G756" s="3174"/>
      <c r="H756" s="3174"/>
      <c r="I756" s="3174"/>
      <c r="J756" s="3174"/>
      <c r="K756" s="3174"/>
      <c r="L756" s="3174"/>
      <c r="M756" s="3174"/>
      <c r="N756" s="3174"/>
      <c r="O756" s="3174"/>
      <c r="P756" s="3174"/>
      <c r="Q756" s="3174"/>
      <c r="R756" s="3174"/>
      <c r="S756" s="3174"/>
      <c r="T756" s="3174"/>
      <c r="U756" s="3174"/>
      <c r="V756" s="3174"/>
      <c r="W756" s="3174"/>
      <c r="X756" s="3174"/>
      <c r="Y756" s="3174"/>
      <c r="Z756" s="3174"/>
      <c r="AA756" s="3174"/>
      <c r="AB756" s="3174"/>
      <c r="AC756" s="3174"/>
      <c r="AD756" s="3174"/>
      <c r="AE756" s="3174"/>
      <c r="AF756" s="3174"/>
      <c r="AG756" s="3174"/>
      <c r="AH756" s="3174"/>
      <c r="AI756" s="3174"/>
      <c r="AJ756" s="3174"/>
      <c r="AK756" s="3174"/>
      <c r="AL756" s="3175"/>
      <c r="AM756" s="1004"/>
      <c r="AN756" s="999"/>
    </row>
    <row r="757" spans="1:49" s="942" customFormat="1" ht="12.75" customHeight="1">
      <c r="A757" s="1011"/>
      <c r="B757" s="1011"/>
      <c r="C757" s="943"/>
      <c r="D757" s="943"/>
      <c r="E757" s="943"/>
      <c r="F757" s="3176"/>
      <c r="G757" s="3177"/>
      <c r="H757" s="3177"/>
      <c r="I757" s="3177"/>
      <c r="J757" s="3177"/>
      <c r="K757" s="3177"/>
      <c r="L757" s="3177"/>
      <c r="M757" s="3177"/>
      <c r="N757" s="3177"/>
      <c r="O757" s="3177"/>
      <c r="P757" s="3177"/>
      <c r="Q757" s="3177"/>
      <c r="R757" s="3177"/>
      <c r="S757" s="3177"/>
      <c r="T757" s="3177"/>
      <c r="U757" s="3177"/>
      <c r="V757" s="3177"/>
      <c r="W757" s="3177"/>
      <c r="X757" s="3177"/>
      <c r="Y757" s="3177"/>
      <c r="Z757" s="3177"/>
      <c r="AA757" s="3177"/>
      <c r="AB757" s="3177"/>
      <c r="AC757" s="3177"/>
      <c r="AD757" s="3177"/>
      <c r="AE757" s="3177"/>
      <c r="AF757" s="3177"/>
      <c r="AG757" s="3177"/>
      <c r="AH757" s="3177"/>
      <c r="AI757" s="3177"/>
      <c r="AJ757" s="3177"/>
      <c r="AK757" s="3177"/>
      <c r="AL757" s="3178"/>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087" t="s">
        <v>626</v>
      </c>
      <c r="D759" s="3087"/>
      <c r="E759" s="1304"/>
      <c r="F759" s="1305" t="s">
        <v>1854</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251" t="s">
        <v>1855</v>
      </c>
      <c r="G760" s="3252"/>
      <c r="H760" s="3252"/>
      <c r="I760" s="3252"/>
      <c r="J760" s="3252"/>
      <c r="K760" s="3252"/>
      <c r="L760" s="3252"/>
      <c r="M760" s="3252"/>
      <c r="N760" s="3252"/>
      <c r="O760" s="3252"/>
      <c r="P760" s="3252"/>
      <c r="Q760" s="3252"/>
      <c r="R760" s="3252"/>
      <c r="S760" s="3252"/>
      <c r="T760" s="3252"/>
      <c r="U760" s="3252"/>
      <c r="V760" s="3252"/>
      <c r="W760" s="3252"/>
      <c r="X760" s="3252"/>
      <c r="Y760" s="3252"/>
      <c r="Z760" s="3252"/>
      <c r="AA760" s="3252"/>
      <c r="AB760" s="3252"/>
      <c r="AC760" s="3252"/>
      <c r="AD760" s="3252"/>
      <c r="AE760" s="3252"/>
      <c r="AF760" s="3252"/>
      <c r="AG760" s="3252"/>
      <c r="AH760" s="3252"/>
      <c r="AI760" s="3252"/>
      <c r="AJ760" s="3252"/>
      <c r="AK760" s="3252"/>
      <c r="AL760" s="3253"/>
      <c r="AM760" s="1004"/>
      <c r="AN760" s="999"/>
      <c r="AS760" s="1482"/>
      <c r="AT760" s="1482"/>
      <c r="AU760" s="1482"/>
      <c r="AV760" s="1482"/>
      <c r="AW760" s="1482"/>
    </row>
    <row r="761" spans="1:49" s="942" customFormat="1" ht="12.75" customHeight="1">
      <c r="A761" s="1025"/>
      <c r="B761" s="1304"/>
      <c r="C761" s="1304"/>
      <c r="D761" s="1304"/>
      <c r="E761" s="1304"/>
      <c r="F761" s="3251"/>
      <c r="G761" s="3252"/>
      <c r="H761" s="3252"/>
      <c r="I761" s="3252"/>
      <c r="J761" s="3252"/>
      <c r="K761" s="3252"/>
      <c r="L761" s="3252"/>
      <c r="M761" s="3252"/>
      <c r="N761" s="3252"/>
      <c r="O761" s="3252"/>
      <c r="P761" s="3252"/>
      <c r="Q761" s="3252"/>
      <c r="R761" s="3252"/>
      <c r="S761" s="3252"/>
      <c r="T761" s="3252"/>
      <c r="U761" s="3252"/>
      <c r="V761" s="3252"/>
      <c r="W761" s="3252"/>
      <c r="X761" s="3252"/>
      <c r="Y761" s="3252"/>
      <c r="Z761" s="3252"/>
      <c r="AA761" s="3252"/>
      <c r="AB761" s="3252"/>
      <c r="AC761" s="3252"/>
      <c r="AD761" s="3252"/>
      <c r="AE761" s="3252"/>
      <c r="AF761" s="3252"/>
      <c r="AG761" s="3252"/>
      <c r="AH761" s="3252"/>
      <c r="AI761" s="3252"/>
      <c r="AJ761" s="3252"/>
      <c r="AK761" s="3252"/>
      <c r="AL761" s="3253"/>
      <c r="AM761" s="1004"/>
      <c r="AN761" s="999"/>
    </row>
    <row r="762" spans="1:49" s="942" customFormat="1" ht="12.75" customHeight="1">
      <c r="A762" s="1025"/>
      <c r="B762" s="1304"/>
      <c r="C762" s="1304"/>
      <c r="D762" s="1304"/>
      <c r="E762" s="1304"/>
      <c r="F762" s="1310" t="s">
        <v>1856</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251" t="s">
        <v>1857</v>
      </c>
      <c r="G763" s="3252"/>
      <c r="H763" s="3252"/>
      <c r="I763" s="3252"/>
      <c r="J763" s="3252"/>
      <c r="K763" s="3252"/>
      <c r="L763" s="3252"/>
      <c r="M763" s="3252"/>
      <c r="N763" s="3252"/>
      <c r="O763" s="3252"/>
      <c r="P763" s="3252"/>
      <c r="Q763" s="3252"/>
      <c r="R763" s="3252"/>
      <c r="S763" s="3252"/>
      <c r="T763" s="3252"/>
      <c r="U763" s="3252"/>
      <c r="V763" s="3252"/>
      <c r="W763" s="3252"/>
      <c r="X763" s="3252"/>
      <c r="Y763" s="3252"/>
      <c r="Z763" s="3252"/>
      <c r="AA763" s="3252"/>
      <c r="AB763" s="3252"/>
      <c r="AC763" s="3252"/>
      <c r="AD763" s="3252"/>
      <c r="AE763" s="3252"/>
      <c r="AF763" s="3252"/>
      <c r="AG763" s="3252"/>
      <c r="AH763" s="3252"/>
      <c r="AI763" s="3252"/>
      <c r="AJ763" s="3252"/>
      <c r="AK763" s="3252"/>
      <c r="AL763" s="1313"/>
      <c r="AM763" s="1004"/>
      <c r="AN763" s="999"/>
      <c r="AT763" s="1088"/>
      <c r="AU763" s="1088"/>
      <c r="AV763" s="1088"/>
    </row>
    <row r="764" spans="1:49" s="942" customFormat="1" ht="12.75" customHeight="1">
      <c r="A764" s="1025"/>
      <c r="B764" s="1304"/>
      <c r="C764" s="1304"/>
      <c r="D764" s="1304"/>
      <c r="E764" s="1304"/>
      <c r="F764" s="3254"/>
      <c r="G764" s="3255"/>
      <c r="H764" s="3255"/>
      <c r="I764" s="3255"/>
      <c r="J764" s="3255"/>
      <c r="K764" s="3255"/>
      <c r="L764" s="3255"/>
      <c r="M764" s="3255"/>
      <c r="N764" s="3255"/>
      <c r="O764" s="3255"/>
      <c r="P764" s="3255"/>
      <c r="Q764" s="3255"/>
      <c r="R764" s="3255"/>
      <c r="S764" s="3255"/>
      <c r="T764" s="3255"/>
      <c r="U764" s="3255"/>
      <c r="V764" s="3255"/>
      <c r="W764" s="3255"/>
      <c r="X764" s="3255"/>
      <c r="Y764" s="3255"/>
      <c r="Z764" s="3255"/>
      <c r="AA764" s="3255"/>
      <c r="AB764" s="3255"/>
      <c r="AC764" s="3255"/>
      <c r="AD764" s="3255"/>
      <c r="AE764" s="3255"/>
      <c r="AF764" s="3255"/>
      <c r="AG764" s="3255"/>
      <c r="AH764" s="3255"/>
      <c r="AI764" s="3255"/>
      <c r="AJ764" s="3255"/>
      <c r="AK764" s="3255"/>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244">
        <f>Application!AJ975</f>
        <v>21306617</v>
      </c>
      <c r="AQ765" s="3244"/>
      <c r="AR765" s="3244"/>
    </row>
    <row r="766" spans="1:49" s="942" customFormat="1" ht="12.75" customHeight="1">
      <c r="A766" s="1316"/>
      <c r="B766" s="923" t="s">
        <v>1858</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93">
        <f>'Sources and Uses Budget'!S107+'Sources and Uses Budget'!T107</f>
        <v>25392287</v>
      </c>
      <c r="AG766" s="3093"/>
      <c r="AH766" s="3093"/>
      <c r="AI766" s="3093"/>
      <c r="AJ766" s="3093"/>
      <c r="AK766" s="1004"/>
      <c r="AL766" s="1004"/>
      <c r="AM766" s="1004"/>
      <c r="AN766" s="999"/>
    </row>
    <row r="767" spans="1:49" s="942" customFormat="1" ht="12.75" customHeight="1">
      <c r="A767" s="1048"/>
      <c r="B767" s="1048" t="s">
        <v>1859</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256">
        <f>AP774</f>
        <v>45754080.600000001</v>
      </c>
      <c r="AG767" s="3256"/>
      <c r="AH767" s="3256"/>
      <c r="AI767" s="3256"/>
      <c r="AJ767" s="3256"/>
      <c r="AK767" s="1004"/>
      <c r="AL767" s="1004"/>
      <c r="AM767" s="1004"/>
      <c r="AN767" s="999"/>
      <c r="AP767" s="3244">
        <f>Application!AJ1024</f>
        <v>9587977.6500000004</v>
      </c>
      <c r="AQ767" s="3244"/>
      <c r="AR767" s="3244"/>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257">
        <f>ROUNDDOWN(IF(C759="YES",((1-(AF766/AF767))*2),(1-(AF766/AF767))),2)</f>
        <v>0.44</v>
      </c>
      <c r="AG768" s="3257"/>
      <c r="AH768" s="3257"/>
      <c r="AI768" s="3257"/>
      <c r="AJ768" s="3257"/>
      <c r="AK768" s="1004"/>
      <c r="AL768" s="1004"/>
      <c r="AM768" s="1004"/>
      <c r="AN768" s="999"/>
      <c r="AP768" s="3248">
        <f>Application!AJ1028</f>
        <v>14488499.560000001</v>
      </c>
      <c r="AQ768" s="3248"/>
      <c r="AR768" s="3248"/>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243">
        <f>IF(((AP767+AP768)/AP765)&gt;0.8,0.8,((AP767+AP768)/AP765))</f>
        <v>0.8</v>
      </c>
      <c r="AQ769" s="3243"/>
      <c r="AR769" s="3243"/>
    </row>
    <row r="770" spans="1:44" s="942" customFormat="1" ht="12.75" customHeight="1">
      <c r="A770" s="1047"/>
      <c r="B770" s="3192" t="s">
        <v>1860</v>
      </c>
      <c r="C770" s="3193"/>
      <c r="D770" s="3193"/>
      <c r="E770" s="3193"/>
      <c r="F770" s="3193"/>
      <c r="G770" s="3193"/>
      <c r="H770" s="3193"/>
      <c r="I770" s="3193"/>
      <c r="J770" s="3193"/>
      <c r="K770" s="3193"/>
      <c r="L770" s="3193"/>
      <c r="M770" s="3193"/>
      <c r="N770" s="3193"/>
      <c r="O770" s="3193"/>
      <c r="P770" s="3193"/>
      <c r="Q770" s="3193"/>
      <c r="R770" s="3193"/>
      <c r="S770" s="3193"/>
      <c r="T770" s="3193"/>
      <c r="U770" s="3193"/>
      <c r="V770" s="3193"/>
      <c r="W770" s="3193"/>
      <c r="X770" s="3193"/>
      <c r="Y770" s="3193"/>
      <c r="Z770" s="3193"/>
      <c r="AA770" s="3193"/>
      <c r="AB770" s="3193"/>
      <c r="AC770" s="3193"/>
      <c r="AD770" s="3193"/>
      <c r="AE770" s="3193"/>
      <c r="AF770" s="3193"/>
      <c r="AG770" s="3193"/>
      <c r="AH770" s="3193"/>
      <c r="AI770" s="3193"/>
      <c r="AJ770" s="3194"/>
      <c r="AK770" s="1004"/>
      <c r="AL770" s="1004"/>
      <c r="AM770" s="1004"/>
      <c r="AN770" s="999"/>
    </row>
    <row r="771" spans="1:44" s="942" customFormat="1" ht="12.75" customHeight="1">
      <c r="A771" s="1047"/>
      <c r="B771" s="3195"/>
      <c r="C771" s="3196"/>
      <c r="D771" s="3196"/>
      <c r="E771" s="3196"/>
      <c r="F771" s="3196"/>
      <c r="G771" s="3196"/>
      <c r="H771" s="3196"/>
      <c r="I771" s="3196"/>
      <c r="J771" s="3196"/>
      <c r="K771" s="3196"/>
      <c r="L771" s="3196"/>
      <c r="M771" s="3196"/>
      <c r="N771" s="3196"/>
      <c r="O771" s="3196"/>
      <c r="P771" s="3196"/>
      <c r="Q771" s="3196"/>
      <c r="R771" s="3196"/>
      <c r="S771" s="3196"/>
      <c r="T771" s="3196"/>
      <c r="U771" s="3196"/>
      <c r="V771" s="3196"/>
      <c r="W771" s="3196"/>
      <c r="X771" s="3196"/>
      <c r="Y771" s="3196"/>
      <c r="Z771" s="3196"/>
      <c r="AA771" s="3196"/>
      <c r="AB771" s="3196"/>
      <c r="AC771" s="3196"/>
      <c r="AD771" s="3196"/>
      <c r="AE771" s="3196"/>
      <c r="AF771" s="3196"/>
      <c r="AG771" s="3196"/>
      <c r="AH771" s="3196"/>
      <c r="AI771" s="3196"/>
      <c r="AJ771" s="3197"/>
      <c r="AK771" s="1004"/>
      <c r="AL771" s="1004"/>
      <c r="AM771" s="1004"/>
      <c r="AN771" s="999"/>
      <c r="AP771" s="3244">
        <f>AP772-AP767-AP768</f>
        <v>28708787</v>
      </c>
      <c r="AQ771" s="3245"/>
      <c r="AR771" s="3245"/>
    </row>
    <row r="772" spans="1:44" s="942" customFormat="1" ht="12.75" customHeight="1">
      <c r="A772" s="1047"/>
      <c r="B772" s="3198"/>
      <c r="C772" s="3199"/>
      <c r="D772" s="3199"/>
      <c r="E772" s="3199"/>
      <c r="F772" s="3199"/>
      <c r="G772" s="3199"/>
      <c r="H772" s="3199"/>
      <c r="I772" s="3199"/>
      <c r="J772" s="3199"/>
      <c r="K772" s="3199"/>
      <c r="L772" s="3199"/>
      <c r="M772" s="3199"/>
      <c r="N772" s="3199"/>
      <c r="O772" s="3199"/>
      <c r="P772" s="3199"/>
      <c r="Q772" s="3199"/>
      <c r="R772" s="3199"/>
      <c r="S772" s="3199"/>
      <c r="T772" s="3199"/>
      <c r="U772" s="3199"/>
      <c r="V772" s="3199"/>
      <c r="W772" s="3199"/>
      <c r="X772" s="3199"/>
      <c r="Y772" s="3199"/>
      <c r="Z772" s="3199"/>
      <c r="AA772" s="3199"/>
      <c r="AB772" s="3199"/>
      <c r="AC772" s="3199"/>
      <c r="AD772" s="3199"/>
      <c r="AE772" s="3199"/>
      <c r="AF772" s="3199"/>
      <c r="AG772" s="3199"/>
      <c r="AH772" s="3199"/>
      <c r="AI772" s="3199"/>
      <c r="AJ772" s="3200"/>
      <c r="AK772" s="1004"/>
      <c r="AL772" s="1004"/>
      <c r="AM772" s="1004"/>
      <c r="AN772" s="999"/>
      <c r="AP772" s="3244">
        <f>Application!AJ1032</f>
        <v>52785264.210000001</v>
      </c>
      <c r="AQ772" s="3244"/>
      <c r="AR772" s="3244"/>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1861</v>
      </c>
      <c r="AK774" s="3201">
        <f>IF(AF768=0,0,IF((AF768*100)&gt;12,12,(AF768*100)))</f>
        <v>12</v>
      </c>
      <c r="AL774" s="3201"/>
      <c r="AM774" s="3202"/>
      <c r="AN774" s="999"/>
      <c r="AP774" s="3267">
        <f>AP771+(AP765*AP769)</f>
        <v>45754080.600000001</v>
      </c>
      <c r="AQ774" s="3268"/>
      <c r="AR774" s="3269"/>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203" t="s">
        <v>1862</v>
      </c>
      <c r="B777" s="3204"/>
      <c r="C777" s="3204"/>
      <c r="D777" s="3204"/>
      <c r="E777" s="3204"/>
      <c r="F777" s="3204"/>
      <c r="G777" s="3204"/>
      <c r="H777" s="3204"/>
      <c r="I777" s="3204"/>
      <c r="J777" s="3204"/>
      <c r="K777" s="3204"/>
      <c r="L777" s="3204"/>
      <c r="M777" s="3204"/>
      <c r="N777" s="3204"/>
      <c r="O777" s="3204"/>
      <c r="P777" s="3204"/>
      <c r="Q777" s="3204"/>
      <c r="R777" s="3204"/>
      <c r="S777" s="3204"/>
      <c r="T777" s="3204"/>
      <c r="U777" s="3204"/>
      <c r="V777" s="3204"/>
      <c r="W777" s="3204"/>
      <c r="X777" s="3204"/>
      <c r="Y777" s="3204"/>
      <c r="Z777" s="3204"/>
      <c r="AA777" s="3204"/>
      <c r="AB777" s="3204"/>
      <c r="AC777" s="3204"/>
      <c r="AD777" s="3204"/>
      <c r="AE777" s="3204"/>
      <c r="AF777" s="3204"/>
      <c r="AG777" s="3204"/>
      <c r="AH777" s="3204"/>
      <c r="AI777" s="3204"/>
      <c r="AJ777" s="3204"/>
      <c r="AK777" s="3204"/>
      <c r="AL777" s="3204"/>
      <c r="AM777" s="3204"/>
    </row>
    <row r="778" spans="1:44">
      <c r="A778" s="3205"/>
      <c r="B778" s="3205"/>
      <c r="C778" s="3205"/>
      <c r="D778" s="3205"/>
      <c r="E778" s="3205"/>
      <c r="F778" s="3205"/>
      <c r="G778" s="3205"/>
      <c r="H778" s="3205"/>
      <c r="I778" s="3205"/>
      <c r="J778" s="3205"/>
      <c r="K778" s="3205"/>
      <c r="L778" s="3205"/>
      <c r="M778" s="3205"/>
      <c r="N778" s="3205"/>
      <c r="O778" s="3205"/>
      <c r="P778" s="3205"/>
      <c r="Q778" s="3205"/>
      <c r="R778" s="3205"/>
      <c r="S778" s="3205"/>
      <c r="T778" s="3205"/>
      <c r="U778" s="3205"/>
      <c r="V778" s="3205"/>
      <c r="W778" s="3205"/>
      <c r="X778" s="3205"/>
      <c r="Y778" s="3205"/>
      <c r="Z778" s="3205"/>
      <c r="AA778" s="3205"/>
      <c r="AB778" s="3205"/>
      <c r="AC778" s="3205"/>
      <c r="AD778" s="3205"/>
      <c r="AE778" s="3205"/>
      <c r="AF778" s="3205"/>
      <c r="AG778" s="3205"/>
      <c r="AH778" s="3205"/>
      <c r="AI778" s="3205"/>
      <c r="AJ778" s="3205"/>
      <c r="AK778" s="3205"/>
      <c r="AL778" s="3205"/>
      <c r="AM778" s="3205"/>
      <c r="AO778" s="1318"/>
      <c r="AP778" s="1318"/>
      <c r="AQ778" s="1318"/>
    </row>
    <row r="779" spans="1:44">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c r="A780" s="3206"/>
      <c r="B780" s="3206"/>
      <c r="C780" s="3206"/>
      <c r="D780" s="3206"/>
      <c r="E780" s="3206"/>
      <c r="F780" s="3206"/>
      <c r="G780" s="3206"/>
      <c r="H780" s="3206"/>
      <c r="I780" s="3206"/>
      <c r="J780" s="3206"/>
      <c r="K780" s="3206"/>
      <c r="L780" s="3206"/>
      <c r="M780" s="3206"/>
      <c r="N780" s="3206"/>
      <c r="O780" s="3206"/>
      <c r="P780" s="3206"/>
      <c r="Q780" s="3206"/>
      <c r="R780" s="3206"/>
      <c r="S780" s="3206"/>
      <c r="T780" s="3206"/>
      <c r="U780" s="3206"/>
      <c r="V780" s="3206"/>
      <c r="W780" s="3206"/>
      <c r="X780" s="3206"/>
      <c r="Y780" s="3206"/>
      <c r="Z780" s="3206"/>
      <c r="AA780" s="3206"/>
      <c r="AB780" s="3206"/>
      <c r="AC780" s="3206"/>
      <c r="AD780" s="3206"/>
      <c r="AE780" s="3206"/>
      <c r="AF780" s="3206"/>
      <c r="AG780" s="3206"/>
      <c r="AH780" s="3206"/>
      <c r="AI780" s="3206"/>
      <c r="AJ780" s="3206"/>
      <c r="AK780" s="3206"/>
      <c r="AL780" s="3206"/>
      <c r="AM780" s="3206"/>
      <c r="AO780" s="1226"/>
      <c r="AP780" s="1319"/>
      <c r="AQ780" s="1318"/>
    </row>
    <row r="781" spans="1:44">
      <c r="A781" s="3206"/>
      <c r="B781" s="3206"/>
      <c r="C781" s="3206"/>
      <c r="D781" s="3206"/>
      <c r="E781" s="3206"/>
      <c r="F781" s="3206"/>
      <c r="G781" s="3206"/>
      <c r="H781" s="3206"/>
      <c r="I781" s="3206"/>
      <c r="J781" s="3206"/>
      <c r="K781" s="3206"/>
      <c r="L781" s="3206"/>
      <c r="M781" s="3206"/>
      <c r="N781" s="3206"/>
      <c r="O781" s="3206"/>
      <c r="P781" s="3206"/>
      <c r="Q781" s="3206"/>
      <c r="R781" s="3206"/>
      <c r="S781" s="3206"/>
      <c r="T781" s="3206"/>
      <c r="U781" s="3206"/>
      <c r="V781" s="3206"/>
      <c r="W781" s="3206"/>
      <c r="X781" s="3206"/>
      <c r="Y781" s="3206"/>
      <c r="Z781" s="3206"/>
      <c r="AA781" s="3206"/>
      <c r="AB781" s="3206"/>
      <c r="AC781" s="3206"/>
      <c r="AD781" s="3206"/>
      <c r="AE781" s="3206"/>
      <c r="AF781" s="3206"/>
      <c r="AG781" s="3206"/>
      <c r="AH781" s="3206"/>
      <c r="AI781" s="3206"/>
      <c r="AJ781" s="3206"/>
      <c r="AK781" s="3206"/>
      <c r="AL781" s="3206"/>
      <c r="AM781" s="3206"/>
      <c r="AO781" s="1319"/>
      <c r="AQ781" s="1318"/>
    </row>
    <row r="782" spans="1:44">
      <c r="A782" s="1320"/>
      <c r="B782" s="1109"/>
      <c r="C782" s="1109"/>
      <c r="D782" s="1109"/>
      <c r="E782" s="1109"/>
      <c r="F782" s="1109"/>
      <c r="G782" s="1109"/>
      <c r="H782" s="1109"/>
      <c r="I782" s="1109"/>
      <c r="J782" s="1109"/>
      <c r="K782" s="1109"/>
      <c r="L782" s="1109"/>
      <c r="M782" s="1109"/>
      <c r="N782" s="1109"/>
      <c r="O782" s="1109"/>
      <c r="P782" s="1109"/>
      <c r="Q782" s="1109"/>
      <c r="R782" s="1109"/>
      <c r="S782" s="1113"/>
      <c r="T782" s="3207" t="s">
        <v>1863</v>
      </c>
      <c r="U782" s="3208"/>
      <c r="V782" s="3208"/>
      <c r="W782" s="3208"/>
      <c r="X782" s="3208"/>
      <c r="Y782" s="3209"/>
      <c r="Z782" s="3207" t="s">
        <v>1864</v>
      </c>
      <c r="AA782" s="3208"/>
      <c r="AB782" s="3208"/>
      <c r="AC782" s="3208"/>
      <c r="AD782" s="3208"/>
      <c r="AE782" s="3209"/>
      <c r="AF782" s="3207" t="s">
        <v>1865</v>
      </c>
      <c r="AG782" s="3208"/>
      <c r="AH782" s="3208"/>
      <c r="AI782" s="3208"/>
      <c r="AJ782" s="3208"/>
      <c r="AK782" s="3209"/>
      <c r="AL782" s="1321"/>
      <c r="AM782" s="1215"/>
      <c r="AO782" s="1319"/>
      <c r="AP782" s="1318"/>
      <c r="AQ782" s="1318"/>
    </row>
    <row r="783" spans="1:44">
      <c r="A783" s="1322"/>
      <c r="B783" s="1149"/>
      <c r="C783" s="1149"/>
      <c r="D783" s="1149"/>
      <c r="E783" s="1149"/>
      <c r="F783" s="1149"/>
      <c r="G783" s="1149"/>
      <c r="H783" s="1149"/>
      <c r="I783" s="1149"/>
      <c r="J783" s="1149"/>
      <c r="K783" s="1149"/>
      <c r="L783" s="1149"/>
      <c r="M783" s="1149"/>
      <c r="N783" s="1149"/>
      <c r="O783" s="1149"/>
      <c r="P783" s="1149"/>
      <c r="Q783" s="1149"/>
      <c r="R783" s="1149"/>
      <c r="S783" s="1323"/>
      <c r="T783" s="3210"/>
      <c r="U783" s="3211"/>
      <c r="V783" s="3211"/>
      <c r="W783" s="3211"/>
      <c r="X783" s="3211"/>
      <c r="Y783" s="3212"/>
      <c r="Z783" s="3210"/>
      <c r="AA783" s="3211"/>
      <c r="AB783" s="3211"/>
      <c r="AC783" s="3211"/>
      <c r="AD783" s="3211"/>
      <c r="AE783" s="3212"/>
      <c r="AF783" s="3210"/>
      <c r="AG783" s="3211"/>
      <c r="AH783" s="3211"/>
      <c r="AI783" s="3211"/>
      <c r="AJ783" s="3211"/>
      <c r="AK783" s="3212"/>
      <c r="AL783" s="1321"/>
      <c r="AM783" s="1215"/>
      <c r="AO783" s="1319"/>
      <c r="AP783" s="1318"/>
      <c r="AQ783" s="1318"/>
    </row>
    <row r="784" spans="1:44">
      <c r="A784" s="1322" t="s">
        <v>798</v>
      </c>
      <c r="B784" s="3185" t="s">
        <v>1563</v>
      </c>
      <c r="C784" s="3185"/>
      <c r="D784" s="3185"/>
      <c r="E784" s="3185"/>
      <c r="F784" s="3185"/>
      <c r="G784" s="3185"/>
      <c r="H784" s="3185"/>
      <c r="I784" s="3185"/>
      <c r="J784" s="3185"/>
      <c r="K784" s="3185"/>
      <c r="L784" s="3185"/>
      <c r="M784" s="3185"/>
      <c r="N784" s="3185"/>
      <c r="O784" s="3185"/>
      <c r="P784" s="3185"/>
      <c r="Q784" s="3185"/>
      <c r="R784" s="3185"/>
      <c r="S784" s="3186"/>
      <c r="T784" s="3187">
        <f>AK51</f>
        <v>0</v>
      </c>
      <c r="U784" s="3188"/>
      <c r="V784" s="3188"/>
      <c r="W784" s="3188"/>
      <c r="X784" s="3188"/>
      <c r="Y784" s="3189"/>
      <c r="Z784" s="3190">
        <v>20</v>
      </c>
      <c r="AA784" s="3188"/>
      <c r="AB784" s="3188"/>
      <c r="AC784" s="3188"/>
      <c r="AD784" s="3188"/>
      <c r="AE784" s="3189"/>
      <c r="AF784" s="3191">
        <f>IF(T784&gt;Z784,Z784,T784)</f>
        <v>0</v>
      </c>
      <c r="AG784" s="3191"/>
      <c r="AH784" s="3191"/>
      <c r="AI784" s="3191"/>
      <c r="AJ784" s="3191"/>
      <c r="AK784" s="3191"/>
      <c r="AL784" s="1321"/>
      <c r="AM784" s="1215"/>
      <c r="AO784" s="1318"/>
      <c r="AP784" s="1318"/>
      <c r="AQ784" s="1318"/>
    </row>
    <row r="785" spans="1:81">
      <c r="A785" s="1322" t="s">
        <v>1831</v>
      </c>
      <c r="B785" s="3185" t="s">
        <v>1584</v>
      </c>
      <c r="C785" s="3185"/>
      <c r="D785" s="3185"/>
      <c r="E785" s="3185"/>
      <c r="F785" s="3185"/>
      <c r="G785" s="3185"/>
      <c r="H785" s="3185"/>
      <c r="I785" s="3185"/>
      <c r="J785" s="3185"/>
      <c r="K785" s="3185"/>
      <c r="L785" s="3185"/>
      <c r="M785" s="3185"/>
      <c r="N785" s="3185"/>
      <c r="O785" s="3185"/>
      <c r="P785" s="3185"/>
      <c r="Q785" s="3185"/>
      <c r="R785" s="3185"/>
      <c r="S785" s="3186"/>
      <c r="T785" s="3187">
        <f>AK72</f>
        <v>10</v>
      </c>
      <c r="U785" s="3188"/>
      <c r="V785" s="3188"/>
      <c r="W785" s="3188"/>
      <c r="X785" s="3188"/>
      <c r="Y785" s="3189"/>
      <c r="Z785" s="3190">
        <v>10</v>
      </c>
      <c r="AA785" s="3188"/>
      <c r="AB785" s="3188"/>
      <c r="AC785" s="3188"/>
      <c r="AD785" s="3188"/>
      <c r="AE785" s="3189"/>
      <c r="AF785" s="3191">
        <f>IF(T785&gt;Z785,Z785,T785)</f>
        <v>10</v>
      </c>
      <c r="AG785" s="3191"/>
      <c r="AH785" s="3191"/>
      <c r="AI785" s="3191"/>
      <c r="AJ785" s="3191"/>
      <c r="AK785" s="3191"/>
      <c r="AL785" s="1321"/>
      <c r="AM785" s="1215"/>
      <c r="AO785" s="1318"/>
      <c r="AP785" s="1318"/>
      <c r="AQ785" s="1318"/>
    </row>
    <row r="786" spans="1:81">
      <c r="A786" s="1322" t="s">
        <v>1840</v>
      </c>
      <c r="B786" s="3185" t="s">
        <v>1594</v>
      </c>
      <c r="C786" s="3185"/>
      <c r="D786" s="3185"/>
      <c r="E786" s="3185"/>
      <c r="F786" s="3185"/>
      <c r="G786" s="3185"/>
      <c r="H786" s="3185"/>
      <c r="I786" s="3185"/>
      <c r="J786" s="3185"/>
      <c r="K786" s="3185"/>
      <c r="L786" s="3185"/>
      <c r="M786" s="3185"/>
      <c r="N786" s="3185"/>
      <c r="O786" s="3185"/>
      <c r="P786" s="3185"/>
      <c r="Q786" s="3185"/>
      <c r="R786" s="3185"/>
      <c r="S786" s="3186"/>
      <c r="T786" s="3187">
        <f>AK97</f>
        <v>20</v>
      </c>
      <c r="U786" s="3188"/>
      <c r="V786" s="3188"/>
      <c r="W786" s="3188"/>
      <c r="X786" s="3188"/>
      <c r="Y786" s="3189"/>
      <c r="Z786" s="3190">
        <v>20</v>
      </c>
      <c r="AA786" s="3188"/>
      <c r="AB786" s="3188"/>
      <c r="AC786" s="3188"/>
      <c r="AD786" s="3188"/>
      <c r="AE786" s="3189"/>
      <c r="AF786" s="3191">
        <f>IF(T786&gt;Z786,Z786,T786)</f>
        <v>20</v>
      </c>
      <c r="AG786" s="3191"/>
      <c r="AH786" s="3191"/>
      <c r="AI786" s="3191"/>
      <c r="AJ786" s="3191"/>
      <c r="AK786" s="3191"/>
      <c r="AL786" s="1321"/>
      <c r="AM786" s="1215"/>
      <c r="AO786" s="1318"/>
      <c r="AP786" s="1318"/>
      <c r="AQ786" s="1318"/>
    </row>
    <row r="787" spans="1:81">
      <c r="A787" s="1322" t="s">
        <v>1866</v>
      </c>
      <c r="B787" s="3185" t="s">
        <v>1604</v>
      </c>
      <c r="C787" s="3185"/>
      <c r="D787" s="3185"/>
      <c r="E787" s="3185"/>
      <c r="F787" s="3185"/>
      <c r="G787" s="3185"/>
      <c r="H787" s="3185"/>
      <c r="I787" s="3185"/>
      <c r="J787" s="3185"/>
      <c r="K787" s="3185"/>
      <c r="L787" s="3185"/>
      <c r="M787" s="3185"/>
      <c r="N787" s="3185"/>
      <c r="O787" s="3185"/>
      <c r="P787" s="3185"/>
      <c r="Q787" s="3185"/>
      <c r="R787" s="3185"/>
      <c r="S787" s="3186"/>
      <c r="T787" s="3187">
        <f>AK131</f>
        <v>10</v>
      </c>
      <c r="U787" s="3188"/>
      <c r="V787" s="3188"/>
      <c r="W787" s="3188"/>
      <c r="X787" s="3188"/>
      <c r="Y787" s="3189"/>
      <c r="Z787" s="3190">
        <v>10</v>
      </c>
      <c r="AA787" s="3188"/>
      <c r="AB787" s="3188"/>
      <c r="AC787" s="3188"/>
      <c r="AD787" s="3188"/>
      <c r="AE787" s="3189"/>
      <c r="AF787" s="3191">
        <f>IF(T787&gt;Z787,Z787,T787)</f>
        <v>10</v>
      </c>
      <c r="AG787" s="3191"/>
      <c r="AH787" s="3191"/>
      <c r="AI787" s="3191"/>
      <c r="AJ787" s="3191"/>
      <c r="AK787" s="3191"/>
      <c r="AL787" s="1321"/>
      <c r="AM787" s="1215"/>
      <c r="AO787" s="1318"/>
      <c r="AP787" s="1318"/>
      <c r="AQ787" s="1318"/>
    </row>
    <row r="788" spans="1:81">
      <c r="A788" s="1324" t="s">
        <v>1867</v>
      </c>
      <c r="B788" s="3185" t="s">
        <v>1868</v>
      </c>
      <c r="C788" s="3185"/>
      <c r="D788" s="3185"/>
      <c r="E788" s="3185"/>
      <c r="F788" s="3185"/>
      <c r="G788" s="3185"/>
      <c r="H788" s="3185"/>
      <c r="I788" s="3185"/>
      <c r="J788" s="3185"/>
      <c r="K788" s="3185"/>
      <c r="L788" s="3185"/>
      <c r="M788" s="3185"/>
      <c r="N788" s="3185"/>
      <c r="O788" s="3185"/>
      <c r="P788" s="3185"/>
      <c r="Q788" s="3185"/>
      <c r="R788" s="3185"/>
      <c r="S788" s="3186"/>
      <c r="T788" s="3213">
        <f>SUM(T789:Y790)</f>
        <v>10</v>
      </c>
      <c r="U788" s="3213"/>
      <c r="V788" s="3213"/>
      <c r="W788" s="3213"/>
      <c r="X788" s="3213"/>
      <c r="Y788" s="3213"/>
      <c r="Z788" s="3191">
        <v>10</v>
      </c>
      <c r="AA788" s="3191"/>
      <c r="AB788" s="3191"/>
      <c r="AC788" s="3191"/>
      <c r="AD788" s="3191"/>
      <c r="AE788" s="3191"/>
      <c r="AF788" s="3191">
        <f>IF(T788&gt;Z788,Z788,T788)</f>
        <v>10</v>
      </c>
      <c r="AG788" s="3191"/>
      <c r="AH788" s="3191"/>
      <c r="AI788" s="3191"/>
      <c r="AJ788" s="3191"/>
      <c r="AK788" s="3191"/>
      <c r="AL788" s="1321"/>
      <c r="AM788" s="1215"/>
    </row>
    <row r="789" spans="1:81">
      <c r="A789" s="925"/>
      <c r="B789" s="1008"/>
      <c r="C789" s="3214" t="s">
        <v>1869</v>
      </c>
      <c r="D789" s="3214"/>
      <c r="E789" s="3214"/>
      <c r="F789" s="3214"/>
      <c r="G789" s="3214"/>
      <c r="H789" s="3214"/>
      <c r="I789" s="3214"/>
      <c r="J789" s="3214"/>
      <c r="K789" s="3214"/>
      <c r="L789" s="3214"/>
      <c r="M789" s="3214"/>
      <c r="N789" s="3214"/>
      <c r="O789" s="3214"/>
      <c r="P789" s="3214"/>
      <c r="Q789" s="3214"/>
      <c r="R789" s="3214"/>
      <c r="S789" s="3215"/>
      <c r="T789" s="3085">
        <f>AJ149</f>
        <v>7</v>
      </c>
      <c r="U789" s="3085"/>
      <c r="V789" s="3085"/>
      <c r="W789" s="3085"/>
      <c r="X789" s="3085"/>
      <c r="Y789" s="3085"/>
      <c r="Z789" s="3216">
        <v>7</v>
      </c>
      <c r="AA789" s="3216"/>
      <c r="AB789" s="3216"/>
      <c r="AC789" s="3216"/>
      <c r="AD789" s="3216"/>
      <c r="AE789" s="3216"/>
      <c r="AF789" s="3217"/>
      <c r="AG789" s="3217"/>
      <c r="AH789" s="3217"/>
      <c r="AI789" s="3217"/>
      <c r="AJ789" s="3217"/>
      <c r="AK789" s="3217"/>
      <c r="AL789" s="1321"/>
      <c r="AM789" s="1215"/>
    </row>
    <row r="790" spans="1:81">
      <c r="A790" s="1325"/>
      <c r="B790" s="1008"/>
      <c r="C790" s="3214" t="s">
        <v>1870</v>
      </c>
      <c r="D790" s="3214"/>
      <c r="E790" s="3214"/>
      <c r="F790" s="3214"/>
      <c r="G790" s="3214"/>
      <c r="H790" s="3214"/>
      <c r="I790" s="3214"/>
      <c r="J790" s="3214"/>
      <c r="K790" s="3214"/>
      <c r="L790" s="3214"/>
      <c r="M790" s="3214"/>
      <c r="N790" s="3214"/>
      <c r="O790" s="3214"/>
      <c r="P790" s="3214"/>
      <c r="Q790" s="3214"/>
      <c r="R790" s="3214"/>
      <c r="S790" s="3215"/>
      <c r="T790" s="3085">
        <f>AJ163</f>
        <v>3</v>
      </c>
      <c r="U790" s="3085"/>
      <c r="V790" s="3085"/>
      <c r="W790" s="3085"/>
      <c r="X790" s="3085"/>
      <c r="Y790" s="3085"/>
      <c r="Z790" s="3216">
        <v>3</v>
      </c>
      <c r="AA790" s="3216"/>
      <c r="AB790" s="3216"/>
      <c r="AC790" s="3216"/>
      <c r="AD790" s="3216"/>
      <c r="AE790" s="3216"/>
      <c r="AF790" s="3217"/>
      <c r="AG790" s="3217"/>
      <c r="AH790" s="3217"/>
      <c r="AI790" s="3217"/>
      <c r="AJ790" s="3217"/>
      <c r="AK790" s="3217"/>
      <c r="AL790" s="1321"/>
      <c r="AM790" s="1215"/>
      <c r="AO790" s="942"/>
    </row>
    <row r="791" spans="1:81">
      <c r="A791" s="1324" t="s">
        <v>1632</v>
      </c>
      <c r="B791" s="3185" t="s">
        <v>1871</v>
      </c>
      <c r="C791" s="3185"/>
      <c r="D791" s="3185"/>
      <c r="E791" s="3185"/>
      <c r="F791" s="3185"/>
      <c r="G791" s="3185"/>
      <c r="H791" s="3185"/>
      <c r="I791" s="3185"/>
      <c r="J791" s="3185"/>
      <c r="K791" s="3185"/>
      <c r="L791" s="3185"/>
      <c r="M791" s="3185"/>
      <c r="N791" s="3185"/>
      <c r="O791" s="3185"/>
      <c r="P791" s="3185"/>
      <c r="Q791" s="3185"/>
      <c r="R791" s="3185"/>
      <c r="S791" s="3186"/>
      <c r="T791" s="3213">
        <f>AK174</f>
        <v>10</v>
      </c>
      <c r="U791" s="3213"/>
      <c r="V791" s="3213"/>
      <c r="W791" s="3213"/>
      <c r="X791" s="3213"/>
      <c r="Y791" s="3213"/>
      <c r="Z791" s="3191">
        <v>10</v>
      </c>
      <c r="AA791" s="3191"/>
      <c r="AB791" s="3191"/>
      <c r="AC791" s="3191"/>
      <c r="AD791" s="3191"/>
      <c r="AE791" s="3191"/>
      <c r="AF791" s="3191">
        <f>IF(T791&gt;Z791,Z791,T791)</f>
        <v>10</v>
      </c>
      <c r="AG791" s="3191"/>
      <c r="AH791" s="3191"/>
      <c r="AI791" s="3191"/>
      <c r="AJ791" s="3191"/>
      <c r="AK791" s="3191"/>
      <c r="AL791" s="1321"/>
      <c r="AM791" s="1215"/>
    </row>
    <row r="792" spans="1:81">
      <c r="A792" s="1322" t="s">
        <v>1641</v>
      </c>
      <c r="B792" s="3185" t="s">
        <v>1642</v>
      </c>
      <c r="C792" s="3185"/>
      <c r="D792" s="3185"/>
      <c r="E792" s="3185"/>
      <c r="F792" s="3185"/>
      <c r="G792" s="3185"/>
      <c r="H792" s="3185"/>
      <c r="I792" s="3185"/>
      <c r="J792" s="3185"/>
      <c r="K792" s="3185"/>
      <c r="L792" s="3185"/>
      <c r="M792" s="3185"/>
      <c r="N792" s="3185"/>
      <c r="O792" s="3185"/>
      <c r="P792" s="3185"/>
      <c r="Q792" s="3185"/>
      <c r="R792" s="3185"/>
      <c r="S792" s="3186"/>
      <c r="T792" s="3213">
        <f>AK256</f>
        <v>8</v>
      </c>
      <c r="U792" s="3213"/>
      <c r="V792" s="3213"/>
      <c r="W792" s="3213"/>
      <c r="X792" s="3213"/>
      <c r="Y792" s="3213"/>
      <c r="Z792" s="3190">
        <v>8</v>
      </c>
      <c r="AA792" s="3188"/>
      <c r="AB792" s="3188"/>
      <c r="AC792" s="3188"/>
      <c r="AD792" s="3188"/>
      <c r="AE792" s="3189"/>
      <c r="AF792" s="3191">
        <f>IF(T792&gt;Z792,Z792,T792)</f>
        <v>8</v>
      </c>
      <c r="AG792" s="3191"/>
      <c r="AH792" s="3191"/>
      <c r="AI792" s="3191"/>
      <c r="AJ792" s="3191"/>
      <c r="AK792" s="3191"/>
      <c r="AL792" s="1321"/>
      <c r="AM792" s="1215"/>
    </row>
    <row r="793" spans="1:81" s="924" customFormat="1" hidden="1">
      <c r="A793" s="1324" t="s">
        <v>624</v>
      </c>
      <c r="B793" s="3185" t="s">
        <v>1872</v>
      </c>
      <c r="C793" s="3185"/>
      <c r="D793" s="3185"/>
      <c r="E793" s="3185"/>
      <c r="F793" s="3185"/>
      <c r="G793" s="3185"/>
      <c r="H793" s="3185"/>
      <c r="I793" s="3185"/>
      <c r="J793" s="3185"/>
      <c r="K793" s="3185"/>
      <c r="L793" s="3185"/>
      <c r="M793" s="3185"/>
      <c r="N793" s="3185"/>
      <c r="O793" s="3185"/>
      <c r="P793" s="3185"/>
      <c r="Q793" s="3185"/>
      <c r="R793" s="3185"/>
      <c r="S793" s="3186"/>
      <c r="T793" s="3213">
        <f>IF(AK750&gt;5,5,AK750)</f>
        <v>0</v>
      </c>
      <c r="U793" s="3213"/>
      <c r="V793" s="3213"/>
      <c r="W793" s="3213"/>
      <c r="X793" s="3213"/>
      <c r="Y793" s="3213"/>
      <c r="Z793" s="3191">
        <v>5</v>
      </c>
      <c r="AA793" s="3191"/>
      <c r="AB793" s="3191"/>
      <c r="AC793" s="3191"/>
      <c r="AD793" s="3191"/>
      <c r="AE793" s="3191"/>
      <c r="AF793" s="3191">
        <f>IF(T793&gt;Z793,5,T793)</f>
        <v>0</v>
      </c>
      <c r="AG793" s="3191"/>
      <c r="AH793" s="3191"/>
      <c r="AI793" s="3191"/>
      <c r="AJ793" s="3191"/>
      <c r="AK793" s="3191"/>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c r="A794" s="1322" t="s">
        <v>1647</v>
      </c>
      <c r="B794" s="3185" t="s">
        <v>1873</v>
      </c>
      <c r="C794" s="3185"/>
      <c r="D794" s="3185"/>
      <c r="E794" s="3185"/>
      <c r="F794" s="3185"/>
      <c r="G794" s="3185"/>
      <c r="H794" s="3185"/>
      <c r="I794" s="3185"/>
      <c r="J794" s="3185"/>
      <c r="K794" s="3185"/>
      <c r="L794" s="3185"/>
      <c r="M794" s="3185"/>
      <c r="N794" s="3185"/>
      <c r="O794" s="3185"/>
      <c r="P794" s="3185"/>
      <c r="Q794" s="3185"/>
      <c r="R794" s="3185"/>
      <c r="S794" s="3186"/>
      <c r="T794" s="3213">
        <f>AK267</f>
        <v>10</v>
      </c>
      <c r="U794" s="3213"/>
      <c r="V794" s="3213"/>
      <c r="W794" s="3213"/>
      <c r="X794" s="3213"/>
      <c r="Y794" s="3213"/>
      <c r="Z794" s="3191">
        <v>10</v>
      </c>
      <c r="AA794" s="3191"/>
      <c r="AB794" s="3191"/>
      <c r="AC794" s="3191"/>
      <c r="AD794" s="3191"/>
      <c r="AE794" s="3191"/>
      <c r="AF794" s="3220">
        <f>IF(T794&gt;Z794,Z794,T794)</f>
        <v>10</v>
      </c>
      <c r="AG794" s="3221"/>
      <c r="AH794" s="3221"/>
      <c r="AI794" s="3221"/>
      <c r="AJ794" s="3221"/>
      <c r="AK794" s="3222"/>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c r="A795" s="1324" t="s">
        <v>1651</v>
      </c>
      <c r="B795" s="3185" t="s">
        <v>1652</v>
      </c>
      <c r="C795" s="3185"/>
      <c r="D795" s="3185"/>
      <c r="E795" s="3185"/>
      <c r="F795" s="3185"/>
      <c r="G795" s="3185"/>
      <c r="H795" s="3185"/>
      <c r="I795" s="3185"/>
      <c r="J795" s="3185"/>
      <c r="K795" s="3185"/>
      <c r="L795" s="3185"/>
      <c r="M795" s="3185"/>
      <c r="N795" s="3185"/>
      <c r="O795" s="3185"/>
      <c r="P795" s="3185"/>
      <c r="Q795" s="3185"/>
      <c r="R795" s="3185"/>
      <c r="S795" s="3186"/>
      <c r="T795" s="3213">
        <f>AK553</f>
        <v>19</v>
      </c>
      <c r="U795" s="3213"/>
      <c r="V795" s="3213"/>
      <c r="W795" s="3213"/>
      <c r="X795" s="3213"/>
      <c r="Y795" s="3213"/>
      <c r="Z795" s="3220">
        <v>20</v>
      </c>
      <c r="AA795" s="3221"/>
      <c r="AB795" s="3221"/>
      <c r="AC795" s="3221"/>
      <c r="AD795" s="3221"/>
      <c r="AE795" s="3222"/>
      <c r="AF795" s="3220">
        <f>IF(T795&gt;Z795,Z795,T795)</f>
        <v>19</v>
      </c>
      <c r="AG795" s="3235"/>
      <c r="AH795" s="3235"/>
      <c r="AI795" s="3235"/>
      <c r="AJ795" s="3235"/>
      <c r="AK795" s="3236"/>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c r="A796" s="1324"/>
      <c r="B796" s="1327"/>
      <c r="C796" s="1328" t="s">
        <v>1874</v>
      </c>
      <c r="D796" s="1329"/>
      <c r="E796" s="1329"/>
      <c r="F796" s="1329"/>
      <c r="G796" s="1329"/>
      <c r="H796" s="1329"/>
      <c r="I796" s="1329"/>
      <c r="J796" s="1329"/>
      <c r="K796" s="1329"/>
      <c r="L796" s="1329"/>
      <c r="M796" s="1329"/>
      <c r="N796" s="1329"/>
      <c r="O796" s="1329"/>
      <c r="P796" s="1329"/>
      <c r="Q796" s="1329"/>
      <c r="R796" s="1327"/>
      <c r="S796" s="1330"/>
      <c r="T796" s="3085">
        <f>AK320</f>
        <v>9</v>
      </c>
      <c r="U796" s="3085"/>
      <c r="V796" s="3085"/>
      <c r="W796" s="3085"/>
      <c r="X796" s="3085"/>
      <c r="Y796" s="3085"/>
      <c r="Z796" s="3090">
        <v>20</v>
      </c>
      <c r="AA796" s="3091"/>
      <c r="AB796" s="3091"/>
      <c r="AC796" s="3091"/>
      <c r="AD796" s="3091"/>
      <c r="AE796" s="3092"/>
      <c r="AF796" s="3217"/>
      <c r="AG796" s="3217"/>
      <c r="AH796" s="3217"/>
      <c r="AI796" s="3217"/>
      <c r="AJ796" s="3217"/>
      <c r="AK796" s="3217"/>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c r="A797" s="1324"/>
      <c r="B797" s="1327"/>
      <c r="C797" s="1328" t="s">
        <v>1875</v>
      </c>
      <c r="D797" s="1328"/>
      <c r="E797" s="1328"/>
      <c r="F797" s="1328"/>
      <c r="G797" s="1328"/>
      <c r="H797" s="1328"/>
      <c r="I797" s="1328"/>
      <c r="J797" s="1328"/>
      <c r="K797" s="1328"/>
      <c r="L797" s="1328"/>
      <c r="M797" s="1328"/>
      <c r="N797" s="1328"/>
      <c r="O797" s="1328"/>
      <c r="P797" s="1328"/>
      <c r="Q797" s="1328"/>
      <c r="R797" s="1327"/>
      <c r="S797" s="1330"/>
      <c r="T797" s="3085">
        <f>AK551</f>
        <v>10</v>
      </c>
      <c r="U797" s="3085"/>
      <c r="V797" s="3085"/>
      <c r="W797" s="3085"/>
      <c r="X797" s="3085"/>
      <c r="Y797" s="3085"/>
      <c r="Z797" s="3090">
        <v>10</v>
      </c>
      <c r="AA797" s="3091"/>
      <c r="AB797" s="3091"/>
      <c r="AC797" s="3091"/>
      <c r="AD797" s="3091"/>
      <c r="AE797" s="3092"/>
      <c r="AF797" s="3217"/>
      <c r="AG797" s="3217"/>
      <c r="AH797" s="3217"/>
      <c r="AI797" s="3217"/>
      <c r="AJ797" s="3217"/>
      <c r="AK797" s="3217"/>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c r="A798" s="1324" t="s">
        <v>1737</v>
      </c>
      <c r="B798" s="3185" t="s">
        <v>908</v>
      </c>
      <c r="C798" s="3185"/>
      <c r="D798" s="3185"/>
      <c r="E798" s="3185"/>
      <c r="F798" s="3185"/>
      <c r="G798" s="3185"/>
      <c r="H798" s="3185"/>
      <c r="I798" s="3185"/>
      <c r="J798" s="3185"/>
      <c r="K798" s="3185"/>
      <c r="L798" s="3185"/>
      <c r="M798" s="3185"/>
      <c r="N798" s="3185"/>
      <c r="O798" s="3185"/>
      <c r="P798" s="3185"/>
      <c r="Q798" s="3185"/>
      <c r="R798" s="3185"/>
      <c r="S798" s="3186"/>
      <c r="T798" s="3213">
        <f>AK684</f>
        <v>10</v>
      </c>
      <c r="U798" s="3213"/>
      <c r="V798" s="3213"/>
      <c r="W798" s="3213"/>
      <c r="X798" s="3213"/>
      <c r="Y798" s="3213"/>
      <c r="Z798" s="3220">
        <v>10</v>
      </c>
      <c r="AA798" s="3221"/>
      <c r="AB798" s="3221"/>
      <c r="AC798" s="3221"/>
      <c r="AD798" s="3221"/>
      <c r="AE798" s="3222"/>
      <c r="AF798" s="3191">
        <f>IF(T798&gt;Z798,Z798,T798)</f>
        <v>10</v>
      </c>
      <c r="AG798" s="3191"/>
      <c r="AH798" s="3191"/>
      <c r="AI798" s="3191"/>
      <c r="AJ798" s="3191"/>
      <c r="AK798" s="3191"/>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c r="A799" s="1324" t="s">
        <v>1850</v>
      </c>
      <c r="B799" s="3185" t="s">
        <v>1851</v>
      </c>
      <c r="C799" s="3185"/>
      <c r="D799" s="3185"/>
      <c r="E799" s="3185"/>
      <c r="F799" s="3185"/>
      <c r="G799" s="3185"/>
      <c r="H799" s="3185"/>
      <c r="I799" s="3185"/>
      <c r="J799" s="3185"/>
      <c r="K799" s="3185"/>
      <c r="L799" s="3185"/>
      <c r="M799" s="3185"/>
      <c r="N799" s="3185"/>
      <c r="O799" s="3185"/>
      <c r="P799" s="3185"/>
      <c r="Q799" s="3185"/>
      <c r="R799" s="3185"/>
      <c r="S799" s="3186"/>
      <c r="T799" s="3213">
        <f>AK774</f>
        <v>12</v>
      </c>
      <c r="U799" s="3213"/>
      <c r="V799" s="3213"/>
      <c r="W799" s="3213"/>
      <c r="X799" s="3213"/>
      <c r="Y799" s="3213"/>
      <c r="Z799" s="3220">
        <v>12</v>
      </c>
      <c r="AA799" s="3221"/>
      <c r="AB799" s="3221"/>
      <c r="AC799" s="3221"/>
      <c r="AD799" s="3221"/>
      <c r="AE799" s="3222"/>
      <c r="AF799" s="3191">
        <f>IF(T799&gt;Z799,Z799,T799)</f>
        <v>12</v>
      </c>
      <c r="AG799" s="3191"/>
      <c r="AH799" s="3191"/>
      <c r="AI799" s="3191"/>
      <c r="AJ799" s="3191"/>
      <c r="AK799" s="3191"/>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c r="A800" s="3218" t="s">
        <v>1876</v>
      </c>
      <c r="B800" s="3185"/>
      <c r="C800" s="3185"/>
      <c r="D800" s="3185"/>
      <c r="E800" s="3185"/>
      <c r="F800" s="3185"/>
      <c r="G800" s="3185"/>
      <c r="H800" s="3185"/>
      <c r="I800" s="3185"/>
      <c r="J800" s="3185"/>
      <c r="K800" s="3185"/>
      <c r="L800" s="3185"/>
      <c r="M800" s="3185"/>
      <c r="N800" s="3185"/>
      <c r="O800" s="3185"/>
      <c r="P800" s="3185"/>
      <c r="Q800" s="3185"/>
      <c r="R800" s="3185"/>
      <c r="S800" s="3186"/>
      <c r="T800" s="3219"/>
      <c r="U800" s="3219"/>
      <c r="V800" s="3219"/>
      <c r="W800" s="3219"/>
      <c r="X800" s="3219"/>
      <c r="Y800" s="3219"/>
      <c r="Z800" s="3216" t="s">
        <v>1877</v>
      </c>
      <c r="AA800" s="3216"/>
      <c r="AB800" s="3216"/>
      <c r="AC800" s="3216"/>
      <c r="AD800" s="3216"/>
      <c r="AE800" s="3216"/>
      <c r="AF800" s="3220">
        <f>IF(T800&gt;0,T800,0)</f>
        <v>0</v>
      </c>
      <c r="AG800" s="3221"/>
      <c r="AH800" s="3221"/>
      <c r="AI800" s="3221"/>
      <c r="AJ800" s="3221"/>
      <c r="AK800" s="3222"/>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75">
      <c r="A801" s="3223" t="s">
        <v>1878</v>
      </c>
      <c r="B801" s="3224"/>
      <c r="C801" s="3224"/>
      <c r="D801" s="3224"/>
      <c r="E801" s="3224"/>
      <c r="F801" s="3224"/>
      <c r="G801" s="3224"/>
      <c r="H801" s="3224"/>
      <c r="I801" s="3224"/>
      <c r="J801" s="3224"/>
      <c r="K801" s="3224"/>
      <c r="L801" s="3224"/>
      <c r="M801" s="3224"/>
      <c r="N801" s="3224"/>
      <c r="O801" s="3224"/>
      <c r="P801" s="3224"/>
      <c r="Q801" s="3224"/>
      <c r="R801" s="3224"/>
      <c r="S801" s="3224"/>
      <c r="T801" s="3224"/>
      <c r="U801" s="3224"/>
      <c r="V801" s="3224"/>
      <c r="W801" s="3224"/>
      <c r="X801" s="3224"/>
      <c r="Y801" s="3224"/>
      <c r="Z801" s="3224"/>
      <c r="AA801" s="3224"/>
      <c r="AB801" s="3224"/>
      <c r="AC801" s="3224"/>
      <c r="AD801" s="3224"/>
      <c r="AE801" s="3225"/>
      <c r="AF801" s="3229">
        <f>SUM(AF784:AK799)-AF800</f>
        <v>119</v>
      </c>
      <c r="AG801" s="3230"/>
      <c r="AH801" s="3230"/>
      <c r="AI801" s="3230"/>
      <c r="AJ801" s="3230"/>
      <c r="AK801" s="3231"/>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75">
      <c r="A802" s="3226"/>
      <c r="B802" s="3227"/>
      <c r="C802" s="3227"/>
      <c r="D802" s="3227"/>
      <c r="E802" s="3227"/>
      <c r="F802" s="3227"/>
      <c r="G802" s="3227"/>
      <c r="H802" s="3227"/>
      <c r="I802" s="3227"/>
      <c r="J802" s="3227"/>
      <c r="K802" s="3227"/>
      <c r="L802" s="3227"/>
      <c r="M802" s="3227"/>
      <c r="N802" s="3227"/>
      <c r="O802" s="3227"/>
      <c r="P802" s="3227"/>
      <c r="Q802" s="3227"/>
      <c r="R802" s="3227"/>
      <c r="S802" s="3227"/>
      <c r="T802" s="3227"/>
      <c r="U802" s="3227"/>
      <c r="V802" s="3227"/>
      <c r="W802" s="3227"/>
      <c r="X802" s="3227"/>
      <c r="Y802" s="3227"/>
      <c r="Z802" s="3227"/>
      <c r="AA802" s="3227"/>
      <c r="AB802" s="3227"/>
      <c r="AC802" s="3227"/>
      <c r="AD802" s="3227"/>
      <c r="AE802" s="3228"/>
      <c r="AF802" s="3232"/>
      <c r="AG802" s="3233"/>
      <c r="AH802" s="3233"/>
      <c r="AI802" s="3233"/>
      <c r="AJ802" s="3233"/>
      <c r="AK802" s="3234"/>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2076012A47D549BC8B8892BF8B0FE0" ma:contentTypeVersion="9" ma:contentTypeDescription="Create a new document." ma:contentTypeScope="" ma:versionID="0217c4856e9221af6b1aaf8e45dbb9da">
  <xsd:schema xmlns:xsd="http://www.w3.org/2001/XMLSchema" xmlns:xs="http://www.w3.org/2001/XMLSchema" xmlns:p="http://schemas.microsoft.com/office/2006/metadata/properties" xmlns:ns2="36dc06d5-0dc8-4d71-a438-163555b389c2" xmlns:ns3="75793aee-194b-46ed-a8d6-6c7c1adcb62a" targetNamespace="http://schemas.microsoft.com/office/2006/metadata/properties" ma:root="true" ma:fieldsID="a47126bd80d595789ab8db9466e9dd65" ns2:_="" ns3:_="">
    <xsd:import namespace="36dc06d5-0dc8-4d71-a438-163555b389c2"/>
    <xsd:import namespace="75793aee-194b-46ed-a8d6-6c7c1adcb62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c06d5-0dc8-4d71-a438-163555b389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5793aee-194b-46ed-a8d6-6c7c1adcb62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9E71F29-0700-4511-A6D1-0EBC898AFE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dc06d5-0dc8-4d71-a438-163555b389c2"/>
    <ds:schemaRef ds:uri="75793aee-194b-46ed-a8d6-6c7c1adcb6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D7B502D-DE2B-49D8-A4BC-992B55CF992C}">
  <ds:schemaRefs>
    <ds:schemaRef ds:uri="http://schemas.microsoft.com/sharepoint/v3/contenttype/forms"/>
  </ds:schemaRefs>
</ds:datastoreItem>
</file>

<file path=customXml/itemProps3.xml><?xml version="1.0" encoding="utf-8"?>
<ds:datastoreItem xmlns:ds="http://schemas.openxmlformats.org/officeDocument/2006/customXml" ds:itemID="{F20FCE3B-6CF1-4B96-BB57-06E26C54E92C}">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Lorna Contreras</cp:lastModifiedBy>
  <cp:lastPrinted>2021-05-20T17:38:30Z</cp:lastPrinted>
  <dcterms:created xsi:type="dcterms:W3CDTF">2007-12-27T18:26:28Z</dcterms:created>
  <dcterms:modified xsi:type="dcterms:W3CDTF">2021-05-24T17:47:59Z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0x010100622076012A47D549BC8B8892BF8B0FE0</vt:lpwstr>
  </property>
</Properties>
</file>