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showInkAnnotation="0" codeName="ThisWorkbook" defaultThemeVersion="124226"/>
  <mc:AlternateContent xmlns:mc="http://schemas.openxmlformats.org/markup-compatibility/2006">
    <mc:Choice Requires="x15">
      <x15ac:absPath xmlns:x15ac="http://schemas.microsoft.com/office/spreadsheetml/2010/11/ac" url="\\ccdserver-0001\development\Current Projects\Carlsbad - Harding\TCAC-CDLAC Joint Application\210520 - Pacific Wind Final Application\"/>
    </mc:Choice>
  </mc:AlternateContent>
  <xr:revisionPtr revIDLastSave="0" documentId="13_ncr:1_{B754D954-EBB2-4249-8376-788C2E4661AE}" xr6:coauthVersionLast="47" xr6:coauthVersionMax="47" xr10:uidLastSave="{00000000-0000-0000-0000-000000000000}"/>
  <bookViews>
    <workbookView xWindow="-108" yWindow="-108" windowWidth="23256" windowHeight="12576"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 name="NOTES" sheetId="25" r:id="rId17"/>
  </sheets>
  <externalReferences>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Forma'!$A$1:$AH$75</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Forma'!$A$1:$AH$75</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5" i="4" l="1"/>
  <c r="E99" i="4"/>
  <c r="D38" i="25"/>
  <c r="S18" i="4"/>
  <c r="E18" i="4"/>
  <c r="S92" i="4"/>
  <c r="S35" i="4"/>
  <c r="E59" i="4"/>
  <c r="E51" i="4"/>
  <c r="AA916" i="3"/>
  <c r="T99" i="4"/>
  <c r="T9" i="4"/>
  <c r="G4" i="4"/>
  <c r="C4" i="4"/>
  <c r="G9" i="4"/>
  <c r="S10" i="4"/>
  <c r="C49" i="4"/>
  <c r="S93" i="4"/>
  <c r="C99" i="4"/>
  <c r="C83" i="4"/>
  <c r="S45" i="4"/>
  <c r="S21" i="4"/>
  <c r="E21" i="4"/>
  <c r="C21" i="4"/>
  <c r="S20" i="4"/>
  <c r="E20" i="4"/>
  <c r="C20" i="4"/>
  <c r="S19" i="4"/>
  <c r="E19" i="4"/>
  <c r="E37" i="4" l="1"/>
  <c r="E10" i="4" l="1"/>
  <c r="C53" i="4"/>
  <c r="C9" i="7"/>
  <c r="G52" i="7" l="1"/>
  <c r="I52" i="7" s="1"/>
  <c r="K52" i="7" s="1"/>
  <c r="M52" i="7" s="1"/>
  <c r="O52" i="7" s="1"/>
  <c r="Q52" i="7" s="1"/>
  <c r="S52" i="7" s="1"/>
  <c r="U52" i="7" s="1"/>
  <c r="W52" i="7" s="1"/>
  <c r="Y52" i="7" s="1"/>
  <c r="AA52" i="7" s="1"/>
  <c r="AC52" i="7" s="1"/>
  <c r="AE52" i="7" s="1"/>
  <c r="AG52" i="7" s="1"/>
  <c r="E91" i="4" l="1"/>
  <c r="S50" i="4"/>
  <c r="C50" i="4"/>
  <c r="E90" i="4"/>
  <c r="E92" i="4"/>
  <c r="E84" i="4"/>
  <c r="C84" i="4"/>
  <c r="S43" i="4"/>
  <c r="E43" i="4"/>
  <c r="C43" i="4"/>
  <c r="S69" i="4"/>
  <c r="E69" i="4"/>
  <c r="C69" i="4"/>
  <c r="S65" i="4"/>
  <c r="E65" i="4"/>
  <c r="C65" i="4"/>
  <c r="E56" i="4"/>
  <c r="E53" i="4"/>
  <c r="E88" i="4"/>
  <c r="E83" i="4"/>
  <c r="E86" i="4"/>
  <c r="E95" i="4"/>
  <c r="S94" i="4"/>
  <c r="E94" i="4"/>
  <c r="E93" i="4"/>
  <c r="E80" i="4"/>
  <c r="E79" i="4"/>
  <c r="E50" i="4"/>
  <c r="E61" i="4"/>
  <c r="E75" i="4"/>
  <c r="E58" i="4"/>
  <c r="E49" i="4"/>
  <c r="E46" i="4"/>
  <c r="E45" i="4"/>
  <c r="S41" i="4"/>
  <c r="S40" i="4"/>
  <c r="E41" i="4"/>
  <c r="E40" i="4"/>
  <c r="E35" i="4"/>
  <c r="E33" i="4"/>
  <c r="E32" i="4"/>
  <c r="E31" i="4"/>
  <c r="E30" i="4"/>
  <c r="E29" i="4"/>
  <c r="E4" i="4"/>
  <c r="E6" i="4"/>
  <c r="E5" i="4"/>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6" i="7" l="1"/>
  <c r="I66" i="7" s="1"/>
  <c r="K66" i="7" s="1"/>
  <c r="M66" i="7" s="1"/>
  <c r="O66" i="7" s="1"/>
  <c r="Q66" i="7" s="1"/>
  <c r="S66" i="7" s="1"/>
  <c r="U66" i="7" s="1"/>
  <c r="W66" i="7" s="1"/>
  <c r="Y66" i="7" s="1"/>
  <c r="AA66" i="7" s="1"/>
  <c r="AC66" i="7" s="1"/>
  <c r="AE66" i="7" s="1"/>
  <c r="AG66" i="7" s="1"/>
  <c r="G67" i="7"/>
  <c r="I67" i="7" s="1"/>
  <c r="K67" i="7" s="1"/>
  <c r="M67" i="7" s="1"/>
  <c r="O67" i="7" s="1"/>
  <c r="Q67" i="7" s="1"/>
  <c r="S67" i="7" s="1"/>
  <c r="U67" i="7" s="1"/>
  <c r="W67" i="7" s="1"/>
  <c r="Y67" i="7" s="1"/>
  <c r="AA67" i="7" s="1"/>
  <c r="AC67" i="7" s="1"/>
  <c r="AE67" i="7" s="1"/>
  <c r="AG67" i="7" s="1"/>
  <c r="G53" i="7"/>
  <c r="I53" i="7" s="1"/>
  <c r="K53" i="7" s="1"/>
  <c r="M53" i="7" s="1"/>
  <c r="O53" i="7" s="1"/>
  <c r="Q53" i="7" s="1"/>
  <c r="S53" i="7" s="1"/>
  <c r="U53" i="7" s="1"/>
  <c r="W53" i="7" s="1"/>
  <c r="Y53" i="7" s="1"/>
  <c r="AA53" i="7" s="1"/>
  <c r="AC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U28" i="7"/>
  <c r="AA28" i="7"/>
  <c r="K28" i="7"/>
  <c r="AE28" i="7"/>
  <c r="W28" i="7"/>
  <c r="O28" i="7"/>
  <c r="G28" i="7"/>
  <c r="AC28" i="7"/>
  <c r="M28" i="7"/>
  <c r="S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B80" i="13"/>
  <c r="R80" i="4"/>
  <c r="R79" i="4"/>
  <c r="S79" i="4" s="1"/>
  <c r="E79" i="13" s="1"/>
  <c r="S70" i="4"/>
  <c r="E70" i="13" s="1"/>
  <c r="D81" i="4"/>
  <c r="E81" i="4"/>
  <c r="F81" i="4"/>
  <c r="G81" i="4"/>
  <c r="H81" i="4"/>
  <c r="I81" i="4"/>
  <c r="J81" i="4"/>
  <c r="K81" i="4"/>
  <c r="L81" i="4"/>
  <c r="M81" i="4"/>
  <c r="N81" i="4"/>
  <c r="O81" i="4"/>
  <c r="P81" i="4"/>
  <c r="Q81" i="4"/>
  <c r="T81" i="4"/>
  <c r="H81" i="13" s="1"/>
  <c r="C81" i="4"/>
  <c r="B81" i="4" s="1"/>
  <c r="B80" i="4"/>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4" i="13"/>
  <c r="E65" i="13"/>
  <c r="E53" i="13"/>
  <c r="E52" i="13"/>
  <c r="E49" i="13"/>
  <c r="E48" i="13"/>
  <c r="E47" i="13"/>
  <c r="E43" i="13"/>
  <c r="E41" i="13"/>
  <c r="E40" i="13"/>
  <c r="E35" i="13"/>
  <c r="E34" i="13"/>
  <c r="E27" i="13"/>
  <c r="E23" i="13"/>
  <c r="E22" i="13"/>
  <c r="E21" i="13"/>
  <c r="E20" i="13"/>
  <c r="E19" i="13"/>
  <c r="E18"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R95" i="4"/>
  <c r="R94" i="4"/>
  <c r="R93" i="4"/>
  <c r="R92" i="4"/>
  <c r="R90" i="4"/>
  <c r="R89" i="4"/>
  <c r="R88" i="4"/>
  <c r="R87" i="4"/>
  <c r="R86" i="4"/>
  <c r="S86" i="4" s="1"/>
  <c r="E86" i="13" s="1"/>
  <c r="R85" i="4"/>
  <c r="S85" i="4" s="1"/>
  <c r="E85" i="13" s="1"/>
  <c r="R83" i="4"/>
  <c r="R76" i="4"/>
  <c r="R75" i="4"/>
  <c r="R72" i="4"/>
  <c r="R73" i="4"/>
  <c r="R74" i="4"/>
  <c r="R69" i="4"/>
  <c r="R65" i="4"/>
  <c r="R61" i="4"/>
  <c r="R60" i="4"/>
  <c r="R59" i="4"/>
  <c r="R58" i="4"/>
  <c r="R57" i="4"/>
  <c r="R56" i="4"/>
  <c r="R53" i="4"/>
  <c r="S53" i="4" s="1"/>
  <c r="R52" i="4"/>
  <c r="R51" i="4"/>
  <c r="R50" i="4"/>
  <c r="E50" i="13" s="1"/>
  <c r="R49" i="4"/>
  <c r="R48" i="4"/>
  <c r="R47" i="4"/>
  <c r="R46" i="4"/>
  <c r="S46" i="4" s="1"/>
  <c r="R45" i="4"/>
  <c r="R43" i="4"/>
  <c r="R41" i="4"/>
  <c r="R40" i="4"/>
  <c r="R37" i="4"/>
  <c r="R35" i="4"/>
  <c r="R34" i="4"/>
  <c r="R33" i="4"/>
  <c r="S33" i="4" s="1"/>
  <c r="E33" i="13" s="1"/>
  <c r="R32" i="4"/>
  <c r="S32" i="4" s="1"/>
  <c r="E32" i="13" s="1"/>
  <c r="R31" i="4"/>
  <c r="S31" i="4" s="1"/>
  <c r="E31" i="13" s="1"/>
  <c r="R30" i="4"/>
  <c r="S30" i="4" s="1"/>
  <c r="E30" i="13" s="1"/>
  <c r="R29" i="4"/>
  <c r="S29" i="4" s="1"/>
  <c r="E29" i="13" s="1"/>
  <c r="R27" i="4"/>
  <c r="R25" i="4"/>
  <c r="S25" i="4" s="1"/>
  <c r="R23" i="4"/>
  <c r="R22" i="4"/>
  <c r="R21" i="4"/>
  <c r="R20" i="4"/>
  <c r="R19" i="4"/>
  <c r="R18" i="4"/>
  <c r="R17" i="4"/>
  <c r="S17" i="4" s="1"/>
  <c r="E17" i="13" s="1"/>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42" i="4"/>
  <c r="E42"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BI711" i="3" s="1"/>
  <c r="AC737" i="3"/>
  <c r="AM737" i="3"/>
  <c r="BI712" i="3" s="1"/>
  <c r="AC738" i="3"/>
  <c r="AM738" i="3"/>
  <c r="BI713" i="3" s="1"/>
  <c r="AC739" i="3"/>
  <c r="AM739" i="3"/>
  <c r="BI714" i="3" s="1"/>
  <c r="AC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S26" i="4" l="1"/>
  <c r="E26" i="13" s="1"/>
  <c r="S51" i="4"/>
  <c r="E51" i="13" s="1"/>
  <c r="E25" i="13"/>
  <c r="B26" i="4"/>
  <c r="D30" i="11"/>
  <c r="S37" i="4"/>
  <c r="E37" i="13" s="1"/>
  <c r="S54" i="4"/>
  <c r="E99" i="13"/>
  <c r="E46" i="13"/>
  <c r="S104" i="4"/>
  <c r="E104" i="13" s="1"/>
  <c r="AM740" i="3"/>
  <c r="BI715" i="3" s="1"/>
  <c r="D51" i="11"/>
  <c r="S96" i="4"/>
  <c r="E96" i="13" s="1"/>
  <c r="R81" i="4"/>
  <c r="S80" i="4"/>
  <c r="N153" i="23"/>
  <c r="S38" i="4"/>
  <c r="E38" i="13" s="1"/>
  <c r="B54"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45" i="13" l="1"/>
  <c r="E54" i="13"/>
  <c r="S63" i="4"/>
  <c r="E63" i="13" s="1"/>
  <c r="S81" i="4"/>
  <c r="E81" i="13" s="1"/>
  <c r="E80" i="13"/>
  <c r="N160" i="23"/>
  <c r="N161" i="23" s="1"/>
  <c r="AD1037" i="3"/>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S105" i="4" l="1"/>
  <c r="S107" i="4" s="1"/>
  <c r="E107" i="13" s="1"/>
  <c r="Y11" i="15" s="1"/>
  <c r="Y23" i="15" s="1"/>
  <c r="Y26" i="15" s="1"/>
  <c r="Y28" i="15" s="1"/>
  <c r="C98" i="11"/>
  <c r="C106" i="11" s="1"/>
  <c r="D106" i="11" s="1"/>
  <c r="CS663" i="3"/>
  <c r="J8" i="22" s="1"/>
  <c r="J10" i="22" s="1"/>
  <c r="U588" i="20" s="1"/>
  <c r="P420" i="3"/>
  <c r="E126" i="20"/>
  <c r="E127" i="20" s="1"/>
  <c r="H107" i="13"/>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47" i="7"/>
  <c r="E46" i="7"/>
  <c r="AC453" i="3"/>
  <c r="AB47" i="15"/>
  <c r="AB49" i="15" s="1"/>
  <c r="AD11" i="15" l="1"/>
  <c r="AD23" i="15" s="1"/>
  <c r="AD26" i="15" s="1"/>
  <c r="AD28" i="15" s="1"/>
  <c r="AI11" i="15"/>
  <c r="AI23" i="15" s="1"/>
  <c r="AI26" i="15" s="1"/>
  <c r="AI28" i="15" s="1"/>
  <c r="E105" i="13"/>
  <c r="T11" i="15"/>
  <c r="T23" i="15" s="1"/>
  <c r="Y64" i="15" s="1"/>
  <c r="Y68" i="15" s="1"/>
  <c r="AF766" i="20"/>
  <c r="AC455" i="3"/>
  <c r="AJ1028" i="3"/>
  <c r="AJ1024" i="3"/>
  <c r="D98" i="11"/>
  <c r="E94" i="20"/>
  <c r="AP94" i="20" s="1"/>
  <c r="AK97" i="20" s="1"/>
  <c r="T786" i="20" s="1"/>
  <c r="AF786" i="20" s="1"/>
  <c r="AG253" i="20"/>
  <c r="AK256" i="20" s="1"/>
  <c r="T792" i="20" s="1"/>
  <c r="AF792" i="20" s="1"/>
  <c r="E61" i="7"/>
  <c r="AJ1015" i="3"/>
  <c r="AJ1011" i="3"/>
  <c r="AJ1008" i="3"/>
  <c r="AJ1020" i="3"/>
  <c r="AJ977" i="3"/>
  <c r="AJ986" i="3"/>
  <c r="AJ995" i="3"/>
  <c r="AP765" i="20"/>
  <c r="AJ992" i="3"/>
  <c r="AP768" i="20"/>
  <c r="AP767" i="20"/>
  <c r="B1039" i="3"/>
  <c r="I15" i="21"/>
  <c r="I14" i="21"/>
  <c r="G44" i="7"/>
  <c r="K4" i="7"/>
  <c r="M4" i="7" s="1"/>
  <c r="M5" i="7" s="1"/>
  <c r="I10" i="7"/>
  <c r="I36" i="7" s="1"/>
  <c r="I48" i="7" s="1"/>
  <c r="Q21" i="7"/>
  <c r="Q34" i="7" s="1"/>
  <c r="S14" i="7"/>
  <c r="M6" i="7"/>
  <c r="K7" i="7"/>
  <c r="O9" i="7"/>
  <c r="Q8" i="7"/>
  <c r="AB54" i="15"/>
  <c r="AB55" i="15" s="1"/>
  <c r="T26" i="15" l="1"/>
  <c r="T28" i="15" s="1"/>
  <c r="T29" i="15" s="1"/>
  <c r="E64" i="7"/>
  <c r="E65" i="7" s="1"/>
  <c r="E68" i="7"/>
  <c r="G61" i="7"/>
  <c r="G64" i="7" s="1"/>
  <c r="G65" i="7" s="1"/>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E69" i="7" l="1"/>
  <c r="E70" i="7"/>
  <c r="G68" i="7"/>
  <c r="AZ854" i="3"/>
  <c r="AP772" i="20"/>
  <c r="AP771" i="20" s="1"/>
  <c r="AP774" i="20" s="1"/>
  <c r="AF767" i="20" s="1"/>
  <c r="AF768" i="20" s="1"/>
  <c r="AK774" i="20" s="1"/>
  <c r="T799" i="20" s="1"/>
  <c r="AF799" i="20" s="1"/>
  <c r="Y38" i="15"/>
  <c r="Y40" i="15" s="1"/>
  <c r="Y41" i="15" s="1"/>
  <c r="AB56" i="15" s="1"/>
  <c r="M26" i="3" s="1"/>
  <c r="I47" i="7"/>
  <c r="Q4" i="7"/>
  <c r="S4" i="7" s="1"/>
  <c r="K48" i="7"/>
  <c r="M44" i="7"/>
  <c r="M48" i="7"/>
  <c r="S9" i="7"/>
  <c r="U8" i="7"/>
  <c r="U21" i="7"/>
  <c r="U34" i="7" s="1"/>
  <c r="W14" i="7"/>
  <c r="K47" i="7"/>
  <c r="K46" i="7"/>
  <c r="O7" i="7"/>
  <c r="O10" i="7" s="1"/>
  <c r="O36" i="7" s="1"/>
  <c r="Q6" i="7"/>
  <c r="G70" i="7" l="1"/>
  <c r="G69" i="7"/>
  <c r="I64" i="7"/>
  <c r="I65" i="7" s="1"/>
  <c r="K61" i="7"/>
  <c r="K64" i="7" s="1"/>
  <c r="K65" i="7" s="1"/>
  <c r="I61" i="7"/>
  <c r="AB57" i="15"/>
  <c r="AB59" i="15" s="1"/>
  <c r="AB76" i="15" s="1"/>
  <c r="AB77" i="15" s="1"/>
  <c r="E3" i="21" s="1"/>
  <c r="E7" i="21" s="1"/>
  <c r="E18" i="21" s="1"/>
  <c r="Q5" i="7"/>
  <c r="O44" i="7"/>
  <c r="O48" i="7"/>
  <c r="W21" i="7"/>
  <c r="W34" i="7" s="1"/>
  <c r="Y14" i="7"/>
  <c r="W8" i="7"/>
  <c r="U9" i="7"/>
  <c r="M47" i="7"/>
  <c r="M46" i="7"/>
  <c r="U4" i="7"/>
  <c r="S5" i="7"/>
  <c r="Q7" i="7"/>
  <c r="S6" i="7"/>
  <c r="I68" i="7" l="1"/>
  <c r="M61" i="7"/>
  <c r="M64" i="7" s="1"/>
  <c r="M65" i="7" s="1"/>
  <c r="K68" i="7"/>
  <c r="AB78" i="15"/>
  <c r="AB80" i="15" s="1"/>
  <c r="J81" i="15" s="1"/>
  <c r="M27" i="3"/>
  <c r="P204" i="3" s="1"/>
  <c r="P203" i="3" s="1"/>
  <c r="Q10" i="7"/>
  <c r="Q36" i="7" s="1"/>
  <c r="Q48" i="7" s="1"/>
  <c r="W4" i="7"/>
  <c r="U5" i="7"/>
  <c r="Y8" i="7"/>
  <c r="W9" i="7"/>
  <c r="Y21" i="7"/>
  <c r="Y34" i="7" s="1"/>
  <c r="AA14" i="7"/>
  <c r="S7" i="7"/>
  <c r="S10" i="7" s="1"/>
  <c r="S36" i="7" s="1"/>
  <c r="U6" i="7"/>
  <c r="O46" i="7"/>
  <c r="O47" i="7"/>
  <c r="K70" i="7" l="1"/>
  <c r="K69" i="7"/>
  <c r="I69" i="7"/>
  <c r="I70" i="7"/>
  <c r="O61" i="7"/>
  <c r="O64" i="7" s="1"/>
  <c r="O65" i="7" s="1"/>
  <c r="M68" i="7"/>
  <c r="Q44" i="7"/>
  <c r="Q46" i="7" s="1"/>
  <c r="S44" i="7"/>
  <c r="S48" i="7"/>
  <c r="W6" i="7"/>
  <c r="U7" i="7"/>
  <c r="U10" i="7" s="1"/>
  <c r="U36" i="7" s="1"/>
  <c r="Y4" i="7"/>
  <c r="W5" i="7"/>
  <c r="AA21" i="7"/>
  <c r="AA34" i="7" s="1"/>
  <c r="AC14" i="7"/>
  <c r="Y9" i="7"/>
  <c r="AA8" i="7"/>
  <c r="M69" i="7" l="1"/>
  <c r="M70" i="7"/>
  <c r="O68" i="7"/>
  <c r="Q47" i="7"/>
  <c r="U44" i="7"/>
  <c r="U48" i="7"/>
  <c r="AE14" i="7"/>
  <c r="AC21" i="7"/>
  <c r="AC34" i="7" s="1"/>
  <c r="W7" i="7"/>
  <c r="W10" i="7" s="1"/>
  <c r="W36" i="7" s="1"/>
  <c r="Y6" i="7"/>
  <c r="AA4" i="7"/>
  <c r="Y5" i="7"/>
  <c r="AA9" i="7"/>
  <c r="AC8" i="7"/>
  <c r="S47" i="7"/>
  <c r="S46" i="7"/>
  <c r="O70" i="7" l="1"/>
  <c r="O69" i="7"/>
  <c r="Q64" i="7"/>
  <c r="Q65" i="7" s="1"/>
  <c r="S61" i="7"/>
  <c r="S64" i="7" s="1"/>
  <c r="S65" i="7" s="1"/>
  <c r="Q61" i="7"/>
  <c r="AA6" i="7"/>
  <c r="Y7" i="7"/>
  <c r="Y10" i="7" s="1"/>
  <c r="Y36" i="7" s="1"/>
  <c r="AE8" i="7"/>
  <c r="AC9" i="7"/>
  <c r="AC4" i="7"/>
  <c r="AA5" i="7"/>
  <c r="W48" i="7"/>
  <c r="W44" i="7"/>
  <c r="AG14" i="7"/>
  <c r="AG21" i="7" s="1"/>
  <c r="AG34" i="7" s="1"/>
  <c r="AE21" i="7"/>
  <c r="AE34" i="7" s="1"/>
  <c r="U47" i="7"/>
  <c r="U46" i="7"/>
  <c r="S68" i="7" l="1"/>
  <c r="Q68" i="7"/>
  <c r="U61" i="7"/>
  <c r="U64" i="7" s="1"/>
  <c r="U65" i="7" s="1"/>
  <c r="W46" i="7"/>
  <c r="W47" i="7"/>
  <c r="Y44" i="7"/>
  <c r="Y48" i="7"/>
  <c r="AE4" i="7"/>
  <c r="AC5" i="7"/>
  <c r="AE9" i="7"/>
  <c r="AG8" i="7"/>
  <c r="AG9" i="7" s="1"/>
  <c r="AA7" i="7"/>
  <c r="AA10" i="7" s="1"/>
  <c r="AA36" i="7" s="1"/>
  <c r="AC6" i="7"/>
  <c r="Q69" i="7" l="1"/>
  <c r="Q70" i="7"/>
  <c r="S70" i="7"/>
  <c r="S69" i="7"/>
  <c r="U68" i="7"/>
  <c r="W61" i="7"/>
  <c r="W64" i="7" s="1"/>
  <c r="W65" i="7" s="1"/>
  <c r="AA48" i="7"/>
  <c r="AA44" i="7"/>
  <c r="AE5" i="7"/>
  <c r="AG4" i="7"/>
  <c r="Y47" i="7"/>
  <c r="Y46" i="7"/>
  <c r="AC7" i="7"/>
  <c r="AC10" i="7" s="1"/>
  <c r="AC36" i="7" s="1"/>
  <c r="AE6" i="7"/>
  <c r="U69" i="7" l="1"/>
  <c r="U70" i="7"/>
  <c r="Y61" i="7"/>
  <c r="Y64" i="7" s="1"/>
  <c r="Y65" i="7" s="1"/>
  <c r="W68" i="7"/>
  <c r="AE7" i="7"/>
  <c r="AE10" i="7" s="1"/>
  <c r="AE36" i="7" s="1"/>
  <c r="AG6" i="7"/>
  <c r="AG7" i="7" s="1"/>
  <c r="AC44" i="7"/>
  <c r="AC48" i="7"/>
  <c r="AG5" i="7"/>
  <c r="AA46" i="7"/>
  <c r="AA47" i="7"/>
  <c r="W70" i="7" l="1"/>
  <c r="W69" i="7"/>
  <c r="Y68" i="7"/>
  <c r="AA61" i="7"/>
  <c r="AA64" i="7" s="1"/>
  <c r="AA65" i="7" s="1"/>
  <c r="AG10" i="7"/>
  <c r="AG36" i="7" s="1"/>
  <c r="AG48" i="7" s="1"/>
  <c r="AE48" i="7"/>
  <c r="AE44" i="7"/>
  <c r="AC46" i="7"/>
  <c r="AC47" i="7"/>
  <c r="Y69" i="7" l="1"/>
  <c r="Y70" i="7"/>
  <c r="AA68" i="7"/>
  <c r="AC61" i="7"/>
  <c r="AG44" i="7"/>
  <c r="AG46" i="7" s="1"/>
  <c r="AE46" i="7"/>
  <c r="AE47" i="7"/>
  <c r="AA70" i="7" l="1"/>
  <c r="AA69" i="7"/>
  <c r="AC64" i="7"/>
  <c r="AC65" i="7" s="1"/>
  <c r="AC68" i="7"/>
  <c r="AE64" i="7"/>
  <c r="AE65" i="7" s="1"/>
  <c r="AG47" i="7"/>
  <c r="AC69" i="7" l="1"/>
  <c r="AC70" i="7"/>
  <c r="AE68" i="7"/>
  <c r="AG61" i="7"/>
  <c r="AG64" i="7" s="1"/>
  <c r="AG65" i="7" s="1"/>
  <c r="AE69" i="7" l="1"/>
  <c r="AE70" i="7"/>
  <c r="AG68" i="7"/>
  <c r="AS153" i="23"/>
  <c r="AG70" i="7" l="1"/>
  <c r="AG69" i="7"/>
  <c r="AK131" i="20"/>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<sst xmlns="http://schemas.openxmlformats.org/spreadsheetml/2006/main" count="5206" uniqueCount="2746">
  <si>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</si>
  <si>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</si>
  <si>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</si>
  <si>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</si>
  <si>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</si>
  <si>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</si>
  <si>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</si>
  <si>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</si>
  <si>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</si>
  <si>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</si>
  <si>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</si>
  <si>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</si>
  <si>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</si>
  <si>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</si>
  <si>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</si>
  <si>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</si>
  <si>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</si>
  <si>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</si>
  <si>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</si>
  <si>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</si>
  <si>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</si>
  <si>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</si>
  <si>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</si>
  <si>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</si>
  <si>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</si>
  <si>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</si>
  <si>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</si>
  <si>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</si>
  <si>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</si>
  <si>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</si>
  <si>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</si>
  <si>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</si>
  <si>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</si>
  <si>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</si>
  <si>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</si>
  <si>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</si>
  <si>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</si>
  <si>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</si>
  <si>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</si>
  <si>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</si>
  <si>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</si>
  <si>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</si>
  <si>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</si>
  <si>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</si>
  <si>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</si>
  <si>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</si>
  <si>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</si>
  <si>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</si>
  <si>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</si>
  <si>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</si>
  <si>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</si>
  <si>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</si>
  <si>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</si>
  <si>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</si>
  <si>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</si>
  <si>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</si>
  <si>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</si>
  <si>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</si>
  <si>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</si>
  <si>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</si>
  <si>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</si>
  <si>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</si>
  <si>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</si>
  <si>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</si>
  <si>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</si>
  <si>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</si>
  <si>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</si>
  <si>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</si>
  <si>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</si>
  <si>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</si>
  <si>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</si>
  <si>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</si>
  <si>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</si>
  <si>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</si>
  <si>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</si>
  <si>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</si>
  <si>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</si>
  <si>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</si>
  <si>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</si>
  <si>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</si>
  <si>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</si>
  <si>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</si>
  <si>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</si>
  <si>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</si>
  <si>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</si>
  <si>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</si>
  <si>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</si>
  <si>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</si>
  <si>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</si>
  <si>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</si>
  <si>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</si>
  <si>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</si>
  <si>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</si>
  <si>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</si>
  <si>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</si>
  <si>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</si>
  <si>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</si>
  <si>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</si>
  <si>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</si>
  <si>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</si>
  <si>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</si>
  <si>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</si>
  <si>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</si>
  <si>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</si>
  <si>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</si>
  <si>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</si>
  <si>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</si>
  <si>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</si>
  <si>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</si>
  <si>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</si>
  <si>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</si>
  <si>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</si>
  <si>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</si>
  <si>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</si>
  <si>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</si>
  <si>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</si>
  <si>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</si>
  <si>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</si>
  <si>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</si>
  <si>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</si>
  <si>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</si>
  <si>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</si>
  <si>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</si>
  <si>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</si>
  <si>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</si>
  <si>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</si>
  <si>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</si>
  <si>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</si>
  <si>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</si>
  <si>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</si>
  <si>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</si>
  <si>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</si>
  <si>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</si>
  <si>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</si>
  <si>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</si>
  <si>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</si>
  <si>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</si>
  <si>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</si>
  <si>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</si>
  <si>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</si>
  <si>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</si>
  <si>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</si>
  <si>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</si>
  <si>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</si>
  <si>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</si>
  <si>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</si>
  <si>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</si>
  <si>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</si>
  <si>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</si>
  <si>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</si>
  <si>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</si>
  <si>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</si>
  <si>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</si>
  <si>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</si>
  <si>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</si>
  <si>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</si>
  <si>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</si>
  <si>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</si>
  <si>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</si>
  <si>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</si>
  <si>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</si>
  <si>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</si>
  <si>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</si>
  <si>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</si>
  <si>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</si>
  <si>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</si>
  <si>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</si>
  <si>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</si>
  <si>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</si>
  <si>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</si>
  <si>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</si>
  <si>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</si>
  <si>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</si>
  <si>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</si>
  <si>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</si>
  <si>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</si>
  <si>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</si>
  <si>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</si>
  <si>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</si>
  <si>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</si>
  <si>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</si>
  <si>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</si>
  <si>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</si>
  <si>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</si>
  <si>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</si>
  <si>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</si>
  <si>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</si>
  <si>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</si>
  <si>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</si>
  <si>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</si>
  <si>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</si>
  <si>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</si>
  <si>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</si>
  <si>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</si>
  <si>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</si>
  <si>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</si>
  <si>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</si>
  <si>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</si>
  <si>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</si>
  <si>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</si>
  <si>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</si>
  <si>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</si>
  <si>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</si>
  <si>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</si>
  <si>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</si>
  <si>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</si>
  <si>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</si>
  <si>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</si>
  <si>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</si>
  <si>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</si>
  <si>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</si>
  <si>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</si>
  <si>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</si>
  <si>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</si>
  <si>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</si>
  <si>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</si>
  <si>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</si>
  <si>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</si>
  <si>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</si>
  <si>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</si>
  <si>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</si>
  <si>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</si>
  <si>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</si>
  <si>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</si>
  <si>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</si>
  <si>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</si>
  <si>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</si>
  <si>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</si>
  <si>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</si>
  <si>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</si>
  <si>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</si>
  <si>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</si>
  <si>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</si>
  <si>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</si>
  <si>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</si>
  <si>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</si>
  <si>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</si>
  <si>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</si>
  <si>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</si>
  <si>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</si>
  <si>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</si>
  <si>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</si>
  <si>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</si>
  <si>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</si>
  <si>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</si>
  <si>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</si>
  <si>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</si>
  <si>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</si>
  <si>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</si>
  <si>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</si>
  <si>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</si>
  <si>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</si>
  <si>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</si>
  <si>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</si>
  <si>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</si>
  <si>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</si>
  <si>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</si>
  <si>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</si>
  <si>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</si>
  <si>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</si>
  <si>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</si>
  <si>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</si>
  <si>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</si>
  <si>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</si>
  <si>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</si>
  <si>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</si>
  <si>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</si>
  <si>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</si>
  <si>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</si>
  <si>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</si>
  <si>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</si>
  <si>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</si>
  <si>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</si>
  <si>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</si>
  <si>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</si>
  <si>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</si>
  <si>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</si>
  <si>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</si>
  <si>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</si>
  <si>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</si>
  <si>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</si>
  <si>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</si>
  <si>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</si>
  <si>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</si>
  <si>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</si>
  <si>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</si>
  <si>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</si>
  <si>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</si>
  <si>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</si>
  <si>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</si>
  <si>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</si>
  <si>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</si>
  <si>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</si>
  <si>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</si>
  <si>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</si>
  <si>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</si>
  <si>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</si>
  <si>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</si>
  <si>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</si>
  <si>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</si>
  <si>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</si>
  <si>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</si>
  <si>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</si>
  <si>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</si>
  <si>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</si>
  <si>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</si>
  <si>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</si>
  <si>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</si>
  <si>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</si>
  <si>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</si>
  <si>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</si>
  <si>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</si>
  <si>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</si>
  <si>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</si>
  <si>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</si>
  <si>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</si>
  <si>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</si>
  <si>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</si>
  <si>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</si>
  <si>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</si>
  <si>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</si>
  <si>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</si>
  <si>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</si>
  <si>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</si>
  <si>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</si>
  <si>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</si>
  <si>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</si>
  <si>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</si>
  <si>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</si>
  <si>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</si>
  <si>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</si>
  <si>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</si>
  <si>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</si>
  <si>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</si>
  <si>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</si>
  <si>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</si>
  <si>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</si>
  <si>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</si>
  <si>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</si>
  <si>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</si>
  <si>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</si>
  <si>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</si>
  <si>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</si>
  <si>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</si>
  <si>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</si>
  <si>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</si>
  <si>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</si>
  <si>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</si>
  <si>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</si>
  <si>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</si>
  <si>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</si>
  <si>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</si>
  <si>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</si>
  <si>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</si>
  <si>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</si>
  <si>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</si>
  <si>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</si>
  <si>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</si>
  <si>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</si>
  <si>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</si>
  <si>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</si>
  <si>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</si>
  <si>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</si>
  <si>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</si>
  <si>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</si>
  <si>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</si>
  <si>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</si>
  <si>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</si>
  <si>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</si>
  <si>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</si>
  <si>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</si>
  <si>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</si>
  <si>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</si>
  <si>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</si>
  <si>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</si>
  <si>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</si>
  <si>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</si>
  <si>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</si>
  <si>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</si>
  <si>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</si>
  <si>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</si>
  <si>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</si>
  <si>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</si>
  <si>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</si>
  <si>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</si>
  <si>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</si>
  <si>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</si>
  <si>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</si>
  <si>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</si>
  <si>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</si>
  <si>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</si>
  <si>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</si>
  <si>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</si>
  <si>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</si>
  <si>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</si>
  <si>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</si>
  <si>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</si>
  <si>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</si>
  <si>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</si>
  <si>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</si>
  <si>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</si>
  <si>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</si>
  <si>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</si>
  <si>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</si>
  <si>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</si>
  <si>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</si>
  <si>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</si>
  <si>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</si>
  <si>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</si>
  <si>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</si>
  <si>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</si>
  <si>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</si>
  <si>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</si>
  <si>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</si>
  <si>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</si>
  <si>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</si>
  <si>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</si>
  <si>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</si>
  <si>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</si>
  <si>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</si>
  <si>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</si>
  <si>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</si>
  <si>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</si>
  <si>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</si>
  <si>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</si>
  <si>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</si>
  <si>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</si>
  <si>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</si>
  <si>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</si>
  <si>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</si>
  <si>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</si>
  <si>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</si>
  <si>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</si>
  <si>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</si>
  <si>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</si>
  <si>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</si>
  <si>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</si>
  <si>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</si>
  <si>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</si>
  <si>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</si>
  <si>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</si>
  <si>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</si>
  <si>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</si>
  <si>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</si>
  <si>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</si>
  <si>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</si>
  <si>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</si>
  <si>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</si>
  <si>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</si>
  <si>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</si>
  <si>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</si>
  <si>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</si>
  <si>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</si>
  <si>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</si>
  <si>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</si>
  <si>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</si>
  <si>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</si>
  <si>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</si>
  <si>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</si>
  <si>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</si>
  <si>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</si>
  <si>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</si>
  <si>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</si>
  <si>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</si>
  <si>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</si>
  <si>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</si>
  <si>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</si>
  <si>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</si>
  <si>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</si>
  <si>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</si>
  <si>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</si>
  <si>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</si>
  <si>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</si>
  <si>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</si>
  <si>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</si>
  <si>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</si>
  <si>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</si>
  <si>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</si>
  <si>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</si>
  <si>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</si>
  <si>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</si>
  <si>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</si>
  <si>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</si>
  <si>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</si>
  <si>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</si>
  <si>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</si>
  <si>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</si>
  <si>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</si>
  <si>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</si>
  <si>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</si>
  <si>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</si>
  <si>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</si>
  <si>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</si>
  <si>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</si>
  <si>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</si>
  <si>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</si>
  <si>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</si>
  <si>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</si>
  <si>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</si>
  <si>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</si>
  <si>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</si>
  <si>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</si>
  <si>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</si>
  <si>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</si>
  <si>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</si>
  <si>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</si>
  <si>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</si>
  <si>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</si>
  <si>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</si>
  <si>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</si>
  <si>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</si>
  <si>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</si>
  <si>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</si>
  <si>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</si>
  <si>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</si>
  <si>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</si>
  <si>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</si>
  <si>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</si>
  <si>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</si>
  <si>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</si>
  <si>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</si>
  <si>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</si>
  <si>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</si>
  <si>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</si>
  <si>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</si>
  <si>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</si>
  <si>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</si>
  <si>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</si>
  <si>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</si>
  <si>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</si>
  <si>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</si>
  <si>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</si>
  <si>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</si>
  <si>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</si>
  <si>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</si>
  <si>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</si>
  <si>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</si>
  <si>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</si>
  <si>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</si>
  <si>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</si>
  <si>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</si>
  <si>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</si>
  <si>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</si>
  <si>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</si>
  <si>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</si>
  <si>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</si>
  <si>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</si>
  <si>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</si>
  <si>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</si>
  <si>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</si>
  <si>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</si>
  <si>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</si>
  <si>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</si>
  <si>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</si>
  <si>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</si>
  <si>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</si>
  <si>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</si>
  <si>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</si>
  <si>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</si>
  <si>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</si>
  <si>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</si>
  <si>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</si>
  <si>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</si>
  <si>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</si>
  <si>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</si>
  <si>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</si>
  <si>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</si>
  <si>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</si>
  <si>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</si>
  <si>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</si>
  <si>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</si>
  <si>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</si>
  <si>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</si>
  <si>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</si>
  <si>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</si>
  <si>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</si>
  <si>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</si>
  <si>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</si>
  <si>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</si>
  <si>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</si>
  <si>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</si>
  <si>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</si>
  <si>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</si>
  <si>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</si>
  <si>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</si>
  <si>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</si>
  <si>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</si>
  <si>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</si>
  <si>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</si>
  <si>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</si>
  <si>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</si>
  <si>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</si>
  <si>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</si>
  <si>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</si>
  <si>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</si>
  <si>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</si>
  <si>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</si>
  <si>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</si>
  <si>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</si>
  <si>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</si>
  <si>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</si>
  <si>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</si>
  <si>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</si>
  <si>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</si>
  <si>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</si>
  <si>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</si>
  <si>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</si>
  <si>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</si>
  <si>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</si>
  <si>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</si>
  <si>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</si>
  <si>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</si>
  <si>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</si>
  <si>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</si>
  <si>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</si>
  <si>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</si>
  <si>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</si>
  <si>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</si>
  <si>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</si>
  <si>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</si>
  <si>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</si>
  <si>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</si>
  <si>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</si>
  <si>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</si>
  <si>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</si>
  <si>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</si>
  <si>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</si>
  <si>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</si>
  <si>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</si>
  <si>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</si>
  <si>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</si>
  <si>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</si>
  <si>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</si>
  <si>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</si>
  <si>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</si>
  <si>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</si>
  <si>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</si>
  <si>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</si>
  <si>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</si>
  <si>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</si>
  <si>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</si>
  <si>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</si>
  <si>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</si>
  <si>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</si>
  <si>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</si>
  <si>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</si>
  <si>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</si>
  <si>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</si>
  <si>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</si>
  <si>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</si>
  <si>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</si>
  <si>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</si>
  <si>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</si>
  <si>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</si>
  <si>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</si>
  <si>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</si>
  <si>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</si>
  <si>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</si>
  <si>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</si>
  <si>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</si>
  <si>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</si>
  <si>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</si>
  <si>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</si>
  <si>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</si>
  <si>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</si>
  <si>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</si>
  <si>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</si>
  <si>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</si>
  <si>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</si>
  <si>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</si>
  <si>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</si>
  <si>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</si>
  <si>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</si>
  <si>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</si>
  <si>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</si>
  <si>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</si>
  <si>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</si>
  <si>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</si>
  <si>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</si>
  <si>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</si>
  <si>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</si>
  <si>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</si>
  <si>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</si>
  <si>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</si>
  <si>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</si>
  <si>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</si>
  <si>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</si>
  <si>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</si>
  <si>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</si>
  <si>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</si>
  <si>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</si>
  <si>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</si>
  <si>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</si>
  <si>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</si>
  <si>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</si>
  <si>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</si>
  <si>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</si>
  <si>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</si>
  <si>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</si>
  <si>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</si>
  <si>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</si>
  <si>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</si>
  <si>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</si>
  <si>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</si>
  <si>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</si>
  <si>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</si>
  <si>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</si>
  <si>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</si>
  <si>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</si>
  <si>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</si>
  <si>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</si>
  <si>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</si>
  <si>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</si>
  <si>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</si>
  <si>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</si>
  <si>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</si>
  <si>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</si>
  <si>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</si>
  <si>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</si>
  <si>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</si>
  <si>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</si>
  <si>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</si>
  <si>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</si>
  <si>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</si>
  <si>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</si>
  <si>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</si>
  <si>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</si>
  <si>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</si>
  <si>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</si>
  <si>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</si>
  <si>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</si>
  <si>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</si>
  <si>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</si>
  <si>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</si>
  <si>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</si>
  <si>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</si>
  <si>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</si>
  <si>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</si>
  <si>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</si>
  <si>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</si>
  <si>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</si>
  <si>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</si>
  <si>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</si>
  <si>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</si>
  <si>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</si>
  <si>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</si>
  <si>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</si>
  <si>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</si>
  <si>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</si>
  <si>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</si>
  <si>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</si>
  <si>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</si>
  <si>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</si>
  <si>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</si>
  <si>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</si>
  <si>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</si>
  <si>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</si>
  <si>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</si>
  <si>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</si>
  <si>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</si>
  <si>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</si>
  <si>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</si>
  <si>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</si>
  <si>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</si>
  <si>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</si>
  <si>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</si>
  <si>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</si>
  <si>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</si>
  <si>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</si>
  <si>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</si>
  <si>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</si>
  <si>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</si>
  <si>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</si>
  <si>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</si>
  <si>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</si>
  <si>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</si>
  <si>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</si>
  <si>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</si>
  <si>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</si>
  <si>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</si>
  <si>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</si>
  <si>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</si>
  <si>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</si>
  <si>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</si>
  <si>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</si>
  <si>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</si>
  <si>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</si>
  <si>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</si>
  <si>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</si>
  <si>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</si>
  <si>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</si>
  <si>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</si>
  <si>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</si>
  <si>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</si>
  <si>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</si>
  <si>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</si>
  <si>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</si>
  <si>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</si>
  <si>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</si>
  <si>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</si>
  <si>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</si>
  <si>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</si>
  <si>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</si>
  <si>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</si>
  <si>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</si>
  <si>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</si>
  <si>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</si>
  <si>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</si>
  <si>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</si>
  <si>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</si>
  <si>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</si>
  <si>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</si>
  <si>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</si>
  <si>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</si>
  <si>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</si>
  <si>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</si>
  <si>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</si>
  <si>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</si>
  <si>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</si>
  <si>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</si>
  <si>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</si>
  <si>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</si>
  <si>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</si>
  <si>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</si>
  <si>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</si>
  <si>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</si>
  <si>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</si>
  <si>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</si>
  <si>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</si>
  <si>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</si>
  <si>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</si>
  <si>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</si>
  <si>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</si>
  <si>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</si>
  <si>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</si>
  <si>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</si>
  <si>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</si>
  <si>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</si>
  <si>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</si>
  <si>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</si>
  <si>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</si>
  <si>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</si>
  <si>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</si>
  <si>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</si>
  <si>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</si>
  <si>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</si>
  <si>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</si>
  <si>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</si>
  <si>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</si>
  <si>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</si>
  <si>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</si>
  <si>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</si>
  <si>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</si>
  <si>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</si>
  <si>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</si>
  <si>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</si>
  <si>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</si>
  <si>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</si>
  <si>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</si>
  <si>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</si>
  <si>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</si>
  <si>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</si>
  <si>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</si>
  <si>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</si>
  <si>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</si>
  <si>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</si>
  <si>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</si>
  <si>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</si>
  <si>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</si>
  <si>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</si>
  <si>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</si>
  <si>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</si>
  <si>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</si>
  <si>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</si>
  <si>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</si>
  <si>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</si>
  <si>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</si>
  <si>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</si>
  <si>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</si>
  <si>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</si>
  <si>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</si>
  <si>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</si>
  <si>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</si>
  <si>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</si>
  <si>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</si>
  <si>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</si>
  <si>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</si>
  <si>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</si>
  <si>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</si>
  <si>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</si>
  <si>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</si>
  <si>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</si>
  <si>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</si>
  <si>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</si>
  <si>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</si>
  <si>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</si>
  <si>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</si>
  <si>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</si>
  <si>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</si>
  <si>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</si>
  <si>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</si>
  <si>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</si>
  <si>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</si>
  <si>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</si>
  <si>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</si>
  <si>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</si>
  <si>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</si>
  <si>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</si>
  <si>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</si>
  <si>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</si>
  <si>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</si>
  <si>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</si>
  <si>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</si>
  <si>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</si>
  <si>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</si>
  <si>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</si>
  <si>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</si>
  <si>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</si>
  <si>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</si>
  <si>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</si>
  <si>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</si>
  <si>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</si>
  <si>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</si>
  <si>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</si>
  <si>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</si>
  <si>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</si>
  <si>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</si>
  <si>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</si>
  <si>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</si>
  <si>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</si>
  <si>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</si>
  <si>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</si>
  <si>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</si>
  <si>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</si>
  <si>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</si>
  <si>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</si>
  <si>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</si>
  <si>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</si>
  <si>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</si>
  <si>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</si>
  <si>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</si>
  <si>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</si>
  <si>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</si>
  <si>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</si>
  <si>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</si>
  <si>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</si>
  <si>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</si>
  <si>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</si>
  <si>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</si>
  <si>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</si>
  <si>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</si>
  <si>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</si>
  <si>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</si>
  <si>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</si>
  <si>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</si>
  <si>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</si>
  <si>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</si>
  <si>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</si>
  <si>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</si>
  <si>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</si>
  <si>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</si>
  <si>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</si>
  <si>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</si>
  <si>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</si>
  <si>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</si>
  <si>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</si>
  <si>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</si>
  <si>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</si>
  <si>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</si>
  <si>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</si>
  <si>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</si>
  <si>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</si>
  <si>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</si>
  <si>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</si>
  <si>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</si>
  <si>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</si>
  <si>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</si>
  <si>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</si>
  <si>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</si>
  <si>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</si>
  <si>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</si>
  <si>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</si>
  <si>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</si>
  <si>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</si>
  <si>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</si>
  <si>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</si>
  <si>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</si>
  <si>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</si>
  <si>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</si>
  <si>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</si>
  <si>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</si>
  <si>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</si>
  <si>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</si>
  <si>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</si>
  <si>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</si>
  <si>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</si>
  <si>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</si>
  <si>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</si>
  <si>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</si>
  <si>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</si>
  <si>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</si>
  <si>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</si>
  <si>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</si>
  <si>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</si>
  <si>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</si>
  <si>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</si>
  <si>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</si>
  <si>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</si>
  <si>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</si>
  <si>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</si>
  <si>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</si>
  <si>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</si>
  <si>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</si>
  <si>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</si>
  <si>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</si>
  <si>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</si>
  <si>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</si>
  <si>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</si>
  <si>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</si>
  <si>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</si>
  <si>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</si>
  <si>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</si>
  <si>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</si>
  <si>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</si>
  <si>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</si>
  <si>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</si>
  <si>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</si>
  <si>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</si>
  <si>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</si>
  <si>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</si>
  <si>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</si>
  <si>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</si>
  <si>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</si>
  <si>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</si>
  <si>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</si>
  <si>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</si>
  <si>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</si>
  <si>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</si>
  <si>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</si>
  <si>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</si>
  <si>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</si>
  <si>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</si>
  <si>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</si>
  <si>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</si>
  <si>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</si>
  <si>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</si>
  <si>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</si>
  <si>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</si>
  <si>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</si>
  <si>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</si>
  <si>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</si>
  <si>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</si>
  <si>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</si>
  <si>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</si>
  <si>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</si>
  <si>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</si>
  <si>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</si>
  <si>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</si>
  <si>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</si>
  <si>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</si>
  <si>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</si>
  <si>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</si>
  <si>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</si>
  <si>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</si>
  <si>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</si>
  <si>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</si>
  <si>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</si>
  <si>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</si>
  <si>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</si>
  <si>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</si>
  <si>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</si>
  <si>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</si>
  <si>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</si>
  <si>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</si>
  <si>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</si>
  <si>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</si>
  <si>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</si>
  <si>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</si>
  <si>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</si>
  <si>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</si>
  <si>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</si>
  <si>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</si>
  <si>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</si>
  <si>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</si>
  <si>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</si>
  <si>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</si>
  <si>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</si>
  <si>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</si>
  <si>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</si>
  <si>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</si>
  <si>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</si>
  <si>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</si>
  <si>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</si>
  <si>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</si>
  <si>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</si>
  <si>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</si>
  <si>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</si>
  <si>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</si>
  <si>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</si>
  <si>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</si>
  <si>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</si>
  <si>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</si>
  <si>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</si>
  <si>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</si>
  <si>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</si>
  <si>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</si>
  <si>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</si>
  <si>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</si>
  <si>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</si>
  <si>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</si>
  <si>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</si>
  <si>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</si>
  <si>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</si>
  <si>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</si>
  <si>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</si>
  <si>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</si>
  <si>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</si>
  <si>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</si>
  <si>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</si>
  <si>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</si>
  <si>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</si>
  <si>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</si>
  <si>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</si>
  <si>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</si>
  <si>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</si>
  <si>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</si>
  <si>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</si>
  <si>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</si>
  <si>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</si>
  <si>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</si>
  <si>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</si>
  <si>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</si>
  <si>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</si>
  <si>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</si>
  <si>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</si>
  <si>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</si>
  <si>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</si>
  <si>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</si>
  <si>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</si>
  <si>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</si>
  <si>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</si>
  <si>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</si>
  <si>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</si>
  <si>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</si>
  <si>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</si>
  <si>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</si>
  <si>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</si>
  <si>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</si>
  <si>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</si>
  <si>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</si>
  <si>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</si>
  <si>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</si>
  <si>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</si>
  <si>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</si>
  <si>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</si>
  <si>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</si>
  <si>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</si>
  <si>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</si>
  <si>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</si>
  <si>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</si>
  <si>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</si>
  <si>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</si>
  <si>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</si>
  <si>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</si>
  <si>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</si>
  <si>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</si>
  <si>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</si>
  <si>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</si>
  <si>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</si>
  <si>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</si>
  <si>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</si>
  <si>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</si>
  <si>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</si>
  <si>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</si>
  <si>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</si>
  <si>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</si>
  <si>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</si>
  <si>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</si>
  <si>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</si>
  <si>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</si>
  <si>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</si>
  <si>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</si>
  <si>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</si>
  <si>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</si>
  <si>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</si>
  <si>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</si>
  <si>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</si>
  <si>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</si>
  <si>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</si>
  <si>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</si>
  <si>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</si>
  <si>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</si>
  <si>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</si>
  <si>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</si>
  <si>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</si>
  <si>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</si>
  <si>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</si>
  <si>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</si>
  <si>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</si>
  <si>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</si>
  <si>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</si>
  <si>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</si>
  <si>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</si>
  <si>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</si>
  <si>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</si>
  <si>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</si>
  <si>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</si>
  <si>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</si>
  <si>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</si>
  <si>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</si>
  <si>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</si>
  <si>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</si>
  <si>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</si>
  <si>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</si>
  <si>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</si>
  <si>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</si>
  <si>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</si>
  <si>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</si>
  <si>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</si>
  <si>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</si>
  <si>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</si>
  <si>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</si>
  <si>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</si>
  <si>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</si>
  <si>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</si>
  <si>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</si>
  <si>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</si>
  <si>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</si>
  <si>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</si>
  <si>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</si>
  <si>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</si>
  <si>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</si>
  <si>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</si>
  <si>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</si>
  <si>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</si>
  <si>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</si>
  <si>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</si>
  <si>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</si>
  <si>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</si>
  <si>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</si>
  <si>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</si>
  <si>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</si>
  <si>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</si>
  <si>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</si>
  <si>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</si>
  <si>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</si>
  <si>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</si>
  <si>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</si>
  <si>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</si>
  <si>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</si>
  <si>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</si>
  <si>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</si>
  <si>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</si>
  <si>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</si>
  <si>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</si>
  <si>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</si>
  <si>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</si>
  <si>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</si>
  <si>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</si>
  <si>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</si>
  <si>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</si>
  <si>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</si>
  <si>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</si>
  <si>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</si>
  <si>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</si>
  <si>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</si>
  <si>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</si>
  <si>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</si>
  <si>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</si>
  <si>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</si>
  <si>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</si>
  <si>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</si>
  <si>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</si>
  <si>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</si>
  <si>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</si>
  <si>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</si>
  <si>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</si>
  <si>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</si>
  <si>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</si>
  <si>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</si>
  <si>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</si>
  <si>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</si>
  <si>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</si>
  <si>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</si>
  <si>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</si>
  <si>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</si>
  <si>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</si>
  <si>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</si>
  <si>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</si>
  <si>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</si>
  <si>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</si>
  <si>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</si>
  <si>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</si>
  <si>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</si>
  <si>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</si>
  <si>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</si>
  <si>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</si>
  <si>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</si>
  <si>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</si>
  <si>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</si>
  <si>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</si>
  <si>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</si>
  <si>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</si>
  <si>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</si>
  <si>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</si>
  <si>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</si>
  <si>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</si>
  <si>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</si>
  <si>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</si>
  <si>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</si>
  <si>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</si>
  <si>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</si>
  <si>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</si>
  <si>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</si>
  <si>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</si>
  <si>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</si>
  <si>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</si>
  <si>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</si>
  <si>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</si>
  <si>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</si>
  <si>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</si>
  <si>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</si>
  <si>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</si>
  <si>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</si>
  <si>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</si>
  <si>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</si>
  <si>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</si>
  <si>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</si>
  <si>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</si>
  <si>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</si>
  <si>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</si>
  <si>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</si>
  <si>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</si>
  <si>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</si>
  <si>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</si>
  <si>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</si>
  <si>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</si>
  <si>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</si>
  <si>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</si>
  <si>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</si>
  <si>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</si>
  <si>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</si>
  <si>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</si>
  <si>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</si>
  <si>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</si>
  <si>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</si>
  <si>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</si>
  <si>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</si>
  <si>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</si>
  <si>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</si>
  <si>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</si>
  <si>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</si>
  <si>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</si>
  <si>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</si>
  <si>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</si>
  <si>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</si>
  <si>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</si>
  <si>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</si>
  <si>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</si>
  <si>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</si>
  <si>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</si>
  <si>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</si>
  <si>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</si>
  <si>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</si>
  <si>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</si>
  <si>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</si>
  <si>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</si>
  <si>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</si>
  <si>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</si>
  <si>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</si>
  <si>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</si>
  <si>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</si>
  <si>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</si>
  <si>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</si>
  <si>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</si>
  <si>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</si>
  <si>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</si>
  <si>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</si>
  <si>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</si>
  <si>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</si>
  <si>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</si>
  <si>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</si>
  <si>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</si>
  <si>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</si>
  <si>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</si>
  <si>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</si>
  <si>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</si>
  <si>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</si>
  <si>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</si>
  <si>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</si>
  <si>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</si>
  <si>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</si>
  <si>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</si>
  <si>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</si>
  <si>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</si>
  <si>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</si>
  <si>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</si>
  <si>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</si>
  <si>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</si>
  <si>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</si>
  <si>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</si>
  <si>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</si>
  <si>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</si>
  <si>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</si>
  <si>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</si>
  <si>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</si>
  <si>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</si>
  <si>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</si>
  <si>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</si>
  <si>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</si>
  <si>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</si>
  <si>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</si>
  <si>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</si>
  <si>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</si>
  <si>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</si>
  <si>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</si>
  <si>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</si>
  <si>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</si>
  <si>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</si>
  <si>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</si>
  <si>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</si>
  <si>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</si>
  <si>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</si>
  <si>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</si>
  <si>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</si>
  <si>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</si>
  <si>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</si>
  <si>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</si>
  <si>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</si>
  <si>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</si>
  <si>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</si>
  <si>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</si>
  <si>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</si>
  <si>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</si>
  <si>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</si>
  <si>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</si>
  <si>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</si>
  <si>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</si>
  <si>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</si>
  <si>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</si>
  <si>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</si>
  <si>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</si>
  <si>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</si>
  <si>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</si>
  <si>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</si>
  <si>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</si>
  <si>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</si>
  <si>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</si>
  <si>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</si>
  <si>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</si>
  <si>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</si>
  <si>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</si>
  <si>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</si>
  <si>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</si>
  <si>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</si>
  <si>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</si>
  <si>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</si>
  <si>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</si>
  <si>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</si>
  <si>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</si>
  <si>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</si>
  <si>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</si>
  <si>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</si>
  <si>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</si>
  <si>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</si>
  <si>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</si>
  <si>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</si>
  <si>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</si>
  <si>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</si>
  <si>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</si>
  <si>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</si>
  <si>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</si>
  <si>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</si>
  <si>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</si>
  <si>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</si>
  <si>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</si>
  <si>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</si>
  <si>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</si>
  <si>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</si>
  <si>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</si>
  <si>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</si>
  <si>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</si>
  <si>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</si>
  <si>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</si>
  <si>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</si>
  <si>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</si>
  <si>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</si>
  <si>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</si>
  <si>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</si>
  <si>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</si>
  <si>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</si>
  <si>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</si>
  <si>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</si>
  <si>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</si>
  <si>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</si>
  <si>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</si>
  <si>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</si>
  <si>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</si>
  <si>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</si>
  <si>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</si>
  <si>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</si>
  <si>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</si>
  <si>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</si>
  <si>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</si>
  <si>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</si>
  <si>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</si>
  <si>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</si>
  <si>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</si>
  <si>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</si>
  <si>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</si>
  <si>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</si>
  <si>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</si>
  <si>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</si>
  <si>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</si>
  <si>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</si>
  <si>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</si>
  <si>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</si>
  <si>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</si>
  <si>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</si>
  <si>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</si>
  <si>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</si>
  <si>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</si>
  <si>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</si>
  <si>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</si>
  <si>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</si>
  <si>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</si>
  <si>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</si>
  <si>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</si>
  <si>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</si>
  <si>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</si>
  <si>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</si>
  <si>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</si>
  <si>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</si>
  <si>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</si>
  <si>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</si>
  <si>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</si>
  <si>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</si>
  <si>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</si>
  <si>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</si>
  <si>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</si>
  <si>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</si>
  <si>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</si>
  <si>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</si>
  <si>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</si>
  <si>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</si>
  <si>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</si>
  <si>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</si>
  <si>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</si>
  <si>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</si>
  <si>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</si>
  <si>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</si>
  <si>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</si>
  <si>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</si>
  <si>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</si>
  <si>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</si>
  <si>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</si>
  <si>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</si>
  <si>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</si>
  <si>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</si>
  <si>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</si>
  <si>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</si>
  <si>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</si>
  <si>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</si>
  <si>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</si>
  <si>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</si>
  <si>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</si>
  <si>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</si>
  <si>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</si>
  <si>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</si>
  <si>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</si>
  <si>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</si>
  <si>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</si>
  <si>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</si>
  <si>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</si>
  <si>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</si>
  <si>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</si>
  <si>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</si>
  <si>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</si>
  <si>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</si>
  <si>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</si>
  <si>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</si>
  <si>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</si>
  <si>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</si>
  <si>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</si>
  <si>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</si>
  <si>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</si>
  <si>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</si>
  <si>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</si>
  <si>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</si>
  <si>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</si>
  <si>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</si>
  <si>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</si>
  <si>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</si>
  <si>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</si>
  <si>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</si>
  <si>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</si>
  <si>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</si>
  <si>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</si>
  <si>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</si>
  <si>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</si>
  <si>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</si>
  <si>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</si>
  <si>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</si>
  <si>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</si>
  <si>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</si>
  <si>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</si>
  <si>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</si>
  <si>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</si>
  <si>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</si>
  <si>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</si>
  <si>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</si>
  <si>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</si>
  <si>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</si>
  <si>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</si>
  <si>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</si>
  <si>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</si>
  <si>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</si>
  <si>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</si>
  <si>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</si>
  <si>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</si>
  <si>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</si>
  <si>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</si>
  <si>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</si>
  <si>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</si>
  <si>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</si>
  <si>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</si>
  <si>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</si>
  <si>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</si>
  <si>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</si>
  <si>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</si>
  <si>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</si>
  <si>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</si>
  <si>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</si>
  <si>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</si>
  <si>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</si>
  <si>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</si>
  <si>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</si>
  <si>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</si>
  <si>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</si>
  <si>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</si>
  <si>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</si>
  <si>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</si>
  <si>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</si>
  <si>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</si>
  <si>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</si>
  <si>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</si>
  <si>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</si>
  <si>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</si>
  <si>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</si>
  <si>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</si>
  <si>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</si>
  <si>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</si>
  <si>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</si>
  <si>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</si>
  <si>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</si>
  <si>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</si>
  <si>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</si>
  <si>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</si>
  <si>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</si>
  <si>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</si>
  <si>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</si>
  <si>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</si>
  <si>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</si>
  <si>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</si>
  <si>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</si>
  <si>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</si>
  <si>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</si>
  <si>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</si>
  <si>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</si>
  <si>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</si>
  <si>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</si>
  <si>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</si>
  <si>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</si>
  <si>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</si>
  <si>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</si>
  <si>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</si>
  <si>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</si>
  <si>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</si>
  <si>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</si>
  <si>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</si>
  <si>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</si>
  <si>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</si>
  <si>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</si>
  <si>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</si>
  <si>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</si>
  <si>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</si>
  <si>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</si>
  <si>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</si>
  <si>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</si>
  <si>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</si>
  <si>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</si>
  <si>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</si>
  <si>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</si>
  <si>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</si>
  <si>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</si>
  <si>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</si>
  <si>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</si>
  <si>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</si>
  <si>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</si>
  <si>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</si>
  <si>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</si>
  <si>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</si>
  <si>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</si>
  <si>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</si>
  <si>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</si>
  <si>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</si>
  <si>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</si>
  <si>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</si>
  <si>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</si>
  <si>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</si>
  <si>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</si>
  <si>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</si>
  <si>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</si>
  <si>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</si>
  <si>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</si>
  <si>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</si>
  <si>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</si>
  <si>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</si>
  <si>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</si>
  <si>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</si>
  <si>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</si>
  <si>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</si>
  <si>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</si>
  <si>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</si>
  <si>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</si>
  <si>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</si>
  <si>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</si>
  <si>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</si>
  <si>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</si>
  <si>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</si>
  <si>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</si>
  <si>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</si>
  <si>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</si>
  <si>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</si>
  <si>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</si>
  <si>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</si>
  <si>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</si>
  <si>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</si>
  <si>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</si>
  <si>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</si>
  <si>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</si>
  <si>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</si>
  <si>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</si>
  <si>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</si>
  <si>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</si>
  <si>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</si>
  <si>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</si>
  <si>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</si>
  <si>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</si>
  <si>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</si>
  <si>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</si>
  <si>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</si>
  <si>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</si>
  <si>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</si>
  <si>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</si>
  <si>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</si>
  <si>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</si>
  <si>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</si>
  <si>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</si>
  <si>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</si>
  <si>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</si>
  <si>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</si>
  <si>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</si>
  <si>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</si>
  <si>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</si>
  <si>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</si>
  <si>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</si>
  <si>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</si>
  <si>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</si>
  <si>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</si>
  <si>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</si>
  <si>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</si>
  <si>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</si>
  <si>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</si>
  <si>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</si>
  <si>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</si>
  <si>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</si>
  <si>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</si>
  <si>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</si>
  <si>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</si>
  <si>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</si>
  <si>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</si>
  <si>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</si>
  <si>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</si>
  <si>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</si>
  <si>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</si>
  <si>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</si>
  <si>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</si>
  <si>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</si>
  <si>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</si>
  <si>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</si>
  <si>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</si>
  <si>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</si>
  <si>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</si>
  <si>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</si>
  <si>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</si>
  <si>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</si>
  <si>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</si>
  <si>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</si>
  <si>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</si>
  <si>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</si>
  <si>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</si>
  <si>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</si>
  <si>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</si>
  <si>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</si>
  <si>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</si>
  <si>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</si>
  <si>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</si>
  <si>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</si>
  <si>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</si>
  <si>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</si>
  <si>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</si>
  <si>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</si>
  <si>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</si>
  <si>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</si>
  <si>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</si>
  <si>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</si>
  <si>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</si>
  <si>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</si>
  <si>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</si>
  <si>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</si>
  <si>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</si>
  <si>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</si>
  <si>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</si>
  <si>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</si>
  <si>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</si>
  <si>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</si>
  <si>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</si>
  <si>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</si>
  <si>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</si>
  <si>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</si>
  <si>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</si>
  <si>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</si>
  <si>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</si>
  <si>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</si>
  <si>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</si>
  <si>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</si>
  <si>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</si>
  <si>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</si>
  <si>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</si>
  <si>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</si>
  <si>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</si>
  <si>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</si>
  <si>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</si>
  <si>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</si>
  <si>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</si>
  <si>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</si>
  <si>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</si>
  <si>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</si>
  <si>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</si>
  <si>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</si>
  <si>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</si>
  <si>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</si>
  <si>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</si>
  <si>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</si>
  <si>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</si>
  <si>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</si>
  <si>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</si>
  <si>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</si>
  <si>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</si>
  <si>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</si>
  <si>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</si>
  <si>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</si>
  <si>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</si>
  <si>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</si>
  <si>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</si>
  <si>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</si>
  <si>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</si>
  <si>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</si>
  <si>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</si>
  <si>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</si>
  <si>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</si>
  <si>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</si>
  <si>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</si>
  <si>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</si>
  <si>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</si>
  <si>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</si>
  <si>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</si>
  <si>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</si>
  <si>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</si>
  <si>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</si>
  <si>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</si>
  <si>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</si>
  <si>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</si>
  <si>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</si>
  <si>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</si>
  <si>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</si>
  <si>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</si>
  <si>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</si>
  <si>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</si>
  <si>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</si>
  <si>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</si>
  <si>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</si>
  <si>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</si>
  <si>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</si>
  <si>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</si>
  <si>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</si>
  <si>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</si>
  <si>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</si>
  <si>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</si>
  <si>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</si>
  <si>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</si>
  <si>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</si>
  <si>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</si>
  <si>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</si>
  <si>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</si>
  <si>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</si>
  <si>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</si>
  <si>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</si>
  <si>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</si>
  <si>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</si>
  <si>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</si>
  <si>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</si>
  <si>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</si>
  <si>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</si>
  <si>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</si>
  <si>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</si>
  <si>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</si>
  <si>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</si>
  <si>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</si>
  <si>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</si>
  <si>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</si>
  <si>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</si>
  <si>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</si>
  <si>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</si>
  <si>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</si>
  <si>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</si>
  <si>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</si>
  <si>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</si>
  <si>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</si>
  <si>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</si>
  <si>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</si>
  <si>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</si>
  <si>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</si>
  <si>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</si>
  <si>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</si>
  <si>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</si>
  <si>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</si>
  <si>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</si>
  <si>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</si>
  <si>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</si>
  <si>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</si>
  <si>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</si>
  <si>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</si>
  <si>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</si>
  <si>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</si>
  <si>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</si>
  <si>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</si>
  <si>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</si>
  <si>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</si>
  <si>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</si>
  <si>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</si>
  <si>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</si>
  <si>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</si>
  <si>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</si>
  <si>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</si>
  <si>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</si>
  <si>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</si>
  <si>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</si>
  <si>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</si>
  <si>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</si>
  <si>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</si>
  <si>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</si>
  <si>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</si>
  <si>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</si>
  <si>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</si>
  <si>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</si>
  <si>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</si>
  <si>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</si>
  <si>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</si>
  <si>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</si>
  <si>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</si>
  <si>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</si>
  <si>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</si>
  <si>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</si>
  <si>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</si>
  <si>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</si>
  <si>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</si>
  <si>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</si>
  <si>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</si>
  <si>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</si>
  <si>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</si>
  <si>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</si>
  <si>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</si>
  <si>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</si>
  <si>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</si>
  <si>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</si>
  <si>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</si>
  <si>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</si>
  <si>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</si>
  <si>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</si>
  <si>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</si>
  <si>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</si>
  <si>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</si>
  <si>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</si>
  <si>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</si>
  <si>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</si>
  <si>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</si>
  <si>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</si>
  <si>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</si>
  <si>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</si>
  <si>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</si>
  <si>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</si>
  <si>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</si>
  <si>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</si>
  <si>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</si>
  <si>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</si>
  <si>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</si>
  <si>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</si>
  <si>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</si>
  <si>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</si>
  <si>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</si>
  <si>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</si>
  <si>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</si>
  <si>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</si>
  <si>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</si>
  <si>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</si>
  <si>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</si>
  <si>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</si>
  <si>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</si>
  <si>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</si>
  <si>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</si>
  <si>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</si>
  <si>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</si>
  <si>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</si>
  <si>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</si>
  <si>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</si>
  <si>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</si>
  <si>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</si>
  <si>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</si>
  <si>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</si>
  <si>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</si>
  <si>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</si>
  <si>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</si>
  <si>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</si>
  <si>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</si>
  <si>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</si>
  <si>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</si>
  <si>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</si>
  <si>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</si>
  <si>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</si>
  <si>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</si>
  <si>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</si>
  <si>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</si>
  <si>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</si>
  <si>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</si>
  <si>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</si>
  <si>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</si>
  <si>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</si>
  <si>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</si>
  <si>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</si>
  <si>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</si>
  <si>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</si>
  <si>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</si>
  <si>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</si>
  <si>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</si>
  <si>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</si>
  <si>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</si>
  <si>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</si>
  <si>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</si>
  <si>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</si>
  <si>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</si>
  <si>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</si>
  <si>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</si>
  <si>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</si>
  <si>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</si>
  <si>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</si>
  <si>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</si>
  <si>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</si>
  <si>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</si>
  <si>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</si>
  <si>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</si>
  <si>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</si>
  <si>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</si>
  <si>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</si>
  <si>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</si>
  <si>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</si>
  <si>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</si>
  <si>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</si>
  <si>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</si>
  <si>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</si>
  <si>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</si>
  <si>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</si>
  <si>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</si>
  <si>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</si>
  <si>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</si>
  <si>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</si>
  <si>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</si>
  <si>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</si>
  <si>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</si>
  <si>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</si>
  <si>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</si>
  <si>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</si>
  <si>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</si>
  <si>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</si>
  <si>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</si>
  <si>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</si>
  <si>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</si>
  <si>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</si>
  <si>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</si>
  <si>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</si>
  <si>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</si>
  <si>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</si>
  <si>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</si>
  <si>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</si>
  <si>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</si>
  <si>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</si>
  <si>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</si>
  <si>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</si>
  <si>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</si>
  <si>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</si>
  <si>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</si>
  <si>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</si>
  <si>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</si>
  <si>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</si>
  <si>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</si>
  <si>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</si>
  <si>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</si>
  <si>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</si>
  <si>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</si>
  <si>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</si>
  <si>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</si>
  <si>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</si>
  <si>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</si>
  <si>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</si>
  <si>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</si>
  <si>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</si>
  <si>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</si>
  <si>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</si>
  <si>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</si>
  <si>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</si>
  <si>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</si>
  <si>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</si>
  <si>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</si>
  <si>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</si>
  <si>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</si>
  <si>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</si>
  <si>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</si>
  <si>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</si>
  <si>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</si>
  <si>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</si>
  <si>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</si>
  <si>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</si>
  <si>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</si>
  <si>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</si>
  <si>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</si>
  <si>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</si>
  <si>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</si>
  <si>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</si>
  <si>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</si>
  <si>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</si>
  <si>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</si>
  <si>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</si>
  <si>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</si>
  <si>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</si>
  <si>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</si>
  <si>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</si>
  <si>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</si>
  <si>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</si>
  <si>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</si>
  <si>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</si>
  <si>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</si>
  <si>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</si>
  <si>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</si>
  <si>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</si>
  <si>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</si>
  <si>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</si>
  <si>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</si>
  <si>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</si>
  <si>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</si>
  <si>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</si>
  <si>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</si>
  <si>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</si>
  <si>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</si>
  <si>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</si>
  <si>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</si>
  <si>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</si>
  <si>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</si>
  <si>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</si>
  <si>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</si>
  <si>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</si>
  <si>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</si>
  <si>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</si>
  <si>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</si>
  <si>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</si>
  <si>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</si>
  <si>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</si>
  <si>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</si>
  <si>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</si>
  <si>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</si>
  <si>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</si>
  <si>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</si>
  <si>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</si>
  <si>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</si>
  <si>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</si>
  <si>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</si>
  <si>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</si>
  <si>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</si>
  <si>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</si>
  <si>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</si>
  <si>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</si>
  <si>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</si>
  <si>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</si>
  <si>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</si>
  <si>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</si>
  <si>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</si>
  <si>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</si>
  <si>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</si>
  <si>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</si>
  <si>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</si>
  <si>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</si>
  <si>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</si>
  <si>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</si>
  <si>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</si>
  <si>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</si>
  <si>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</si>
  <si>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</si>
  <si>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</si>
  <si>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</si>
  <si>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</si>
  <si>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</si>
  <si>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</si>
  <si>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</si>
  <si>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</si>
  <si>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</si>
  <si>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</si>
  <si>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</si>
  <si>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</si>
  <si>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</si>
  <si>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</si>
  <si>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</si>
  <si>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</si>
  <si>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</si>
  <si>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</si>
  <si>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</si>
  <si>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</si>
  <si>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</si>
  <si>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</si>
  <si>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</si>
  <si>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</si>
  <si>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</si>
  <si>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</si>
  <si>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</si>
  <si>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</si>
  <si>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</si>
  <si>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</si>
  <si>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</si>
  <si>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</si>
  <si>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</si>
  <si>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</si>
  <si>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</si>
  <si>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</si>
  <si>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</si>
  <si>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</si>
  <si>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</si>
  <si>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</si>
  <si>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</si>
  <si>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</si>
  <si>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</si>
  <si>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</si>
  <si>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</si>
  <si>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</si>
  <si>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</si>
  <si>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</si>
  <si>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</si>
  <si>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</si>
  <si>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</si>
  <si>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</si>
  <si>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</si>
  <si>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</si>
  <si>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</si>
  <si>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</si>
  <si>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</si>
  <si>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</si>
  <si>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</si>
  <si>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</si>
  <si>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</si>
  <si>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</si>
  <si>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</si>
  <si>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</si>
  <si>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</si>
  <si>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</si>
  <si>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</si>
  <si>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</si>
  <si>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</si>
  <si>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</si>
  <si>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</si>
  <si>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</si>
  <si>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</si>
  <si>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</si>
  <si>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</si>
  <si>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</si>
  <si>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</si>
  <si>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</si>
  <si>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</si>
  <si>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</si>
  <si>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</si>
  <si>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</si>
  <si>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</si>
  <si>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</si>
  <si>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</si>
  <si>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</si>
  <si>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</si>
  <si>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</si>
  <si>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</si>
  <si>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</si>
  <si>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</si>
  <si>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</si>
  <si>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</si>
  <si>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</si>
  <si>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</si>
  <si>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</si>
  <si>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</si>
  <si>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</si>
  <si>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</si>
  <si>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</si>
  <si>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</si>
  <si>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</si>
  <si>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</si>
  <si>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</si>
  <si>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</si>
  <si>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</si>
  <si>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</si>
  <si>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</si>
  <si>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</si>
  <si>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</si>
  <si>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</si>
  <si>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</si>
  <si>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</si>
  <si>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</si>
  <si>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</si>
  <si>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</si>
  <si>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</si>
  <si>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</si>
  <si>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</si>
  <si>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</si>
  <si>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</si>
  <si>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</si>
  <si>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</si>
  <si>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</si>
  <si>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</si>
  <si>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</si>
  <si>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</si>
  <si>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</si>
  <si>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</si>
  <si>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</si>
  <si>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</si>
  <si>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</si>
  <si>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</si>
  <si>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</si>
  <si>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</si>
  <si>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</si>
  <si>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</si>
  <si>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</si>
  <si>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</si>
  <si>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</si>
  <si>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</si>
  <si>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</si>
  <si>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</si>
  <si>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</si>
  <si>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</si>
  <si>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</si>
  <si>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</si>
  <si>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</si>
  <si>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</si>
  <si>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</si>
  <si>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</si>
  <si>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</si>
  <si>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</si>
  <si>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</si>
  <si>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</si>
  <si>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</si>
  <si>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</si>
  <si>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</si>
  <si>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</si>
  <si>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</si>
  <si>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</si>
  <si>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</si>
  <si>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</si>
  <si>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</si>
  <si>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</si>
  <si>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</si>
  <si>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</si>
  <si>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</si>
  <si>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</si>
  <si>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</si>
  <si>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</si>
  <si>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</si>
  <si>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</si>
  <si>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</si>
  <si>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</si>
  <si>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</si>
  <si>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</si>
  <si>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</si>
  <si>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</si>
  <si>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</si>
  <si>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</si>
  <si>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</si>
  <si>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</si>
  <si>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</si>
  <si>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</si>
  <si>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</si>
  <si>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</si>
  <si>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</si>
  <si>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</si>
  <si>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</si>
  <si>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</si>
  <si>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</si>
  <si>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</si>
  <si>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</si>
  <si>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</si>
  <si>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</si>
  <si>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</si>
  <si>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</si>
  <si>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</si>
  <si>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</si>
  <si>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</si>
  <si>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</si>
  <si>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</si>
  <si>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</si>
  <si>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</si>
  <si>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</si>
  <si>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</si>
  <si>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</si>
  <si>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</si>
  <si>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</si>
  <si>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</si>
  <si>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</si>
  <si>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</si>
  <si>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</si>
  <si>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</si>
  <si>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</si>
  <si>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</si>
  <si>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</si>
  <si>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</si>
  <si>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</si>
  <si>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</si>
  <si>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</si>
  <si>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</si>
  <si>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</si>
  <si>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</si>
  <si>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</si>
  <si>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</si>
  <si>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</si>
  <si>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</si>
  <si>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</si>
  <si>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</si>
  <si>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</si>
  <si>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</si>
  <si>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</si>
  <si>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</si>
  <si>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</si>
  <si>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</si>
  <si>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</si>
  <si>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</si>
  <si>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</si>
  <si>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</si>
  <si>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</si>
  <si>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</si>
  <si>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</si>
  <si>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</si>
  <si>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</si>
  <si>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</si>
  <si>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</si>
  <si>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</si>
  <si>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</si>
  <si>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</si>
  <si>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</si>
  <si>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</si>
  <si>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</si>
  <si>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</si>
  <si>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</si>
  <si>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</si>
  <si>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</si>
  <si>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</si>
  <si>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</si>
  <si>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</si>
  <si>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</si>
  <si>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</si>
  <si>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</si>
  <si>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</si>
  <si>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</si>
  <si>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</si>
  <si>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</si>
  <si>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</si>
  <si>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</si>
  <si>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</si>
  <si>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</si>
  <si>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</si>
  <si>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</si>
  <si>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</si>
  <si>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</si>
  <si>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</si>
  <si>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</si>
  <si>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</si>
  <si>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</si>
  <si>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</si>
  <si>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</si>
  <si>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</si>
  <si>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</si>
  <si>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</si>
  <si>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</si>
  <si>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</si>
  <si>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</si>
  <si>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</si>
  <si>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</si>
  <si>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</si>
  <si>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</si>
  <si>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</si>
  <si>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</si>
  <si>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</si>
  <si>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</si>
  <si>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</si>
  <si>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</si>
  <si>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</si>
  <si>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</si>
  <si>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</si>
  <si>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</si>
  <si>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</si>
  <si>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</si>
  <si>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Harding Street Neighbors, LP</t>
  </si>
  <si>
    <t>Pacific Wind Apartments</t>
  </si>
  <si>
    <t>City of Carlsbad</t>
  </si>
  <si>
    <t>Scott Chadwick</t>
  </si>
  <si>
    <t>1200 Carlsbad Village Drive</t>
  </si>
  <si>
    <t>Carlsbad</t>
  </si>
  <si>
    <t>manager@carlsbadca.gov</t>
  </si>
  <si>
    <t>CDLAC-TCAC Joint Application (submitting concurrently)</t>
  </si>
  <si>
    <t>High Resource</t>
  </si>
  <si>
    <t>$500M</t>
  </si>
  <si>
    <t>40%/60%</t>
  </si>
  <si>
    <t>501 N. Golden Circle, Suite 100</t>
  </si>
  <si>
    <t>Santa Ana</t>
  </si>
  <si>
    <t>CA</t>
  </si>
  <si>
    <t>Todd Cottle</t>
  </si>
  <si>
    <t>todd@c-cdev.com</t>
  </si>
  <si>
    <t>Managing GP</t>
  </si>
  <si>
    <t>Administrative GP</t>
  </si>
  <si>
    <t>IHO Harding Street, LLC</t>
  </si>
  <si>
    <t>Rochelle Mills, President and CEO</t>
  </si>
  <si>
    <t>rmills@innovativehousing.com</t>
  </si>
  <si>
    <t>Innovative Housing Opportunities, Inc.</t>
  </si>
  <si>
    <t>C&amp;C Harding Street, LLC</t>
  </si>
  <si>
    <t>14211 Yorba Street, Suite 200</t>
  </si>
  <si>
    <t>Tustin</t>
  </si>
  <si>
    <t>C&amp;C Development Co., LLC</t>
  </si>
  <si>
    <t>Parent Company of General Partner</t>
  </si>
  <si>
    <t>Tustin, CA 92780</t>
  </si>
  <si>
    <t>Bassenian / Lagoni</t>
  </si>
  <si>
    <t>2031 Orchard Drive, Suite 100</t>
  </si>
  <si>
    <t>Newport Beach, CA 92660</t>
  </si>
  <si>
    <t>Mark Kiner</t>
  </si>
  <si>
    <t>mkiner@bassenianlagoni.com</t>
  </si>
  <si>
    <t>Goldfarb &amp; Lipman</t>
  </si>
  <si>
    <t>1300 Clay Street, 11th Floor</t>
  </si>
  <si>
    <t>Oakland, CA 94612</t>
  </si>
  <si>
    <t>Lynn Hutchins</t>
  </si>
  <si>
    <t>lhutchins@goldfarblipman.com</t>
  </si>
  <si>
    <t>Amy DeVaudreuil</t>
  </si>
  <si>
    <t>adevaudreuil@goldfarblipman.com</t>
  </si>
  <si>
    <t>Energy Inspectors</t>
  </si>
  <si>
    <t>1 Civic Center Dr. STE 300</t>
  </si>
  <si>
    <t>San Marcos, CA 92069</t>
  </si>
  <si>
    <t>Gina Lombardo</t>
  </si>
  <si>
    <t>glombardo@eicompanies.com</t>
  </si>
  <si>
    <t>Keller and Associates</t>
  </si>
  <si>
    <t>18645 Sherman Way, Suite 110</t>
  </si>
  <si>
    <t>Reseda, CA 91335</t>
  </si>
  <si>
    <t>David Keller</t>
  </si>
  <si>
    <t>david.keller67@yahoo.com</t>
  </si>
  <si>
    <t>tfabian@nefinc.org</t>
  </si>
  <si>
    <t>National Equity Fund Inc.</t>
  </si>
  <si>
    <t>500 S. Grand Avenue, Suite 2300</t>
  </si>
  <si>
    <t>Los Angeles, CA 90071</t>
  </si>
  <si>
    <t>Todd Fabian</t>
  </si>
  <si>
    <t>TBD</t>
  </si>
  <si>
    <t>Kinetic Valuation</t>
  </si>
  <si>
    <t>11060 Oak Street Suite 6</t>
  </si>
  <si>
    <t>Omaha, NE 68144</t>
  </si>
  <si>
    <t>Amanda Baker</t>
  </si>
  <si>
    <t>amanda@kvgteam.com</t>
  </si>
  <si>
    <t>CMFA</t>
  </si>
  <si>
    <t>2111 Palomar Airport Rd., Suite 320</t>
  </si>
  <si>
    <t>Carlsbad, CA 92011</t>
  </si>
  <si>
    <t>John P. Stoecker</t>
  </si>
  <si>
    <t>Advanced Property Services Management, Inc.</t>
  </si>
  <si>
    <t>14211 Yorba St., Ste. 200</t>
  </si>
  <si>
    <t>Barry Cottle</t>
  </si>
  <si>
    <t>barry@c-cdev.com</t>
  </si>
  <si>
    <t>Tax Exempt Const. Loan</t>
  </si>
  <si>
    <t>Taxable Bonds</t>
  </si>
  <si>
    <t>Limited Partner Equity</t>
  </si>
  <si>
    <t>Other Costs Deferred Until Completion</t>
  </si>
  <si>
    <t>Fixed</t>
  </si>
  <si>
    <t>Variable</t>
  </si>
  <si>
    <t>333 S. Hope St.</t>
  </si>
  <si>
    <t>Los Angles</t>
  </si>
  <si>
    <t>Maria Joyce Maynard</t>
  </si>
  <si>
    <t>Construction Loan</t>
  </si>
  <si>
    <t>1 Month Libor</t>
  </si>
  <si>
    <t>Residual Receipts</t>
  </si>
  <si>
    <t>Investor Equity</t>
  </si>
  <si>
    <t>500 S. Grand Ave., Ste. 2300</t>
  </si>
  <si>
    <t>Tax Exempt Perm Loan</t>
  </si>
  <si>
    <t>Permanent Loan</t>
  </si>
  <si>
    <t>Invesor Equity</t>
  </si>
  <si>
    <t>(2) BR</t>
  </si>
  <si>
    <t>City of Carlsbad Housing Authority</t>
  </si>
  <si>
    <t>Payroll Taxes, Benefits</t>
  </si>
  <si>
    <t>Supplies &amp; Fire Monitoring</t>
  </si>
  <si>
    <t>Business Tax</t>
  </si>
  <si>
    <t>Permanent Conversion Fee</t>
  </si>
  <si>
    <t>Relocation</t>
  </si>
  <si>
    <t>Dry Utilities &amp; Noise Consultant</t>
  </si>
  <si>
    <t>Annual Fees</t>
  </si>
  <si>
    <t>None</t>
  </si>
  <si>
    <t>Secured by Fee Interest</t>
  </si>
  <si>
    <t>Inner City Infill Site</t>
  </si>
  <si>
    <t>1 bed: 1 pa; 2-3 bed: 2 pa; (151 Spaces Required)</t>
  </si>
  <si>
    <t>35 ft</t>
  </si>
  <si>
    <t>Parcel Map</t>
  </si>
  <si>
    <t>3724 &amp; 3726 Harding St.</t>
  </si>
  <si>
    <t>3736 &amp; 3738 Harding St.</t>
  </si>
  <si>
    <t>3748 &amp; 3750 Harding St.</t>
  </si>
  <si>
    <t>3760 &amp; 3762 Harding St.</t>
  </si>
  <si>
    <t>3772 &amp; 3774 Harding St.</t>
  </si>
  <si>
    <t>3784 &amp; 3786 Harding St.</t>
  </si>
  <si>
    <t>3796 &amp; 3798 Harding St.</t>
  </si>
  <si>
    <t>3814 &amp; 3816 Harding St.</t>
  </si>
  <si>
    <t>3826 &amp; 3828 Harding St.</t>
  </si>
  <si>
    <t>3836 &amp; 3838 Harding St.</t>
  </si>
  <si>
    <t>3824 &amp; 3826 Jefferson St.</t>
  </si>
  <si>
    <t>Koyl Real Estate Ventures, LP</t>
  </si>
  <si>
    <t>844 &amp; 846 Carol Pl.</t>
  </si>
  <si>
    <t>3827 &amp; 3829 Harding St.</t>
  </si>
  <si>
    <t>3813 &amp; 3815 Harding St.</t>
  </si>
  <si>
    <t>3801 &amp; 3803 Harding St.</t>
  </si>
  <si>
    <t>3785 &amp; 3787 Harding St.</t>
  </si>
  <si>
    <t>3775 &amp; 3777 Harding St.</t>
  </si>
  <si>
    <t>3761 &amp; 3763 Harding St.</t>
  </si>
  <si>
    <t>3749 &amp; 3751 Harding St.</t>
  </si>
  <si>
    <t>3737 &amp; 3739 Harding St.</t>
  </si>
  <si>
    <t>Magnolia Avenue Vacant Lot</t>
  </si>
  <si>
    <t>Billie Koyl, Successor Trustee of the David Koyl and Billie Koyl Family Trust dated December 18, 1987</t>
  </si>
  <si>
    <t>Jose J. Prieto, Susana P. Rocha, Martha P. Aguilera &amp; Josefina P Ibarra</t>
  </si>
  <si>
    <t>Seller</t>
  </si>
  <si>
    <t xml:space="preserve">6 hours per week throughout the school year </t>
  </si>
  <si>
    <t>Cash from operations</t>
  </si>
  <si>
    <t xml:space="preserve">Property Operating Budget </t>
  </si>
  <si>
    <t xml:space="preserve">Innovative Housing Opportunities, Inc. </t>
  </si>
  <si>
    <t>204-292-10</t>
  </si>
  <si>
    <t>204-292-11</t>
  </si>
  <si>
    <t>204-292-12</t>
  </si>
  <si>
    <t>204-292-13</t>
  </si>
  <si>
    <t>204-292-14</t>
  </si>
  <si>
    <t>204-292-17</t>
  </si>
  <si>
    <t>204-292-18</t>
  </si>
  <si>
    <t>204-292-20</t>
  </si>
  <si>
    <t>204-292-21</t>
  </si>
  <si>
    <t>204-292-22</t>
  </si>
  <si>
    <t>204-291-27</t>
  </si>
  <si>
    <t>204-291-26</t>
  </si>
  <si>
    <t>204-291-25</t>
  </si>
  <si>
    <t>204-291-24</t>
  </si>
  <si>
    <t>204-291-23</t>
  </si>
  <si>
    <t>204-291-19</t>
  </si>
  <si>
    <t>204-291-20</t>
  </si>
  <si>
    <t>204-291-21</t>
  </si>
  <si>
    <t>204-291-22</t>
  </si>
  <si>
    <t>204-291-14</t>
  </si>
  <si>
    <t>204-292-16</t>
  </si>
  <si>
    <t>204-292-02</t>
  </si>
  <si>
    <t>204-292-19</t>
  </si>
  <si>
    <t>Address*</t>
  </si>
  <si>
    <t>Please refer to the Notes tab.</t>
  </si>
  <si>
    <t>Borrower's Legal</t>
  </si>
  <si>
    <t>Lender Construction Inspection &amp; Lender Fees</t>
  </si>
  <si>
    <t>68 Years</t>
  </si>
  <si>
    <t>2 - 2 Bedroom Rehab Units</t>
  </si>
  <si>
    <t>1 Month BSBY</t>
  </si>
  <si>
    <t>Units with communication features</t>
  </si>
  <si>
    <t>Parcel</t>
  </si>
  <si>
    <t xml:space="preserve">Date Acquired </t>
  </si>
  <si>
    <t>204-292-01</t>
  </si>
  <si>
    <t>Expected</t>
  </si>
  <si>
    <t>Purchase</t>
  </si>
  <si>
    <t xml:space="preserve">Date of </t>
  </si>
  <si>
    <t>Escrow</t>
  </si>
  <si>
    <t>Purchased</t>
  </si>
  <si>
    <t>Real</t>
  </si>
  <si>
    <t>Historical</t>
  </si>
  <si>
    <t>Holding</t>
  </si>
  <si>
    <t>Projected</t>
  </si>
  <si>
    <t>Price</t>
  </si>
  <si>
    <t>Signatory of</t>
  </si>
  <si>
    <t>Expiration</t>
  </si>
  <si>
    <t>Closing</t>
  </si>
  <si>
    <t>from</t>
  </si>
  <si>
    <t>Estate</t>
  </si>
  <si>
    <t>Property</t>
  </si>
  <si>
    <t>Costs per</t>
  </si>
  <si>
    <t>Over</t>
  </si>
  <si>
    <t>Name of Seller / Owner</t>
  </si>
  <si>
    <t>Principal</t>
  </si>
  <si>
    <t>Title</t>
  </si>
  <si>
    <t>Seller / Owner Address</t>
  </si>
  <si>
    <t>Phone</t>
  </si>
  <si>
    <t>Contract / Option</t>
  </si>
  <si>
    <t>Date of Option</t>
  </si>
  <si>
    <t>Affiliate</t>
  </si>
  <si>
    <t>Tax Rate</t>
  </si>
  <si>
    <t>Site</t>
  </si>
  <si>
    <t>Costs</t>
  </si>
  <si>
    <t>Appraisal</t>
  </si>
  <si>
    <t>Member</t>
  </si>
  <si>
    <t>(714) 288-7600 Ext: 250</t>
  </si>
  <si>
    <t>Please refer to the NOTES tab</t>
  </si>
  <si>
    <t>Harding Street Neighbors LP</t>
  </si>
  <si>
    <t>Seller /</t>
  </si>
  <si>
    <t>Owner</t>
  </si>
  <si>
    <t>501 N. Golden Circle, Suite 100, Santa Ana, CA 92705</t>
  </si>
  <si>
    <t>Previous</t>
  </si>
  <si>
    <t>*All are in Carlsbad, CA 92008</t>
  </si>
  <si>
    <t>Please also note that when Cartwright CCR LLC purchased the properties, the sellers in that transaction were the following unrelated parties:</t>
  </si>
  <si>
    <t>Please refer to the NOTES tab.</t>
  </si>
  <si>
    <t>SOFT</t>
  </si>
  <si>
    <t xml:space="preserve">Perm. </t>
  </si>
  <si>
    <t>Financing</t>
  </si>
  <si>
    <t>Residential Density-Multiple Zone- 30 DU/AC</t>
  </si>
  <si>
    <t>R-30, Residential 23-30 DU/AC</t>
  </si>
  <si>
    <t>901 &amp; 903 Magnolia Ave.</t>
  </si>
  <si>
    <t>3712 &amp; 3714 Harding St.</t>
  </si>
  <si>
    <t xml:space="preserve">3802 &amp; 3804 Harding St. </t>
  </si>
  <si>
    <t>Provided</t>
  </si>
  <si>
    <t>Not Applicable</t>
  </si>
  <si>
    <t>Innovative Housing Opportunities, Inc. &amp; C&amp;C Development Co., LLC</t>
  </si>
  <si>
    <t>BASIS Architecture &amp; Consulting</t>
  </si>
  <si>
    <t>Charles Pick</t>
  </si>
  <si>
    <t>2130 4th Street</t>
  </si>
  <si>
    <t>San Rafael, CA 94901</t>
  </si>
  <si>
    <t>info@basisarch.com</t>
  </si>
  <si>
    <t>Income from Operations</t>
  </si>
  <si>
    <t>David de Cordova</t>
  </si>
  <si>
    <t>General Partner Equity</t>
  </si>
  <si>
    <t xml:space="preserve"> Robert Steven Gillingham, as Trustee of the Robert Steven Gillingham Revocable Intervivos Trust dated July 11,1994</t>
  </si>
  <si>
    <t>Affordable Housing Rental Units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</si>
</sst>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 numFmtId="185" formatCode="m/d/yyyy;@"/>
    <numFmt numFmtId="186" formatCode="0.0000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10"/>
      <color theme="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17148">
    <xf numFmtId="0" fontId="0" fillId="0" borderId="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2" fillId="35"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4" fillId="37" borderId="18" applyNumberFormat="0" applyAlignment="0" applyProtection="0"/>
    <xf numFmtId="0" fontId="84" fillId="37" borderId="18" applyNumberFormat="0" applyAlignment="0" applyProtection="0"/>
    <xf numFmtId="0" fontId="85" fillId="38"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9"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40"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1"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21" fillId="0" borderId="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96" fillId="37" borderId="25" applyNumberFormat="0" applyAlignment="0" applyProtection="0"/>
    <xf numFmtId="0" fontId="96" fillId="37"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9" fontId="12" fillId="0" borderId="0" applyFont="0" applyFill="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97" fillId="0" borderId="0" applyNumberForma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4" fontId="169" fillId="0" borderId="0" applyFont="0" applyFill="0" applyBorder="0" applyAlignment="0" applyProtection="0"/>
    <xf numFmtId="43" fontId="169"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0" borderId="0"/>
  </cellStyleXfs>
  <cellXfs count="340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2" fillId="5" borderId="11" xfId="0" applyFont="1" applyFill="1" applyBorder="1" applyAlignment="1" applyProtection="1">
      <alignment horizontal="right" vertical="top" wrapText="1"/>
      <protection locked="0"/>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544" applyNumberFormat="1" applyFont="1" applyBorder="1" applyAlignment="1" applyProtection="1">
      <alignment horizontal="right" vertical="top" wrapText="1"/>
    </xf>
    <xf numFmtId="0" fontId="21" fillId="0" borderId="0" xfId="544" applyNumberFormat="1" applyFont="1" applyBorder="1" applyAlignment="1" applyProtection="1">
      <alignment horizontal="left" vertical="center"/>
    </xf>
    <xf numFmtId="0" fontId="21" fillId="0" borderId="0" xfId="544"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3" fontId="64" fillId="0" borderId="6" xfId="0" applyNumberFormat="1" applyFont="1" applyBorder="1"/>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0" fontId="17" fillId="0" borderId="11" xfId="253" applyFont="1" applyFill="1" applyBorder="1" applyAlignment="1" applyProtection="1">
      <alignment horizontal="center" wrapText="1"/>
      <protection locked="0"/>
    </xf>
    <xf numFmtId="168" fontId="17" fillId="0" borderId="0" xfId="271" applyNumberFormat="1" applyFont="1" applyBorder="1" applyProtection="1">
      <protection locked="0"/>
    </xf>
    <xf numFmtId="3" fontId="17" fillId="10" borderId="11" xfId="271" applyNumberFormat="1" applyFont="1" applyFill="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165" fontId="19" fillId="0" borderId="0" xfId="271" applyNumberFormat="1" applyFont="1" applyBorder="1" applyAlignment="1" applyProtection="1">
      <alignment horizontal="center"/>
    </xf>
    <xf numFmtId="0" fontId="19" fillId="0" borderId="0" xfId="271" applyFont="1" applyBorder="1" applyAlignment="1" applyProtection="1">
      <alignment horizontal="center"/>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3"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70" applyFont="1" applyBorder="1" applyAlignment="1" applyProtection="1">
      <alignment vertical="top" wrapText="1"/>
    </xf>
    <xf numFmtId="0" fontId="26" fillId="0" borderId="0" xfId="570" applyFont="1" applyBorder="1" applyAlignment="1" applyProtection="1">
      <alignment vertical="top" wrapText="1"/>
    </xf>
    <xf numFmtId="0" fontId="51" fillId="2" borderId="11" xfId="570" applyFont="1" applyFill="1" applyBorder="1" applyAlignment="1" applyProtection="1">
      <alignment horizontal="left" vertical="top" wrapText="1"/>
    </xf>
    <xf numFmtId="6" fontId="49" fillId="4" borderId="11" xfId="570" applyNumberFormat="1" applyFont="1" applyFill="1" applyBorder="1" applyAlignment="1" applyProtection="1">
      <alignmen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6" fontId="49" fillId="0" borderId="11" xfId="570" applyNumberFormat="1" applyFont="1" applyFill="1" applyBorder="1" applyAlignment="1" applyProtection="1">
      <alignment vertical="top" wrapText="1"/>
    </xf>
    <xf numFmtId="6" fontId="49" fillId="5" borderId="11" xfId="570" applyNumberFormat="1" applyFont="1" applyFill="1" applyBorder="1" applyAlignment="1" applyProtection="1">
      <alignment vertical="top" wrapText="1"/>
      <protection locked="0"/>
    </xf>
    <xf numFmtId="6" fontId="49" fillId="6" borderId="11" xfId="570" applyNumberFormat="1" applyFont="1" applyFill="1" applyBorder="1" applyAlignment="1" applyProtection="1">
      <alignment horizontal="center" vertical="top" wrapText="1"/>
    </xf>
    <xf numFmtId="0" fontId="49" fillId="0" borderId="11" xfId="570" applyFont="1" applyBorder="1" applyAlignment="1" applyProtection="1">
      <alignment horizontal="right" vertical="top" wrapText="1"/>
    </xf>
    <xf numFmtId="0" fontId="50" fillId="0" borderId="11" xfId="570" applyFont="1" applyBorder="1" applyAlignment="1" applyProtection="1">
      <alignment horizontal="right" vertical="top" wrapText="1"/>
    </xf>
    <xf numFmtId="0" fontId="49" fillId="0" borderId="11" xfId="570" applyFont="1" applyFill="1" applyBorder="1" applyAlignment="1" applyProtection="1">
      <alignment horizontal="right" vertical="top"/>
    </xf>
    <xf numFmtId="0" fontId="49" fillId="0" borderId="11" xfId="570" applyFont="1" applyFill="1" applyBorder="1" applyAlignment="1" applyProtection="1">
      <alignment horizontal="right" vertical="top" wrapText="1"/>
    </xf>
    <xf numFmtId="6" fontId="50" fillId="0" borderId="11" xfId="570" applyNumberFormat="1" applyFont="1" applyFill="1" applyBorder="1" applyAlignment="1" applyProtection="1">
      <alignment vertical="top" wrapText="1"/>
    </xf>
    <xf numFmtId="0" fontId="50" fillId="0" borderId="11" xfId="570" applyFont="1" applyFill="1" applyBorder="1" applyAlignment="1" applyProtection="1">
      <alignment horizontal="right" vertical="top" wrapText="1"/>
    </xf>
    <xf numFmtId="0" fontId="50" fillId="0" borderId="8" xfId="570" applyFont="1" applyBorder="1" applyAlignment="1" applyProtection="1">
      <alignment vertical="top" wrapText="1"/>
    </xf>
    <xf numFmtId="0" fontId="50" fillId="0" borderId="0" xfId="570" applyFont="1" applyBorder="1" applyAlignment="1" applyProtection="1">
      <alignment vertical="top" wrapText="1"/>
    </xf>
    <xf numFmtId="0" fontId="15" fillId="0" borderId="11" xfId="570" applyFont="1" applyBorder="1" applyAlignment="1" applyProtection="1">
      <alignment horizontal="right" vertical="top" wrapText="1"/>
    </xf>
    <xf numFmtId="0" fontId="50" fillId="0" borderId="0" xfId="570" applyFont="1" applyBorder="1" applyAlignment="1" applyProtection="1">
      <alignment horizontal="left" vertical="top"/>
    </xf>
    <xf numFmtId="6" fontId="49" fillId="0" borderId="0" xfId="570" applyNumberFormat="1" applyFont="1" applyBorder="1" applyAlignment="1" applyProtection="1">
      <alignment horizontal="left" vertical="top"/>
    </xf>
    <xf numFmtId="0" fontId="102" fillId="0" borderId="0" xfId="570" applyFont="1" applyBorder="1" applyAlignment="1" applyProtection="1">
      <alignment horizontal="left" vertical="top"/>
    </xf>
    <xf numFmtId="6" fontId="49" fillId="0" borderId="0" xfId="570" applyNumberFormat="1" applyFont="1" applyBorder="1" applyAlignment="1" applyProtection="1">
      <alignment vertical="top" wrapText="1"/>
    </xf>
    <xf numFmtId="6" fontId="50" fillId="0" borderId="11" xfId="570" applyNumberFormat="1" applyFont="1" applyBorder="1" applyAlignment="1" applyProtection="1">
      <alignment vertical="top" wrapText="1"/>
    </xf>
    <xf numFmtId="0" fontId="49" fillId="0" borderId="0" xfId="570" applyFont="1" applyBorder="1" applyAlignment="1" applyProtection="1">
      <alignment horizontal="left" vertical="top"/>
    </xf>
    <xf numFmtId="0" fontId="49" fillId="0" borderId="12" xfId="570" applyFont="1" applyBorder="1" applyAlignment="1" applyProtection="1">
      <alignment vertical="top" wrapText="1"/>
    </xf>
    <xf numFmtId="0" fontId="19" fillId="0" borderId="0" xfId="570" applyFont="1" applyBorder="1" applyAlignment="1" applyProtection="1">
      <alignment horizontal="left" vertical="top"/>
    </xf>
    <xf numFmtId="0" fontId="105" fillId="0" borderId="0" xfId="570" applyFont="1" applyBorder="1" applyAlignment="1" applyProtection="1">
      <alignment horizontal="left" vertical="top"/>
    </xf>
    <xf numFmtId="0" fontId="60" fillId="0" borderId="0" xfId="570" applyFont="1" applyFill="1" applyBorder="1" applyAlignment="1" applyProtection="1">
      <alignment horizontal="left" vertical="center"/>
    </xf>
    <xf numFmtId="0" fontId="27" fillId="0" borderId="0" xfId="570" applyFont="1" applyFill="1" applyBorder="1" applyAlignment="1" applyProtection="1">
      <alignment vertical="top" wrapText="1"/>
    </xf>
    <xf numFmtId="0" fontId="27" fillId="0" borderId="0" xfId="570" applyFont="1" applyBorder="1" applyAlignment="1" applyProtection="1">
      <alignment vertical="top" wrapText="1"/>
    </xf>
    <xf numFmtId="0" fontId="27" fillId="0" borderId="12" xfId="570" applyFont="1" applyBorder="1" applyAlignment="1" applyProtection="1">
      <alignment vertical="top" wrapText="1"/>
    </xf>
    <xf numFmtId="0" fontId="27" fillId="0" borderId="8" xfId="570" applyFont="1" applyBorder="1" applyAlignment="1" applyProtection="1">
      <alignment vertical="top" wrapText="1"/>
    </xf>
    <xf numFmtId="0" fontId="49" fillId="0" borderId="0" xfId="570" applyFont="1" applyFill="1" applyBorder="1" applyAlignment="1" applyProtection="1">
      <alignment vertical="top"/>
    </xf>
    <xf numFmtId="0" fontId="49" fillId="0" borderId="0" xfId="570" applyFont="1" applyFill="1" applyBorder="1" applyAlignment="1" applyProtection="1">
      <alignment vertical="top" wrapText="1"/>
    </xf>
    <xf numFmtId="168" fontId="49" fillId="0" borderId="0" xfId="570" applyNumberFormat="1" applyFont="1" applyFill="1" applyBorder="1" applyAlignment="1" applyProtection="1">
      <alignment horizontal="right" vertical="top" wrapText="1"/>
      <protection locked="0"/>
    </xf>
    <xf numFmtId="0" fontId="12" fillId="0" borderId="0" xfId="570" applyFont="1" applyFill="1" applyBorder="1" applyAlignment="1" applyProtection="1">
      <alignment vertical="top" wrapText="1"/>
    </xf>
    <xf numFmtId="0" fontId="12" fillId="0" borderId="0" xfId="570" applyFont="1" applyFill="1" applyBorder="1" applyAlignment="1">
      <alignment vertical="top"/>
    </xf>
    <xf numFmtId="0" fontId="49" fillId="0" borderId="0" xfId="570" applyFont="1" applyFill="1" applyBorder="1" applyAlignment="1" applyProtection="1">
      <alignment horizontal="right" vertical="top" wrapText="1"/>
    </xf>
    <xf numFmtId="0" fontId="19" fillId="0" borderId="0" xfId="570" applyFont="1" applyFill="1" applyBorder="1" applyAlignment="1" applyProtection="1">
      <alignment horizontal="left" vertical="top" wrapText="1"/>
    </xf>
    <xf numFmtId="168" fontId="49" fillId="0" borderId="0" xfId="570" applyNumberFormat="1" applyFont="1" applyFill="1" applyBorder="1" applyAlignment="1" applyProtection="1">
      <alignment horizontal="right" vertical="top" wrapText="1"/>
    </xf>
    <xf numFmtId="0" fontId="12" fillId="0" borderId="0" xfId="570" applyFont="1" applyFill="1" applyBorder="1" applyAlignment="1" applyProtection="1">
      <alignment horizontal="left" vertical="top" wrapText="1"/>
      <protection locked="0"/>
    </xf>
    <xf numFmtId="0" fontId="12" fillId="0" borderId="0" xfId="570" applyFont="1" applyFill="1" applyBorder="1" applyAlignment="1" applyProtection="1">
      <alignment horizontal="right" vertical="top" wrapText="1"/>
    </xf>
    <xf numFmtId="0" fontId="12" fillId="0" borderId="0" xfId="570" applyFont="1" applyFill="1" applyBorder="1" applyAlignment="1" applyProtection="1">
      <alignment horizontal="left" vertical="top"/>
    </xf>
    <xf numFmtId="0" fontId="19" fillId="0" borderId="0" xfId="570" applyFont="1" applyFill="1" applyBorder="1" applyAlignment="1" applyProtection="1">
      <alignment horizontal="left" vertical="top"/>
    </xf>
    <xf numFmtId="0" fontId="77" fillId="0" borderId="0" xfId="570" applyFont="1" applyBorder="1" applyAlignment="1" applyProtection="1">
      <alignment vertical="top" wrapText="1"/>
    </xf>
    <xf numFmtId="0" fontId="77" fillId="0" borderId="12" xfId="570" applyFont="1" applyBorder="1" applyAlignment="1" applyProtection="1">
      <alignment vertical="top" wrapText="1"/>
    </xf>
    <xf numFmtId="0" fontId="77" fillId="0" borderId="8" xfId="570" applyFont="1" applyBorder="1" applyAlignment="1" applyProtection="1">
      <alignment vertical="top" wrapText="1"/>
    </xf>
    <xf numFmtId="0" fontId="26" fillId="0" borderId="0" xfId="570" applyFont="1" applyFill="1" applyBorder="1" applyAlignment="1" applyProtection="1">
      <alignment vertical="top" wrapText="1"/>
    </xf>
    <xf numFmtId="0" fontId="12" fillId="0" borderId="0" xfId="570" applyFont="1" applyBorder="1" applyAlignment="1" applyProtection="1">
      <alignment horizontal="right" vertical="top" wrapText="1"/>
    </xf>
    <xf numFmtId="0" fontId="12" fillId="0" borderId="0" xfId="570" applyFont="1" applyBorder="1" applyAlignment="1" applyProtection="1">
      <alignment vertical="top" wrapText="1"/>
    </xf>
    <xf numFmtId="0" fontId="26" fillId="0" borderId="0" xfId="570" applyFont="1" applyBorder="1" applyAlignment="1" applyProtection="1">
      <alignment horizontal="right" vertical="top" wrapText="1"/>
    </xf>
    <xf numFmtId="0" fontId="77" fillId="0" borderId="0" xfId="570" applyFont="1" applyBorder="1" applyAlignment="1" applyProtection="1">
      <alignment horizontal="right" vertical="top" wrapText="1"/>
    </xf>
    <xf numFmtId="0" fontId="50" fillId="0" borderId="3" xfId="570" applyFont="1" applyBorder="1" applyAlignment="1" applyProtection="1">
      <alignment horizontal="left"/>
    </xf>
    <xf numFmtId="0" fontId="50" fillId="0" borderId="13" xfId="570" applyFont="1" applyBorder="1" applyAlignment="1" applyProtection="1">
      <alignment horizontal="center" wrapText="1"/>
    </xf>
    <xf numFmtId="0" fontId="50" fillId="0" borderId="13" xfId="570" applyFont="1" applyFill="1" applyBorder="1" applyAlignment="1" applyProtection="1">
      <alignment horizontal="center" wrapText="1"/>
    </xf>
    <xf numFmtId="0" fontId="50" fillId="0" borderId="8" xfId="570" applyFont="1" applyBorder="1" applyAlignment="1" applyProtection="1">
      <alignment horizontal="center" wrapText="1"/>
    </xf>
    <xf numFmtId="0" fontId="50" fillId="0" borderId="0" xfId="570" applyFont="1" applyBorder="1" applyAlignment="1" applyProtection="1">
      <alignment horizontal="center" wrapText="1"/>
    </xf>
    <xf numFmtId="0" fontId="12" fillId="0" borderId="0" xfId="570" applyFont="1"/>
    <xf numFmtId="0" fontId="12" fillId="0" borderId="0" xfId="570"/>
    <xf numFmtId="0" fontId="12" fillId="0" borderId="0" xfId="570" applyFill="1"/>
    <xf numFmtId="0" fontId="12" fillId="0" borderId="0" xfId="570" applyBorder="1" applyProtection="1"/>
    <xf numFmtId="0" fontId="18" fillId="0" borderId="0" xfId="570" applyFont="1" applyFill="1" applyBorder="1" applyAlignment="1">
      <alignment horizontal="center" vertical="center"/>
    </xf>
    <xf numFmtId="0" fontId="12" fillId="0" borderId="0" xfId="570" applyFont="1" applyFill="1"/>
    <xf numFmtId="0" fontId="19" fillId="0" borderId="0" xfId="570" applyFont="1"/>
    <xf numFmtId="0" fontId="12" fillId="0" borderId="1" xfId="570" applyBorder="1"/>
    <xf numFmtId="0" fontId="12" fillId="0" borderId="2" xfId="570" applyBorder="1"/>
    <xf numFmtId="0" fontId="12" fillId="0" borderId="8" xfId="570" applyBorder="1"/>
    <xf numFmtId="0" fontId="12" fillId="0" borderId="0" xfId="570" applyBorder="1"/>
    <xf numFmtId="0" fontId="12" fillId="0" borderId="9" xfId="570" applyBorder="1"/>
    <xf numFmtId="0" fontId="12" fillId="0" borderId="6" xfId="570" applyBorder="1"/>
    <xf numFmtId="0" fontId="20" fillId="0" borderId="0" xfId="570" applyFont="1"/>
    <xf numFmtId="0" fontId="12" fillId="0" borderId="7" xfId="570" applyBorder="1"/>
    <xf numFmtId="0" fontId="12" fillId="0" borderId="12" xfId="570" applyBorder="1"/>
    <xf numFmtId="0" fontId="12" fillId="0" borderId="10" xfId="570" applyBorder="1"/>
    <xf numFmtId="0" fontId="20" fillId="0" borderId="0" xfId="570" applyNumberFormat="1" applyFont="1" applyAlignment="1">
      <alignment vertical="top" wrapText="1"/>
    </xf>
    <xf numFmtId="0" fontId="12" fillId="0" borderId="0" xfId="570" applyFill="1" applyAlignment="1">
      <alignment horizontal="right"/>
    </xf>
    <xf numFmtId="0" fontId="12" fillId="0" borderId="0" xfId="570" applyFill="1" applyBorder="1"/>
    <xf numFmtId="0" fontId="12" fillId="0" borderId="0" xfId="570" applyFont="1" applyBorder="1" applyAlignment="1">
      <alignment wrapText="1"/>
    </xf>
    <xf numFmtId="0" fontId="12" fillId="0" borderId="0" xfId="570" applyFont="1" applyFill="1" applyAlignment="1">
      <alignment vertical="center"/>
    </xf>
    <xf numFmtId="0" fontId="12" fillId="0" borderId="0" xfId="570" applyFill="1" applyAlignment="1">
      <alignment vertical="center"/>
    </xf>
    <xf numFmtId="0" fontId="36" fillId="0" borderId="0" xfId="570" applyFont="1" applyFill="1" applyBorder="1" applyAlignment="1">
      <alignment vertical="center" wrapText="1"/>
    </xf>
    <xf numFmtId="0" fontId="30" fillId="0" borderId="0" xfId="570" applyFont="1" applyAlignment="1">
      <alignment vertical="top" wrapText="1"/>
    </xf>
    <xf numFmtId="0" fontId="12" fillId="0" borderId="0" xfId="570" applyFill="1" applyAlignment="1">
      <alignment wrapText="1"/>
    </xf>
    <xf numFmtId="0" fontId="19" fillId="0" borderId="0" xfId="570" applyFont="1" applyFill="1"/>
    <xf numFmtId="0" fontId="19" fillId="0" borderId="0" xfId="570" applyFont="1" applyFill="1" applyAlignment="1">
      <alignment horizontal="left" vertical="top"/>
    </xf>
    <xf numFmtId="0" fontId="19" fillId="0" borderId="0" xfId="570" applyFont="1" applyFill="1" applyAlignment="1">
      <alignment vertical="top" wrapText="1"/>
    </xf>
    <xf numFmtId="0" fontId="19" fillId="0" borderId="0" xfId="570" applyFont="1" applyAlignment="1">
      <alignment vertical="top" wrapText="1"/>
    </xf>
    <xf numFmtId="0" fontId="20" fillId="0" borderId="0" xfId="570" applyFont="1" applyAlignment="1">
      <alignment horizontal="left" vertical="top" wrapText="1"/>
    </xf>
    <xf numFmtId="164" fontId="12" fillId="0" borderId="0" xfId="570" applyNumberFormat="1" applyFill="1" applyBorder="1" applyAlignment="1">
      <alignment horizontal="right"/>
    </xf>
    <xf numFmtId="0" fontId="49" fillId="0" borderId="0" xfId="570" applyFont="1" applyFill="1" applyBorder="1" applyAlignment="1">
      <alignment vertical="top" wrapText="1"/>
    </xf>
    <xf numFmtId="0" fontId="12" fillId="0" borderId="0" xfId="570" applyBorder="1" applyAlignment="1"/>
    <xf numFmtId="168" fontId="12" fillId="0" borderId="0" xfId="570" applyNumberFormat="1" applyFill="1" applyBorder="1" applyAlignment="1">
      <alignment horizontal="right"/>
    </xf>
    <xf numFmtId="0" fontId="103" fillId="0" borderId="0" xfId="570" applyFont="1" applyFill="1" applyBorder="1" applyAlignment="1">
      <alignment horizontal="left" vertical="top" wrapText="1"/>
    </xf>
    <xf numFmtId="0" fontId="19" fillId="0" borderId="0" xfId="570" applyFont="1" applyBorder="1"/>
    <xf numFmtId="168" fontId="12" fillId="0" borderId="0" xfId="570" applyNumberFormat="1" applyFill="1" applyBorder="1" applyAlignment="1">
      <alignment wrapText="1"/>
    </xf>
    <xf numFmtId="0" fontId="12" fillId="0" borderId="0" xfId="570"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3" fontId="17" fillId="10" borderId="11" xfId="271" applyNumberFormat="1" applyFont="1" applyFill="1" applyBorder="1" applyAlignment="1" applyProtection="1">
      <alignment horizontal="center"/>
      <protection locked="0"/>
    </xf>
    <xf numFmtId="0" fontId="49" fillId="0" borderId="0" xfId="570" applyFont="1" applyBorder="1" applyAlignment="1">
      <alignment horizontal="left"/>
    </xf>
    <xf numFmtId="0" fontId="12" fillId="0" borderId="3" xfId="570" applyBorder="1"/>
    <xf numFmtId="0" fontId="12" fillId="5" borderId="3" xfId="570" applyFill="1" applyBorder="1"/>
    <xf numFmtId="0" fontId="12" fillId="0" borderId="0" xfId="570"/>
    <xf numFmtId="0" fontId="12" fillId="0" borderId="0" xfId="570"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70"/>
    <xf numFmtId="0" fontId="12" fillId="0" borderId="0" xfId="570" applyFont="1" applyFill="1"/>
    <xf numFmtId="4" fontId="12" fillId="0" borderId="0" xfId="1193"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70"/>
    <xf numFmtId="4" fontId="12" fillId="0" borderId="0" xfId="570" applyNumberFormat="1" applyFont="1" applyFill="1" applyAlignment="1" applyProtection="1">
      <alignment horizontal="left"/>
    </xf>
    <xf numFmtId="4" fontId="12" fillId="0" borderId="0" xfId="570" applyNumberFormat="1" applyFont="1" applyFill="1" applyAlignment="1" applyProtection="1">
      <alignment horizontal="left"/>
    </xf>
    <xf numFmtId="0" fontId="12" fillId="0" borderId="0" xfId="570" applyFont="1" applyAlignment="1">
      <alignment horizontal="left" vertical="top" wrapText="1"/>
    </xf>
    <xf numFmtId="0" fontId="12" fillId="0" borderId="0" xfId="570" applyFont="1" applyFill="1" applyAlignment="1">
      <alignment horizontal="left" vertical="top" wrapText="1"/>
    </xf>
    <xf numFmtId="0" fontId="12" fillId="0" borderId="0" xfId="570"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3" applyFont="1" applyFill="1" applyAlignment="1" applyProtection="1">
      <alignment horizontal="left"/>
    </xf>
    <xf numFmtId="0" fontId="12" fillId="0" borderId="0" xfId="1193" applyFont="1" applyFill="1" applyAlignment="1">
      <alignment horizontal="left"/>
    </xf>
    <xf numFmtId="0" fontId="12" fillId="0" borderId="0" xfId="0" applyFont="1" applyBorder="1" applyAlignment="1">
      <alignment horizontal="left"/>
    </xf>
    <xf numFmtId="0" fontId="19" fillId="0" borderId="0" xfId="570" applyFont="1" applyBorder="1" applyAlignment="1" applyProtection="1">
      <alignment horizontal="left"/>
    </xf>
    <xf numFmtId="0" fontId="12" fillId="0" borderId="0" xfId="0" applyFont="1" applyBorder="1" applyAlignment="1">
      <alignment horizontal="left" vertical="top" wrapText="1"/>
    </xf>
    <xf numFmtId="0" fontId="41" fillId="0" borderId="0" xfId="1193" applyFont="1"/>
    <xf numFmtId="0" fontId="49" fillId="0" borderId="11" xfId="0" applyFont="1" applyBorder="1" applyAlignment="1" applyProtection="1">
      <alignment horizontal="right" vertical="center"/>
    </xf>
    <xf numFmtId="0" fontId="49" fillId="0" borderId="11" xfId="570"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3"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70"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70" applyAlignment="1">
      <alignment wrapText="1"/>
    </xf>
    <xf numFmtId="0" fontId="12" fillId="0" borderId="0" xfId="1193" applyFont="1" applyAlignment="1"/>
    <xf numFmtId="0" fontId="12" fillId="0" borderId="0" xfId="570"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3" applyFont="1" applyAlignment="1">
      <alignment horizontal="left" vertical="top" wrapText="1"/>
    </xf>
    <xf numFmtId="4" fontId="12" fillId="0" borderId="0" xfId="570" applyNumberFormat="1" applyFont="1" applyFill="1" applyAlignment="1" applyProtection="1">
      <alignment horizontal="left"/>
    </xf>
    <xf numFmtId="0" fontId="12" fillId="0" borderId="0" xfId="570" applyFont="1" applyFill="1" applyAlignment="1">
      <alignment horizontal="left" vertical="top" wrapText="1"/>
    </xf>
    <xf numFmtId="0" fontId="13" fillId="0" borderId="0" xfId="244" quotePrefix="1" applyAlignment="1" applyProtection="1">
      <alignment horizontal="left"/>
    </xf>
    <xf numFmtId="4" fontId="12" fillId="0" borderId="0" xfId="1193" applyNumberFormat="1" applyFont="1" applyFill="1" applyAlignment="1" applyProtection="1">
      <alignment horizontal="left" vertical="top" wrapText="1"/>
    </xf>
    <xf numFmtId="0" fontId="12" fillId="0" borderId="0" xfId="570" applyFont="1" applyAlignment="1">
      <alignment horizontal="left" vertical="top" wrapText="1"/>
    </xf>
    <xf numFmtId="0" fontId="12" fillId="0" borderId="0" xfId="570" applyFont="1" applyAlignment="1">
      <alignment horizontal="left"/>
    </xf>
    <xf numFmtId="0" fontId="12" fillId="0" borderId="0" xfId="1193" applyFont="1" applyAlignment="1" applyProtection="1">
      <alignment horizontal="left"/>
    </xf>
    <xf numFmtId="0" fontId="12" fillId="0" borderId="0" xfId="1193" applyFont="1" applyFill="1" applyAlignment="1" applyProtection="1">
      <alignment horizontal="left"/>
    </xf>
    <xf numFmtId="0" fontId="12" fillId="0" borderId="0" xfId="570" applyFont="1" applyAlignment="1" applyProtection="1">
      <alignment horizontal="center"/>
    </xf>
    <xf numFmtId="0" fontId="12" fillId="0" borderId="0" xfId="570" applyFont="1" applyProtection="1"/>
    <xf numFmtId="0" fontId="12" fillId="0" borderId="0" xfId="570" applyProtection="1"/>
    <xf numFmtId="0" fontId="12" fillId="0" borderId="0" xfId="570" applyFill="1" applyProtection="1"/>
    <xf numFmtId="0" fontId="30" fillId="0" borderId="0" xfId="570" applyFont="1" applyAlignment="1" applyProtection="1">
      <alignment horizontal="left"/>
    </xf>
    <xf numFmtId="0" fontId="30" fillId="0" borderId="0" xfId="570" applyFont="1" applyAlignment="1" applyProtection="1">
      <alignment horizontal="center"/>
    </xf>
    <xf numFmtId="0" fontId="19" fillId="0" borderId="0" xfId="570" applyFont="1" applyProtection="1"/>
    <xf numFmtId="49" fontId="19" fillId="0" borderId="0" xfId="570" applyNumberFormat="1" applyFont="1" applyAlignment="1" applyProtection="1">
      <alignment horizontal="center"/>
    </xf>
    <xf numFmtId="0" fontId="12" fillId="0" borderId="0" xfId="1193" applyFont="1"/>
    <xf numFmtId="0" fontId="47" fillId="0" borderId="0" xfId="570" applyFont="1" applyAlignment="1" applyProtection="1">
      <alignment horizontal="center"/>
    </xf>
    <xf numFmtId="0" fontId="12" fillId="5" borderId="6" xfId="570" applyFill="1" applyBorder="1" applyAlignment="1" applyProtection="1">
      <protection locked="0"/>
    </xf>
    <xf numFmtId="49" fontId="19" fillId="0" borderId="0" xfId="570" applyNumberFormat="1" applyFont="1" applyAlignment="1">
      <alignment horizontal="center"/>
    </xf>
    <xf numFmtId="0" fontId="12" fillId="0" borderId="0" xfId="570" applyFont="1" applyAlignment="1" applyProtection="1">
      <alignment horizontal="left"/>
    </xf>
    <xf numFmtId="0" fontId="12" fillId="0" borderId="0" xfId="570" applyFont="1" applyFill="1" applyAlignment="1" applyProtection="1">
      <alignment horizontal="center"/>
    </xf>
    <xf numFmtId="0" fontId="12" fillId="0" borderId="0" xfId="570" applyFont="1" applyFill="1" applyProtection="1"/>
    <xf numFmtId="0" fontId="12" fillId="0" borderId="0" xfId="1193" applyFont="1" applyAlignment="1">
      <alignment horizontal="left"/>
    </xf>
    <xf numFmtId="0" fontId="12" fillId="0" borderId="0" xfId="570" applyFont="1" applyAlignment="1">
      <alignment horizontal="center"/>
    </xf>
    <xf numFmtId="0" fontId="47" fillId="0" borderId="0" xfId="570" applyFont="1" applyFill="1" applyAlignment="1" applyProtection="1">
      <alignment horizontal="center"/>
    </xf>
    <xf numFmtId="0" fontId="12" fillId="0" borderId="0" xfId="570" applyFont="1" applyFill="1" applyAlignment="1">
      <alignment horizontal="center"/>
    </xf>
    <xf numFmtId="0" fontId="13" fillId="0" borderId="0" xfId="244" applyFont="1" applyAlignment="1" applyProtection="1">
      <alignment horizontal="center"/>
    </xf>
    <xf numFmtId="49" fontId="12" fillId="0" borderId="0" xfId="570" applyNumberFormat="1" applyFont="1" applyAlignment="1">
      <alignment horizontal="center"/>
    </xf>
    <xf numFmtId="0" fontId="12" fillId="0" borderId="0" xfId="570" applyFont="1" applyAlignment="1" applyProtection="1">
      <alignment horizontal="center" vertical="center"/>
    </xf>
    <xf numFmtId="0" fontId="12" fillId="0" borderId="0" xfId="570" applyFont="1" applyAlignment="1">
      <alignment horizontal="center" vertical="center"/>
    </xf>
    <xf numFmtId="0" fontId="12" fillId="0" borderId="0" xfId="570" applyFont="1" applyAlignment="1">
      <alignment vertical="center"/>
    </xf>
    <xf numFmtId="0" fontId="12" fillId="0" borderId="0" xfId="570" applyAlignment="1">
      <alignment vertical="center"/>
    </xf>
    <xf numFmtId="0" fontId="12" fillId="0" borderId="0" xfId="1193" applyFont="1" applyAlignment="1" applyProtection="1">
      <alignment horizontal="center"/>
    </xf>
    <xf numFmtId="0" fontId="12" fillId="0" borderId="0" xfId="1193"/>
    <xf numFmtId="0" fontId="12" fillId="0" borderId="0" xfId="1193" applyFont="1" applyBorder="1"/>
    <xf numFmtId="0" fontId="19" fillId="0" borderId="0" xfId="570" applyFont="1" applyAlignment="1" applyProtection="1">
      <alignment horizontal="center"/>
    </xf>
    <xf numFmtId="0" fontId="19" fillId="0" borderId="0" xfId="570" applyFont="1" applyBorder="1" applyAlignment="1" applyProtection="1"/>
    <xf numFmtId="0" fontId="12" fillId="0" borderId="0" xfId="570" applyFont="1" applyBorder="1" applyAlignment="1" applyProtection="1">
      <alignment horizontal="center"/>
    </xf>
    <xf numFmtId="0" fontId="12" fillId="0" borderId="0" xfId="570" applyFont="1" applyBorder="1" applyProtection="1"/>
    <xf numFmtId="0" fontId="19" fillId="0" borderId="0" xfId="570" applyFont="1" applyBorder="1" applyProtection="1"/>
    <xf numFmtId="0" fontId="12" fillId="0" borderId="0" xfId="570" applyFont="1" applyAlignment="1" applyProtection="1">
      <alignment horizontal="left" indent="4"/>
    </xf>
    <xf numFmtId="0" fontId="12" fillId="0" borderId="0" xfId="570" quotePrefix="1" applyFont="1" applyAlignment="1" applyProtection="1">
      <alignment horizontal="left"/>
    </xf>
    <xf numFmtId="0" fontId="30" fillId="0" borderId="0" xfId="570" applyFont="1" applyProtection="1"/>
    <xf numFmtId="0" fontId="12" fillId="0" borderId="0" xfId="1193" applyFont="1" applyFill="1" applyAlignment="1" applyProtection="1">
      <alignment horizontal="left"/>
      <protection locked="0"/>
    </xf>
    <xf numFmtId="0" fontId="12" fillId="0" borderId="0" xfId="570" applyFont="1" applyFill="1" applyAlignment="1" applyProtection="1">
      <alignment horizontal="left"/>
      <protection locked="0"/>
    </xf>
    <xf numFmtId="0" fontId="12" fillId="0" borderId="0" xfId="1193" applyFont="1" applyFill="1" applyBorder="1" applyAlignment="1" applyProtection="1">
      <alignment horizontal="left"/>
    </xf>
    <xf numFmtId="49" fontId="12" fillId="0" borderId="0" xfId="1193" applyNumberFormat="1" applyAlignment="1">
      <alignment horizontal="center"/>
    </xf>
    <xf numFmtId="0" fontId="47" fillId="0" borderId="0" xfId="1193" applyFont="1" applyAlignment="1" applyProtection="1">
      <alignment horizontal="center"/>
    </xf>
    <xf numFmtId="49" fontId="12" fillId="0" borderId="0" xfId="570" applyNumberFormat="1" applyFont="1" applyAlignment="1" applyProtection="1">
      <alignment horizontal="center"/>
    </xf>
    <xf numFmtId="0" fontId="12" fillId="0" borderId="0" xfId="570" applyFont="1" applyAlignment="1" applyProtection="1"/>
    <xf numFmtId="0" fontId="12" fillId="0" borderId="0" xfId="570" applyAlignment="1" applyProtection="1"/>
    <xf numFmtId="0" fontId="30" fillId="0" borderId="0" xfId="570" applyFont="1" applyFill="1" applyAlignment="1">
      <alignment horizontal="center"/>
    </xf>
    <xf numFmtId="0" fontId="19" fillId="0" borderId="0" xfId="1193" applyFont="1" applyFill="1" applyAlignment="1">
      <alignment horizontal="left"/>
    </xf>
    <xf numFmtId="49" fontId="19" fillId="0" borderId="0" xfId="570" applyNumberFormat="1" applyFont="1" applyFill="1" applyAlignment="1" applyProtection="1">
      <alignment horizontal="center"/>
    </xf>
    <xf numFmtId="0" fontId="19" fillId="0" borderId="0" xfId="570" applyFont="1" applyAlignment="1">
      <alignment horizontal="left"/>
    </xf>
    <xf numFmtId="0" fontId="19" fillId="0" borderId="0" xfId="570" applyFont="1" applyAlignment="1" applyProtection="1">
      <alignment horizontal="left"/>
    </xf>
    <xf numFmtId="4" fontId="12" fillId="0" borderId="0" xfId="1193" applyNumberFormat="1" applyFont="1" applyAlignment="1" applyProtection="1">
      <alignment horizontal="left"/>
    </xf>
    <xf numFmtId="0" fontId="30" fillId="0" borderId="0" xfId="570" applyFont="1" applyFill="1" applyAlignment="1" applyProtection="1">
      <alignment horizontal="center"/>
    </xf>
    <xf numFmtId="0" fontId="19" fillId="0" borderId="0" xfId="570" quotePrefix="1" applyFont="1" applyAlignment="1" applyProtection="1">
      <alignment horizontal="center"/>
    </xf>
    <xf numFmtId="0" fontId="30" fillId="0" borderId="0" xfId="570" applyFont="1" applyBorder="1" applyAlignment="1" applyProtection="1">
      <alignment horizontal="center"/>
    </xf>
    <xf numFmtId="0" fontId="12" fillId="0" borderId="0" xfId="570" applyFont="1" applyBorder="1" applyAlignment="1" applyProtection="1">
      <alignment horizontal="left"/>
    </xf>
    <xf numFmtId="49" fontId="12" fillId="0" borderId="0" xfId="570" applyNumberFormat="1" applyProtection="1"/>
    <xf numFmtId="0" fontId="44" fillId="0" borderId="0" xfId="570" applyFont="1" applyAlignment="1" applyProtection="1">
      <alignment horizontal="left"/>
    </xf>
    <xf numFmtId="0" fontId="12" fillId="0" borderId="0" xfId="570" applyFont="1" applyFill="1" applyBorder="1" applyProtection="1"/>
    <xf numFmtId="49" fontId="12" fillId="0" borderId="0" xfId="570" applyNumberFormat="1" applyFill="1" applyProtection="1"/>
    <xf numFmtId="0" fontId="12" fillId="0" borderId="0" xfId="570" applyFont="1" applyFill="1" applyAlignment="1" applyProtection="1">
      <alignment horizontal="left" vertical="top" wrapText="1"/>
    </xf>
    <xf numFmtId="49" fontId="12" fillId="0" borderId="0" xfId="570" applyNumberFormat="1" applyFont="1" applyProtection="1"/>
    <xf numFmtId="49" fontId="12" fillId="0" borderId="0" xfId="570" applyNumberFormat="1" applyFont="1" applyFill="1" applyProtection="1"/>
    <xf numFmtId="0" fontId="12" fillId="0" borderId="0" xfId="570" applyFont="1" applyFill="1" applyAlignment="1" applyProtection="1">
      <alignment horizontal="left"/>
    </xf>
    <xf numFmtId="4" fontId="47" fillId="0" borderId="0" xfId="570" applyNumberFormat="1" applyFont="1" applyAlignment="1" applyProtection="1">
      <alignment horizontal="center"/>
    </xf>
    <xf numFmtId="4" fontId="12" fillId="0" borderId="0" xfId="570" applyNumberFormat="1" applyFont="1" applyAlignment="1" applyProtection="1">
      <alignment horizontal="center"/>
    </xf>
    <xf numFmtId="4" fontId="12" fillId="0" borderId="0" xfId="570" applyNumberFormat="1" applyFont="1" applyProtection="1"/>
    <xf numFmtId="4" fontId="12" fillId="0" borderId="0" xfId="570" applyNumberFormat="1" applyFill="1" applyProtection="1"/>
    <xf numFmtId="0" fontId="30" fillId="0" borderId="0" xfId="570" applyFont="1" applyFill="1" applyAlignment="1">
      <alignment horizontal="left"/>
    </xf>
    <xf numFmtId="0" fontId="42" fillId="0" borderId="0" xfId="570"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5"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70"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2" fillId="0" borderId="0" xfId="570"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70"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70" applyFont="1" applyBorder="1" applyAlignment="1">
      <alignment horizontal="left" vertical="top" wrapText="1"/>
    </xf>
    <xf numFmtId="4" fontId="12" fillId="0" borderId="0" xfId="1193" applyNumberFormat="1" applyFont="1" applyFill="1" applyAlignment="1" applyProtection="1">
      <alignment vertical="top" wrapText="1"/>
    </xf>
    <xf numFmtId="0" fontId="19" fillId="0" borderId="16" xfId="271" applyFont="1" applyFill="1" applyBorder="1" applyAlignment="1" applyProtection="1"/>
    <xf numFmtId="0" fontId="56" fillId="0" borderId="0" xfId="570" applyFont="1" applyProtection="1"/>
    <xf numFmtId="0" fontId="36" fillId="0" borderId="0" xfId="570"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70" applyFont="1" applyBorder="1" applyAlignment="1">
      <alignment vertical="top" wrapText="1"/>
    </xf>
    <xf numFmtId="0" fontId="12" fillId="0" borderId="0" xfId="570" applyFont="1" applyBorder="1" applyAlignment="1">
      <alignment vertical="top"/>
    </xf>
    <xf numFmtId="0" fontId="0" fillId="0" borderId="0" xfId="0" applyAlignment="1" applyProtection="1"/>
    <xf numFmtId="0" fontId="12" fillId="0" borderId="0" xfId="1193" applyFont="1" applyFill="1" applyBorder="1" applyAlignment="1" applyProtection="1">
      <alignment horizontal="left" vertical="top" wrapText="1"/>
    </xf>
    <xf numFmtId="0" fontId="12" fillId="0" borderId="0" xfId="1193" applyFont="1" applyAlignment="1" applyProtection="1">
      <alignment vertical="top" wrapText="1"/>
    </xf>
    <xf numFmtId="49" fontId="12" fillId="0" borderId="0" xfId="1193"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2" fillId="0" borderId="0" xfId="0" applyFont="1" applyFill="1" applyProtection="1">
      <protection locked="0"/>
    </xf>
    <xf numFmtId="0" fontId="114" fillId="0" borderId="0" xfId="0" applyFont="1" applyBorder="1" applyProtection="1"/>
    <xf numFmtId="0" fontId="101" fillId="0" borderId="0" xfId="0" applyFont="1" applyBorder="1" applyAlignment="1" applyProtection="1">
      <alignment horizontal="right"/>
    </xf>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3" applyFont="1" applyAlignment="1" applyProtection="1">
      <alignment horizontal="left"/>
    </xf>
    <xf numFmtId="172" fontId="12" fillId="0" borderId="8" xfId="543" applyNumberFormat="1" applyFont="1" applyBorder="1" applyProtection="1"/>
    <xf numFmtId="0" fontId="12" fillId="0" borderId="8" xfId="4496" applyFont="1" applyBorder="1" applyProtection="1"/>
    <xf numFmtId="0" fontId="12" fillId="0" borderId="0" xfId="4496" applyFont="1" applyProtection="1"/>
    <xf numFmtId="0" fontId="18" fillId="0" borderId="0" xfId="4496" applyFont="1" applyFill="1" applyBorder="1" applyAlignment="1" applyProtection="1">
      <alignment horizontal="center" vertical="center"/>
    </xf>
    <xf numFmtId="0" fontId="12" fillId="0" borderId="8" xfId="4496" applyFont="1" applyFill="1" applyBorder="1" applyProtection="1"/>
    <xf numFmtId="0" fontId="12" fillId="0" borderId="0" xfId="4496" applyFont="1" applyFill="1" applyProtection="1"/>
    <xf numFmtId="0" fontId="19" fillId="0" borderId="0" xfId="4496" applyFont="1" applyAlignment="1" applyProtection="1">
      <alignment horizontal="left"/>
    </xf>
    <xf numFmtId="0" fontId="19" fillId="0" borderId="0" xfId="4496" applyFont="1" applyProtection="1"/>
    <xf numFmtId="0" fontId="22" fillId="0" borderId="0" xfId="4496" applyFont="1" applyFill="1" applyBorder="1" applyAlignment="1" applyProtection="1">
      <alignment horizontal="center" vertical="center"/>
    </xf>
    <xf numFmtId="0" fontId="22" fillId="0" borderId="27" xfId="4496" applyFont="1" applyFill="1" applyBorder="1" applyAlignment="1" applyProtection="1">
      <alignment horizontal="center" vertical="center"/>
    </xf>
    <xf numFmtId="0" fontId="22" fillId="0" borderId="46" xfId="4496" applyFont="1" applyFill="1" applyBorder="1" applyAlignment="1" applyProtection="1">
      <alignment horizontal="center" vertical="center"/>
    </xf>
    <xf numFmtId="0" fontId="19" fillId="0" borderId="0" xfId="4496" applyFont="1" applyAlignment="1" applyProtection="1">
      <alignment horizontal="right"/>
    </xf>
    <xf numFmtId="0" fontId="30" fillId="0" borderId="0" xfId="4496" applyFont="1" applyFill="1" applyBorder="1" applyAlignment="1" applyProtection="1">
      <alignment horizontal="left" vertical="center"/>
    </xf>
    <xf numFmtId="0" fontId="12" fillId="0" borderId="0" xfId="1193" quotePrefix="1" applyNumberFormat="1" applyFont="1" applyAlignment="1" applyProtection="1">
      <alignment horizontal="center"/>
    </xf>
    <xf numFmtId="0" fontId="42" fillId="0" borderId="0" xfId="4496" applyFont="1" applyFill="1" applyBorder="1" applyAlignment="1" applyProtection="1">
      <alignment horizontal="left" vertical="center"/>
    </xf>
    <xf numFmtId="49" fontId="20" fillId="0" borderId="0" xfId="4496" applyNumberFormat="1" applyFont="1" applyFill="1" applyBorder="1" applyAlignment="1" applyProtection="1">
      <alignment horizontal="left" vertical="top"/>
    </xf>
    <xf numFmtId="0" fontId="12" fillId="0" borderId="47" xfId="4496" applyFont="1" applyFill="1" applyBorder="1" applyAlignment="1" applyProtection="1">
      <alignment horizontal="left" vertical="center"/>
    </xf>
    <xf numFmtId="0" fontId="22" fillId="0" borderId="48" xfId="4496" applyFont="1" applyFill="1" applyBorder="1" applyAlignment="1" applyProtection="1">
      <alignment horizontal="center" vertical="center"/>
    </xf>
    <xf numFmtId="0" fontId="20" fillId="0" borderId="0" xfId="4496" applyFont="1" applyProtection="1"/>
    <xf numFmtId="0" fontId="20" fillId="0" borderId="0" xfId="4496" applyFont="1" applyFill="1" applyBorder="1" applyAlignment="1" applyProtection="1">
      <alignment horizontal="left" vertical="top"/>
    </xf>
    <xf numFmtId="0" fontId="119" fillId="0" borderId="53" xfId="4497" applyFont="1" applyBorder="1" applyAlignment="1">
      <alignment horizontal="left" vertical="top"/>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2" fillId="0" borderId="0" xfId="4496" applyFont="1" applyFill="1" applyBorder="1" applyAlignment="1" applyProtection="1">
      <alignment horizontal="left" vertical="center"/>
    </xf>
    <xf numFmtId="0" fontId="120" fillId="0" borderId="0" xfId="4497" applyFont="1" applyAlignment="1">
      <alignment vertical="center"/>
    </xf>
    <xf numFmtId="0" fontId="118" fillId="0" borderId="0" xfId="4497" applyFont="1"/>
    <xf numFmtId="0" fontId="118" fillId="0" borderId="0" xfId="4497" applyFont="1" applyAlignment="1">
      <alignment vertical="center"/>
    </xf>
    <xf numFmtId="0" fontId="121" fillId="0" borderId="0" xfId="4497" applyFont="1" applyAlignment="1">
      <alignment vertical="center"/>
    </xf>
    <xf numFmtId="0" fontId="12" fillId="0" borderId="0" xfId="4497" applyFont="1" applyAlignment="1">
      <alignment vertical="center"/>
    </xf>
    <xf numFmtId="0" fontId="19" fillId="0" borderId="0" xfId="4496" applyFont="1" applyFill="1" applyProtection="1"/>
    <xf numFmtId="0" fontId="20" fillId="0" borderId="3" xfId="4496" applyFont="1" applyFill="1" applyBorder="1" applyAlignment="1" applyProtection="1">
      <alignment vertical="top" wrapText="1"/>
    </xf>
    <xf numFmtId="0" fontId="20" fillId="0" borderId="4" xfId="4496" applyFont="1" applyFill="1" applyBorder="1" applyAlignment="1" applyProtection="1">
      <alignment vertical="top" wrapText="1"/>
    </xf>
    <xf numFmtId="164" fontId="116" fillId="0" borderId="4" xfId="4496" applyNumberFormat="1" applyFill="1" applyBorder="1" applyAlignment="1" applyProtection="1">
      <alignment horizontal="right"/>
    </xf>
    <xf numFmtId="0" fontId="20" fillId="0" borderId="4" xfId="4496" applyFont="1" applyFill="1" applyBorder="1" applyAlignment="1" applyProtection="1"/>
    <xf numFmtId="0" fontId="19" fillId="0" borderId="5" xfId="4496" applyFont="1" applyFill="1" applyBorder="1" applyAlignment="1" applyProtection="1">
      <alignment horizontal="right"/>
    </xf>
    <xf numFmtId="0" fontId="12" fillId="0" borderId="16" xfId="4496" applyFont="1" applyFill="1" applyBorder="1" applyAlignment="1" applyProtection="1"/>
    <xf numFmtId="0" fontId="12" fillId="0" borderId="16" xfId="4496" applyFont="1" applyFill="1" applyBorder="1" applyAlignment="1" applyProtection="1">
      <alignment horizontal="left" vertical="top"/>
    </xf>
    <xf numFmtId="0" fontId="20" fillId="0" borderId="16" xfId="4496" applyFont="1" applyFill="1" applyBorder="1" applyAlignment="1" applyProtection="1">
      <alignment horizontal="left" vertical="top" wrapText="1"/>
    </xf>
    <xf numFmtId="0" fontId="20" fillId="0" borderId="45" xfId="4496" applyFont="1" applyFill="1" applyBorder="1" applyAlignment="1" applyProtection="1">
      <alignment horizontal="left" vertical="top" wrapText="1"/>
    </xf>
    <xf numFmtId="0" fontId="116" fillId="0" borderId="0" xfId="4496"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6" applyFont="1" applyFill="1" applyBorder="1" applyAlignment="1" applyProtection="1">
      <alignment horizontal="left" vertical="top" wrapText="1"/>
    </xf>
    <xf numFmtId="0" fontId="20" fillId="0" borderId="0" xfId="4496" applyFont="1" applyAlignment="1" applyProtection="1">
      <alignment horizontal="right" vertical="top"/>
    </xf>
    <xf numFmtId="0" fontId="12" fillId="0" borderId="0" xfId="4496" applyFont="1" applyFill="1" applyBorder="1" applyAlignment="1" applyProtection="1">
      <alignment vertical="center" wrapText="1"/>
    </xf>
    <xf numFmtId="0" fontId="118" fillId="0" borderId="53" xfId="4497" applyFont="1" applyBorder="1" applyAlignment="1">
      <alignment vertical="top" wrapText="1"/>
    </xf>
    <xf numFmtId="0" fontId="118" fillId="0" borderId="0" xfId="4497" applyFont="1" applyBorder="1" applyAlignment="1">
      <alignment vertical="top" wrapText="1"/>
    </xf>
    <xf numFmtId="10" fontId="118" fillId="0" borderId="0" xfId="4497" applyNumberFormat="1" applyFont="1" applyBorder="1" applyAlignment="1">
      <alignment vertical="top" wrapText="1"/>
    </xf>
    <xf numFmtId="0" fontId="118" fillId="0" borderId="54" xfId="4497" applyFont="1" applyBorder="1" applyAlignment="1">
      <alignment vertical="top" wrapText="1"/>
    </xf>
    <xf numFmtId="0" fontId="118" fillId="0" borderId="0" xfId="4497" applyFont="1" applyBorder="1" applyAlignment="1">
      <alignment vertical="top"/>
    </xf>
    <xf numFmtId="165" fontId="118" fillId="0" borderId="0" xfId="4497" applyNumberFormat="1" applyFont="1" applyBorder="1" applyAlignment="1">
      <alignment vertical="top" wrapText="1"/>
    </xf>
    <xf numFmtId="0" fontId="19" fillId="0" borderId="57" xfId="4496" applyFont="1" applyBorder="1" applyProtection="1"/>
    <xf numFmtId="0" fontId="19" fillId="0" borderId="58" xfId="4496" applyFont="1" applyBorder="1" applyProtection="1"/>
    <xf numFmtId="0" fontId="19" fillId="0" borderId="58" xfId="4496" applyFont="1" applyBorder="1" applyAlignment="1" applyProtection="1">
      <alignment horizontal="right"/>
    </xf>
    <xf numFmtId="0" fontId="19" fillId="0" borderId="59" xfId="4496" applyFont="1" applyBorder="1" applyAlignment="1" applyProtection="1">
      <alignment horizontal="right"/>
    </xf>
    <xf numFmtId="0" fontId="118" fillId="0" borderId="53" xfId="4497" applyFont="1" applyBorder="1" applyAlignment="1">
      <alignment horizontal="left" vertical="top" wrapText="1"/>
    </xf>
    <xf numFmtId="0" fontId="118" fillId="0" borderId="0" xfId="4497" applyFont="1" applyBorder="1" applyAlignment="1">
      <alignment horizontal="left" vertical="top"/>
    </xf>
    <xf numFmtId="0" fontId="22" fillId="0" borderId="57" xfId="4496" applyFont="1" applyFill="1" applyBorder="1" applyAlignment="1" applyProtection="1">
      <alignment horizontal="center" vertical="center"/>
    </xf>
    <xf numFmtId="0" fontId="22" fillId="0" borderId="58" xfId="4496" applyFont="1" applyFill="1" applyBorder="1" applyAlignment="1" applyProtection="1">
      <alignment horizontal="center" vertical="center"/>
    </xf>
    <xf numFmtId="0" fontId="22" fillId="0" borderId="59" xfId="4496" applyFont="1" applyFill="1" applyBorder="1" applyAlignment="1" applyProtection="1">
      <alignment horizontal="center" vertical="center"/>
    </xf>
    <xf numFmtId="0" fontId="19" fillId="0" borderId="0" xfId="4496" applyFont="1" applyAlignment="1" applyProtection="1">
      <alignment horizontal="center"/>
    </xf>
    <xf numFmtId="0" fontId="19" fillId="0" borderId="0" xfId="4496" applyFont="1" applyFill="1" applyBorder="1" applyProtection="1"/>
    <xf numFmtId="0" fontId="19" fillId="0" borderId="8" xfId="4496" applyFont="1" applyBorder="1" applyProtection="1"/>
    <xf numFmtId="0" fontId="19" fillId="0" borderId="0" xfId="4496" applyFont="1" applyFill="1" applyBorder="1" applyAlignment="1" applyProtection="1">
      <alignment horizontal="left"/>
    </xf>
    <xf numFmtId="0" fontId="20" fillId="0" borderId="0" xfId="4496" applyFont="1" applyFill="1" applyBorder="1" applyAlignment="1" applyProtection="1">
      <alignment horizontal="left"/>
    </xf>
    <xf numFmtId="0" fontId="19" fillId="0" borderId="0" xfId="4496" applyFont="1" applyFill="1" applyBorder="1" applyAlignment="1" applyProtection="1">
      <alignment horizontal="center" vertical="top"/>
    </xf>
    <xf numFmtId="0" fontId="12" fillId="0" borderId="0" xfId="4496" applyFont="1" applyBorder="1" applyProtection="1"/>
    <xf numFmtId="0" fontId="12" fillId="0" borderId="0" xfId="4496" applyNumberFormat="1" applyFont="1" applyAlignment="1" applyProtection="1">
      <alignment horizontal="center"/>
    </xf>
    <xf numFmtId="0" fontId="28" fillId="0" borderId="0" xfId="4496" applyFont="1" applyProtection="1"/>
    <xf numFmtId="0" fontId="12" fillId="0" borderId="0" xfId="1193" applyFont="1" applyBorder="1" applyProtection="1"/>
    <xf numFmtId="0" fontId="12" fillId="0" borderId="0" xfId="1193" applyNumberFormat="1" applyFont="1" applyAlignment="1" applyProtection="1">
      <alignment horizontal="center"/>
    </xf>
    <xf numFmtId="0" fontId="19" fillId="0" borderId="0" xfId="4496" applyFont="1" applyFill="1" applyAlignment="1" applyProtection="1">
      <alignment horizontal="left"/>
    </xf>
    <xf numFmtId="0" fontId="19" fillId="0" borderId="0" xfId="4496" applyFont="1" applyFill="1" applyAlignment="1" applyProtection="1">
      <alignment horizontal="center"/>
    </xf>
    <xf numFmtId="0" fontId="12" fillId="0" borderId="0" xfId="1193" applyFont="1" applyProtection="1"/>
    <xf numFmtId="0" fontId="28" fillId="0" borderId="0" xfId="4496" applyFont="1" applyFill="1" applyBorder="1" applyAlignment="1" applyProtection="1"/>
    <xf numFmtId="0" fontId="20" fillId="0" borderId="8" xfId="4496" applyFont="1" applyBorder="1" applyProtection="1"/>
    <xf numFmtId="0" fontId="20" fillId="0" borderId="8" xfId="4496" applyFont="1" applyFill="1" applyBorder="1" applyProtection="1"/>
    <xf numFmtId="0" fontId="20" fillId="0" borderId="0" xfId="4496" applyFont="1" applyFill="1" applyProtection="1"/>
    <xf numFmtId="0" fontId="49" fillId="0" borderId="8" xfId="4496" applyFont="1" applyFill="1" applyBorder="1" applyAlignment="1" applyProtection="1"/>
    <xf numFmtId="0" fontId="12" fillId="0" borderId="0" xfId="1193" applyFont="1" applyFill="1" applyProtection="1"/>
    <xf numFmtId="0" fontId="12" fillId="0" borderId="0" xfId="4496" applyFont="1" applyFill="1" applyBorder="1" applyAlignment="1" applyProtection="1">
      <alignment horizontal="center"/>
    </xf>
    <xf numFmtId="0" fontId="12" fillId="0" borderId="0" xfId="4496" applyFont="1" applyFill="1" applyBorder="1" applyProtection="1"/>
    <xf numFmtId="1" fontId="12" fillId="0" borderId="0" xfId="1193" applyNumberFormat="1" applyFont="1" applyProtection="1"/>
    <xf numFmtId="0" fontId="12" fillId="0" borderId="3" xfId="4496" applyFont="1" applyFill="1" applyBorder="1" applyProtection="1"/>
    <xf numFmtId="0" fontId="12" fillId="0" borderId="4" xfId="4496" applyFont="1" applyFill="1" applyBorder="1" applyProtection="1"/>
    <xf numFmtId="0" fontId="12" fillId="0" borderId="0" xfId="4496" applyNumberFormat="1" applyFont="1" applyFill="1" applyBorder="1" applyAlignment="1" applyProtection="1">
      <alignment horizontal="center"/>
    </xf>
    <xf numFmtId="0" fontId="12" fillId="0" borderId="0" xfId="1193" applyFont="1" applyAlignment="1" applyProtection="1">
      <alignment wrapText="1"/>
    </xf>
    <xf numFmtId="0" fontId="19" fillId="0" borderId="0" xfId="4496" applyFont="1" applyFill="1" applyBorder="1" applyAlignment="1" applyProtection="1"/>
    <xf numFmtId="0" fontId="20" fillId="0" borderId="0" xfId="4496" applyNumberFormat="1" applyFont="1" applyAlignment="1" applyProtection="1">
      <alignment vertical="top" wrapText="1"/>
    </xf>
    <xf numFmtId="0" fontId="20" fillId="0" borderId="0" xfId="1193" applyFont="1" applyProtection="1"/>
    <xf numFmtId="0" fontId="20" fillId="0" borderId="0" xfId="4496" applyNumberFormat="1" applyFont="1" applyFill="1" applyAlignment="1" applyProtection="1">
      <alignment vertical="top" wrapText="1"/>
    </xf>
    <xf numFmtId="0" fontId="12" fillId="0" borderId="0" xfId="4496" applyFont="1" applyFill="1" applyBorder="1" applyAlignment="1" applyProtection="1">
      <alignment horizontal="left"/>
    </xf>
    <xf numFmtId="0" fontId="20" fillId="0" borderId="3" xfId="4496" applyFont="1" applyFill="1" applyBorder="1" applyProtection="1"/>
    <xf numFmtId="0" fontId="20" fillId="0" borderId="4" xfId="4496" applyFont="1" applyFill="1" applyBorder="1" applyProtection="1"/>
    <xf numFmtId="0" fontId="12" fillId="0" borderId="4" xfId="4496" applyFont="1" applyFill="1" applyBorder="1" applyAlignment="1" applyProtection="1"/>
    <xf numFmtId="0" fontId="12" fillId="0" borderId="4" xfId="4496" applyFont="1" applyFill="1" applyBorder="1" applyAlignment="1" applyProtection="1">
      <alignment horizontal="right"/>
    </xf>
    <xf numFmtId="1" fontId="12" fillId="0" borderId="0" xfId="4496" applyNumberFormat="1" applyFont="1" applyFill="1" applyBorder="1" applyAlignment="1" applyProtection="1">
      <alignment horizontal="center"/>
    </xf>
    <xf numFmtId="0" fontId="49" fillId="0" borderId="0" xfId="4496" applyFont="1" applyFill="1" applyBorder="1" applyAlignment="1" applyProtection="1"/>
    <xf numFmtId="0" fontId="12" fillId="0" borderId="0" xfId="4496" applyFont="1" applyFill="1" applyBorder="1" applyAlignment="1" applyProtection="1"/>
    <xf numFmtId="0" fontId="12" fillId="0" borderId="0" xfId="4496" applyFont="1" applyFill="1" applyBorder="1" applyAlignment="1" applyProtection="1">
      <alignment horizontal="right"/>
    </xf>
    <xf numFmtId="0" fontId="20" fillId="0" borderId="0" xfId="4496" applyFont="1" applyBorder="1" applyProtection="1"/>
    <xf numFmtId="0" fontId="20" fillId="0" borderId="0" xfId="4496" applyFont="1" applyFill="1" applyBorder="1" applyProtection="1"/>
    <xf numFmtId="0" fontId="20" fillId="0" borderId="0" xfId="4496" applyFont="1" applyFill="1" applyBorder="1" applyAlignment="1" applyProtection="1">
      <alignment vertical="top" wrapText="1"/>
    </xf>
    <xf numFmtId="0" fontId="20" fillId="0" borderId="0" xfId="4496" applyNumberFormat="1" applyFont="1" applyFill="1" applyBorder="1" applyAlignment="1" applyProtection="1">
      <alignment vertical="top"/>
    </xf>
    <xf numFmtId="0" fontId="20" fillId="0" borderId="27" xfId="4496" applyFont="1" applyFill="1" applyBorder="1" applyProtection="1"/>
    <xf numFmtId="0" fontId="20" fillId="0" borderId="27" xfId="4496" applyFont="1" applyBorder="1" applyProtection="1"/>
    <xf numFmtId="0" fontId="19" fillId="0" borderId="0" xfId="4496" applyFont="1" applyFill="1" applyBorder="1" applyAlignment="1" applyProtection="1">
      <alignment vertical="top"/>
    </xf>
    <xf numFmtId="0" fontId="30" fillId="0" borderId="0" xfId="4496" applyFont="1" applyFill="1" applyBorder="1" applyAlignment="1" applyProtection="1">
      <alignment vertical="top" wrapText="1"/>
    </xf>
    <xf numFmtId="0" fontId="19"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2" fillId="0" borderId="0" xfId="4496" applyFont="1" applyFill="1" applyBorder="1" applyAlignment="1" applyProtection="1">
      <alignment horizontal="left" vertical="top"/>
    </xf>
    <xf numFmtId="0" fontId="30"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2" fillId="0" borderId="10" xfId="4496" applyFont="1" applyFill="1" applyBorder="1" applyAlignment="1" applyProtection="1">
      <alignment horizontal="center"/>
    </xf>
    <xf numFmtId="0" fontId="12" fillId="0" borderId="8" xfId="4496" applyFont="1" applyFill="1" applyBorder="1" applyAlignment="1" applyProtection="1"/>
    <xf numFmtId="0" fontId="12" fillId="0" borderId="16" xfId="4496" applyFont="1" applyFill="1" applyBorder="1" applyAlignment="1" applyProtection="1">
      <alignment horizontal="center"/>
    </xf>
    <xf numFmtId="0" fontId="28" fillId="0" borderId="16" xfId="4496" applyFont="1" applyFill="1" applyBorder="1" applyAlignment="1" applyProtection="1"/>
    <xf numFmtId="0" fontId="20" fillId="0" borderId="16" xfId="4496" applyFont="1" applyFill="1" applyBorder="1" applyAlignment="1" applyProtection="1"/>
    <xf numFmtId="0" fontId="20" fillId="0" borderId="16" xfId="4496" applyFont="1" applyFill="1" applyBorder="1" applyProtection="1"/>
    <xf numFmtId="0" fontId="20" fillId="0" borderId="16" xfId="4496" applyFont="1" applyBorder="1" applyProtection="1"/>
    <xf numFmtId="0" fontId="12" fillId="0" borderId="0" xfId="4497" applyFont="1" applyAlignment="1" applyProtection="1">
      <alignment vertical="top" wrapText="1"/>
    </xf>
    <xf numFmtId="0" fontId="19" fillId="0" borderId="0" xfId="1193" applyFont="1" applyAlignment="1" applyProtection="1">
      <alignment horizontal="right"/>
    </xf>
    <xf numFmtId="0" fontId="19" fillId="0" borderId="0" xfId="1193" applyFont="1" applyFill="1" applyAlignment="1" applyProtection="1">
      <alignment horizontal="right"/>
    </xf>
    <xf numFmtId="0" fontId="12" fillId="0" borderId="0" xfId="4497" applyFont="1" applyProtection="1"/>
    <xf numFmtId="0" fontId="12" fillId="0" borderId="0" xfId="4497" applyFont="1" applyAlignment="1" applyProtection="1">
      <alignment horizontal="left"/>
    </xf>
    <xf numFmtId="0" fontId="12" fillId="0" borderId="0" xfId="4497" applyFont="1" applyAlignment="1" applyProtection="1">
      <alignment horizontal="right"/>
    </xf>
    <xf numFmtId="0" fontId="20" fillId="0" borderId="0" xfId="4497" applyFont="1" applyAlignment="1" applyProtection="1">
      <alignment vertical="top" wrapText="1"/>
    </xf>
    <xf numFmtId="0" fontId="12" fillId="0" borderId="4" xfId="4497" applyFont="1" applyFill="1" applyBorder="1" applyProtection="1"/>
    <xf numFmtId="0" fontId="19" fillId="0" borderId="4" xfId="4497" applyFont="1" applyFill="1" applyBorder="1" applyAlignment="1" applyProtection="1">
      <alignment horizontal="right"/>
    </xf>
    <xf numFmtId="0" fontId="20" fillId="0" borderId="27" xfId="4496" applyFont="1" applyFill="1" applyBorder="1" applyAlignment="1" applyProtection="1"/>
    <xf numFmtId="0" fontId="20" fillId="0" borderId="27" xfId="4496" applyFont="1" applyFill="1" applyBorder="1" applyAlignment="1" applyProtection="1">
      <alignment horizontal="left" vertical="top"/>
    </xf>
    <xf numFmtId="0" fontId="12" fillId="0" borderId="27" xfId="4496" applyFont="1" applyFill="1" applyBorder="1" applyAlignment="1" applyProtection="1">
      <alignment horizontal="left" vertical="top"/>
    </xf>
    <xf numFmtId="0" fontId="19" fillId="0" borderId="27" xfId="4496" applyFont="1" applyFill="1" applyBorder="1" applyAlignment="1" applyProtection="1">
      <alignment horizontal="right"/>
    </xf>
    <xf numFmtId="0" fontId="12" fillId="0" borderId="27" xfId="4496" applyFont="1" applyFill="1" applyBorder="1" applyAlignment="1" applyProtection="1">
      <alignment horizontal="center"/>
    </xf>
    <xf numFmtId="0" fontId="12" fillId="0" borderId="46" xfId="4496" applyFont="1" applyFill="1" applyBorder="1" applyAlignment="1" applyProtection="1">
      <alignment horizontal="center"/>
    </xf>
    <xf numFmtId="0" fontId="20" fillId="0" borderId="0" xfId="4496"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6" applyFont="1" applyFill="1" applyBorder="1" applyProtection="1"/>
    <xf numFmtId="164" fontId="20" fillId="0" borderId="0" xfId="4496" applyNumberFormat="1" applyFont="1" applyFill="1" applyBorder="1" applyAlignment="1" applyProtection="1">
      <alignment horizontal="left" vertical="top" wrapText="1"/>
    </xf>
    <xf numFmtId="0" fontId="23" fillId="0" borderId="0" xfId="4496" applyFont="1" applyFill="1" applyBorder="1" applyProtection="1"/>
    <xf numFmtId="0" fontId="20" fillId="0" borderId="0" xfId="4496" applyFont="1" applyAlignment="1" applyProtection="1">
      <alignment horizontal="right"/>
    </xf>
    <xf numFmtId="0" fontId="20" fillId="0" borderId="0" xfId="4496" applyNumberFormat="1" applyFont="1" applyFill="1" applyBorder="1" applyAlignment="1" applyProtection="1">
      <alignment vertical="top" wrapText="1"/>
    </xf>
    <xf numFmtId="0" fontId="20" fillId="0" borderId="0" xfId="4496" applyNumberFormat="1" applyFont="1" applyFill="1" applyBorder="1" applyAlignment="1" applyProtection="1"/>
    <xf numFmtId="0" fontId="20" fillId="0" borderId="3" xfId="4496"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6" applyFont="1" applyFill="1" applyBorder="1" applyAlignment="1" applyProtection="1">
      <alignment horizontal="left" vertical="top"/>
    </xf>
    <xf numFmtId="0" fontId="116" fillId="0" borderId="0" xfId="4496" applyBorder="1"/>
    <xf numFmtId="1" fontId="116" fillId="0" borderId="0" xfId="4496" applyNumberFormat="1" applyBorder="1"/>
    <xf numFmtId="168" fontId="12" fillId="0" borderId="0" xfId="543" applyNumberFormat="1" applyFont="1" applyBorder="1" applyProtection="1"/>
    <xf numFmtId="0" fontId="12" fillId="0" borderId="0" xfId="4496" applyFont="1" applyFill="1" applyBorder="1" applyAlignment="1" applyProtection="1">
      <alignment vertical="top" wrapText="1"/>
    </xf>
    <xf numFmtId="0" fontId="20" fillId="0" borderId="0" xfId="4496" applyFont="1" applyAlignment="1" applyProtection="1">
      <alignment vertical="top"/>
    </xf>
    <xf numFmtId="0" fontId="12" fillId="0" borderId="0" xfId="4496" applyFont="1" applyFill="1" applyBorder="1" applyAlignment="1" applyProtection="1">
      <alignment horizontal="left" vertical="top" wrapText="1"/>
    </xf>
    <xf numFmtId="0" fontId="116" fillId="0" borderId="0" xfId="4496"/>
    <xf numFmtId="0" fontId="12" fillId="0" borderId="50" xfId="4496" applyFont="1" applyFill="1" applyBorder="1" applyAlignment="1" applyProtection="1">
      <alignment vertical="top"/>
    </xf>
    <xf numFmtId="0" fontId="12" fillId="0" borderId="51" xfId="4496" applyFont="1" applyFill="1" applyBorder="1" applyAlignment="1" applyProtection="1">
      <alignment vertical="top"/>
    </xf>
    <xf numFmtId="0" fontId="12" fillId="0" borderId="52" xfId="4496" applyFont="1" applyFill="1" applyBorder="1" applyAlignment="1" applyProtection="1">
      <alignment vertical="top"/>
    </xf>
    <xf numFmtId="1" fontId="20" fillId="0" borderId="8" xfId="4496" applyNumberFormat="1" applyFont="1" applyBorder="1" applyProtection="1"/>
    <xf numFmtId="0" fontId="12" fillId="0" borderId="0" xfId="543" applyFont="1" applyAlignment="1" applyProtection="1">
      <alignment vertical="top"/>
    </xf>
    <xf numFmtId="0" fontId="20" fillId="0" borderId="51" xfId="4496" applyFont="1" applyFill="1" applyBorder="1" applyAlignment="1" applyProtection="1">
      <alignment horizontal="left" vertical="top"/>
    </xf>
    <xf numFmtId="0" fontId="20" fillId="0" borderId="52" xfId="4496" applyFont="1" applyFill="1" applyBorder="1" applyAlignment="1" applyProtection="1">
      <alignment horizontal="left" vertical="top"/>
    </xf>
    <xf numFmtId="0" fontId="20" fillId="0" borderId="0" xfId="4496" applyFont="1" applyAlignment="1" applyProtection="1"/>
    <xf numFmtId="0" fontId="12" fillId="0" borderId="8" xfId="543" applyFont="1" applyBorder="1" applyAlignment="1" applyProtection="1"/>
    <xf numFmtId="0" fontId="118" fillId="0" borderId="0" xfId="4497" applyFont="1" applyAlignment="1"/>
    <xf numFmtId="168" fontId="12" fillId="0" borderId="0" xfId="543" applyNumberFormat="1" applyFont="1" applyAlignment="1" applyProtection="1"/>
    <xf numFmtId="0" fontId="116" fillId="0" borderId="0" xfId="4496" applyFill="1" applyBorder="1" applyAlignment="1" applyProtection="1">
      <alignment horizontal="center"/>
      <protection locked="0"/>
    </xf>
    <xf numFmtId="0" fontId="12" fillId="0" borderId="53" xfId="4496" applyFont="1" applyFill="1" applyBorder="1" applyAlignment="1" applyProtection="1">
      <alignment vertical="top"/>
    </xf>
    <xf numFmtId="0" fontId="12" fillId="0" borderId="54" xfId="4496" applyFont="1" applyFill="1" applyBorder="1" applyAlignment="1" applyProtection="1">
      <alignment vertical="top" wrapText="1"/>
    </xf>
    <xf numFmtId="0" fontId="57" fillId="0" borderId="53" xfId="4496" applyFont="1" applyFill="1" applyBorder="1"/>
    <xf numFmtId="0" fontId="20" fillId="0" borderId="54" xfId="4496" applyFont="1" applyFill="1" applyBorder="1" applyAlignment="1" applyProtection="1">
      <alignment horizontal="left" vertical="top"/>
    </xf>
    <xf numFmtId="0" fontId="12" fillId="0" borderId="53" xfId="4496" applyFont="1" applyFill="1" applyBorder="1" applyAlignment="1" applyProtection="1">
      <alignment vertical="center" wrapText="1"/>
    </xf>
    <xf numFmtId="0" fontId="57" fillId="0" borderId="57" xfId="4496" applyFont="1" applyFill="1" applyBorder="1"/>
    <xf numFmtId="0" fontId="20" fillId="0" borderId="58" xfId="4496" applyFont="1" applyFill="1" applyBorder="1" applyAlignment="1" applyProtection="1">
      <alignment horizontal="left" vertical="top"/>
    </xf>
    <xf numFmtId="0" fontId="20" fillId="0" borderId="12" xfId="4496" applyFont="1" applyFill="1" applyBorder="1" applyProtection="1"/>
    <xf numFmtId="0" fontId="12" fillId="0" borderId="57" xfId="4496" applyFont="1" applyFill="1" applyBorder="1" applyAlignment="1" applyProtection="1">
      <alignment vertical="center"/>
    </xf>
    <xf numFmtId="0" fontId="12" fillId="0" borderId="58" xfId="4496" applyFont="1" applyFill="1" applyBorder="1" applyAlignment="1" applyProtection="1">
      <alignment vertical="top"/>
    </xf>
    <xf numFmtId="0" fontId="12" fillId="0" borderId="59" xfId="4496" applyFont="1" applyFill="1" applyBorder="1" applyAlignment="1" applyProtection="1">
      <alignment vertical="top"/>
    </xf>
    <xf numFmtId="172" fontId="12" fillId="0" borderId="0" xfId="543" applyNumberFormat="1" applyFont="1" applyFill="1" applyBorder="1" applyProtection="1"/>
    <xf numFmtId="0" fontId="12" fillId="0" borderId="0" xfId="4496" applyFont="1" applyFill="1" applyBorder="1" applyAlignment="1" applyProtection="1">
      <alignment vertical="top"/>
    </xf>
    <xf numFmtId="0" fontId="20" fillId="0" borderId="4" xfId="4496" applyFont="1" applyFill="1" applyBorder="1" applyAlignment="1" applyProtection="1">
      <alignment horizontal="left" vertical="top"/>
    </xf>
    <xf numFmtId="0" fontId="12" fillId="0" borderId="4" xfId="4496" applyFont="1" applyFill="1" applyBorder="1" applyAlignment="1" applyProtection="1">
      <alignment horizontal="left" vertical="top"/>
    </xf>
    <xf numFmtId="0" fontId="12" fillId="0" borderId="2" xfId="4496" applyFont="1" applyFill="1" applyBorder="1" applyAlignment="1" applyProtection="1"/>
    <xf numFmtId="0" fontId="20" fillId="0" borderId="2" xfId="4496" applyFont="1" applyBorder="1" applyProtection="1"/>
    <xf numFmtId="0" fontId="20" fillId="0" borderId="2" xfId="4496" applyFont="1" applyFill="1" applyBorder="1" applyAlignment="1" applyProtection="1"/>
    <xf numFmtId="0" fontId="20" fillId="0" borderId="2" xfId="4496" applyFont="1" applyFill="1" applyBorder="1" applyProtection="1"/>
    <xf numFmtId="0" fontId="12" fillId="0" borderId="2" xfId="4496" applyFont="1" applyFill="1" applyBorder="1" applyAlignment="1" applyProtection="1">
      <alignment horizontal="center"/>
    </xf>
    <xf numFmtId="0" fontId="20" fillId="0" borderId="7" xfId="4496" applyFont="1" applyBorder="1" applyProtection="1"/>
    <xf numFmtId="0" fontId="28" fillId="0" borderId="0" xfId="4496" applyFont="1" applyFill="1" applyBorder="1" applyAlignment="1" applyProtection="1">
      <alignment horizontal="right"/>
    </xf>
    <xf numFmtId="0" fontId="122" fillId="0" borderId="0" xfId="4496" applyFont="1" applyFill="1" applyBorder="1" applyAlignment="1" applyProtection="1">
      <alignment horizontal="left" vertical="top" wrapText="1"/>
    </xf>
    <xf numFmtId="0" fontId="28" fillId="0" borderId="0" xfId="4496" applyFont="1" applyFill="1" applyBorder="1" applyAlignment="1" applyProtection="1">
      <alignment horizontal="left" vertical="top"/>
    </xf>
    <xf numFmtId="0" fontId="20" fillId="0" borderId="0" xfId="4496" applyFont="1" applyFill="1" applyBorder="1" applyAlignment="1" applyProtection="1">
      <alignment vertical="top"/>
    </xf>
    <xf numFmtId="0" fontId="20" fillId="0" borderId="0" xfId="4496" applyFont="1" applyFill="1" applyBorder="1" applyAlignment="1" applyProtection="1">
      <alignment horizontal="right"/>
    </xf>
    <xf numFmtId="0" fontId="20" fillId="0" borderId="0" xfId="4496" quotePrefix="1" applyNumberFormat="1" applyFont="1" applyAlignment="1" applyProtection="1">
      <alignment horizontal="right"/>
    </xf>
    <xf numFmtId="0" fontId="12" fillId="0" borderId="0" xfId="4498" applyFont="1" applyAlignment="1" applyProtection="1"/>
    <xf numFmtId="0" fontId="20" fillId="0" borderId="0" xfId="4496" applyFont="1" applyFill="1" applyBorder="1" applyAlignment="1" applyProtection="1">
      <alignment horizontal="left" vertical="top" wrapText="1" shrinkToFit="1"/>
    </xf>
    <xf numFmtId="0" fontId="116" fillId="0" borderId="0" xfId="4496" applyAlignment="1">
      <alignment vertical="top" wrapText="1"/>
    </xf>
    <xf numFmtId="0" fontId="20" fillId="0" borderId="4" xfId="4496" applyFont="1" applyFill="1" applyBorder="1" applyAlignment="1" applyProtection="1">
      <alignment horizontal="left" vertical="top" wrapText="1" shrinkToFit="1"/>
    </xf>
    <xf numFmtId="0" fontId="28" fillId="0" borderId="8" xfId="4496" applyFont="1" applyBorder="1" applyProtection="1"/>
    <xf numFmtId="0" fontId="20" fillId="0" borderId="0" xfId="4496" applyFont="1" applyFill="1" applyBorder="1" applyAlignment="1" applyProtection="1">
      <alignment horizontal="center"/>
    </xf>
    <xf numFmtId="0" fontId="20" fillId="0" borderId="0" xfId="4496" quotePrefix="1" applyNumberFormat="1" applyFont="1" applyFill="1" applyAlignment="1" applyProtection="1">
      <alignment horizontal="right"/>
    </xf>
    <xf numFmtId="0" fontId="20" fillId="0" borderId="0" xfId="4496" quotePrefix="1" applyFont="1" applyFill="1" applyProtection="1"/>
    <xf numFmtId="0" fontId="20" fillId="0" borderId="0" xfId="4496" applyFont="1" applyFill="1" applyBorder="1" applyAlignment="1" applyProtection="1">
      <alignment horizontal="left" vertical="top" shrinkToFit="1"/>
    </xf>
    <xf numFmtId="0" fontId="42" fillId="0" borderId="0" xfId="4496" applyFont="1" applyProtection="1"/>
    <xf numFmtId="0" fontId="20" fillId="0" borderId="0" xfId="4496" applyNumberFormat="1" applyFont="1" applyAlignment="1" applyProtection="1">
      <alignment horizontal="right"/>
    </xf>
    <xf numFmtId="0" fontId="20" fillId="0" borderId="3" xfId="4496" applyFont="1" applyFill="1" applyBorder="1" applyAlignment="1" applyProtection="1">
      <alignment horizontal="center"/>
    </xf>
    <xf numFmtId="0" fontId="116" fillId="0" borderId="8" xfId="4496" applyBorder="1" applyProtection="1"/>
    <xf numFmtId="0" fontId="116" fillId="0" borderId="0" xfId="4496" applyProtection="1"/>
    <xf numFmtId="0" fontId="116" fillId="0" borderId="0" xfId="4496" applyFill="1" applyProtection="1"/>
    <xf numFmtId="0" fontId="19" fillId="0" borderId="8" xfId="4496" applyFont="1" applyFill="1" applyBorder="1" applyAlignment="1" applyProtection="1">
      <alignment vertical="top"/>
    </xf>
    <xf numFmtId="0" fontId="116" fillId="0" borderId="0" xfId="4496" applyFill="1" applyAlignment="1" applyProtection="1">
      <alignment vertical="top"/>
    </xf>
    <xf numFmtId="0" fontId="116" fillId="0" borderId="8" xfId="4496" applyFill="1" applyBorder="1" applyProtection="1"/>
    <xf numFmtId="172" fontId="12" fillId="0" borderId="8" xfId="543" applyNumberFormat="1" applyFont="1" applyFill="1" applyBorder="1" applyProtection="1"/>
    <xf numFmtId="0" fontId="19" fillId="0" borderId="4" xfId="4496" applyFont="1" applyFill="1" applyBorder="1" applyAlignment="1" applyProtection="1">
      <alignment horizontal="center" vertical="top"/>
    </xf>
    <xf numFmtId="0" fontId="122" fillId="0" borderId="0" xfId="4496" applyFont="1" applyFill="1" applyBorder="1" applyAlignment="1" applyProtection="1">
      <alignment horizontal="left" vertical="top"/>
    </xf>
    <xf numFmtId="0" fontId="122" fillId="0" borderId="4" xfId="4496" applyFont="1" applyFill="1" applyBorder="1" applyAlignment="1" applyProtection="1">
      <alignment horizontal="left" vertical="top"/>
    </xf>
    <xf numFmtId="0" fontId="12" fillId="0" borderId="0" xfId="4498" applyFont="1" applyProtection="1"/>
    <xf numFmtId="168" fontId="12" fillId="0" borderId="0" xfId="4498" applyNumberFormat="1" applyFont="1" applyProtection="1"/>
    <xf numFmtId="0" fontId="20" fillId="0" borderId="0" xfId="4496" quotePrefix="1" applyNumberFormat="1" applyFont="1" applyProtection="1"/>
    <xf numFmtId="1" fontId="20" fillId="0" borderId="0" xfId="4496" applyNumberFormat="1" applyFont="1" applyFill="1" applyBorder="1" applyAlignment="1" applyProtection="1">
      <alignment horizontal="center" vertical="top"/>
    </xf>
    <xf numFmtId="0" fontId="19" fillId="0" borderId="8" xfId="4496" applyFont="1" applyFill="1" applyBorder="1" applyAlignment="1" applyProtection="1"/>
    <xf numFmtId="0" fontId="126" fillId="0" borderId="0" xfId="4496" applyFont="1" applyAlignment="1">
      <alignment vertical="top" wrapText="1"/>
    </xf>
    <xf numFmtId="0" fontId="126" fillId="0" borderId="0" xfId="4496" applyFont="1" applyAlignment="1">
      <alignment horizontal="left" vertical="top" wrapText="1"/>
    </xf>
    <xf numFmtId="0" fontId="20" fillId="0" borderId="6" xfId="4496" applyFont="1" applyBorder="1" applyProtection="1"/>
    <xf numFmtId="1" fontId="20" fillId="0" borderId="8" xfId="4496" applyNumberFormat="1" applyFont="1" applyFill="1" applyBorder="1" applyAlignment="1" applyProtection="1">
      <alignment horizontal="center" vertical="top"/>
    </xf>
    <xf numFmtId="0" fontId="116" fillId="0" borderId="12" xfId="4496" applyFill="1" applyBorder="1" applyProtection="1"/>
    <xf numFmtId="0" fontId="20" fillId="0" borderId="9" xfId="4496" applyFont="1" applyBorder="1" applyProtection="1"/>
    <xf numFmtId="0" fontId="116" fillId="0" borderId="10" xfId="4496" applyFill="1" applyBorder="1" applyProtection="1"/>
    <xf numFmtId="0" fontId="28" fillId="0" borderId="3" xfId="4496" applyFont="1" applyBorder="1" applyProtection="1"/>
    <xf numFmtId="0" fontId="19" fillId="0" borderId="4" xfId="4496" applyFont="1" applyBorder="1" applyProtection="1"/>
    <xf numFmtId="0" fontId="116" fillId="0" borderId="0" xfId="4496" applyFill="1" applyBorder="1" applyProtection="1"/>
    <xf numFmtId="0" fontId="116" fillId="0" borderId="12" xfId="4496" applyFill="1" applyBorder="1" applyAlignment="1" applyProtection="1">
      <alignment vertical="top"/>
    </xf>
    <xf numFmtId="0" fontId="20" fillId="0" borderId="0" xfId="4496" applyFont="1" applyAlignment="1"/>
    <xf numFmtId="0" fontId="28" fillId="0" borderId="1" xfId="4496" applyFont="1" applyBorder="1" applyAlignment="1"/>
    <xf numFmtId="0" fontId="126" fillId="0" borderId="2" xfId="4496" applyFont="1" applyBorder="1" applyAlignment="1">
      <alignment horizontal="left" wrapText="1"/>
    </xf>
    <xf numFmtId="0" fontId="126" fillId="0" borderId="2" xfId="4496" applyFont="1" applyBorder="1" applyAlignment="1">
      <alignment horizontal="left"/>
    </xf>
    <xf numFmtId="0" fontId="126" fillId="0" borderId="7" xfId="4496" applyFont="1" applyBorder="1" applyAlignment="1">
      <alignment horizontal="left" wrapText="1"/>
    </xf>
    <xf numFmtId="0" fontId="126" fillId="0" borderId="0" xfId="4496" applyFont="1" applyAlignment="1">
      <alignment horizontal="left" wrapText="1"/>
    </xf>
    <xf numFmtId="0" fontId="28" fillId="0" borderId="9" xfId="4496" applyFont="1" applyBorder="1" applyProtection="1"/>
    <xf numFmtId="0" fontId="20" fillId="0" borderId="6" xfId="4496" applyFont="1" applyBorder="1" applyAlignment="1"/>
    <xf numFmtId="0" fontId="20" fillId="0" borderId="10" xfId="4496" applyFont="1" applyBorder="1" applyAlignment="1"/>
    <xf numFmtId="0" fontId="126" fillId="0" borderId="0" xfId="4496" applyFont="1" applyAlignment="1">
      <alignment wrapText="1"/>
    </xf>
    <xf numFmtId="0" fontId="28" fillId="0" borderId="9" xfId="4496" applyFont="1" applyBorder="1" applyAlignment="1" applyProtection="1">
      <alignment horizontal="center"/>
    </xf>
    <xf numFmtId="0" fontId="19" fillId="0" borderId="10" xfId="4496" applyFont="1" applyFill="1" applyBorder="1" applyProtection="1"/>
    <xf numFmtId="0" fontId="30" fillId="0" borderId="0" xfId="4496" applyFont="1" applyProtection="1"/>
    <xf numFmtId="0" fontId="20" fillId="0" borderId="50" xfId="4496" applyFont="1" applyBorder="1" applyProtection="1"/>
    <xf numFmtId="0" fontId="20" fillId="0" borderId="51" xfId="4496" applyFont="1" applyBorder="1" applyProtection="1"/>
    <xf numFmtId="1" fontId="20" fillId="0" borderId="51" xfId="4496" quotePrefix="1" applyNumberFormat="1" applyFont="1" applyFill="1" applyBorder="1" applyAlignment="1" applyProtection="1">
      <alignment horizontal="center" vertical="top"/>
    </xf>
    <xf numFmtId="0" fontId="19" fillId="0" borderId="51" xfId="4496" applyFont="1" applyBorder="1" applyAlignment="1" applyProtection="1"/>
    <xf numFmtId="0" fontId="19" fillId="0" borderId="52" xfId="4496" applyFont="1" applyBorder="1" applyAlignment="1" applyProtection="1">
      <alignment horizontal="center"/>
    </xf>
    <xf numFmtId="0" fontId="12" fillId="0" borderId="53" xfId="4496" applyFont="1" applyBorder="1" applyProtection="1"/>
    <xf numFmtId="1" fontId="20" fillId="0" borderId="0" xfId="4496" quotePrefix="1" applyNumberFormat="1" applyFont="1" applyFill="1" applyBorder="1" applyAlignment="1" applyProtection="1">
      <alignment horizontal="center" vertical="top"/>
    </xf>
    <xf numFmtId="0" fontId="19" fillId="0" borderId="0" xfId="4496" applyFont="1" applyBorder="1" applyAlignment="1" applyProtection="1"/>
    <xf numFmtId="0" fontId="19" fillId="0" borderId="54" xfId="4496" applyFont="1" applyBorder="1" applyAlignment="1" applyProtection="1">
      <alignment horizontal="center"/>
    </xf>
    <xf numFmtId="0" fontId="28" fillId="0" borderId="0" xfId="4496" applyFont="1" applyBorder="1" applyAlignment="1">
      <alignment vertical="top"/>
    </xf>
    <xf numFmtId="0" fontId="20" fillId="0" borderId="0" xfId="4496" applyFont="1" applyBorder="1" applyAlignment="1">
      <alignment vertical="top" wrapText="1"/>
    </xf>
    <xf numFmtId="0" fontId="20" fillId="0" borderId="61" xfId="4496" applyFont="1" applyBorder="1" applyProtection="1"/>
    <xf numFmtId="0" fontId="116" fillId="0" borderId="58" xfId="4496" applyFill="1" applyBorder="1" applyAlignment="1" applyProtection="1">
      <alignment horizontal="center"/>
    </xf>
    <xf numFmtId="1" fontId="20" fillId="0" borderId="58" xfId="4496" quotePrefix="1" applyNumberFormat="1" applyFont="1" applyFill="1" applyBorder="1" applyAlignment="1" applyProtection="1">
      <alignment horizontal="center" vertical="top"/>
    </xf>
    <xf numFmtId="0" fontId="28" fillId="0" borderId="58" xfId="4496" applyFont="1" applyBorder="1" applyAlignment="1">
      <alignment vertical="top"/>
    </xf>
    <xf numFmtId="0" fontId="20" fillId="0" borderId="58" xfId="4496" applyFont="1" applyBorder="1" applyAlignment="1">
      <alignment vertical="top" wrapText="1"/>
    </xf>
    <xf numFmtId="0" fontId="20" fillId="0" borderId="58" xfId="4496" applyFont="1" applyBorder="1" applyProtection="1"/>
    <xf numFmtId="0" fontId="19" fillId="0" borderId="58" xfId="4496" applyFont="1" applyBorder="1" applyAlignment="1" applyProtection="1">
      <alignment horizontal="center"/>
    </xf>
    <xf numFmtId="0" fontId="116" fillId="0" borderId="61" xfId="4496" applyBorder="1" applyProtection="1"/>
    <xf numFmtId="0" fontId="116" fillId="0" borderId="0" xfId="4496" applyFill="1" applyBorder="1" applyAlignment="1" applyProtection="1">
      <alignment horizontal="center"/>
    </xf>
    <xf numFmtId="0" fontId="12" fillId="0" borderId="53" xfId="543" applyFont="1" applyBorder="1" applyProtection="1"/>
    <xf numFmtId="0" fontId="20" fillId="0" borderId="54" xfId="4496" applyFont="1" applyBorder="1" applyProtection="1"/>
    <xf numFmtId="0" fontId="12" fillId="0" borderId="58" xfId="543" applyFont="1" applyBorder="1" applyProtection="1"/>
    <xf numFmtId="1" fontId="20" fillId="0" borderId="58" xfId="4496" applyNumberFormat="1" applyFont="1" applyFill="1" applyBorder="1" applyAlignment="1" applyProtection="1">
      <alignment horizontal="center" vertical="top"/>
    </xf>
    <xf numFmtId="0" fontId="28" fillId="0" borderId="58" xfId="4496" applyFont="1" applyBorder="1" applyAlignment="1">
      <alignment vertical="center"/>
    </xf>
    <xf numFmtId="0" fontId="116" fillId="0" borderId="58" xfId="4496" applyBorder="1" applyAlignment="1">
      <alignment vertical="top" wrapText="1"/>
    </xf>
    <xf numFmtId="0" fontId="12" fillId="0" borderId="58" xfId="4496" applyFont="1" applyBorder="1" applyProtection="1"/>
    <xf numFmtId="0" fontId="20" fillId="0" borderId="0" xfId="4496" applyFont="1" applyBorder="1" applyAlignment="1">
      <alignment horizontal="left" vertical="top" wrapText="1"/>
    </xf>
    <xf numFmtId="0" fontId="28" fillId="0" borderId="0" xfId="4496" applyFont="1" applyBorder="1" applyAlignment="1">
      <alignment vertical="center"/>
    </xf>
    <xf numFmtId="0" fontId="20" fillId="0" borderId="53" xfId="4496" applyFont="1" applyBorder="1" applyProtection="1"/>
    <xf numFmtId="0" fontId="12" fillId="0" borderId="57" xfId="543" applyFont="1" applyBorder="1" applyProtection="1"/>
    <xf numFmtId="0" fontId="20" fillId="0" borderId="58" xfId="4496" applyFont="1" applyBorder="1" applyAlignment="1">
      <alignment vertical="top"/>
    </xf>
    <xf numFmtId="0" fontId="20" fillId="0" borderId="59" xfId="4496" applyFont="1" applyBorder="1" applyProtection="1"/>
    <xf numFmtId="0" fontId="20" fillId="0" borderId="57" xfId="4496" applyFont="1" applyBorder="1" applyProtection="1"/>
    <xf numFmtId="0" fontId="20" fillId="0" borderId="0" xfId="4496" applyFont="1" applyAlignment="1">
      <alignment vertical="top" wrapText="1"/>
    </xf>
    <xf numFmtId="0" fontId="19" fillId="0" borderId="51" xfId="4496" applyFont="1" applyBorder="1" applyProtection="1"/>
    <xf numFmtId="0" fontId="12" fillId="0" borderId="51" xfId="4496" applyFont="1" applyBorder="1" applyProtection="1"/>
    <xf numFmtId="0" fontId="20" fillId="0" borderId="52" xfId="4496"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6" applyFont="1" applyBorder="1" applyProtection="1"/>
    <xf numFmtId="0" fontId="28" fillId="0" borderId="0" xfId="4496" applyNumberFormat="1" applyFont="1" applyBorder="1" applyAlignment="1">
      <alignment vertical="top"/>
    </xf>
    <xf numFmtId="0" fontId="20" fillId="0" borderId="0" xfId="4496" applyNumberFormat="1" applyFont="1" applyBorder="1" applyAlignment="1">
      <alignment vertical="top" wrapText="1"/>
    </xf>
    <xf numFmtId="0" fontId="28" fillId="0" borderId="0" xfId="4496" applyFont="1" applyBorder="1" applyProtection="1"/>
    <xf numFmtId="0" fontId="28" fillId="0" borderId="58" xfId="4496" applyNumberFormat="1" applyFont="1" applyBorder="1" applyAlignment="1">
      <alignment vertical="top"/>
    </xf>
    <xf numFmtId="0" fontId="20" fillId="0" borderId="58" xfId="4496" applyNumberFormat="1" applyFont="1" applyBorder="1" applyAlignment="1">
      <alignment vertical="top" wrapText="1"/>
    </xf>
    <xf numFmtId="0" fontId="20" fillId="0" borderId="62" xfId="4496" applyFont="1" applyBorder="1" applyProtection="1"/>
    <xf numFmtId="0" fontId="28" fillId="0" borderId="0" xfId="4496" applyNumberFormat="1" applyFont="1" applyAlignment="1">
      <alignment vertical="top"/>
    </xf>
    <xf numFmtId="0" fontId="20" fillId="0" borderId="0" xfId="4496" applyNumberFormat="1" applyFont="1" applyAlignment="1">
      <alignment vertical="top" wrapText="1"/>
    </xf>
    <xf numFmtId="0" fontId="20" fillId="0" borderId="0" xfId="4496" applyFont="1" applyBorder="1" applyAlignment="1">
      <alignment wrapText="1"/>
    </xf>
    <xf numFmtId="0" fontId="28" fillId="0" borderId="0" xfId="4496" applyFont="1" applyAlignment="1">
      <alignment vertical="top"/>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116" fillId="0" borderId="53" xfId="4496" applyFill="1" applyBorder="1" applyAlignment="1" applyProtection="1">
      <alignment horizontal="center"/>
    </xf>
    <xf numFmtId="172" fontId="12" fillId="0" borderId="0" xfId="543" applyNumberFormat="1" applyFont="1" applyBorder="1" applyProtection="1"/>
    <xf numFmtId="0" fontId="116" fillId="0" borderId="0" xfId="4496" applyBorder="1" applyAlignment="1" applyProtection="1">
      <alignment vertical="top" wrapText="1"/>
    </xf>
    <xf numFmtId="2" fontId="20" fillId="0" borderId="0" xfId="4496" applyNumberFormat="1" applyFont="1" applyFill="1" applyBorder="1" applyAlignment="1" applyProtection="1">
      <alignment horizontal="right"/>
    </xf>
    <xf numFmtId="0" fontId="19" fillId="0" borderId="0" xfId="4496" applyFont="1" applyBorder="1" applyAlignment="1" applyProtection="1">
      <alignment horizontal="center"/>
    </xf>
    <xf numFmtId="2" fontId="20" fillId="0" borderId="0" xfId="4496" applyNumberFormat="1" applyFont="1" applyBorder="1" applyAlignment="1" applyProtection="1">
      <alignment horizontal="right"/>
    </xf>
    <xf numFmtId="0" fontId="12" fillId="0" borderId="0" xfId="4496" applyFont="1" applyBorder="1" applyAlignment="1" applyProtection="1"/>
    <xf numFmtId="2" fontId="20" fillId="0" borderId="8" xfId="4496" applyNumberFormat="1" applyFont="1" applyFill="1" applyBorder="1" applyAlignment="1" applyProtection="1">
      <alignment horizontal="left"/>
    </xf>
    <xf numFmtId="0" fontId="20" fillId="0" borderId="8" xfId="4496" applyNumberFormat="1" applyFont="1" applyFill="1" applyBorder="1" applyAlignment="1" applyProtection="1">
      <alignment horizontal="right"/>
    </xf>
    <xf numFmtId="0" fontId="125" fillId="0" borderId="0" xfId="4496" applyFont="1" applyProtection="1"/>
    <xf numFmtId="0" fontId="116" fillId="0" borderId="57" xfId="4496" applyFill="1" applyBorder="1" applyAlignment="1" applyProtection="1">
      <alignment horizontal="center"/>
    </xf>
    <xf numFmtId="0" fontId="19" fillId="0" borderId="59" xfId="4496" applyFont="1" applyBorder="1" applyAlignment="1" applyProtection="1">
      <alignment horizontal="center"/>
    </xf>
    <xf numFmtId="0" fontId="12" fillId="0" borderId="8" xfId="4496" applyNumberFormat="1" applyFont="1" applyFill="1" applyBorder="1" applyAlignment="1" applyProtection="1"/>
    <xf numFmtId="0" fontId="20" fillId="0" borderId="0" xfId="4496" applyFont="1" applyAlignment="1" applyProtection="1">
      <alignment horizontal="left"/>
    </xf>
    <xf numFmtId="0" fontId="12" fillId="0" borderId="8" xfId="4496" applyNumberFormat="1" applyFont="1" applyBorder="1" applyAlignment="1" applyProtection="1"/>
    <xf numFmtId="9" fontId="20" fillId="0" borderId="0" xfId="4496" applyNumberFormat="1" applyFont="1" applyAlignment="1" applyProtection="1">
      <alignment horizontal="left"/>
    </xf>
    <xf numFmtId="0" fontId="20" fillId="0" borderId="50" xfId="4496" applyFont="1" applyFill="1" applyBorder="1" applyProtection="1"/>
    <xf numFmtId="0" fontId="20" fillId="0" borderId="51" xfId="4496"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6" applyFont="1" applyAlignment="1" applyProtection="1">
      <alignment horizontal="center"/>
    </xf>
    <xf numFmtId="0" fontId="30" fillId="0" borderId="0" xfId="4496" applyFont="1" applyBorder="1" applyProtection="1"/>
    <xf numFmtId="0" fontId="12" fillId="0" borderId="51" xfId="4496" quotePrefix="1" applyFont="1" applyFill="1" applyBorder="1" applyAlignment="1" applyProtection="1">
      <alignment horizontal="center" vertical="top"/>
    </xf>
    <xf numFmtId="0" fontId="20" fillId="0" borderId="53" xfId="4496" applyFont="1" applyFill="1" applyBorder="1" applyAlignment="1" applyProtection="1">
      <alignment horizontal="left" vertical="top"/>
    </xf>
    <xf numFmtId="0" fontId="20" fillId="0" borderId="0" xfId="4496" applyFont="1" applyFill="1" applyBorder="1" applyAlignment="1" applyProtection="1">
      <alignment horizontal="center" vertical="top"/>
    </xf>
    <xf numFmtId="0" fontId="20" fillId="0" borderId="57" xfId="4496" applyFont="1" applyFill="1" applyBorder="1" applyAlignment="1" applyProtection="1">
      <alignment horizontal="left" vertical="top"/>
    </xf>
    <xf numFmtId="0" fontId="20" fillId="0" borderId="58" xfId="4496" applyFont="1" applyFill="1" applyBorder="1" applyAlignment="1" applyProtection="1">
      <alignment horizontal="center" vertical="top"/>
    </xf>
    <xf numFmtId="0" fontId="116" fillId="0" borderId="58" xfId="4496" applyFill="1" applyBorder="1" applyAlignment="1" applyProtection="1"/>
    <xf numFmtId="0" fontId="19" fillId="0" borderId="58" xfId="4496" applyFont="1" applyFill="1" applyBorder="1" applyAlignment="1" applyProtection="1">
      <alignment vertical="top"/>
    </xf>
    <xf numFmtId="0" fontId="19" fillId="0" borderId="58" xfId="4496" applyFont="1" applyFill="1" applyBorder="1" applyAlignment="1" applyProtection="1">
      <alignment horizontal="left" vertical="top"/>
    </xf>
    <xf numFmtId="0" fontId="116" fillId="0" borderId="0" xfId="4496" applyFill="1" applyBorder="1" applyAlignment="1" applyProtection="1"/>
    <xf numFmtId="0" fontId="19" fillId="0" borderId="51" xfId="4496" applyFont="1" applyFill="1" applyBorder="1" applyAlignment="1" applyProtection="1">
      <alignment horizontal="left" vertical="top"/>
    </xf>
    <xf numFmtId="0" fontId="19" fillId="0" borderId="53" xfId="4496" applyFont="1" applyBorder="1" applyAlignment="1" applyProtection="1">
      <alignment horizontal="left" vertical="top"/>
    </xf>
    <xf numFmtId="0" fontId="49" fillId="0" borderId="0" xfId="4496" applyFont="1" applyFill="1" applyBorder="1" applyAlignment="1" applyProtection="1">
      <alignment horizontal="left" vertical="top"/>
    </xf>
    <xf numFmtId="0" fontId="20" fillId="0" borderId="0" xfId="4496" quotePrefix="1" applyFont="1" applyFill="1" applyBorder="1" applyAlignment="1" applyProtection="1">
      <alignment horizontal="center" vertical="top"/>
    </xf>
    <xf numFmtId="0" fontId="50" fillId="0" borderId="0" xfId="4496" applyFont="1" applyFill="1" applyBorder="1" applyAlignment="1" applyProtection="1">
      <alignment horizontal="center"/>
    </xf>
    <xf numFmtId="0" fontId="49" fillId="0" borderId="0" xfId="4496" applyFont="1" applyBorder="1" applyProtection="1"/>
    <xf numFmtId="0" fontId="50" fillId="0" borderId="0" xfId="4496" applyFont="1" applyFill="1" applyBorder="1" applyAlignment="1" applyProtection="1">
      <alignment vertical="top"/>
    </xf>
    <xf numFmtId="0" fontId="103" fillId="0" borderId="0" xfId="4496" applyFont="1" applyBorder="1" applyProtection="1"/>
    <xf numFmtId="0" fontId="49" fillId="0" borderId="0" xfId="4496" applyFont="1" applyBorder="1" applyAlignment="1" applyProtection="1">
      <alignment vertical="top"/>
    </xf>
    <xf numFmtId="0" fontId="28" fillId="0" borderId="53" xfId="4496" applyFont="1" applyBorder="1" applyProtection="1"/>
    <xf numFmtId="2" fontId="20" fillId="0" borderId="8" xfId="4496" applyNumberFormat="1" applyFont="1" applyFill="1" applyBorder="1" applyAlignment="1" applyProtection="1">
      <alignment horizontal="right"/>
    </xf>
    <xf numFmtId="0" fontId="19" fillId="0" borderId="50" xfId="4496" applyFont="1" applyFill="1" applyBorder="1" applyAlignment="1" applyProtection="1">
      <alignment horizontal="left" vertical="top"/>
    </xf>
    <xf numFmtId="0" fontId="20" fillId="0" borderId="51" xfId="4496" applyFont="1" applyFill="1" applyBorder="1" applyAlignment="1" applyProtection="1"/>
    <xf numFmtId="0" fontId="49" fillId="0" borderId="51" xfId="4496" applyFont="1" applyFill="1" applyBorder="1" applyAlignment="1" applyProtection="1">
      <alignment horizontal="left" vertical="top"/>
    </xf>
    <xf numFmtId="0" fontId="116" fillId="0" borderId="53" xfId="4496" applyFill="1" applyBorder="1" applyAlignment="1" applyProtection="1"/>
    <xf numFmtId="0" fontId="103" fillId="0" borderId="0" xfId="4496" applyFont="1" applyFill="1" applyBorder="1" applyAlignment="1" applyProtection="1">
      <alignment horizontal="left" vertical="top"/>
    </xf>
    <xf numFmtId="0" fontId="116" fillId="0" borderId="58" xfId="4496" applyBorder="1" applyProtection="1"/>
    <xf numFmtId="1" fontId="19" fillId="0" borderId="58" xfId="4496"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6" applyFont="1" applyFill="1" applyBorder="1" applyAlignment="1" applyProtection="1">
      <alignment wrapText="1"/>
    </xf>
    <xf numFmtId="0" fontId="28" fillId="0" borderId="0" xfId="4496" applyNumberFormat="1" applyFont="1" applyFill="1" applyBorder="1" applyAlignment="1" applyProtection="1">
      <alignment horizontal="center"/>
    </xf>
    <xf numFmtId="0" fontId="28" fillId="0" borderId="0" xfId="4496" applyFont="1" applyFill="1" applyBorder="1" applyAlignment="1" applyProtection="1">
      <alignment vertical="center" wrapText="1"/>
    </xf>
    <xf numFmtId="0" fontId="20" fillId="0" borderId="0" xfId="4496" applyNumberFormat="1" applyFont="1" applyFill="1" applyBorder="1" applyAlignment="1" applyProtection="1">
      <alignment horizontal="center"/>
    </xf>
    <xf numFmtId="180" fontId="20" fillId="0" borderId="0" xfId="4496" applyNumberFormat="1" applyFont="1" applyFill="1" applyBorder="1" applyAlignment="1" applyProtection="1">
      <alignment horizontal="center"/>
    </xf>
    <xf numFmtId="1" fontId="20" fillId="0" borderId="0" xfId="4496" applyNumberFormat="1" applyFont="1" applyFill="1" applyBorder="1" applyAlignment="1" applyProtection="1">
      <alignment horizontal="center"/>
    </xf>
    <xf numFmtId="0" fontId="19" fillId="0" borderId="51" xfId="4496" applyFont="1" applyFill="1" applyBorder="1" applyAlignment="1" applyProtection="1">
      <alignment horizontal="center"/>
    </xf>
    <xf numFmtId="0" fontId="19" fillId="0" borderId="51" xfId="4496"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6" applyFont="1" applyFill="1" applyBorder="1" applyProtection="1"/>
    <xf numFmtId="0" fontId="19" fillId="0" borderId="53" xfId="4496" applyFont="1" applyFill="1" applyBorder="1" applyProtection="1"/>
    <xf numFmtId="0" fontId="12" fillId="0" borderId="54" xfId="543" applyFont="1" applyBorder="1" applyProtection="1"/>
    <xf numFmtId="49" fontId="20" fillId="0" borderId="0" xfId="4496" applyNumberFormat="1" applyFont="1" applyFill="1" applyBorder="1" applyAlignment="1" applyProtection="1">
      <alignment horizontal="left" vertical="center" wrapText="1"/>
    </xf>
    <xf numFmtId="0" fontId="12" fillId="0" borderId="57" xfId="4496" applyFont="1" applyFill="1" applyBorder="1" applyAlignment="1" applyProtection="1"/>
    <xf numFmtId="0" fontId="20" fillId="0" borderId="58" xfId="4496" applyFont="1" applyFill="1" applyBorder="1" applyProtection="1"/>
    <xf numFmtId="0" fontId="20" fillId="0" borderId="58" xfId="4496" applyFont="1" applyFill="1" applyBorder="1" applyAlignment="1" applyProtection="1">
      <alignment vertical="top" wrapText="1"/>
    </xf>
    <xf numFmtId="1" fontId="12" fillId="0" borderId="0" xfId="4496" applyNumberFormat="1" applyFont="1" applyFill="1" applyBorder="1" applyAlignment="1" applyProtection="1">
      <alignment vertical="center"/>
    </xf>
    <xf numFmtId="0" fontId="30" fillId="0" borderId="50" xfId="4496" applyFont="1" applyBorder="1" applyProtection="1"/>
    <xf numFmtId="0" fontId="20" fillId="0" borderId="51" xfId="4496" applyFont="1" applyFill="1" applyBorder="1" applyAlignment="1" applyProtection="1">
      <alignment horizontal="center" vertical="top"/>
    </xf>
    <xf numFmtId="0" fontId="20" fillId="0" borderId="51" xfId="4496" applyFont="1" applyFill="1" applyBorder="1" applyAlignment="1" applyProtection="1">
      <alignment vertical="top" wrapText="1"/>
    </xf>
    <xf numFmtId="0" fontId="20" fillId="0" borderId="51" xfId="4496" applyFont="1" applyFill="1" applyBorder="1" applyAlignment="1" applyProtection="1">
      <alignment horizontal="left" vertical="top" wrapText="1"/>
    </xf>
    <xf numFmtId="0" fontId="12" fillId="0" borderId="0" xfId="4496" quotePrefix="1" applyFont="1" applyFill="1" applyBorder="1" applyAlignment="1" applyProtection="1">
      <alignment horizontal="center" vertical="top"/>
    </xf>
    <xf numFmtId="0" fontId="12" fillId="0" borderId="53" xfId="4496" applyFont="1" applyFill="1" applyBorder="1" applyAlignment="1" applyProtection="1"/>
    <xf numFmtId="0" fontId="20" fillId="0" borderId="0" xfId="4496" applyNumberFormat="1" applyFont="1" applyProtection="1"/>
    <xf numFmtId="1" fontId="20" fillId="0" borderId="0" xfId="4496" quotePrefix="1" applyNumberFormat="1" applyFont="1" applyFill="1" applyBorder="1" applyAlignment="1" applyProtection="1">
      <alignment wrapText="1"/>
    </xf>
    <xf numFmtId="0" fontId="20" fillId="0" borderId="6" xfId="4496" applyFont="1" applyFill="1" applyBorder="1" applyAlignment="1" applyProtection="1">
      <alignment horizontal="right"/>
    </xf>
    <xf numFmtId="0" fontId="118" fillId="0" borderId="0" xfId="4497" applyFont="1" applyAlignment="1">
      <alignment wrapText="1"/>
    </xf>
    <xf numFmtId="0" fontId="12" fillId="0" borderId="0" xfId="4497" applyFont="1" applyBorder="1" applyAlignment="1" applyProtection="1">
      <alignment wrapText="1"/>
    </xf>
    <xf numFmtId="0" fontId="12" fillId="0" borderId="50" xfId="4496" applyNumberFormat="1" applyFont="1" applyBorder="1" applyAlignment="1">
      <alignment vertical="top"/>
    </xf>
    <xf numFmtId="0" fontId="28" fillId="0" borderId="51" xfId="4496" applyNumberFormat="1" applyFont="1" applyBorder="1" applyAlignment="1">
      <alignment vertical="top"/>
    </xf>
    <xf numFmtId="0" fontId="12" fillId="0" borderId="51" xfId="4497" applyFont="1" applyBorder="1" applyAlignment="1" applyProtection="1">
      <alignment wrapText="1"/>
    </xf>
    <xf numFmtId="0" fontId="19" fillId="0" borderId="51" xfId="4496" applyFont="1" applyFill="1" applyBorder="1" applyAlignment="1" applyProtection="1">
      <alignment horizontal="right"/>
    </xf>
    <xf numFmtId="0" fontId="12" fillId="0" borderId="52" xfId="4496" applyFont="1" applyFill="1" applyBorder="1" applyAlignment="1" applyProtection="1">
      <alignment horizontal="center"/>
    </xf>
    <xf numFmtId="0" fontId="12" fillId="0" borderId="53" xfId="4496" applyNumberFormat="1" applyFont="1" applyBorder="1" applyAlignment="1">
      <alignment horizontal="left" vertical="top"/>
    </xf>
    <xf numFmtId="0" fontId="12" fillId="0" borderId="0" xfId="4496" applyNumberFormat="1" applyFont="1" applyBorder="1" applyAlignment="1">
      <alignment horizontal="left" vertical="top"/>
    </xf>
    <xf numFmtId="0" fontId="12" fillId="0" borderId="54" xfId="4496" applyNumberFormat="1" applyFont="1" applyBorder="1" applyAlignment="1">
      <alignment horizontal="left" vertical="top"/>
    </xf>
    <xf numFmtId="0" fontId="12" fillId="0" borderId="54" xfId="4496" applyFont="1" applyFill="1" applyBorder="1" applyAlignment="1" applyProtection="1">
      <alignment horizontal="center"/>
    </xf>
    <xf numFmtId="0" fontId="12" fillId="0" borderId="59" xfId="4496" applyFont="1" applyFill="1" applyBorder="1" applyAlignment="1" applyProtection="1">
      <alignment horizontal="center"/>
    </xf>
    <xf numFmtId="0" fontId="12" fillId="0" borderId="0" xfId="4496" applyNumberFormat="1" applyFont="1" applyBorder="1" applyAlignment="1">
      <alignment vertical="top" wrapText="1"/>
    </xf>
    <xf numFmtId="0" fontId="19" fillId="0" borderId="0" xfId="1193" applyFont="1" applyAlignment="1" applyProtection="1">
      <alignment horizontal="left"/>
    </xf>
    <xf numFmtId="9" fontId="12" fillId="0" borderId="0" xfId="4497"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6" applyFont="1" applyBorder="1" applyProtection="1"/>
    <xf numFmtId="0" fontId="19" fillId="0" borderId="0" xfId="4496" applyFont="1" applyFill="1" applyBorder="1" applyAlignment="1" applyProtection="1">
      <alignment horizontal="center" wrapText="1"/>
    </xf>
    <xf numFmtId="0" fontId="19" fillId="0" borderId="9" xfId="4496" applyFont="1" applyFill="1" applyBorder="1" applyAlignment="1" applyProtection="1">
      <alignment horizontal="left"/>
    </xf>
    <xf numFmtId="0" fontId="20" fillId="0" borderId="10" xfId="4496" applyFont="1" applyBorder="1" applyProtection="1"/>
    <xf numFmtId="0" fontId="19" fillId="0" borderId="3" xfId="4496" applyFont="1" applyFill="1" applyBorder="1" applyAlignment="1" applyProtection="1">
      <alignment horizontal="left"/>
    </xf>
    <xf numFmtId="0" fontId="12" fillId="0" borderId="3" xfId="4496" applyFont="1" applyBorder="1" applyProtection="1"/>
    <xf numFmtId="0" fontId="19" fillId="0" borderId="0" xfId="4496" applyFont="1" applyBorder="1"/>
    <xf numFmtId="0" fontId="19" fillId="0" borderId="4" xfId="4496" applyFont="1" applyFill="1" applyBorder="1" applyAlignment="1" applyProtection="1">
      <alignment horizontal="left"/>
    </xf>
    <xf numFmtId="0" fontId="12" fillId="0" borderId="2" xfId="4496" applyFont="1" applyFill="1" applyBorder="1" applyAlignment="1" applyProtection="1">
      <alignment horizontal="left"/>
    </xf>
    <xf numFmtId="0" fontId="19" fillId="0" borderId="2" xfId="4496" applyFont="1" applyFill="1" applyBorder="1" applyAlignment="1" applyProtection="1">
      <alignment horizontal="left"/>
    </xf>
    <xf numFmtId="0" fontId="19" fillId="0" borderId="5" xfId="4496" applyFont="1" applyFill="1" applyBorder="1" applyAlignment="1" applyProtection="1">
      <alignment horizontal="left"/>
    </xf>
    <xf numFmtId="180" fontId="60" fillId="0" borderId="0" xfId="4496" applyNumberFormat="1" applyFont="1" applyFill="1" applyBorder="1" applyAlignment="1" applyProtection="1">
      <alignment horizontal="center" vertical="center"/>
    </xf>
    <xf numFmtId="0" fontId="12" fillId="0" borderId="12" xfId="4496" applyFont="1" applyFill="1" applyBorder="1" applyAlignment="1" applyProtection="1">
      <alignment vertical="top"/>
    </xf>
    <xf numFmtId="0" fontId="94" fillId="0" borderId="0" xfId="4497" applyFont="1"/>
    <xf numFmtId="0" fontId="94" fillId="0" borderId="0" xfId="4497" applyFont="1" applyAlignment="1">
      <alignment wrapText="1"/>
    </xf>
    <xf numFmtId="0" fontId="133" fillId="0" borderId="0" xfId="4497" applyFont="1"/>
    <xf numFmtId="0" fontId="94" fillId="0" borderId="0" xfId="4497" applyFont="1" applyBorder="1"/>
    <xf numFmtId="0" fontId="94" fillId="0" borderId="0" xfId="4497" applyFont="1" applyFill="1" applyBorder="1"/>
    <xf numFmtId="181" fontId="134" fillId="0" borderId="0" xfId="4499" applyNumberFormat="1" applyFont="1"/>
    <xf numFmtId="0" fontId="135" fillId="0" borderId="0" xfId="4497" applyFont="1" applyAlignment="1">
      <alignment vertical="center" wrapText="1"/>
    </xf>
    <xf numFmtId="49" fontId="94" fillId="0" borderId="0" xfId="4497" applyNumberFormat="1" applyFont="1" applyAlignment="1">
      <alignment horizontal="center"/>
    </xf>
    <xf numFmtId="168" fontId="94" fillId="0" borderId="0" xfId="4500" applyNumberFormat="1" applyFont="1" applyFill="1" applyBorder="1" applyAlignment="1">
      <alignment vertical="center"/>
    </xf>
    <xf numFmtId="0" fontId="94" fillId="0" borderId="0" xfId="4497" applyFont="1" applyAlignment="1">
      <alignment vertical="center"/>
    </xf>
    <xf numFmtId="9" fontId="94" fillId="0" borderId="0" xfId="4500" applyFont="1" applyFill="1" applyBorder="1" applyAlignment="1">
      <alignment vertical="center"/>
    </xf>
    <xf numFmtId="0" fontId="94" fillId="0" borderId="0" xfId="4497" applyFont="1" applyFill="1" applyBorder="1" applyAlignment="1">
      <alignment vertical="center"/>
    </xf>
    <xf numFmtId="0" fontId="94" fillId="0" borderId="0" xfId="4497" applyFont="1" applyFill="1" applyAlignment="1">
      <alignment vertical="center"/>
    </xf>
    <xf numFmtId="9" fontId="94" fillId="0" borderId="0" xfId="4500" applyFont="1" applyBorder="1" applyAlignment="1">
      <alignment vertical="center"/>
    </xf>
    <xf numFmtId="182" fontId="94" fillId="0" borderId="0" xfId="4497" applyNumberFormat="1" applyFont="1"/>
    <xf numFmtId="182" fontId="94" fillId="0" borderId="0" xfId="4497" applyNumberFormat="1" applyFont="1" applyFill="1" applyBorder="1"/>
    <xf numFmtId="0" fontId="94" fillId="0" borderId="0" xfId="4497" applyFont="1" applyAlignment="1">
      <alignment horizontal="center"/>
    </xf>
    <xf numFmtId="0" fontId="94" fillId="0" borderId="0" xfId="4497" applyFont="1" applyFill="1" applyBorder="1" applyAlignment="1">
      <alignment horizontal="center"/>
    </xf>
    <xf numFmtId="0" fontId="136" fillId="0" borderId="0" xfId="4497" applyFont="1" applyFill="1"/>
    <xf numFmtId="0" fontId="137" fillId="0" borderId="0" xfId="4497" applyFont="1" applyFill="1"/>
    <xf numFmtId="0" fontId="94" fillId="0" borderId="0" xfId="4497" applyFont="1" applyFill="1"/>
    <xf numFmtId="182" fontId="94" fillId="0" borderId="0" xfId="4497" applyNumberFormat="1" applyFont="1" applyFill="1" applyAlignment="1">
      <alignment horizontal="center"/>
    </xf>
    <xf numFmtId="182" fontId="94" fillId="0" borderId="0" xfId="4497" applyNumberFormat="1" applyFont="1" applyFill="1" applyBorder="1" applyAlignment="1">
      <alignment horizontal="center"/>
    </xf>
    <xf numFmtId="0" fontId="94" fillId="0" borderId="0" xfId="4497" applyFont="1" applyFill="1" applyAlignment="1">
      <alignment horizontal="center"/>
    </xf>
    <xf numFmtId="0" fontId="94" fillId="0" borderId="0" xfId="4497" applyFont="1" applyFill="1" applyAlignment="1">
      <alignment wrapText="1"/>
    </xf>
    <xf numFmtId="0" fontId="94" fillId="0" borderId="6" xfId="4497" applyFont="1" applyBorder="1" applyAlignment="1">
      <alignment horizontal="center"/>
    </xf>
    <xf numFmtId="0" fontId="94" fillId="0" borderId="0" xfId="4497" applyFont="1" applyFill="1" applyAlignment="1">
      <alignment horizontal="left"/>
    </xf>
    <xf numFmtId="2" fontId="94" fillId="0" borderId="0" xfId="4497" applyNumberFormat="1" applyFont="1" applyFill="1" applyAlignment="1">
      <alignment horizontal="center"/>
    </xf>
    <xf numFmtId="2" fontId="94" fillId="0" borderId="0" xfId="4497" applyNumberFormat="1" applyFont="1" applyFill="1" applyBorder="1" applyAlignment="1">
      <alignment horizontal="center"/>
    </xf>
    <xf numFmtId="2" fontId="94" fillId="0" borderId="0" xfId="4497" applyNumberFormat="1" applyFont="1" applyFill="1"/>
    <xf numFmtId="2" fontId="94" fillId="0" borderId="6" xfId="4497" applyNumberFormat="1" applyFont="1" applyFill="1" applyBorder="1"/>
    <xf numFmtId="181" fontId="94" fillId="0" borderId="0" xfId="4497" applyNumberFormat="1" applyFont="1"/>
    <xf numFmtId="0" fontId="133" fillId="0" borderId="0" xfId="4497" applyFont="1" applyFill="1" applyBorder="1"/>
    <xf numFmtId="7" fontId="133" fillId="0" borderId="0" xfId="4497" applyNumberFormat="1" applyFont="1" applyFill="1"/>
    <xf numFmtId="7" fontId="133" fillId="0" borderId="0" xfId="4497" applyNumberFormat="1" applyFont="1" applyFill="1" applyBorder="1"/>
    <xf numFmtId="165" fontId="134" fillId="0" borderId="0" xfId="4500" applyNumberFormat="1" applyFont="1"/>
    <xf numFmtId="165" fontId="134" fillId="0" borderId="0" xfId="4500" applyNumberFormat="1" applyFont="1" applyFill="1" applyBorder="1"/>
    <xf numFmtId="0" fontId="42" fillId="0" borderId="0" xfId="4496" applyFont="1" applyFill="1" applyBorder="1" applyAlignment="1" applyProtection="1">
      <alignment vertical="top" wrapText="1"/>
    </xf>
    <xf numFmtId="0" fontId="12" fillId="0" borderId="51" xfId="4496" applyFont="1" applyFill="1" applyBorder="1" applyAlignment="1" applyProtection="1">
      <alignment horizontal="left" vertical="top" wrapText="1"/>
    </xf>
    <xf numFmtId="0" fontId="12" fillId="0" borderId="51" xfId="4496" applyFont="1" applyFill="1" applyBorder="1" applyAlignment="1" applyProtection="1">
      <alignment horizontal="right"/>
    </xf>
    <xf numFmtId="0" fontId="12" fillId="0" borderId="52" xfId="4496" applyFont="1" applyFill="1" applyBorder="1" applyAlignment="1" applyProtection="1">
      <alignment horizontal="right"/>
    </xf>
    <xf numFmtId="0" fontId="12" fillId="0" borderId="54" xfId="4496" applyFont="1" applyFill="1" applyBorder="1" applyAlignment="1" applyProtection="1">
      <alignment horizontal="right"/>
    </xf>
    <xf numFmtId="0" fontId="12" fillId="0" borderId="58" xfId="4496" applyFont="1" applyFill="1" applyBorder="1" applyAlignment="1" applyProtection="1">
      <alignment horizontal="left" vertical="top" wrapText="1"/>
    </xf>
    <xf numFmtId="0" fontId="12" fillId="0" borderId="58" xfId="4496" applyFont="1" applyFill="1" applyBorder="1" applyAlignment="1" applyProtection="1">
      <alignment horizontal="right"/>
    </xf>
    <xf numFmtId="0" fontId="12" fillId="0" borderId="59" xfId="4496" applyFont="1" applyFill="1" applyBorder="1" applyAlignment="1" applyProtection="1">
      <alignment horizontal="right"/>
    </xf>
    <xf numFmtId="0" fontId="42" fillId="0" borderId="0" xfId="4496" applyFont="1" applyFill="1" applyBorder="1" applyAlignment="1" applyProtection="1">
      <alignment horizontal="left" vertical="top" wrapText="1"/>
    </xf>
    <xf numFmtId="0" fontId="19" fillId="0" borderId="0" xfId="1193" applyFont="1" applyFill="1" applyBorder="1" applyAlignment="1" applyProtection="1">
      <alignment horizontal="left"/>
    </xf>
    <xf numFmtId="0" fontId="12" fillId="0" borderId="0" xfId="1193" applyFont="1" applyAlignment="1" applyProtection="1">
      <alignment horizontal="left" vertical="top"/>
    </xf>
    <xf numFmtId="0" fontId="12" fillId="0" borderId="0" xfId="1193" applyFont="1" applyFill="1"/>
    <xf numFmtId="0" fontId="30" fillId="0" borderId="0" xfId="1193" applyFont="1" applyAlignment="1" applyProtection="1">
      <alignment horizontal="left" vertical="top"/>
    </xf>
    <xf numFmtId="0" fontId="12" fillId="0" borderId="0" xfId="1193" applyFont="1" applyAlignment="1" applyProtection="1">
      <alignment vertical="top"/>
    </xf>
    <xf numFmtId="0" fontId="12" fillId="0" borderId="0" xfId="1193" applyFont="1" applyAlignment="1" applyProtection="1"/>
    <xf numFmtId="168" fontId="12" fillId="0" borderId="0" xfId="1193" applyNumberFormat="1" applyFont="1" applyAlignment="1" applyProtection="1"/>
    <xf numFmtId="165" fontId="12" fillId="0" borderId="0" xfId="1193" applyNumberFormat="1" applyFont="1" applyFill="1" applyBorder="1" applyAlignment="1" applyProtection="1"/>
    <xf numFmtId="168" fontId="12" fillId="0" borderId="0" xfId="1193" applyNumberFormat="1" applyFont="1" applyFill="1" applyBorder="1" applyAlignment="1" applyProtection="1"/>
    <xf numFmtId="165" fontId="12" fillId="0" borderId="0" xfId="1193" applyNumberFormat="1" applyFont="1" applyFill="1" applyBorder="1" applyAlignment="1" applyProtection="1">
      <alignment horizontal="right"/>
    </xf>
    <xf numFmtId="0" fontId="12" fillId="0" borderId="0" xfId="1193" applyFont="1" applyFill="1" applyBorder="1" applyProtection="1"/>
    <xf numFmtId="0" fontId="12" fillId="0" borderId="0" xfId="1193" applyFont="1" applyFill="1" applyBorder="1" applyAlignment="1" applyProtection="1"/>
    <xf numFmtId="2" fontId="12" fillId="0" borderId="0" xfId="1193" applyNumberFormat="1" applyFont="1" applyFill="1" applyBorder="1" applyAlignment="1" applyProtection="1"/>
    <xf numFmtId="0" fontId="12" fillId="0" borderId="0" xfId="1193" applyFont="1" applyFill="1" applyBorder="1" applyAlignment="1" applyProtection="1">
      <alignment horizontal="center"/>
    </xf>
    <xf numFmtId="6" fontId="12" fillId="0" borderId="0" xfId="1193" applyNumberFormat="1" applyFont="1" applyFill="1" applyBorder="1" applyAlignment="1" applyProtection="1"/>
    <xf numFmtId="0" fontId="19" fillId="0" borderId="0" xfId="1193" applyFont="1" applyFill="1" applyBorder="1" applyAlignment="1" applyProtection="1"/>
    <xf numFmtId="0" fontId="42" fillId="0" borderId="0" xfId="1193" applyFont="1" applyFill="1" applyBorder="1" applyAlignment="1" applyProtection="1"/>
    <xf numFmtId="168" fontId="12" fillId="0" borderId="0" xfId="4496" applyNumberFormat="1" applyFont="1" applyFill="1" applyBorder="1" applyAlignment="1" applyProtection="1"/>
    <xf numFmtId="0" fontId="19" fillId="0" borderId="0" xfId="1193" applyFont="1" applyFill="1" applyBorder="1" applyAlignment="1" applyProtection="1">
      <alignment vertical="center"/>
    </xf>
    <xf numFmtId="0" fontId="114" fillId="0" borderId="0" xfId="1193" applyFont="1" applyBorder="1" applyAlignment="1" applyProtection="1">
      <alignment horizontal="left"/>
    </xf>
    <xf numFmtId="0" fontId="12" fillId="0" borderId="0" xfId="1193" applyFont="1" applyFill="1" applyBorder="1"/>
    <xf numFmtId="0" fontId="111" fillId="0" borderId="0" xfId="1193" applyFont="1" applyBorder="1" applyAlignment="1" applyProtection="1">
      <alignment horizontal="left"/>
    </xf>
    <xf numFmtId="0" fontId="12" fillId="0" borderId="0" xfId="1193" applyFont="1" applyBorder="1" applyAlignment="1" applyProtection="1">
      <alignment horizontal="center"/>
    </xf>
    <xf numFmtId="0" fontId="111" fillId="0" borderId="0" xfId="1193" applyFont="1" applyBorder="1" applyAlignment="1" applyProtection="1">
      <alignment horizontal="center"/>
    </xf>
    <xf numFmtId="168" fontId="12" fillId="0" borderId="0" xfId="1193" applyNumberFormat="1" applyFont="1" applyFill="1" applyAlignment="1" applyProtection="1">
      <alignment horizontal="center"/>
    </xf>
    <xf numFmtId="9" fontId="12" fillId="0" borderId="0" xfId="1193" applyNumberFormat="1" applyFont="1" applyFill="1" applyBorder="1" applyAlignment="1" applyProtection="1"/>
    <xf numFmtId="0" fontId="12" fillId="0" borderId="0" xfId="1193" applyFont="1" applyAlignment="1" applyProtection="1">
      <alignment horizontal="right"/>
    </xf>
    <xf numFmtId="0" fontId="12" fillId="0" borderId="53" xfId="4496" applyFont="1" applyFill="1" applyBorder="1" applyAlignment="1" applyProtection="1">
      <alignment horizontal="left"/>
    </xf>
    <xf numFmtId="0" fontId="19" fillId="0" borderId="0" xfId="1193" applyFont="1" applyBorder="1" applyProtection="1"/>
    <xf numFmtId="6" fontId="19" fillId="0" borderId="0" xfId="1193" applyNumberFormat="1" applyFont="1" applyBorder="1" applyAlignment="1" applyProtection="1">
      <alignment horizontal="right"/>
    </xf>
    <xf numFmtId="0" fontId="19" fillId="0" borderId="0" xfId="1193" applyFont="1" applyFill="1" applyBorder="1" applyAlignment="1" applyProtection="1">
      <alignment horizontal="right"/>
    </xf>
    <xf numFmtId="165" fontId="12" fillId="0" borderId="0" xfId="4496" applyNumberFormat="1" applyFont="1" applyFill="1" applyBorder="1" applyAlignment="1" applyProtection="1"/>
    <xf numFmtId="0" fontId="50" fillId="0" borderId="4" xfId="4496" applyFont="1" applyFill="1" applyBorder="1" applyProtection="1"/>
    <xf numFmtId="0" fontId="94" fillId="0" borderId="0" xfId="4497" applyFont="1" applyFill="1" applyAlignment="1"/>
    <xf numFmtId="1" fontId="94" fillId="0" borderId="0" xfId="4497" applyNumberFormat="1" applyFont="1" applyFill="1"/>
    <xf numFmtId="1" fontId="94" fillId="0" borderId="6" xfId="4497" applyNumberFormat="1" applyFont="1" applyFill="1" applyBorder="1"/>
    <xf numFmtId="0" fontId="32" fillId="0" borderId="0" xfId="543" applyNumberFormat="1" applyFont="1" applyFill="1" applyBorder="1" applyAlignment="1" applyProtection="1">
      <alignment vertical="center" wrapText="1"/>
    </xf>
    <xf numFmtId="168" fontId="94" fillId="0" borderId="0" xfId="4500" applyNumberFormat="1" applyFont="1" applyBorder="1" applyAlignment="1">
      <alignment vertical="center"/>
    </xf>
    <xf numFmtId="2" fontId="94" fillId="0" borderId="0" xfId="4497" applyNumberFormat="1" applyFont="1" applyFill="1" applyBorder="1"/>
    <xf numFmtId="175" fontId="94" fillId="0" borderId="0" xfId="4500" applyNumberFormat="1" applyFont="1" applyFill="1" applyBorder="1" applyAlignment="1">
      <alignment vertical="center"/>
    </xf>
    <xf numFmtId="1" fontId="19" fillId="0" borderId="13" xfId="271" applyNumberFormat="1" applyFont="1" applyBorder="1" applyProtection="1"/>
    <xf numFmtId="1" fontId="21" fillId="0" borderId="13" xfId="271" applyNumberFormat="1" applyFont="1" applyBorder="1" applyProtection="1"/>
    <xf numFmtId="0" fontId="19" fillId="0" borderId="0" xfId="271" applyFont="1" applyBorder="1" applyAlignment="1" applyProtection="1"/>
    <xf numFmtId="49" fontId="132" fillId="0" borderId="0" xfId="570" applyNumberFormat="1" applyFont="1" applyFill="1" applyBorder="1" applyAlignment="1" applyProtection="1">
      <alignment vertical="center"/>
    </xf>
    <xf numFmtId="0" fontId="17" fillId="0" borderId="0" xfId="570" applyFont="1" applyBorder="1"/>
    <xf numFmtId="0" fontId="17" fillId="0" borderId="0" xfId="570" applyFont="1" applyFill="1" applyBorder="1"/>
    <xf numFmtId="0" fontId="17" fillId="0" borderId="0" xfId="570" applyFont="1" applyBorder="1" applyAlignment="1">
      <alignment horizontal="left" vertical="center" wrapText="1"/>
    </xf>
    <xf numFmtId="0" fontId="17" fillId="0" borderId="0" xfId="570" applyFont="1" applyBorder="1" applyAlignment="1">
      <alignment horizontal="left" vertical="center"/>
    </xf>
    <xf numFmtId="1" fontId="17" fillId="0" borderId="6" xfId="570" applyNumberFormat="1" applyFont="1" applyFill="1" applyBorder="1" applyAlignment="1">
      <alignment horizontal="left" vertical="center" wrapText="1"/>
    </xf>
    <xf numFmtId="0" fontId="17" fillId="0" borderId="6" xfId="570" applyFont="1" applyFill="1" applyBorder="1" applyAlignment="1" applyProtection="1">
      <alignment horizontal="left" vertical="center" wrapText="1"/>
    </xf>
    <xf numFmtId="0" fontId="17" fillId="5" borderId="6" xfId="570" applyFont="1" applyFill="1" applyBorder="1" applyAlignment="1" applyProtection="1">
      <alignment horizontal="left" vertical="center" wrapText="1"/>
      <protection locked="0"/>
    </xf>
    <xf numFmtId="0" fontId="17" fillId="0" borderId="0" xfId="570" applyFont="1" applyBorder="1" applyAlignment="1">
      <alignment horizontal="left"/>
    </xf>
    <xf numFmtId="0" fontId="17" fillId="0" borderId="0" xfId="570" applyFont="1" applyBorder="1" applyAlignment="1" applyProtection="1">
      <alignment horizontal="left"/>
    </xf>
    <xf numFmtId="0" fontId="17" fillId="0" borderId="6" xfId="570" applyFont="1" applyFill="1" applyBorder="1" applyAlignment="1" applyProtection="1">
      <alignment horizontal="left" wrapText="1"/>
    </xf>
    <xf numFmtId="0" fontId="17" fillId="0" borderId="6" xfId="570" applyFont="1" applyBorder="1"/>
    <xf numFmtId="0" fontId="19" fillId="43" borderId="8" xfId="570" applyFont="1" applyFill="1" applyBorder="1" applyAlignment="1"/>
    <xf numFmtId="0" fontId="12" fillId="43" borderId="0" xfId="570" applyFill="1" applyBorder="1" applyAlignment="1"/>
    <xf numFmtId="0" fontId="132" fillId="49" borderId="15" xfId="570" applyFont="1" applyFill="1" applyBorder="1" applyAlignment="1" applyProtection="1">
      <alignment horizontal="center" vertical="center" wrapText="1"/>
    </xf>
    <xf numFmtId="49" fontId="132" fillId="49" borderId="15" xfId="570" applyNumberFormat="1" applyFont="1" applyFill="1" applyBorder="1" applyAlignment="1" applyProtection="1">
      <alignment horizontal="center" vertical="center" wrapText="1"/>
    </xf>
    <xf numFmtId="49" fontId="17" fillId="0" borderId="8" xfId="570" applyNumberFormat="1" applyFont="1" applyBorder="1"/>
    <xf numFmtId="0" fontId="17" fillId="5" borderId="14" xfId="570" applyFont="1" applyFill="1" applyBorder="1" applyProtection="1">
      <protection locked="0"/>
    </xf>
    <xf numFmtId="168" fontId="17" fillId="5" borderId="14" xfId="570" applyNumberFormat="1" applyFont="1" applyFill="1" applyBorder="1" applyProtection="1">
      <protection locked="0"/>
    </xf>
    <xf numFmtId="49" fontId="17" fillId="5" borderId="14" xfId="570" applyNumberFormat="1" applyFont="1" applyFill="1" applyBorder="1" applyProtection="1">
      <protection locked="0"/>
    </xf>
    <xf numFmtId="3" fontId="17" fillId="5" borderId="14" xfId="570" applyNumberFormat="1" applyFont="1" applyFill="1" applyBorder="1" applyProtection="1">
      <protection locked="0"/>
    </xf>
    <xf numFmtId="0" fontId="17" fillId="0" borderId="12" xfId="570" applyFont="1" applyFill="1" applyBorder="1"/>
    <xf numFmtId="49" fontId="17" fillId="0" borderId="9" xfId="570" applyNumberFormat="1" applyFont="1" applyBorder="1"/>
    <xf numFmtId="0" fontId="17" fillId="0" borderId="6" xfId="570" applyFont="1" applyFill="1" applyBorder="1"/>
    <xf numFmtId="0" fontId="17" fillId="0" borderId="10" xfId="570" applyFont="1" applyFill="1" applyBorder="1"/>
    <xf numFmtId="49" fontId="19" fillId="43" borderId="8" xfId="570" applyNumberFormat="1" applyFont="1" applyFill="1" applyBorder="1"/>
    <xf numFmtId="0" fontId="17" fillId="43" borderId="0" xfId="570" applyFont="1" applyFill="1" applyBorder="1"/>
    <xf numFmtId="0" fontId="17" fillId="49" borderId="14" xfId="570" applyFont="1" applyFill="1" applyBorder="1" applyProtection="1"/>
    <xf numFmtId="3" fontId="17" fillId="49" borderId="14" xfId="570" applyNumberFormat="1" applyFont="1" applyFill="1" applyBorder="1" applyProtection="1"/>
    <xf numFmtId="49" fontId="17" fillId="49" borderId="14" xfId="570" applyNumberFormat="1" applyFont="1" applyFill="1" applyBorder="1" applyProtection="1"/>
    <xf numFmtId="0" fontId="17" fillId="0" borderId="9" xfId="570" applyFont="1" applyBorder="1"/>
    <xf numFmtId="49" fontId="61" fillId="43" borderId="8" xfId="570" applyNumberFormat="1" applyFont="1" applyFill="1" applyBorder="1"/>
    <xf numFmtId="0" fontId="17" fillId="49" borderId="14" xfId="570" applyFont="1" applyFill="1" applyBorder="1" applyProtection="1">
      <protection locked="0"/>
    </xf>
    <xf numFmtId="3" fontId="17" fillId="49" borderId="14" xfId="570" applyNumberFormat="1" applyFont="1" applyFill="1" applyBorder="1" applyProtection="1">
      <protection locked="0"/>
    </xf>
    <xf numFmtId="49" fontId="17" fillId="49" borderId="14" xfId="570" applyNumberFormat="1" applyFont="1" applyFill="1" applyBorder="1" applyProtection="1">
      <protection locked="0"/>
    </xf>
    <xf numFmtId="0" fontId="17" fillId="5" borderId="6" xfId="570" applyFont="1" applyFill="1" applyBorder="1" applyProtection="1">
      <protection locked="0"/>
    </xf>
    <xf numFmtId="0" fontId="17" fillId="5" borderId="4" xfId="570" applyFont="1" applyFill="1" applyBorder="1" applyProtection="1">
      <protection locked="0"/>
    </xf>
    <xf numFmtId="0" fontId="17" fillId="0" borderId="13" xfId="570" applyFont="1" applyBorder="1"/>
    <xf numFmtId="49" fontId="61" fillId="0" borderId="3" xfId="570" applyNumberFormat="1" applyFont="1" applyBorder="1"/>
    <xf numFmtId="0" fontId="17" fillId="0" borderId="4" xfId="570" applyFont="1" applyBorder="1"/>
    <xf numFmtId="0" fontId="17" fillId="3" borderId="13" xfId="570" applyFont="1" applyFill="1" applyBorder="1"/>
    <xf numFmtId="168" fontId="17" fillId="0" borderId="11" xfId="570" applyNumberFormat="1" applyFont="1" applyBorder="1"/>
    <xf numFmtId="0" fontId="17" fillId="3" borderId="5" xfId="570" applyFont="1" applyFill="1" applyBorder="1"/>
    <xf numFmtId="0" fontId="142" fillId="0" borderId="0" xfId="570" applyFont="1" applyBorder="1"/>
    <xf numFmtId="0" fontId="142" fillId="0" borderId="0" xfId="570" applyFont="1" applyBorder="1" applyProtection="1">
      <protection locked="0"/>
    </xf>
    <xf numFmtId="0" fontId="17" fillId="0" borderId="0" xfId="570" applyFont="1" applyBorder="1" applyProtection="1">
      <protection locked="0"/>
    </xf>
    <xf numFmtId="0" fontId="12" fillId="0" borderId="11" xfId="0" applyFont="1" applyBorder="1" applyProtection="1"/>
    <xf numFmtId="9" fontId="12" fillId="0" borderId="0" xfId="4496" applyNumberFormat="1" applyFont="1" applyFill="1" applyProtection="1"/>
    <xf numFmtId="165" fontId="118" fillId="0" borderId="0" xfId="4497" applyNumberFormat="1" applyFont="1" applyFill="1" applyBorder="1" applyAlignment="1">
      <alignment horizontal="center" vertical="top" wrapText="1"/>
    </xf>
    <xf numFmtId="0" fontId="118" fillId="0" borderId="0" xfId="4497" applyFont="1" applyFill="1" applyBorder="1" applyAlignment="1">
      <alignment vertical="top" wrapText="1"/>
    </xf>
    <xf numFmtId="0" fontId="118" fillId="0" borderId="54" xfId="4497" applyFont="1" applyFill="1" applyBorder="1" applyAlignment="1">
      <alignment vertical="top" wrapText="1"/>
    </xf>
    <xf numFmtId="168" fontId="118" fillId="0" borderId="0" xfId="4497" applyNumberFormat="1" applyFont="1" applyBorder="1" applyAlignment="1">
      <alignment vertical="top" wrapText="1"/>
    </xf>
    <xf numFmtId="165" fontId="118" fillId="0" borderId="65" xfId="4497" applyNumberFormat="1" applyFont="1" applyFill="1" applyBorder="1" applyAlignment="1">
      <alignment horizontal="center" vertical="top" wrapText="1"/>
    </xf>
    <xf numFmtId="165" fontId="118" fillId="0" borderId="53" xfId="4497" applyNumberFormat="1" applyFont="1" applyFill="1" applyBorder="1" applyAlignment="1">
      <alignment horizontal="left" vertical="top"/>
    </xf>
    <xf numFmtId="165" fontId="118" fillId="0" borderId="53" xfId="4497" applyNumberFormat="1" applyFont="1" applyFill="1" applyBorder="1" applyAlignment="1">
      <alignment horizontal="center" vertical="top" wrapText="1"/>
    </xf>
    <xf numFmtId="168" fontId="118" fillId="0" borderId="0" xfId="4497" applyNumberFormat="1" applyFont="1" applyBorder="1" applyAlignment="1">
      <alignment vertical="top"/>
    </xf>
    <xf numFmtId="0" fontId="118" fillId="0" borderId="0" xfId="4497" applyFont="1" applyFill="1" applyBorder="1" applyAlignment="1">
      <alignment vertical="top"/>
    </xf>
    <xf numFmtId="1" fontId="118" fillId="0" borderId="0" xfId="4497" applyNumberFormat="1" applyFont="1" applyBorder="1" applyAlignment="1">
      <alignment vertical="top" wrapText="1"/>
    </xf>
    <xf numFmtId="0" fontId="118" fillId="0" borderId="0" xfId="4497" applyFont="1" applyFill="1" applyBorder="1" applyAlignment="1">
      <alignment horizontal="left" vertical="top" wrapText="1"/>
    </xf>
    <xf numFmtId="164" fontId="20"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94" fillId="0" borderId="0" xfId="4497" applyFont="1" applyFill="1" applyAlignment="1">
      <alignment horizontal="center" vertical="center"/>
    </xf>
    <xf numFmtId="0" fontId="144" fillId="0" borderId="50" xfId="1193" applyFont="1" applyBorder="1" applyAlignment="1" applyProtection="1">
      <alignment horizontal="left"/>
    </xf>
    <xf numFmtId="0" fontId="145" fillId="0" borderId="51" xfId="4496" applyFont="1" applyFill="1" applyBorder="1" applyAlignment="1" applyProtection="1">
      <alignment vertical="top"/>
    </xf>
    <xf numFmtId="0" fontId="144" fillId="0" borderId="51" xfId="4496" applyFont="1" applyFill="1" applyBorder="1" applyAlignment="1" applyProtection="1">
      <alignment vertical="top" wrapText="1"/>
    </xf>
    <xf numFmtId="0" fontId="145" fillId="0" borderId="51" xfId="4496" applyFont="1" applyBorder="1" applyProtection="1"/>
    <xf numFmtId="0" fontId="145" fillId="0" borderId="53" xfId="1193" applyFont="1" applyBorder="1" applyAlignment="1" applyProtection="1">
      <alignment horizontal="left"/>
    </xf>
    <xf numFmtId="0" fontId="145" fillId="0" borderId="0" xfId="4496" applyFont="1" applyFill="1" applyBorder="1" applyAlignment="1" applyProtection="1">
      <alignment vertical="top"/>
    </xf>
    <xf numFmtId="0" fontId="144" fillId="0" borderId="0" xfId="4496" applyFont="1" applyFill="1" applyBorder="1" applyAlignment="1" applyProtection="1">
      <alignment vertical="top" wrapText="1"/>
    </xf>
    <xf numFmtId="0" fontId="145" fillId="0" borderId="0" xfId="4496" applyFont="1" applyBorder="1" applyProtection="1"/>
    <xf numFmtId="0" fontId="144" fillId="0" borderId="53" xfId="1193" applyFont="1" applyBorder="1" applyAlignment="1" applyProtection="1">
      <alignment horizontal="left"/>
    </xf>
    <xf numFmtId="0" fontId="144" fillId="0" borderId="57" xfId="1193" applyFont="1" applyBorder="1" applyAlignment="1" applyProtection="1">
      <alignment horizontal="left"/>
    </xf>
    <xf numFmtId="0" fontId="145" fillId="0" borderId="58" xfId="4496" applyFont="1" applyFill="1" applyBorder="1" applyAlignment="1" applyProtection="1">
      <alignment vertical="top"/>
    </xf>
    <xf numFmtId="0" fontId="144" fillId="0" borderId="58" xfId="4496" applyFont="1" applyFill="1" applyBorder="1" applyAlignment="1" applyProtection="1">
      <alignment vertical="top" wrapText="1"/>
    </xf>
    <xf numFmtId="0" fontId="145" fillId="0" borderId="58" xfId="4496"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5" fillId="0" borderId="0" xfId="4501"/>
    <xf numFmtId="0" fontId="99" fillId="0" borderId="0" xfId="4501" applyFont="1"/>
    <xf numFmtId="0" fontId="5" fillId="51" borderId="67" xfId="4501" applyFill="1" applyBorder="1"/>
    <xf numFmtId="0" fontId="5" fillId="51" borderId="0" xfId="4501" applyFill="1"/>
    <xf numFmtId="0" fontId="98" fillId="51" borderId="41" xfId="4501" applyFont="1" applyFill="1" applyBorder="1" applyAlignment="1">
      <alignment horizontal="center"/>
    </xf>
    <xf numFmtId="0" fontId="98" fillId="51" borderId="0" xfId="4501" applyFont="1" applyFill="1"/>
    <xf numFmtId="183" fontId="0" fillId="51" borderId="0" xfId="4502" applyNumberFormat="1" applyFont="1" applyFill="1" applyBorder="1" applyAlignment="1"/>
    <xf numFmtId="183" fontId="99" fillId="51" borderId="0" xfId="4502" applyNumberFormat="1" applyFont="1" applyFill="1" applyBorder="1" applyAlignment="1"/>
    <xf numFmtId="183" fontId="153" fillId="51" borderId="0" xfId="4502" applyNumberFormat="1" applyFont="1" applyFill="1" applyBorder="1" applyAlignment="1"/>
    <xf numFmtId="0" fontId="5" fillId="51" borderId="41" xfId="4501" applyFill="1" applyBorder="1"/>
    <xf numFmtId="0" fontId="99" fillId="51" borderId="0" xfId="4501" applyFont="1" applyFill="1"/>
    <xf numFmtId="0" fontId="159" fillId="51" borderId="0" xfId="4501" applyFont="1" applyFill="1"/>
    <xf numFmtId="0" fontId="98" fillId="51" borderId="41" xfId="4501" applyFont="1" applyFill="1" applyBorder="1"/>
    <xf numFmtId="0" fontId="98" fillId="0" borderId="0" xfId="4501" applyFont="1"/>
    <xf numFmtId="0" fontId="98" fillId="45" borderId="0" xfId="4501" applyFont="1" applyFill="1"/>
    <xf numFmtId="0" fontId="5" fillId="45" borderId="0" xfId="4501" applyFill="1"/>
    <xf numFmtId="0" fontId="161" fillId="51" borderId="0" xfId="4501" applyFont="1" applyFill="1"/>
    <xf numFmtId="0" fontId="5" fillId="50" borderId="66" xfId="4501" applyFill="1" applyBorder="1"/>
    <xf numFmtId="0" fontId="5" fillId="50" borderId="29" xfId="4501" applyFill="1" applyBorder="1"/>
    <xf numFmtId="0" fontId="5" fillId="50" borderId="31" xfId="4501" applyFill="1" applyBorder="1"/>
    <xf numFmtId="0" fontId="5" fillId="50" borderId="67" xfId="4501" applyFill="1" applyBorder="1"/>
    <xf numFmtId="0" fontId="5" fillId="50" borderId="0" xfId="4501" applyFill="1" applyBorder="1"/>
    <xf numFmtId="0" fontId="5" fillId="50" borderId="41" xfId="4501" applyFill="1" applyBorder="1"/>
    <xf numFmtId="0" fontId="5" fillId="50" borderId="88" xfId="4501" applyFill="1" applyBorder="1"/>
    <xf numFmtId="0" fontId="5" fillId="50" borderId="42" xfId="4501" applyFill="1" applyBorder="1"/>
    <xf numFmtId="0" fontId="5" fillId="50" borderId="44" xfId="4501" applyFill="1" applyBorder="1"/>
    <xf numFmtId="0" fontId="149" fillId="45" borderId="0" xfId="4501" applyFont="1" applyFill="1" applyAlignment="1">
      <alignment horizontal="left"/>
    </xf>
    <xf numFmtId="0" fontId="150" fillId="50" borderId="4" xfId="4501" applyFont="1" applyFill="1" applyBorder="1" applyAlignment="1">
      <alignment horizontal="center"/>
    </xf>
    <xf numFmtId="0" fontId="150" fillId="50" borderId="81" xfId="4501" applyFont="1" applyFill="1" applyBorder="1" applyAlignment="1">
      <alignment horizontal="center"/>
    </xf>
    <xf numFmtId="0" fontId="5" fillId="51" borderId="0" xfId="4501" applyFill="1" applyBorder="1"/>
    <xf numFmtId="0" fontId="98" fillId="51" borderId="67" xfId="4501" applyFont="1" applyFill="1" applyBorder="1"/>
    <xf numFmtId="49" fontId="98" fillId="51" borderId="67" xfId="4501" applyNumberFormat="1" applyFont="1" applyFill="1" applyBorder="1" applyAlignment="1">
      <alignment horizontal="right" vertical="top"/>
    </xf>
    <xf numFmtId="0" fontId="98" fillId="51" borderId="0" xfId="4501" applyFont="1" applyFill="1" applyBorder="1"/>
    <xf numFmtId="0" fontId="5" fillId="51" borderId="0" xfId="4501" applyFill="1" applyBorder="1" applyAlignment="1">
      <alignment vertical="top" wrapText="1"/>
    </xf>
    <xf numFmtId="0" fontId="5" fillId="51" borderId="88" xfId="4501" applyFill="1" applyBorder="1"/>
    <xf numFmtId="0" fontId="5" fillId="51" borderId="42" xfId="4501" applyFill="1" applyBorder="1"/>
    <xf numFmtId="0" fontId="5" fillId="51" borderId="44" xfId="4501" applyFill="1" applyBorder="1"/>
    <xf numFmtId="0" fontId="5" fillId="45" borderId="67" xfId="4501" applyFill="1" applyBorder="1"/>
    <xf numFmtId="0" fontId="5" fillId="45" borderId="0" xfId="4501" applyFill="1" applyBorder="1"/>
    <xf numFmtId="0" fontId="5" fillId="45" borderId="41" xfId="4501" applyFill="1" applyBorder="1"/>
    <xf numFmtId="0" fontId="5" fillId="45" borderId="0" xfId="4501" applyFill="1" applyBorder="1" applyAlignment="1">
      <alignment horizontal="left"/>
    </xf>
    <xf numFmtId="0" fontId="5" fillId="45" borderId="88" xfId="4501" applyFill="1" applyBorder="1"/>
    <xf numFmtId="0" fontId="5" fillId="45" borderId="42" xfId="4501" applyFill="1" applyBorder="1"/>
    <xf numFmtId="0" fontId="5" fillId="45" borderId="44" xfId="4501" applyFill="1" applyBorder="1"/>
    <xf numFmtId="0" fontId="166" fillId="0" borderId="0" xfId="4501" applyFont="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0" applyFont="1" applyBorder="1" applyAlignment="1" applyProtection="1"/>
    <xf numFmtId="0" fontId="19" fillId="0" borderId="5"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2" fillId="0" borderId="0" xfId="4496" applyFont="1" applyFill="1" applyBorder="1" applyAlignment="1" applyProtection="1">
      <alignment horizontal="left" vertical="center" wrapText="1"/>
    </xf>
    <xf numFmtId="0" fontId="19" fillId="0" borderId="0" xfId="4496" applyFont="1" applyAlignment="1" applyProtection="1">
      <alignment horizontal="right"/>
    </xf>
    <xf numFmtId="0" fontId="19" fillId="0" borderId="0" xfId="4496" applyFont="1" applyFill="1" applyBorder="1" applyAlignment="1" applyProtection="1">
      <alignment horizontal="right"/>
    </xf>
    <xf numFmtId="0" fontId="19" fillId="0" borderId="0" xfId="4496" applyFont="1" applyFill="1" applyBorder="1" applyAlignment="1" applyProtection="1">
      <alignment horizontal="center" vertical="top"/>
    </xf>
    <xf numFmtId="0" fontId="12"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left" vertical="top"/>
    </xf>
    <xf numFmtId="0" fontId="20" fillId="0" borderId="0" xfId="4496" applyFont="1" applyFill="1" applyBorder="1" applyAlignment="1" applyProtection="1">
      <alignment horizontal="center"/>
    </xf>
    <xf numFmtId="0" fontId="19" fillId="0" borderId="54" xfId="4496" applyFont="1" applyBorder="1" applyAlignment="1" applyProtection="1">
      <alignment horizontal="center"/>
    </xf>
    <xf numFmtId="0" fontId="19" fillId="0" borderId="0" xfId="4496"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4"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70" applyNumberFormat="1" applyFont="1" applyBorder="1" applyAlignment="1">
      <alignment vertical="top"/>
    </xf>
    <xf numFmtId="0" fontId="49" fillId="0" borderId="0" xfId="271" applyFont="1" applyFill="1" applyAlignment="1" applyProtection="1">
      <alignment vertical="top" wrapText="1"/>
    </xf>
    <xf numFmtId="184" fontId="94" fillId="0" borderId="0" xfId="4497" applyNumberFormat="1" applyFont="1" applyFill="1" applyAlignment="1">
      <alignment vertical="center" wrapText="1"/>
    </xf>
    <xf numFmtId="164" fontId="94" fillId="0" borderId="0" xfId="4497" applyNumberFormat="1" applyFont="1" applyFill="1" applyAlignment="1">
      <alignment vertical="center" wrapText="1"/>
    </xf>
    <xf numFmtId="164" fontId="94" fillId="0" borderId="0" xfId="4497" applyNumberFormat="1" applyFont="1" applyAlignment="1">
      <alignment wrapText="1"/>
    </xf>
    <xf numFmtId="0" fontId="12" fillId="0" borderId="0" xfId="4496" applyNumberFormat="1" applyFont="1" applyAlignment="1" applyProtection="1">
      <alignment vertical="top" wrapText="1"/>
    </xf>
    <xf numFmtId="0" fontId="12" fillId="0" borderId="0" xfId="1193" applyFont="1" applyFill="1" applyBorder="1" applyAlignment="1" applyProtection="1">
      <alignment vertical="top"/>
    </xf>
    <xf numFmtId="0" fontId="22" fillId="0" borderId="0" xfId="4496" applyFont="1" applyFill="1" applyBorder="1" applyProtection="1"/>
    <xf numFmtId="0" fontId="12" fillId="0" borderId="0" xfId="4496" applyFont="1" applyFill="1" applyBorder="1" applyAlignment="1" applyProtection="1">
      <alignment vertical="top" wrapText="1" shrinkToFit="1"/>
    </xf>
    <xf numFmtId="0" fontId="167" fillId="0" borderId="0" xfId="4496" applyFont="1" applyFill="1" applyBorder="1" applyAlignment="1" applyProtection="1"/>
    <xf numFmtId="0" fontId="22" fillId="0" borderId="0" xfId="4496" applyFont="1" applyFill="1" applyBorder="1" applyAlignment="1" applyProtection="1"/>
    <xf numFmtId="164" fontId="12" fillId="0" borderId="0" xfId="1193" applyNumberFormat="1" applyFont="1" applyFill="1" applyBorder="1" applyAlignment="1" applyProtection="1">
      <alignment horizontal="right"/>
    </xf>
    <xf numFmtId="164" fontId="12" fillId="0" borderId="0" xfId="4496" applyNumberFormat="1" applyFont="1" applyFill="1" applyBorder="1" applyAlignment="1" applyProtection="1">
      <alignment horizontal="right"/>
    </xf>
    <xf numFmtId="0" fontId="12" fillId="0" borderId="0" xfId="4496" applyFont="1" applyFill="1" applyBorder="1" applyAlignment="1" applyProtection="1">
      <alignment horizontal="left" vertical="top" wrapText="1" shrinkToFit="1"/>
    </xf>
    <xf numFmtId="0" fontId="12" fillId="0" borderId="0" xfId="4496" applyFont="1" applyAlignment="1">
      <alignment vertical="top" wrapText="1"/>
    </xf>
    <xf numFmtId="0" fontId="12" fillId="0" borderId="6" xfId="4496" applyFont="1" applyBorder="1" applyAlignment="1">
      <alignment vertical="top" wrapText="1"/>
    </xf>
    <xf numFmtId="0" fontId="12" fillId="0" borderId="0" xfId="4496" applyFont="1" applyBorder="1" applyAlignment="1">
      <alignment vertical="top" wrapText="1"/>
    </xf>
    <xf numFmtId="0" fontId="167" fillId="0" borderId="4" xfId="4496" applyFont="1" applyFill="1" applyBorder="1" applyAlignment="1" applyProtection="1"/>
    <xf numFmtId="0" fontId="12" fillId="0" borderId="4" xfId="4496" applyFont="1" applyFill="1" applyBorder="1" applyAlignment="1" applyProtection="1">
      <alignment horizontal="left" vertical="top" wrapText="1" shrinkToFit="1"/>
    </xf>
    <xf numFmtId="0" fontId="22" fillId="0" borderId="0" xfId="4496" applyFont="1" applyFill="1" applyBorder="1" applyAlignment="1" applyProtection="1">
      <alignment horizontal="left" vertical="top"/>
    </xf>
    <xf numFmtId="0" fontId="12" fillId="0" borderId="0" xfId="4496" applyFont="1" applyFill="1" applyBorder="1" applyAlignment="1" applyProtection="1">
      <alignment vertical="center" wrapText="1" shrinkToFit="1"/>
    </xf>
    <xf numFmtId="0" fontId="12" fillId="0" borderId="0" xfId="4496" applyFont="1" applyFill="1" applyBorder="1" applyAlignment="1" applyProtection="1">
      <alignment horizontal="left" vertical="top" shrinkToFit="1"/>
    </xf>
    <xf numFmtId="0" fontId="12" fillId="0" borderId="0" xfId="4496" applyFont="1" applyFill="1" applyBorder="1" applyAlignment="1" applyProtection="1">
      <alignment horizontal="left" vertical="center" shrinkToFit="1"/>
    </xf>
    <xf numFmtId="0" fontId="22" fillId="0" borderId="4" xfId="4496" applyFont="1" applyFill="1" applyBorder="1" applyProtection="1"/>
    <xf numFmtId="0" fontId="12" fillId="0" borderId="4" xfId="4496" applyFont="1" applyFill="1" applyBorder="1" applyAlignment="1" applyProtection="1">
      <alignment horizontal="left" vertical="top" shrinkToFit="1"/>
    </xf>
    <xf numFmtId="0" fontId="12" fillId="0" borderId="0" xfId="4496" applyFont="1" applyAlignment="1" applyProtection="1">
      <alignment vertical="center"/>
    </xf>
    <xf numFmtId="0" fontId="18" fillId="0" borderId="0" xfId="4496" applyFont="1" applyFill="1" applyBorder="1" applyAlignment="1" applyProtection="1"/>
    <xf numFmtId="0" fontId="22" fillId="0" borderId="0" xfId="4496" applyFont="1" applyFill="1" applyProtection="1"/>
    <xf numFmtId="0" fontId="30" fillId="0" borderId="0" xfId="4496" applyFont="1" applyFill="1" applyBorder="1" applyAlignment="1" applyProtection="1"/>
    <xf numFmtId="0" fontId="22" fillId="0" borderId="0" xfId="4496" applyFont="1" applyFill="1" applyBorder="1" applyAlignment="1" applyProtection="1">
      <alignment horizontal="center"/>
    </xf>
    <xf numFmtId="0" fontId="12" fillId="0" borderId="4" xfId="4496" applyFont="1" applyFill="1" applyBorder="1" applyAlignment="1" applyProtection="1">
      <alignment horizontal="left" vertical="top" wrapText="1"/>
    </xf>
    <xf numFmtId="44" fontId="12" fillId="0" borderId="0" xfId="708" applyFont="1" applyFill="1" applyBorder="1" applyAlignment="1" applyProtection="1">
      <alignment horizontal="left" vertical="top" wrapText="1"/>
    </xf>
    <xf numFmtId="44" fontId="12" fillId="0" borderId="4" xfId="708" applyFont="1" applyFill="1" applyBorder="1" applyAlignment="1" applyProtection="1">
      <alignment horizontal="left" vertical="top" wrapText="1"/>
    </xf>
    <xf numFmtId="164" fontId="30" fillId="0" borderId="0" xfId="4496" applyNumberFormat="1" applyFont="1" applyFill="1" applyBorder="1" applyAlignment="1" applyProtection="1">
      <alignment horizontal="left"/>
    </xf>
    <xf numFmtId="0" fontId="22" fillId="0" borderId="0" xfId="4496" applyFont="1" applyFill="1" applyBorder="1" applyAlignment="1" applyProtection="1">
      <alignment horizontal="left"/>
    </xf>
    <xf numFmtId="0" fontId="12" fillId="0" borderId="0" xfId="4496" applyFont="1" applyFill="1" applyBorder="1" applyAlignment="1" applyProtection="1">
      <alignment vertical="center"/>
    </xf>
    <xf numFmtId="0" fontId="12" fillId="0" borderId="4" xfId="4496" applyFont="1" applyFill="1" applyBorder="1" applyAlignment="1" applyProtection="1">
      <alignment vertical="top" wrapText="1"/>
    </xf>
    <xf numFmtId="0" fontId="22" fillId="0" borderId="4" xfId="4496" applyFont="1" applyFill="1" applyBorder="1" applyAlignment="1" applyProtection="1">
      <alignment horizontal="left" vertical="top"/>
    </xf>
    <xf numFmtId="0" fontId="12" fillId="0" borderId="0" xfId="4496" applyFont="1" applyFill="1" applyBorder="1" applyAlignment="1" applyProtection="1">
      <alignment horizontal="left" vertical="center" wrapText="1" shrinkToFit="1"/>
    </xf>
    <xf numFmtId="0" fontId="12" fillId="0" borderId="6" xfId="4496" applyFont="1" applyFill="1" applyBorder="1" applyAlignment="1" applyProtection="1">
      <alignment horizontal="left" vertical="top" wrapText="1"/>
    </xf>
    <xf numFmtId="0" fontId="20" fillId="0" borderId="0" xfId="4496" applyFont="1" applyBorder="1" applyAlignment="1"/>
    <xf numFmtId="0" fontId="28" fillId="0" borderId="0" xfId="4496" applyFont="1" applyFill="1" applyBorder="1" applyAlignment="1">
      <alignment horizontal="center"/>
    </xf>
    <xf numFmtId="2" fontId="114" fillId="0" borderId="0" xfId="0" applyNumberFormat="1" applyFont="1" applyFill="1" applyAlignment="1">
      <alignment horizontal="center"/>
    </xf>
    <xf numFmtId="9" fontId="12" fillId="0" borderId="0" xfId="4495"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7" applyFont="1" applyBorder="1" applyAlignment="1">
      <alignment vertical="center"/>
    </xf>
    <xf numFmtId="0" fontId="12" fillId="0" borderId="50" xfId="4496" applyFont="1" applyFill="1" applyBorder="1" applyAlignment="1" applyProtection="1">
      <alignment vertical="center"/>
    </xf>
    <xf numFmtId="0" fontId="12" fillId="0" borderId="51" xfId="4496" applyFont="1" applyFill="1" applyBorder="1" applyAlignment="1" applyProtection="1">
      <alignment vertical="center"/>
    </xf>
    <xf numFmtId="0" fontId="12" fillId="0" borderId="52" xfId="4496" applyFont="1" applyFill="1" applyBorder="1" applyAlignment="1" applyProtection="1">
      <alignment vertical="center"/>
    </xf>
    <xf numFmtId="0" fontId="12" fillId="0" borderId="54" xfId="4496" applyFont="1" applyFill="1" applyBorder="1" applyAlignment="1" applyProtection="1">
      <alignment vertical="center" wrapText="1"/>
    </xf>
    <xf numFmtId="0" fontId="12" fillId="0" borderId="53" xfId="4496"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7" applyFont="1" applyProtection="1"/>
    <xf numFmtId="0" fontId="4" fillId="0" borderId="0" xfId="4501" applyFont="1"/>
    <xf numFmtId="0" fontId="4" fillId="51" borderId="0" xfId="4501" applyFont="1" applyFill="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3"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70" applyFont="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70" applyFont="1" applyAlignment="1">
      <alignment horizontal="left" vertical="top"/>
    </xf>
    <xf numFmtId="0" fontId="19" fillId="0" borderId="0" xfId="570"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70" applyFont="1" applyAlignment="1" applyProtection="1">
      <alignment horizontal="left" vertical="top"/>
    </xf>
    <xf numFmtId="0" fontId="12" fillId="0" borderId="0" xfId="570"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6" applyFont="1" applyAlignment="1" applyProtection="1">
      <alignment horizontal="center"/>
    </xf>
    <xf numFmtId="43" fontId="12" fillId="0" borderId="0" xfId="4506" applyFont="1" applyAlignment="1" applyProtection="1">
      <alignment horizontal="center"/>
    </xf>
    <xf numFmtId="43" fontId="12" fillId="0" borderId="0" xfId="4506" applyFont="1" applyProtection="1"/>
    <xf numFmtId="0" fontId="19" fillId="0" borderId="0" xfId="0" applyFont="1" applyAlignment="1">
      <alignment vertical="top"/>
    </xf>
    <xf numFmtId="0" fontId="19" fillId="0" borderId="0" xfId="570" applyFont="1" applyAlignment="1" applyProtection="1">
      <alignment horizontal="lef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3"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3"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6" applyNumberFormat="1" applyFont="1" applyFill="1" applyProtection="1"/>
    <xf numFmtId="0" fontId="12" fillId="0" borderId="0" xfId="4496"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6" applyNumberFormat="1" applyFont="1" applyFill="1" applyProtection="1"/>
    <xf numFmtId="0" fontId="12" fillId="0" borderId="0" xfId="570"/>
    <xf numFmtId="4" fontId="12" fillId="0" borderId="0" xfId="570" applyNumberFormat="1" applyFont="1" applyFill="1" applyAlignment="1" applyProtection="1">
      <alignment horizontal="left"/>
    </xf>
    <xf numFmtId="0" fontId="12" fillId="0" borderId="0" xfId="570" applyFont="1" applyProtection="1"/>
    <xf numFmtId="0" fontId="12" fillId="0" borderId="0" xfId="570" applyProtection="1"/>
    <xf numFmtId="0" fontId="12" fillId="0" borderId="0" xfId="570" applyFill="1" applyProtection="1"/>
    <xf numFmtId="0" fontId="19" fillId="0" borderId="0" xfId="570" applyFont="1" applyProtection="1"/>
    <xf numFmtId="0" fontId="12" fillId="5" borderId="6" xfId="570" applyFill="1" applyBorder="1" applyAlignment="1" applyProtection="1">
      <protection locked="0"/>
    </xf>
    <xf numFmtId="0" fontId="12" fillId="0" borderId="0" xfId="570" applyFont="1" applyFill="1" applyAlignment="1">
      <alignment horizontal="center"/>
    </xf>
    <xf numFmtId="0" fontId="12" fillId="0" borderId="0" xfId="1193"/>
    <xf numFmtId="0" fontId="12" fillId="0" borderId="0" xfId="1193" applyFont="1" applyAlignment="1" applyProtection="1">
      <alignment vertical="top" wrapText="1"/>
    </xf>
    <xf numFmtId="0" fontId="12" fillId="0" borderId="0" xfId="1193" applyFont="1" applyAlignment="1" applyProtection="1">
      <alignment horizontal="left" vertical="top" wrapText="1"/>
    </xf>
    <xf numFmtId="10" fontId="118" fillId="0" borderId="0" xfId="4497" applyNumberFormat="1" applyFont="1" applyFill="1" applyBorder="1" applyAlignment="1">
      <alignment horizontal="center" vertical="top" wrapText="1"/>
    </xf>
    <xf numFmtId="10" fontId="118" fillId="0" borderId="65" xfId="4497" applyNumberFormat="1" applyFont="1" applyFill="1" applyBorder="1" applyAlignment="1">
      <alignment horizontal="center" vertical="top" wrapText="1"/>
    </xf>
    <xf numFmtId="10" fontId="118" fillId="0" borderId="53" xfId="4497" applyNumberFormat="1" applyFont="1" applyFill="1" applyBorder="1" applyAlignment="1">
      <alignment horizontal="left" vertical="top"/>
    </xf>
    <xf numFmtId="0" fontId="19"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6" applyFont="1" applyFill="1" applyBorder="1" applyAlignment="1" applyProtection="1">
      <alignment horizontal="center"/>
    </xf>
    <xf numFmtId="0" fontId="19" fillId="0" borderId="0" xfId="4496" applyFont="1" applyFill="1" applyBorder="1" applyAlignment="1" applyProtection="1">
      <alignment horizontal="right"/>
    </xf>
    <xf numFmtId="0" fontId="116" fillId="0" borderId="53" xfId="4496" applyFill="1" applyBorder="1" applyAlignment="1" applyProtection="1">
      <alignment horizontal="center"/>
    </xf>
    <xf numFmtId="0" fontId="116" fillId="0"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vertical="top"/>
    </xf>
    <xf numFmtId="0" fontId="20" fillId="0" borderId="0" xfId="4496" applyFont="1" applyFill="1" applyBorder="1" applyAlignment="1" applyProtection="1">
      <alignment horizontal="center"/>
    </xf>
    <xf numFmtId="0" fontId="12" fillId="0" borderId="0" xfId="543" applyFont="1" applyAlignment="1" applyProtection="1">
      <alignment horizontal="center"/>
    </xf>
    <xf numFmtId="0" fontId="19" fillId="0" borderId="0" xfId="4496" applyFont="1" applyFill="1" applyBorder="1" applyAlignment="1" applyProtection="1">
      <alignment horizontal="left" vertical="top"/>
    </xf>
    <xf numFmtId="0" fontId="12" fillId="0" borderId="0" xfId="1193" applyFont="1" applyAlignment="1" applyProtection="1">
      <alignment horizontal="right"/>
    </xf>
    <xf numFmtId="9" fontId="12" fillId="0" borderId="0" xfId="1193" quotePrefix="1" applyNumberFormat="1" applyFont="1" applyFill="1" applyBorder="1" applyAlignment="1" applyProtection="1">
      <alignment horizontal="center"/>
    </xf>
    <xf numFmtId="0" fontId="19" fillId="0" borderId="0" xfId="4496" applyFont="1" applyAlignment="1" applyProtection="1">
      <alignment horizontal="right"/>
    </xf>
    <xf numFmtId="0" fontId="118" fillId="0" borderId="0" xfId="4496" applyFont="1" applyFill="1" applyProtection="1"/>
    <xf numFmtId="10" fontId="118" fillId="0" borderId="0" xfId="4496" applyNumberFormat="1" applyFont="1" applyFill="1" applyProtection="1"/>
    <xf numFmtId="172" fontId="12" fillId="0" borderId="0" xfId="4496"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3" applyNumberFormat="1" applyFont="1" applyFill="1" applyBorder="1" applyAlignment="1" applyProtection="1">
      <alignment horizontal="center"/>
    </xf>
    <xf numFmtId="0" fontId="116" fillId="0" borderId="64" xfId="4496" applyFill="1" applyBorder="1" applyAlignment="1" applyProtection="1"/>
    <xf numFmtId="0" fontId="28" fillId="0" borderId="0" xfId="4496"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5" fillId="51" borderId="67" xfId="4501" applyFill="1" applyBorder="1" applyProtection="1"/>
    <xf numFmtId="0" fontId="5" fillId="51" borderId="0" xfId="4501" applyFill="1" applyProtection="1"/>
    <xf numFmtId="0" fontId="98" fillId="51" borderId="0" xfId="4501" applyFont="1" applyFill="1" applyProtection="1"/>
    <xf numFmtId="0" fontId="5" fillId="0" borderId="0" xfId="4501" applyProtection="1"/>
    <xf numFmtId="0" fontId="0" fillId="0" borderId="0" xfId="0" applyAlignment="1" applyProtection="1"/>
    <xf numFmtId="0" fontId="0" fillId="0" borderId="0" xfId="0" applyFill="1" applyAlignment="1" applyProtection="1"/>
    <xf numFmtId="0" fontId="12" fillId="0" borderId="54" xfId="4496"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168" fontId="94" fillId="0" borderId="0" xfId="4500" applyNumberFormat="1" applyFont="1" applyFill="1" applyBorder="1" applyAlignment="1" applyProtection="1">
      <alignment vertical="center"/>
    </xf>
    <xf numFmtId="0" fontId="12" fillId="0" borderId="0" xfId="570" applyFont="1" applyAlignment="1">
      <alignment horizontal="left" vertical="top" wrapText="1"/>
    </xf>
    <xf numFmtId="0" fontId="12" fillId="0" borderId="16" xfId="570" applyFont="1" applyBorder="1" applyAlignment="1" applyProtection="1">
      <alignment horizontal="center"/>
    </xf>
    <xf numFmtId="0" fontId="12" fillId="0" borderId="0" xfId="570" applyAlignment="1">
      <alignment wrapText="1"/>
    </xf>
    <xf numFmtId="0" fontId="12" fillId="0" borderId="0" xfId="570" applyFont="1" applyAlignment="1"/>
    <xf numFmtId="0" fontId="12" fillId="0" borderId="0" xfId="570" applyFont="1" applyAlignment="1" applyProtection="1">
      <alignment horizontal="left" vertical="top"/>
    </xf>
    <xf numFmtId="0" fontId="12" fillId="0" borderId="0" xfId="1193" applyAlignment="1">
      <alignment vertical="top" wrapText="1"/>
    </xf>
    <xf numFmtId="164" fontId="12" fillId="0" borderId="57" xfId="4496" applyNumberFormat="1" applyFont="1" applyFill="1" applyBorder="1" applyAlignment="1" applyProtection="1">
      <alignment vertical="top" wrapText="1"/>
    </xf>
    <xf numFmtId="164" fontId="12" fillId="0" borderId="58" xfId="4496" applyNumberFormat="1" applyFont="1" applyFill="1" applyBorder="1" applyAlignment="1" applyProtection="1">
      <alignment vertical="top" wrapText="1"/>
    </xf>
    <xf numFmtId="164" fontId="12" fillId="0" borderId="59" xfId="4496" applyNumberFormat="1" applyFont="1" applyFill="1" applyBorder="1" applyAlignment="1" applyProtection="1">
      <alignment vertical="top" wrapText="1"/>
    </xf>
    <xf numFmtId="0" fontId="19" fillId="0" borderId="0" xfId="570" applyFont="1" applyFill="1" applyAlignment="1" applyProtection="1">
      <alignment horizontal="center"/>
    </xf>
    <xf numFmtId="0" fontId="19" fillId="0" borderId="0" xfId="570" applyFont="1" applyFill="1" applyProtection="1"/>
    <xf numFmtId="43" fontId="19" fillId="0" borderId="0" xfId="4506" applyFont="1" applyProtection="1"/>
    <xf numFmtId="0" fontId="19" fillId="0" borderId="0" xfId="570" applyFont="1" applyAlignment="1">
      <alignment vertical="center"/>
    </xf>
    <xf numFmtId="0" fontId="19" fillId="0" borderId="0" xfId="570" applyFont="1" applyAlignment="1" applyProtection="1"/>
    <xf numFmtId="49" fontId="19" fillId="0" borderId="0" xfId="570" applyNumberFormat="1" applyFont="1" applyProtection="1"/>
    <xf numFmtId="49" fontId="19" fillId="0" borderId="0" xfId="570" applyNumberFormat="1" applyFont="1" applyFill="1" applyProtection="1"/>
    <xf numFmtId="4" fontId="19" fillId="0" borderId="0" xfId="570" applyNumberFormat="1" applyFont="1" applyFill="1" applyProtection="1"/>
    <xf numFmtId="0" fontId="12" fillId="0" borderId="0" xfId="570" applyFont="1" applyAlignment="1" applyProtection="1">
      <alignment wrapText="1"/>
    </xf>
    <xf numFmtId="0" fontId="12" fillId="0" borderId="0" xfId="570"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3" applyFont="1" applyFill="1" applyAlignment="1">
      <alignment horizontal="left" vertical="top" wrapText="1"/>
    </xf>
    <xf numFmtId="0" fontId="12" fillId="0" borderId="0" xfId="0" applyFont="1" applyFill="1" applyBorder="1" applyAlignment="1">
      <alignment horizontal="left" wrapText="1"/>
    </xf>
    <xf numFmtId="0" fontId="19" fillId="0" borderId="0" xfId="570" quotePrefix="1" applyFont="1" applyProtection="1"/>
    <xf numFmtId="0" fontId="12" fillId="0" borderId="16" xfId="570" applyBorder="1" applyProtection="1"/>
    <xf numFmtId="0" fontId="19" fillId="0" borderId="16" xfId="570" applyFont="1" applyBorder="1" applyProtection="1"/>
    <xf numFmtId="0" fontId="12" fillId="0" borderId="4" xfId="570" applyBorder="1" applyProtection="1"/>
    <xf numFmtId="0" fontId="19" fillId="0" borderId="4" xfId="570" applyFont="1" applyBorder="1" applyProtection="1"/>
    <xf numFmtId="49" fontId="12" fillId="0" borderId="4" xfId="570" applyNumberFormat="1" applyBorder="1" applyProtection="1"/>
    <xf numFmtId="49" fontId="19" fillId="0" borderId="4" xfId="570" applyNumberFormat="1" applyFont="1" applyBorder="1" applyProtection="1"/>
    <xf numFmtId="9" fontId="12" fillId="0" borderId="11" xfId="4495" applyFont="1" applyBorder="1" applyAlignment="1">
      <alignment horizontal="center"/>
    </xf>
    <xf numFmtId="168" fontId="49" fillId="5" borderId="11" xfId="0" applyNumberFormat="1" applyFont="1" applyFill="1" applyBorder="1" applyAlignment="1" applyProtection="1">
      <alignment vertical="top" wrapText="1"/>
      <protection locked="0"/>
    </xf>
    <xf numFmtId="0" fontId="49" fillId="5" borderId="11" xfId="0" applyFont="1" applyFill="1" applyBorder="1" applyAlignment="1" applyProtection="1">
      <alignment horizontal="right" vertical="top" wrapText="1"/>
      <protection locked="0"/>
    </xf>
    <xf numFmtId="3" fontId="12" fillId="0" borderId="0" xfId="0" applyNumberFormat="1" applyFont="1"/>
    <xf numFmtId="168" fontId="12" fillId="0" borderId="0" xfId="0" applyNumberFormat="1" applyFont="1"/>
    <xf numFmtId="3" fontId="12" fillId="0" borderId="0" xfId="0" applyNumberFormat="1" applyFont="1" applyFill="1"/>
    <xf numFmtId="3" fontId="171" fillId="0" borderId="0" xfId="0" applyNumberFormat="1" applyFont="1"/>
    <xf numFmtId="0" fontId="0" fillId="0" borderId="0" xfId="0" applyAlignment="1">
      <alignment horizontal="center"/>
    </xf>
    <xf numFmtId="183" fontId="0" fillId="0" borderId="0" xfId="4505" applyNumberFormat="1" applyFont="1" applyAlignment="1">
      <alignment horizontal="center"/>
    </xf>
    <xf numFmtId="14" fontId="0" fillId="0" borderId="0" xfId="4505" applyNumberFormat="1" applyFont="1" applyAlignment="1">
      <alignment horizontal="center"/>
    </xf>
    <xf numFmtId="0" fontId="1" fillId="0" borderId="0" xfId="17147"/>
    <xf numFmtId="0" fontId="19" fillId="0" borderId="0" xfId="17147" applyFont="1" applyAlignment="1">
      <alignment horizontal="center"/>
    </xf>
    <xf numFmtId="0" fontId="19" fillId="0" borderId="0" xfId="17147" applyFont="1"/>
    <xf numFmtId="0" fontId="12" fillId="0" borderId="0" xfId="17147" applyFont="1"/>
    <xf numFmtId="0" fontId="12" fillId="0" borderId="0" xfId="17147" applyFont="1" applyAlignment="1">
      <alignment horizontal="center"/>
    </xf>
    <xf numFmtId="14" fontId="1" fillId="0" borderId="0" xfId="17147" applyNumberFormat="1" applyAlignment="1">
      <alignment horizontal="center"/>
    </xf>
    <xf numFmtId="14" fontId="12" fillId="0" borderId="0" xfId="17147" applyNumberFormat="1" applyFont="1" applyAlignment="1">
      <alignment horizontal="center"/>
    </xf>
    <xf numFmtId="6" fontId="1" fillId="0" borderId="0" xfId="17147" applyNumberFormat="1"/>
    <xf numFmtId="0" fontId="19" fillId="0" borderId="6" xfId="17147" applyFont="1" applyBorder="1" applyAlignment="1">
      <alignment horizontal="center"/>
    </xf>
    <xf numFmtId="0" fontId="19" fillId="0" borderId="6" xfId="17147" quotePrefix="1" applyFont="1" applyBorder="1" applyAlignment="1">
      <alignment horizontal="center"/>
    </xf>
    <xf numFmtId="0" fontId="19" fillId="0" borderId="6" xfId="17147" applyFont="1" applyBorder="1"/>
    <xf numFmtId="0" fontId="0" fillId="0" borderId="0" xfId="0" applyAlignment="1">
      <alignment vertical="top"/>
    </xf>
    <xf numFmtId="0" fontId="0" fillId="0" borderId="0" xfId="0" applyFont="1" applyAlignment="1">
      <alignment vertical="top"/>
    </xf>
    <xf numFmtId="185" fontId="0" fillId="0" borderId="0" xfId="0" applyNumberFormat="1" applyAlignment="1">
      <alignment horizontal="center"/>
    </xf>
    <xf numFmtId="185" fontId="0" fillId="0" borderId="0" xfId="0" applyNumberFormat="1" applyAlignment="1">
      <alignment horizontal="center" wrapText="1"/>
    </xf>
    <xf numFmtId="14" fontId="0" fillId="0" borderId="0" xfId="4505" applyNumberFormat="1" applyFont="1" applyBorder="1" applyAlignment="1">
      <alignment horizontal="center" vertical="top"/>
    </xf>
    <xf numFmtId="14" fontId="0" fillId="0" borderId="0" xfId="4505" applyNumberFormat="1" applyFont="1" applyAlignment="1">
      <alignment horizontal="center" vertical="top"/>
    </xf>
    <xf numFmtId="183" fontId="0" fillId="0" borderId="0" xfId="4505" applyNumberFormat="1" applyFont="1" applyAlignment="1">
      <alignment horizontal="center" vertical="top"/>
    </xf>
    <xf numFmtId="0" fontId="98" fillId="0" borderId="6" xfId="0" applyFont="1" applyBorder="1"/>
    <xf numFmtId="14" fontId="98" fillId="0" borderId="6" xfId="4505" applyNumberFormat="1" applyFont="1" applyBorder="1" applyAlignment="1">
      <alignment horizontal="center"/>
    </xf>
    <xf numFmtId="0" fontId="98" fillId="0" borderId="6" xfId="0" applyFont="1" applyBorder="1" applyAlignment="1">
      <alignment horizontal="center"/>
    </xf>
    <xf numFmtId="183" fontId="0" fillId="0" borderId="6" xfId="4505" applyNumberFormat="1" applyFont="1" applyBorder="1" applyAlignment="1">
      <alignment horizontal="center" vertical="top" wrapText="1"/>
    </xf>
    <xf numFmtId="183" fontId="0" fillId="0" borderId="0" xfId="0" applyNumberFormat="1"/>
    <xf numFmtId="0" fontId="0" fillId="0" borderId="6" xfId="0" applyBorder="1" applyAlignment="1">
      <alignment vertical="top"/>
    </xf>
    <xf numFmtId="14" fontId="0" fillId="0" borderId="6" xfId="4505" applyNumberFormat="1" applyFont="1" applyBorder="1" applyAlignment="1">
      <alignment horizontal="center" vertical="top"/>
    </xf>
    <xf numFmtId="185" fontId="0" fillId="0" borderId="6" xfId="0" applyNumberFormat="1" applyBorder="1" applyAlignment="1">
      <alignment horizontal="center" vertical="top" wrapText="1"/>
    </xf>
    <xf numFmtId="0" fontId="12" fillId="0" borderId="0" xfId="17147" applyFont="1" applyFill="1" applyBorder="1" applyAlignment="1">
      <alignment horizontal="center"/>
    </xf>
    <xf numFmtId="186" fontId="12" fillId="0" borderId="0" xfId="17147" applyNumberFormat="1" applyFont="1" applyAlignment="1">
      <alignment horizontal="center"/>
    </xf>
    <xf numFmtId="0" fontId="12" fillId="0" borderId="6" xfId="0" applyFont="1" applyBorder="1" applyAlignment="1">
      <alignment vertical="top"/>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3" fillId="0" borderId="0" xfId="244" applyAlignment="1" applyProtection="1">
      <alignment horizontal="left"/>
    </xf>
    <xf numFmtId="0" fontId="13" fillId="0" borderId="0" xfId="244" applyBorder="1" applyAlignment="1" applyProtection="1">
      <alignment horizontal="left" vertical="top" wrapText="1"/>
    </xf>
    <xf numFmtId="0" fontId="12" fillId="0" borderId="0" xfId="1193" applyFont="1" applyAlignment="1">
      <alignment horizontal="left" vertical="top" wrapText="1"/>
    </xf>
    <xf numFmtId="0" fontId="19"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2" fillId="0" borderId="0" xfId="1193"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vertical="top" wrapText="1"/>
    </xf>
    <xf numFmtId="0" fontId="12" fillId="0" borderId="0" xfId="0" applyFont="1" applyAlignment="1" applyProtection="1">
      <alignment horizontal="left"/>
    </xf>
    <xf numFmtId="0" fontId="30" fillId="0" borderId="0" xfId="1193" applyFont="1" applyAlignment="1" applyProtection="1">
      <alignment horizontal="left"/>
    </xf>
    <xf numFmtId="0" fontId="12" fillId="0" borderId="0" xfId="1193" applyFont="1" applyFill="1" applyAlignment="1" applyProtection="1">
      <alignment horizontal="left"/>
    </xf>
    <xf numFmtId="0" fontId="12" fillId="0" borderId="0" xfId="1193" applyFont="1" applyFill="1" applyAlignment="1" applyProtection="1">
      <alignment horizontal="left" vertical="top" wrapText="1"/>
    </xf>
    <xf numFmtId="4" fontId="12" fillId="0" borderId="0" xfId="1193" applyNumberFormat="1" applyFont="1" applyFill="1" applyAlignment="1" applyProtection="1">
      <alignment horizontal="left" vertical="top" wrapText="1"/>
    </xf>
    <xf numFmtId="0" fontId="19" fillId="0" borderId="4" xfId="570" applyFont="1" applyBorder="1" applyAlignment="1" applyProtection="1">
      <alignment horizontal="left"/>
    </xf>
    <xf numFmtId="0" fontId="30" fillId="0" borderId="0" xfId="0" applyFont="1" applyFill="1" applyAlignment="1">
      <alignment horizontal="left"/>
    </xf>
    <xf numFmtId="0" fontId="19" fillId="0" borderId="0" xfId="271" applyFont="1" applyFill="1" applyAlignment="1">
      <alignment horizontal="left" vertical="top" wrapText="1"/>
    </xf>
    <xf numFmtId="0" fontId="30" fillId="0" borderId="0" xfId="0" applyFont="1" applyAlignment="1">
      <alignment horizontal="left"/>
    </xf>
    <xf numFmtId="0" fontId="0" fillId="0" borderId="0" xfId="0" applyAlignment="1">
      <alignment horizontal="left" vertical="top" wrapText="1"/>
    </xf>
    <xf numFmtId="0" fontId="21" fillId="0" borderId="0" xfId="0" applyFont="1" applyAlignment="1" applyProtection="1">
      <alignment horizontal="left"/>
    </xf>
    <xf numFmtId="0" fontId="12" fillId="0" borderId="0" xfId="271" applyFont="1" applyFill="1" applyAlignment="1" applyProtection="1">
      <alignment horizontal="left" vertical="top" wrapText="1"/>
      <protection locked="0"/>
    </xf>
    <xf numFmtId="0" fontId="12" fillId="0" borderId="0" xfId="1193" applyFont="1" applyBorder="1" applyAlignment="1" applyProtection="1">
      <alignment horizontal="left" vertical="top" wrapText="1"/>
    </xf>
    <xf numFmtId="0" fontId="12" fillId="0" borderId="0" xfId="1193" applyFont="1" applyFill="1" applyBorder="1" applyAlignment="1" applyProtection="1">
      <alignment horizontal="left" vertical="top" wrapText="1"/>
    </xf>
    <xf numFmtId="0" fontId="12" fillId="0" borderId="0" xfId="1193" applyFont="1" applyAlignment="1" applyProtection="1">
      <alignment horizontal="left" vertical="top" wrapText="1"/>
    </xf>
    <xf numFmtId="0" fontId="13" fillId="0" borderId="0" xfId="244" applyAlignment="1">
      <alignment horizontal="left"/>
    </xf>
    <xf numFmtId="0" fontId="19" fillId="0" borderId="0" xfId="0" applyFont="1"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3" applyFont="1" applyAlignment="1" applyProtection="1">
      <alignment horizontal="left"/>
    </xf>
    <xf numFmtId="0" fontId="12" fillId="0" borderId="0" xfId="0" applyFont="1" applyFill="1" applyAlignment="1" applyProtection="1">
      <alignment horizontal="left" vertical="top" wrapText="1"/>
    </xf>
    <xf numFmtId="4" fontId="12" fillId="0" borderId="0" xfId="570" applyNumberFormat="1" applyFont="1" applyFill="1" applyAlignment="1" applyProtection="1">
      <alignment horizontal="left" vertical="top" wrapText="1"/>
    </xf>
    <xf numFmtId="0" fontId="30" fillId="0" borderId="0" xfId="570" applyFont="1" applyAlignment="1">
      <alignment horizontal="left"/>
    </xf>
    <xf numFmtId="0" fontId="12" fillId="0" borderId="0" xfId="570" applyFont="1" applyAlignment="1">
      <alignment horizontal="left" vertical="top" wrapText="1"/>
    </xf>
    <xf numFmtId="0" fontId="12" fillId="0" borderId="0" xfId="570" applyFont="1" applyFill="1" applyAlignment="1">
      <alignment horizontal="left" vertical="top" wrapText="1"/>
    </xf>
    <xf numFmtId="0" fontId="12" fillId="0" borderId="0" xfId="570"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4" fontId="12" fillId="0" borderId="0" xfId="1193" applyNumberFormat="1" applyFont="1" applyAlignment="1" applyProtection="1">
      <alignment horizontal="left" vertical="top" wrapText="1"/>
    </xf>
    <xf numFmtId="0" fontId="30" fillId="0" borderId="0" xfId="570" applyFont="1" applyBorder="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21" fillId="0" borderId="0" xfId="0" applyFont="1" applyAlignment="1" applyProtection="1">
      <alignment horizontal="left" vertical="top"/>
    </xf>
    <xf numFmtId="0" fontId="30" fillId="0" borderId="0" xfId="0" applyFont="1" applyAlignment="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70" applyFont="1" applyBorder="1" applyAlignment="1">
      <alignment horizontal="left"/>
    </xf>
    <xf numFmtId="49" fontId="12" fillId="0" borderId="0" xfId="0" applyNumberFormat="1" applyFont="1" applyFill="1" applyAlignment="1">
      <alignment horizontal="left" vertical="top" wrapText="1"/>
    </xf>
    <xf numFmtId="49" fontId="12" fillId="0" borderId="0" xfId="1193" applyNumberFormat="1" applyFont="1" applyFill="1" applyAlignment="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0" fontId="12" fillId="0" borderId="0" xfId="570" applyFont="1" applyFill="1" applyBorder="1" applyAlignment="1">
      <alignment horizontal="left" vertical="top"/>
    </xf>
    <xf numFmtId="0" fontId="12" fillId="0" borderId="0" xfId="570" applyFont="1" applyAlignment="1">
      <alignment horizontal="left" vertical="top"/>
    </xf>
    <xf numFmtId="0" fontId="19" fillId="0" borderId="0" xfId="570" applyFont="1" applyAlignment="1">
      <alignment horizontal="left" vertical="top"/>
    </xf>
    <xf numFmtId="0" fontId="12" fillId="0" borderId="0" xfId="0" applyFont="1" applyAlignment="1">
      <alignment horizontal="left" vertical="top"/>
    </xf>
    <xf numFmtId="4" fontId="12" fillId="0" borderId="0" xfId="0" applyNumberFormat="1" applyFont="1" applyAlignment="1" applyProtection="1">
      <alignment horizontal="left" vertical="top" wrapText="1"/>
    </xf>
    <xf numFmtId="0" fontId="13" fillId="0" borderId="0" xfId="244" quotePrefix="1" applyAlignment="1" applyProtection="1">
      <alignment horizontal="left"/>
    </xf>
    <xf numFmtId="0" fontId="19" fillId="0" borderId="4" xfId="0" applyFont="1" applyBorder="1" applyAlignment="1" applyProtection="1">
      <alignment horizontal="left"/>
    </xf>
    <xf numFmtId="0" fontId="19" fillId="0" borderId="4" xfId="570" applyFont="1" applyBorder="1" applyAlignment="1" applyProtection="1">
      <alignment horizontal="left" vertical="top"/>
    </xf>
    <xf numFmtId="0" fontId="12" fillId="0" borderId="0" xfId="0" applyFont="1" applyAlignment="1" applyProtection="1">
      <alignment horizontal="left" vertical="top"/>
    </xf>
    <xf numFmtId="0" fontId="19" fillId="0" borderId="4" xfId="570" applyFont="1" applyFill="1" applyBorder="1" applyAlignment="1" applyProtection="1">
      <alignment horizontal="left"/>
    </xf>
    <xf numFmtId="0" fontId="30" fillId="0" borderId="0" xfId="570" applyFont="1" applyFill="1" applyBorder="1" applyAlignment="1">
      <alignment horizontal="left" vertical="top"/>
    </xf>
    <xf numFmtId="0" fontId="30" fillId="0" borderId="0" xfId="0" applyFont="1" applyAlignment="1">
      <alignment horizontal="left" wrapText="1"/>
    </xf>
    <xf numFmtId="0" fontId="12" fillId="0" borderId="0" xfId="0" applyFont="1" applyFill="1" applyAlignment="1">
      <alignment horizontal="left"/>
    </xf>
    <xf numFmtId="4" fontId="12" fillId="0" borderId="0" xfId="570" applyNumberFormat="1" applyFont="1" applyFill="1" applyAlignment="1" applyProtection="1">
      <alignment horizontal="left"/>
    </xf>
    <xf numFmtId="4" fontId="30" fillId="0" borderId="0" xfId="570" applyNumberFormat="1" applyFont="1" applyFill="1" applyAlignment="1" applyProtection="1">
      <alignment horizontal="left" vertical="top" wrapText="1"/>
    </xf>
    <xf numFmtId="0" fontId="110" fillId="0" borderId="0" xfId="570" applyFont="1" applyAlignment="1">
      <alignment horizontal="center"/>
    </xf>
    <xf numFmtId="0" fontId="111" fillId="0" borderId="0" xfId="570" applyFont="1" applyAlignment="1"/>
    <xf numFmtId="0" fontId="12" fillId="0" borderId="0" xfId="570" applyFont="1" applyAlignment="1">
      <alignment wrapText="1"/>
    </xf>
    <xf numFmtId="0" fontId="12" fillId="0" borderId="0" xfId="570" applyAlignment="1">
      <alignment wrapText="1"/>
    </xf>
    <xf numFmtId="0" fontId="19" fillId="0" borderId="0" xfId="570" applyFont="1" applyAlignment="1">
      <alignment wrapText="1"/>
    </xf>
    <xf numFmtId="0" fontId="27" fillId="0" borderId="0" xfId="570" applyFont="1" applyAlignment="1">
      <alignment horizontal="center"/>
    </xf>
    <xf numFmtId="0" fontId="12" fillId="0" borderId="0" xfId="570" applyAlignment="1"/>
    <xf numFmtId="0" fontId="12" fillId="0" borderId="0" xfId="1193" applyFont="1" applyAlignment="1">
      <alignment vertical="top" wrapText="1"/>
    </xf>
    <xf numFmtId="0" fontId="12" fillId="0" borderId="0" xfId="1193" applyAlignment="1">
      <alignment vertical="top" wrapText="1"/>
    </xf>
    <xf numFmtId="0" fontId="12" fillId="0" borderId="0" xfId="570" applyFont="1" applyAlignment="1"/>
    <xf numFmtId="0" fontId="12" fillId="0" borderId="0" xfId="0" applyFont="1" applyFill="1" applyBorder="1" applyAlignment="1">
      <alignment horizontal="left" vertical="center" wrapText="1"/>
    </xf>
    <xf numFmtId="0" fontId="19" fillId="0" borderId="4" xfId="0" applyFont="1" applyFill="1" applyBorder="1" applyAlignment="1" applyProtection="1">
      <alignment horizontal="left"/>
    </xf>
    <xf numFmtId="0" fontId="12" fillId="0" borderId="0" xfId="0" applyFont="1" applyFill="1" applyBorder="1" applyAlignment="1">
      <alignment horizontal="left" wrapText="1"/>
    </xf>
    <xf numFmtId="0" fontId="19" fillId="0" borderId="0" xfId="0" applyFont="1" applyAlignment="1">
      <alignment horizontal="left" vertical="top"/>
    </xf>
    <xf numFmtId="0" fontId="12" fillId="0" borderId="0" xfId="570" applyAlignment="1" applyProtection="1">
      <alignment horizontal="left" wrapText="1"/>
    </xf>
    <xf numFmtId="0" fontId="12" fillId="0" borderId="0" xfId="0" applyFont="1" applyFill="1" applyBorder="1" applyAlignment="1">
      <alignment horizontal="left" vertical="top" wrapText="1"/>
    </xf>
    <xf numFmtId="4" fontId="12" fillId="0" borderId="0" xfId="0" applyNumberFormat="1"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4" fontId="12" fillId="0" borderId="0" xfId="0" applyNumberFormat="1" applyFont="1" applyAlignment="1" applyProtection="1">
      <alignment horizontal="left"/>
    </xf>
    <xf numFmtId="0" fontId="19" fillId="0" borderId="0" xfId="0" applyFont="1" applyFill="1" applyAlignment="1">
      <alignment horizontal="left" vertical="top" wrapText="1"/>
    </xf>
    <xf numFmtId="0" fontId="19" fillId="0" borderId="0" xfId="1193" applyFont="1" applyFill="1" applyAlignment="1">
      <alignment horizontal="left" vertical="top" wrapText="1"/>
    </xf>
    <xf numFmtId="49" fontId="19" fillId="0" borderId="0" xfId="0" applyNumberFormat="1" applyFont="1" applyAlignment="1">
      <alignment horizontal="left"/>
    </xf>
    <xf numFmtId="0" fontId="30" fillId="0" borderId="0" xfId="1193" applyFont="1" applyFill="1" applyAlignment="1">
      <alignment horizontal="left" vertical="top" wrapText="1"/>
    </xf>
    <xf numFmtId="49" fontId="19" fillId="0" borderId="0" xfId="0" applyNumberFormat="1" applyFont="1" applyAlignment="1">
      <alignment horizontal="left" vertical="top"/>
    </xf>
    <xf numFmtId="49" fontId="12" fillId="0" borderId="0" xfId="0" applyNumberFormat="1" applyFont="1" applyAlignment="1">
      <alignment horizontal="lef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9" fillId="0" borderId="0" xfId="0" applyFont="1" applyBorder="1" applyAlignment="1">
      <alignment horizontal="left" vertical="top"/>
    </xf>
    <xf numFmtId="0" fontId="30" fillId="0" borderId="0" xfId="570" applyFont="1" applyAlignment="1">
      <alignment horizontal="left" vertical="top" wrapText="1"/>
    </xf>
    <xf numFmtId="0" fontId="12" fillId="0" borderId="0" xfId="570" applyFont="1" applyAlignment="1" applyProtection="1">
      <alignment horizontal="left" vertical="top"/>
    </xf>
    <xf numFmtId="0" fontId="19" fillId="0" borderId="0" xfId="570" applyFont="1" applyAlignment="1">
      <alignment horizontal="left"/>
    </xf>
    <xf numFmtId="0" fontId="12" fillId="0" borderId="0" xfId="570" applyFont="1" applyAlignment="1" applyProtection="1">
      <alignment horizontal="left"/>
    </xf>
    <xf numFmtId="0" fontId="12" fillId="0" borderId="0" xfId="1193" applyFont="1" applyFill="1" applyAlignment="1">
      <alignment horizontal="left"/>
    </xf>
    <xf numFmtId="0" fontId="30" fillId="0" borderId="0" xfId="570" applyFont="1" applyBorder="1" applyAlignment="1">
      <alignment horizontal="left"/>
    </xf>
    <xf numFmtId="0" fontId="12" fillId="0" borderId="0" xfId="570" applyFont="1" applyBorder="1" applyAlignment="1">
      <alignment horizontal="left"/>
    </xf>
    <xf numFmtId="0" fontId="12" fillId="0" borderId="0" xfId="570" applyFont="1" applyAlignment="1" applyProtection="1">
      <alignment horizontal="left" vertical="top" wrapText="1"/>
    </xf>
    <xf numFmtId="0" fontId="19" fillId="0" borderId="16" xfId="570" applyFont="1" applyFill="1" applyBorder="1" applyAlignment="1" applyProtection="1">
      <alignment horizontal="left"/>
    </xf>
    <xf numFmtId="0" fontId="12" fillId="0" borderId="0" xfId="570" applyAlignment="1">
      <alignment horizontal="left" vertical="top" wrapText="1"/>
    </xf>
    <xf numFmtId="0" fontId="19" fillId="0" borderId="0" xfId="570" applyFont="1" applyFill="1" applyAlignment="1" applyProtection="1">
      <alignment horizontal="center"/>
    </xf>
    <xf numFmtId="0" fontId="12" fillId="0" borderId="0" xfId="570" applyFont="1" applyFill="1" applyAlignment="1" applyProtection="1"/>
    <xf numFmtId="0" fontId="12" fillId="0" borderId="0" xfId="1193" applyFont="1" applyAlignment="1">
      <alignment horizontal="left"/>
    </xf>
    <xf numFmtId="0" fontId="12" fillId="0" borderId="0" xfId="570" applyFont="1" applyBorder="1" applyAlignment="1">
      <alignment horizontal="left" vertical="top" wrapText="1"/>
    </xf>
    <xf numFmtId="0" fontId="13" fillId="0" borderId="0" xfId="244" applyNumberFormat="1" applyFill="1" applyAlignment="1" applyProtection="1">
      <alignment horizontal="left"/>
    </xf>
    <xf numFmtId="0" fontId="12" fillId="0" borderId="0" xfId="570" applyFont="1" applyFill="1" applyAlignment="1" applyProtection="1">
      <alignment horizontal="left" vertical="top" wrapText="1"/>
    </xf>
    <xf numFmtId="0" fontId="12" fillId="0" borderId="0" xfId="570" applyFill="1" applyAlignment="1" applyProtection="1"/>
    <xf numFmtId="0" fontId="30" fillId="0" borderId="0" xfId="570" applyFont="1" applyAlignment="1" applyProtection="1">
      <alignment horizontal="left"/>
    </xf>
    <xf numFmtId="0" fontId="30" fillId="0" borderId="0" xfId="570" applyFont="1" applyFill="1" applyAlignment="1">
      <alignment horizontal="center"/>
    </xf>
    <xf numFmtId="0" fontId="12" fillId="0" borderId="0" xfId="570" applyFill="1" applyAlignment="1">
      <alignment horizontal="center"/>
    </xf>
    <xf numFmtId="0" fontId="30" fillId="0" borderId="0" xfId="570" applyFont="1" applyAlignment="1">
      <alignment horizontal="left" wrapText="1"/>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0" fontId="19" fillId="0" borderId="0" xfId="570" applyFont="1" applyAlignment="1">
      <alignment horizontal="left" vertical="top" wrapText="1"/>
    </xf>
    <xf numFmtId="4" fontId="12" fillId="0" borderId="0" xfId="570" applyNumberFormat="1" applyFont="1" applyAlignment="1" applyProtection="1">
      <alignment horizontal="left" vertical="top" wrapText="1"/>
    </xf>
    <xf numFmtId="0" fontId="12" fillId="0" borderId="0" xfId="1193" applyFont="1" applyFill="1" applyAlignment="1" applyProtection="1">
      <alignment horizontal="left" vertical="top" wrapText="1"/>
      <protection locked="0"/>
    </xf>
    <xf numFmtId="0" fontId="12" fillId="0" borderId="27" xfId="570" applyFont="1" applyBorder="1" applyAlignment="1">
      <alignment horizontal="left"/>
    </xf>
    <xf numFmtId="0" fontId="13" fillId="0" borderId="0" xfId="244" applyAlignment="1" applyProtection="1">
      <alignment horizontal="left" vertical="top" wrapText="1"/>
    </xf>
    <xf numFmtId="0" fontId="12" fillId="0" borderId="0" xfId="570" applyFont="1" applyFill="1" applyAlignment="1">
      <alignment horizontal="left"/>
    </xf>
    <xf numFmtId="0" fontId="30" fillId="0" borderId="0" xfId="570" applyFont="1" applyAlignment="1" applyProtection="1">
      <alignment horizontal="center"/>
    </xf>
    <xf numFmtId="0" fontId="19" fillId="0" borderId="0" xfId="570" applyFont="1" applyAlignment="1" applyProtection="1">
      <alignment horizontal="center"/>
    </xf>
    <xf numFmtId="0" fontId="12" fillId="0" borderId="15" xfId="570" applyBorder="1" applyAlignment="1" applyProtection="1">
      <alignment horizontal="center" vertical="top" wrapText="1"/>
    </xf>
    <xf numFmtId="0" fontId="12" fillId="0" borderId="14" xfId="570" applyBorder="1" applyAlignment="1" applyProtection="1">
      <alignment horizontal="center" vertical="top" wrapText="1"/>
    </xf>
    <xf numFmtId="0" fontId="12" fillId="0" borderId="13" xfId="570" applyBorder="1" applyAlignment="1" applyProtection="1">
      <alignment horizontal="center" vertical="top" wrapText="1"/>
    </xf>
    <xf numFmtId="0" fontId="12" fillId="0" borderId="0" xfId="1193" applyFont="1" applyAlignment="1" applyProtection="1">
      <alignment vertical="top" wrapText="1"/>
    </xf>
    <xf numFmtId="0" fontId="30" fillId="0" borderId="0" xfId="570" applyFont="1" applyFill="1" applyAlignment="1">
      <alignment horizontal="left"/>
    </xf>
    <xf numFmtId="0" fontId="0" fillId="5" borderId="6" xfId="0" applyFill="1" applyBorder="1" applyAlignment="1" applyProtection="1">
      <alignment horizontal="left"/>
      <protection locked="0"/>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46" borderId="11" xfId="0" applyFont="1" applyFill="1" applyBorder="1" applyAlignment="1" applyProtection="1">
      <alignment horizontal="center"/>
    </xf>
    <xf numFmtId="0" fontId="21" fillId="46" borderId="3" xfId="0" applyFont="1" applyFill="1" applyBorder="1" applyAlignment="1" applyProtection="1">
      <alignment horizontal="center"/>
    </xf>
    <xf numFmtId="0" fontId="21" fillId="46" borderId="4" xfId="0" applyFont="1" applyFill="1" applyBorder="1" applyAlignment="1" applyProtection="1">
      <alignment horizontal="center"/>
    </xf>
    <xf numFmtId="0" fontId="21" fillId="46" borderId="5" xfId="0" applyFont="1" applyFill="1" applyBorder="1" applyAlignment="1" applyProtection="1">
      <alignment horizontal="center"/>
    </xf>
    <xf numFmtId="0" fontId="0" fillId="5" borderId="6" xfId="0" applyFill="1" applyBorder="1" applyAlignment="1" applyProtection="1">
      <alignment horizontal="center"/>
      <protection locked="0"/>
    </xf>
    <xf numFmtId="0" fontId="0" fillId="0" borderId="11" xfId="0" applyBorder="1" applyAlignment="1" applyProtection="1">
      <alignment horizontal="center"/>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5" xfId="0" applyFont="1" applyBorder="1" applyAlignment="1" applyProtection="1">
      <alignment horizontal="center"/>
    </xf>
    <xf numFmtId="0" fontId="21" fillId="0" borderId="11" xfId="0" applyFont="1" applyBorder="1" applyAlignment="1" applyProtection="1">
      <alignment horizontal="center"/>
    </xf>
    <xf numFmtId="175" fontId="12" fillId="44" borderId="3" xfId="0" applyNumberFormat="1" applyFont="1" applyFill="1" applyBorder="1" applyAlignment="1" applyProtection="1">
      <alignment horizontal="center"/>
      <protection locked="0"/>
    </xf>
    <xf numFmtId="175" fontId="12" fillId="44" borderId="4" xfId="0" applyNumberFormat="1" applyFont="1" applyFill="1" applyBorder="1" applyAlignment="1" applyProtection="1">
      <alignment horizontal="center"/>
      <protection locked="0"/>
    </xf>
    <xf numFmtId="175" fontId="12" fillId="44"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2" fillId="0" borderId="11" xfId="0" applyFont="1" applyBorder="1" applyAlignment="1" applyProtection="1">
      <alignment horizontal="center"/>
    </xf>
    <xf numFmtId="0" fontId="21" fillId="2" borderId="11"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172" fontId="19" fillId="0" borderId="2" xfId="0" applyNumberFormat="1" applyFont="1" applyBorder="1" applyAlignment="1" applyProtection="1">
      <alignment horizontal="center" wrapText="1"/>
    </xf>
    <xf numFmtId="172" fontId="19" fillId="0" borderId="7" xfId="0" applyNumberFormat="1" applyFont="1" applyBorder="1" applyAlignment="1" applyProtection="1">
      <alignment horizontal="center" wrapText="1"/>
    </xf>
    <xf numFmtId="172" fontId="19" fillId="0" borderId="0" xfId="0" applyNumberFormat="1" applyFont="1" applyBorder="1" applyAlignment="1" applyProtection="1">
      <alignment horizontal="center" wrapText="1"/>
    </xf>
    <xf numFmtId="172" fontId="19" fillId="0" borderId="12" xfId="0" applyNumberFormat="1" applyFont="1" applyBorder="1" applyAlignment="1" applyProtection="1">
      <alignment horizontal="center" wrapText="1"/>
    </xf>
    <xf numFmtId="172" fontId="19" fillId="0" borderId="6" xfId="0" applyNumberFormat="1" applyFont="1" applyBorder="1" applyAlignment="1" applyProtection="1">
      <alignment horizontal="center" wrapText="1"/>
    </xf>
    <xf numFmtId="172" fontId="19" fillId="0" borderId="10" xfId="0" applyNumberFormat="1" applyFont="1" applyBorder="1" applyAlignment="1" applyProtection="1">
      <alignment horizontal="center" wrapText="1"/>
    </xf>
    <xf numFmtId="0" fontId="21" fillId="5" borderId="4" xfId="0" applyFont="1" applyFill="1" applyBorder="1" applyAlignment="1" applyProtection="1">
      <alignment horizontal="left"/>
      <protection locked="0"/>
    </xf>
    <xf numFmtId="180" fontId="20" fillId="44" borderId="3" xfId="0" applyNumberFormat="1" applyFont="1" applyFill="1" applyBorder="1" applyAlignment="1" applyProtection="1">
      <alignment horizontal="center"/>
      <protection locked="0"/>
    </xf>
    <xf numFmtId="180" fontId="20" fillId="44" borderId="4" xfId="0" applyNumberFormat="1" applyFont="1" applyFill="1" applyBorder="1" applyAlignment="1" applyProtection="1">
      <alignment horizontal="center"/>
      <protection locked="0"/>
    </xf>
    <xf numFmtId="180" fontId="20" fillId="44"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1" fillId="5" borderId="5" xfId="0" applyFont="1" applyFill="1" applyBorder="1" applyAlignment="1" applyProtection="1">
      <alignment horizontal="left"/>
      <protection locked="0"/>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2" fillId="0" borderId="11" xfId="543" applyFont="1" applyFill="1" applyBorder="1" applyAlignment="1" applyProtection="1">
      <alignment horizontal="center"/>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168" fontId="12" fillId="5" borderId="1" xfId="543" applyNumberFormat="1" applyFont="1" applyFill="1" applyBorder="1" applyAlignment="1" applyProtection="1">
      <alignment horizontal="center" vertical="center"/>
      <protection locked="0"/>
    </xf>
    <xf numFmtId="168" fontId="12" fillId="5" borderId="2" xfId="543" applyNumberFormat="1" applyFont="1" applyFill="1" applyBorder="1" applyAlignment="1" applyProtection="1">
      <alignment horizontal="center" vertical="center"/>
      <protection locked="0"/>
    </xf>
    <xf numFmtId="168" fontId="12" fillId="5" borderId="7" xfId="543" applyNumberFormat="1" applyFont="1" applyFill="1" applyBorder="1" applyAlignment="1" applyProtection="1">
      <alignment horizontal="center" vertical="center"/>
      <protection locked="0"/>
    </xf>
    <xf numFmtId="168" fontId="12" fillId="5" borderId="8" xfId="543" applyNumberFormat="1" applyFont="1" applyFill="1" applyBorder="1" applyAlignment="1" applyProtection="1">
      <alignment horizontal="center" vertical="center"/>
      <protection locked="0"/>
    </xf>
    <xf numFmtId="168" fontId="12" fillId="5" borderId="0" xfId="543" applyNumberFormat="1" applyFont="1" applyFill="1" applyBorder="1" applyAlignment="1" applyProtection="1">
      <alignment horizontal="center" vertical="center"/>
      <protection locked="0"/>
    </xf>
    <xf numFmtId="168" fontId="12" fillId="5" borderId="12" xfId="543" applyNumberFormat="1" applyFont="1" applyFill="1" applyBorder="1" applyAlignment="1" applyProtection="1">
      <alignment horizontal="center" vertical="center"/>
      <protection locked="0"/>
    </xf>
    <xf numFmtId="168" fontId="12" fillId="5" borderId="9" xfId="543" applyNumberFormat="1" applyFont="1" applyFill="1" applyBorder="1" applyAlignment="1" applyProtection="1">
      <alignment horizontal="center" vertical="center"/>
      <protection locked="0"/>
    </xf>
    <xf numFmtId="168" fontId="12" fillId="5" borderId="6" xfId="543" applyNumberFormat="1" applyFont="1" applyFill="1" applyBorder="1" applyAlignment="1" applyProtection="1">
      <alignment horizontal="center" vertical="center"/>
      <protection locked="0"/>
    </xf>
    <xf numFmtId="168" fontId="12" fillId="5" borderId="10" xfId="543" applyNumberFormat="1" applyFont="1" applyFill="1" applyBorder="1" applyAlignment="1" applyProtection="1">
      <alignment horizontal="center" vertical="center"/>
      <protection locked="0"/>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168" fontId="12" fillId="11" borderId="3" xfId="543" applyNumberFormat="1" applyFont="1" applyFill="1" applyBorder="1" applyAlignment="1" applyProtection="1">
      <alignment horizontal="center"/>
    </xf>
    <xf numFmtId="168" fontId="12" fillId="11" borderId="4" xfId="543" applyNumberFormat="1" applyFont="1" applyFill="1" applyBorder="1" applyAlignment="1" applyProtection="1">
      <alignment horizontal="center"/>
    </xf>
    <xf numFmtId="168" fontId="12" fillId="11" borderId="5" xfId="543" applyNumberFormat="1" applyFont="1" applyFill="1" applyBorder="1" applyAlignment="1" applyProtection="1">
      <alignment horizont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11" borderId="3" xfId="543" applyFont="1" applyFill="1" applyBorder="1" applyAlignment="1" applyProtection="1">
      <alignment horizontal="center"/>
    </xf>
    <xf numFmtId="0" fontId="19" fillId="11" borderId="4" xfId="543" applyFont="1" applyFill="1" applyBorder="1" applyAlignment="1" applyProtection="1">
      <alignment horizontal="center"/>
    </xf>
    <xf numFmtId="0" fontId="19" fillId="11"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168" fontId="12" fillId="0" borderId="11" xfId="543" applyNumberFormat="1" applyFont="1" applyFill="1" applyBorder="1" applyAlignment="1" applyProtection="1">
      <alignment horizontal="center"/>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2" fillId="5" borderId="3" xfId="0" applyFont="1" applyFill="1" applyBorder="1" applyAlignment="1" applyProtection="1">
      <protection locked="0"/>
    </xf>
    <xf numFmtId="0" fontId="21" fillId="0" borderId="4" xfId="0" applyFont="1" applyBorder="1" applyAlignment="1" applyProtection="1">
      <protection locked="0"/>
    </xf>
    <xf numFmtId="0" fontId="21"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1" fillId="5" borderId="3"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1" fillId="5" borderId="11" xfId="0" applyNumberFormat="1" applyFon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0" fillId="5" borderId="4" xfId="0" applyFill="1" applyBorder="1" applyAlignment="1" applyProtection="1">
      <alignment horizontal="left"/>
      <protection locked="0"/>
    </xf>
    <xf numFmtId="0" fontId="45"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2"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8" fillId="0" borderId="1" xfId="0" applyFont="1" applyBorder="1" applyAlignment="1" applyProtection="1">
      <alignment horizontal="center" wrapText="1"/>
    </xf>
    <xf numFmtId="0" fontId="28" fillId="0" borderId="2" xfId="0" applyFont="1" applyBorder="1" applyAlignment="1" applyProtection="1">
      <alignment horizontal="center" wrapText="1"/>
    </xf>
    <xf numFmtId="0" fontId="28" fillId="0" borderId="7" xfId="0" applyFont="1" applyBorder="1" applyAlignment="1" applyProtection="1">
      <alignment horizontal="center" wrapText="1"/>
    </xf>
    <xf numFmtId="0" fontId="28" fillId="0" borderId="8" xfId="0" applyFont="1" applyBorder="1" applyAlignment="1" applyProtection="1">
      <alignment horizontal="center" wrapText="1"/>
    </xf>
    <xf numFmtId="0" fontId="28" fillId="0" borderId="0" xfId="0" applyFont="1" applyBorder="1" applyAlignment="1" applyProtection="1">
      <alignment horizontal="center" wrapText="1"/>
    </xf>
    <xf numFmtId="0" fontId="28" fillId="0" borderId="12" xfId="0" applyFont="1" applyBorder="1" applyAlignment="1" applyProtection="1">
      <alignment horizontal="center" wrapText="1"/>
    </xf>
    <xf numFmtId="0" fontId="28" fillId="0" borderId="9" xfId="0" applyFont="1" applyBorder="1" applyAlignment="1" applyProtection="1">
      <alignment horizontal="center" wrapText="1"/>
    </xf>
    <xf numFmtId="0" fontId="28" fillId="0" borderId="6" xfId="0" applyFont="1" applyBorder="1" applyAlignment="1" applyProtection="1">
      <alignment horizontal="center" wrapText="1"/>
    </xf>
    <xf numFmtId="0" fontId="28"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7"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0" fontId="19" fillId="0" borderId="8" xfId="0" applyFont="1" applyBorder="1" applyAlignment="1" applyProtection="1">
      <alignment horizontal="center"/>
    </xf>
    <xf numFmtId="0" fontId="19" fillId="0" borderId="0" xfId="0" applyFont="1" applyBorder="1" applyAlignment="1" applyProtection="1">
      <alignment horizontal="center"/>
    </xf>
    <xf numFmtId="0" fontId="19" fillId="0" borderId="12" xfId="0" applyFont="1" applyBorder="1" applyAlignment="1" applyProtection="1">
      <alignment horizontal="center"/>
    </xf>
    <xf numFmtId="0" fontId="19" fillId="0" borderId="9" xfId="0" applyFont="1" applyBorder="1" applyAlignment="1" applyProtection="1">
      <alignment horizontal="center"/>
    </xf>
    <xf numFmtId="0" fontId="50" fillId="0" borderId="1" xfId="0" applyFont="1" applyBorder="1" applyAlignment="1" applyProtection="1">
      <alignment horizontal="center" wrapText="1"/>
    </xf>
    <xf numFmtId="0" fontId="50" fillId="0" borderId="2" xfId="0" applyFont="1" applyBorder="1" applyAlignment="1" applyProtection="1">
      <alignment horizontal="center" wrapText="1"/>
    </xf>
    <xf numFmtId="0" fontId="50" fillId="0" borderId="7" xfId="0" applyFont="1" applyBorder="1" applyAlignment="1" applyProtection="1">
      <alignment horizontal="center" wrapText="1"/>
    </xf>
    <xf numFmtId="0" fontId="50" fillId="0" borderId="8" xfId="0" applyFont="1" applyBorder="1" applyAlignment="1" applyProtection="1">
      <alignment horizontal="center" wrapText="1"/>
    </xf>
    <xf numFmtId="0" fontId="50" fillId="0" borderId="0" xfId="0" applyFont="1" applyBorder="1" applyAlignment="1" applyProtection="1">
      <alignment horizontal="center" wrapText="1"/>
    </xf>
    <xf numFmtId="0" fontId="50" fillId="0" borderId="12" xfId="0" applyFont="1" applyBorder="1" applyAlignment="1" applyProtection="1">
      <alignment horizontal="center" wrapText="1"/>
    </xf>
    <xf numFmtId="0" fontId="50" fillId="0" borderId="9" xfId="0" applyFont="1" applyBorder="1" applyAlignment="1" applyProtection="1">
      <alignment horizontal="center" wrapText="1"/>
    </xf>
    <xf numFmtId="0" fontId="50" fillId="0" borderId="6" xfId="0" applyFont="1" applyBorder="1" applyAlignment="1" applyProtection="1">
      <alignment horizontal="center" wrapText="1"/>
    </xf>
    <xf numFmtId="0" fontId="50" fillId="0" borderId="10" xfId="0" applyFont="1" applyBorder="1" applyAlignment="1" applyProtection="1">
      <alignment horizontal="center" wrapText="1"/>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71" fontId="12" fillId="0" borderId="0" xfId="543" applyNumberFormat="1" applyFont="1" applyAlignment="1" applyProtection="1">
      <alignment horizontal="center"/>
    </xf>
    <xf numFmtId="0" fontId="19"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12" fillId="0" borderId="0" xfId="543" applyFont="1" applyBorder="1" applyAlignment="1" applyProtection="1">
      <alignment horizontal="center"/>
    </xf>
    <xf numFmtId="168" fontId="0" fillId="0" borderId="11" xfId="0" applyNumberFormat="1" applyFill="1" applyBorder="1" applyAlignment="1" applyProtection="1">
      <alignment horizontal="center"/>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3" fontId="40" fillId="11" borderId="6" xfId="543"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168" fontId="21" fillId="0" borderId="0" xfId="544" applyNumberFormat="1" applyFont="1" applyBorder="1" applyAlignment="1" applyProtection="1">
      <alignment horizontal="right" vertical="center" wrapText="1"/>
    </xf>
    <xf numFmtId="175" fontId="21"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2" fillId="0" borderId="0" xfId="543" applyFont="1" applyFill="1" applyAlignment="1" applyProtection="1">
      <alignment horizontal="center"/>
    </xf>
    <xf numFmtId="0" fontId="21" fillId="5" borderId="6" xfId="0" applyFont="1" applyFill="1" applyBorder="1" applyAlignment="1" applyProtection="1">
      <alignment horizontal="center"/>
      <protection locked="0"/>
    </xf>
    <xf numFmtId="14" fontId="1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0" fontId="21" fillId="5" borderId="6" xfId="0" applyFon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0" fontId="21"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9" fillId="0" borderId="17" xfId="0" applyFont="1" applyFill="1" applyBorder="1" applyAlignment="1" applyProtection="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0" fontId="12" fillId="5" borderId="3" xfId="0" applyNumberFormat="1" applyFon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2" fontId="12" fillId="0" borderId="0" xfId="543" applyNumberFormat="1" applyFont="1" applyBorder="1" applyAlignment="1" applyProtection="1">
      <alignment horizontal="center"/>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8" fillId="3" borderId="0" xfId="0" applyFont="1" applyFill="1" applyBorder="1" applyAlignment="1" applyProtection="1">
      <alignment horizontal="center" vertical="center"/>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168" fontId="117" fillId="5" borderId="10" xfId="0" applyNumberFormat="1" applyFont="1" applyFill="1" applyBorder="1" applyAlignment="1" applyProtection="1">
      <alignment horizontal="left"/>
      <protection locked="0"/>
    </xf>
    <xf numFmtId="168" fontId="117" fillId="5" borderId="13" xfId="0" applyNumberFormat="1" applyFont="1" applyFill="1" applyBorder="1" applyAlignment="1" applyProtection="1">
      <alignment horizontal="left"/>
      <protection locked="0"/>
    </xf>
    <xf numFmtId="0" fontId="19" fillId="0" borderId="6" xfId="0" applyFont="1" applyBorder="1" applyAlignment="1" applyProtection="1">
      <alignment horizontal="center"/>
    </xf>
    <xf numFmtId="171" fontId="12" fillId="0" borderId="0" xfId="543" applyNumberFormat="1" applyFont="1" applyBorder="1" applyAlignment="1" applyProtection="1">
      <alignment horizontal="center"/>
    </xf>
    <xf numFmtId="9" fontId="12" fillId="0" borderId="0" xfId="543" applyNumberFormat="1" applyFont="1" applyFill="1" applyBorder="1" applyAlignment="1" applyProtection="1">
      <alignment horizontal="center" vertical="center"/>
    </xf>
    <xf numFmtId="0" fontId="21" fillId="0" borderId="3" xfId="0" applyFont="1" applyBorder="1" applyAlignment="1" applyProtection="1">
      <alignment horizontal="left"/>
    </xf>
    <xf numFmtId="168" fontId="0" fillId="0" borderId="11" xfId="0" applyNumberFormat="1" applyFill="1" applyBorder="1" applyAlignment="1" applyProtection="1"/>
    <xf numFmtId="171" fontId="12" fillId="0" borderId="0" xfId="543" applyNumberFormat="1" applyFont="1" applyBorder="1" applyAlignment="1" applyProtection="1">
      <alignment horizontal="right"/>
    </xf>
    <xf numFmtId="2" fontId="12" fillId="0" borderId="0" xfId="543" applyNumberFormat="1" applyFont="1" applyFill="1" applyBorder="1" applyAlignment="1" applyProtection="1">
      <alignment horizontal="center"/>
    </xf>
    <xf numFmtId="0" fontId="21"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12" fillId="0" borderId="1"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0" fontId="21" fillId="0" borderId="11" xfId="0" applyFont="1" applyFill="1" applyBorder="1" applyAlignment="1" applyProtection="1">
      <alignment horizontal="center"/>
    </xf>
    <xf numFmtId="0" fontId="19" fillId="0" borderId="9" xfId="0" applyFont="1" applyBorder="1" applyAlignment="1" applyProtection="1">
      <alignment horizontal="right"/>
    </xf>
    <xf numFmtId="0" fontId="19" fillId="0" borderId="6" xfId="0" applyFont="1" applyBorder="1" applyAlignment="1" applyProtection="1">
      <alignment horizontal="right"/>
    </xf>
    <xf numFmtId="0" fontId="19" fillId="0" borderId="10" xfId="0" applyFont="1" applyBorder="1" applyAlignment="1" applyProtection="1">
      <alignment horizontal="right"/>
    </xf>
    <xf numFmtId="0" fontId="12"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0" fontId="19"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68" fontId="21"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1" fontId="0" fillId="5" borderId="6" xfId="0" applyNumberFormat="1" applyFill="1" applyBorder="1" applyAlignment="1" applyProtection="1">
      <alignment horizontal="center"/>
      <protection locked="0"/>
    </xf>
    <xf numFmtId="0" fontId="19" fillId="0" borderId="11" xfId="0" applyFont="1" applyFill="1" applyBorder="1" applyAlignment="1" applyProtection="1">
      <alignment horizontal="center" vertical="top" wrapText="1"/>
    </xf>
    <xf numFmtId="0" fontId="19" fillId="0" borderId="3" xfId="0" applyFont="1" applyBorder="1" applyAlignment="1" applyProtection="1">
      <alignment horizontal="center" wrapText="1"/>
    </xf>
    <xf numFmtId="0" fontId="19" fillId="0" borderId="4" xfId="0" applyFont="1" applyBorder="1" applyAlignment="1" applyProtection="1">
      <alignment horizontal="center" wrapText="1"/>
    </xf>
    <xf numFmtId="0" fontId="19" fillId="0" borderId="5" xfId="0" applyFont="1" applyBorder="1" applyAlignment="1" applyProtection="1">
      <alignment horizontal="center" wrapText="1"/>
    </xf>
    <xf numFmtId="0" fontId="21" fillId="5" borderId="9" xfId="0" applyFon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4" fontId="21" fillId="5" borderId="4" xfId="0" applyNumberFormat="1" applyFont="1" applyFill="1" applyBorder="1" applyAlignment="1" applyProtection="1">
      <alignment horizontal="right"/>
      <protection locked="0"/>
    </xf>
    <xf numFmtId="168" fontId="12"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7" fillId="0" borderId="0" xfId="0" applyFont="1" applyAlignment="1" applyProtection="1">
      <alignment horizontal="center"/>
    </xf>
    <xf numFmtId="0" fontId="12" fillId="0" borderId="6" xfId="0" applyFont="1" applyFill="1" applyBorder="1" applyAlignment="1" applyProtection="1">
      <alignment horizontal="center"/>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0" fontId="12" fillId="0" borderId="6" xfId="0" applyFont="1" applyBorder="1" applyAlignment="1" applyProtection="1">
      <alignment horizontal="center"/>
      <protection locked="0"/>
    </xf>
    <xf numFmtId="0" fontId="19" fillId="0" borderId="0" xfId="0" applyFont="1" applyAlignment="1" applyProtection="1">
      <alignment horizontal="center"/>
    </xf>
    <xf numFmtId="0" fontId="21" fillId="0" borderId="4" xfId="0"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2" fillId="5" borderId="6" xfId="1193" applyNumberFormat="1" applyFont="1" applyFill="1" applyBorder="1" applyAlignment="1" applyProtection="1">
      <alignment horizontal="left"/>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ont="1" applyFill="1" applyBorder="1" applyAlignment="1" applyProtection="1">
      <alignment horizontal="left"/>
      <protection locked="0"/>
    </xf>
    <xf numFmtId="0" fontId="21" fillId="0" borderId="6" xfId="0" applyFont="1" applyBorder="1" applyAlignment="1" applyProtection="1">
      <alignment horizontal="left"/>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2" fillId="44" borderId="0" xfId="0" applyFont="1" applyFill="1" applyBorder="1" applyAlignment="1" applyProtection="1">
      <alignment horizontal="left" vertical="center" wrapText="1"/>
      <protection locked="0"/>
    </xf>
    <xf numFmtId="0" fontId="12" fillId="44" borderId="6" xfId="0" applyFont="1" applyFill="1" applyBorder="1" applyAlignment="1" applyProtection="1">
      <alignment horizontal="left" vertical="center" wrapText="1"/>
      <protection locked="0"/>
    </xf>
    <xf numFmtId="0" fontId="12" fillId="5" borderId="0" xfId="244" applyFont="1" applyFill="1" applyBorder="1" applyAlignment="1" applyProtection="1">
      <alignment horizontal="left"/>
      <protection locked="0"/>
    </xf>
    <xf numFmtId="166" fontId="21"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0" fontId="12" fillId="0" borderId="0" xfId="0" applyFont="1" applyFill="1" applyAlignment="1" applyProtection="1">
      <alignment horizontal="center"/>
    </xf>
    <xf numFmtId="0" fontId="21" fillId="0" borderId="0" xfId="0" applyFont="1" applyFill="1" applyAlignment="1" applyProtection="1">
      <alignment horizontal="center"/>
    </xf>
    <xf numFmtId="168" fontId="21" fillId="0" borderId="6" xfId="0" applyNumberFormat="1" applyFont="1" applyFill="1" applyBorder="1" applyAlignment="1" applyProtection="1">
      <alignment horizontal="center"/>
    </xf>
    <xf numFmtId="0" fontId="20" fillId="0" borderId="0" xfId="0" applyFont="1" applyAlignment="1" applyProtection="1">
      <alignment horizontal="center"/>
    </xf>
    <xf numFmtId="0" fontId="0" fillId="0" borderId="0" xfId="0" applyBorder="1" applyAlignment="1" applyProtection="1">
      <alignment horizontal="center"/>
    </xf>
    <xf numFmtId="0" fontId="12" fillId="0" borderId="6" xfId="0" applyFont="1" applyFill="1" applyBorder="1" applyAlignment="1" applyProtection="1">
      <alignment horizontal="left"/>
      <protection locked="0"/>
    </xf>
    <xf numFmtId="0" fontId="13" fillId="0" borderId="0" xfId="244" applyFill="1" applyAlignment="1" applyProtection="1">
      <alignment horizontal="left"/>
      <protection locked="0"/>
    </xf>
    <xf numFmtId="168" fontId="21" fillId="5" borderId="6" xfId="0" applyNumberFormat="1" applyFon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2" fontId="0" fillId="0" borderId="6" xfId="0" applyNumberFormat="1" applyFill="1" applyBorder="1" applyAlignment="1" applyProtection="1">
      <alignment horizontal="center"/>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21" fillId="0" borderId="3" xfId="0" applyFont="1" applyBorder="1" applyAlignment="1" applyProtection="1">
      <alignment horizontal="center"/>
    </xf>
    <xf numFmtId="0" fontId="21" fillId="0" borderId="5" xfId="0" applyFont="1" applyBorder="1" applyAlignment="1" applyProtection="1">
      <alignment horizontal="center"/>
    </xf>
    <xf numFmtId="168" fontId="12" fillId="44" borderId="3" xfId="0" applyNumberFormat="1" applyFont="1" applyFill="1" applyBorder="1" applyAlignment="1" applyProtection="1">
      <alignment horizontal="center"/>
      <protection locked="0"/>
    </xf>
    <xf numFmtId="168" fontId="12" fillId="44" borderId="4" xfId="0" applyNumberFormat="1" applyFont="1" applyFill="1" applyBorder="1" applyAlignment="1" applyProtection="1">
      <alignment horizontal="center"/>
      <protection locked="0"/>
    </xf>
    <xf numFmtId="168" fontId="12"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19"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1" fillId="5" borderId="6" xfId="0" applyNumberFormat="1" applyFont="1" applyFill="1" applyBorder="1" applyAlignment="1" applyProtection="1">
      <alignment horizontal="right"/>
      <protection locked="0"/>
    </xf>
    <xf numFmtId="0" fontId="21" fillId="5" borderId="11" xfId="0"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20" fillId="44" borderId="6" xfId="0" applyFont="1" applyFill="1" applyBorder="1" applyAlignment="1" applyProtection="1">
      <alignment horizontal="left"/>
      <protection locked="0"/>
    </xf>
    <xf numFmtId="0" fontId="12" fillId="0" borderId="0" xfId="0" applyFont="1" applyAlignment="1" applyProtection="1">
      <alignment horizontal="left" wrapText="1"/>
    </xf>
    <xf numFmtId="0" fontId="12" fillId="44" borderId="4" xfId="0" applyFont="1" applyFill="1" applyBorder="1" applyAlignment="1" applyProtection="1">
      <alignment horizontal="left" wrapText="1"/>
      <protection locked="0"/>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2"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2" fillId="0" borderId="3" xfId="543" applyNumberFormat="1" applyFont="1" applyFill="1" applyBorder="1" applyAlignment="1" applyProtection="1">
      <alignment horizontal="center" vertical="center"/>
    </xf>
    <xf numFmtId="175" fontId="12" fillId="0" borderId="4" xfId="543" applyNumberFormat="1" applyFont="1" applyFill="1" applyBorder="1" applyAlignment="1" applyProtection="1">
      <alignment horizontal="center" vertical="center"/>
    </xf>
    <xf numFmtId="175" fontId="12"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2" fillId="0" borderId="0" xfId="543" applyFont="1" applyBorder="1" applyAlignment="1" applyProtection="1">
      <alignment horizontal="left"/>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2" fillId="0" borderId="6" xfId="543" applyFont="1" applyBorder="1" applyAlignment="1" applyProtection="1">
      <alignment horizontal="left"/>
    </xf>
    <xf numFmtId="0" fontId="21" fillId="5" borderId="3" xfId="0" applyNumberFormat="1" applyFont="1" applyFill="1" applyBorder="1" applyAlignment="1" applyProtection="1">
      <alignment horizontal="right" vertical="top"/>
      <protection locked="0"/>
    </xf>
    <xf numFmtId="0" fontId="31" fillId="5" borderId="6" xfId="0" applyFont="1" applyFill="1" applyBorder="1" applyAlignment="1" applyProtection="1">
      <alignment horizontal="left"/>
      <protection locked="0"/>
    </xf>
    <xf numFmtId="0" fontId="0" fillId="0" borderId="5" xfId="0" applyBorder="1" applyAlignment="1" applyProtection="1">
      <alignment horizontal="left"/>
    </xf>
    <xf numFmtId="0" fontId="12" fillId="5" borderId="6" xfId="0" applyFont="1" applyFill="1" applyBorder="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168" fontId="12" fillId="0" borderId="3" xfId="0" applyNumberFormat="1" applyFont="1" applyFill="1" applyBorder="1" applyAlignment="1" applyProtection="1">
      <alignment horizontal="left" vertical="top"/>
    </xf>
    <xf numFmtId="3" fontId="21"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2" fillId="5" borderId="6" xfId="0" applyFont="1" applyFill="1" applyBorder="1" applyAlignment="1" applyProtection="1">
      <alignment horizontal="center"/>
      <protection locked="0"/>
    </xf>
    <xf numFmtId="168" fontId="12"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12" fillId="5" borderId="0" xfId="0" applyFont="1" applyFill="1" applyBorder="1" applyAlignment="1" applyProtection="1">
      <alignment horizontal="left" vertical="top" wrapText="1"/>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3" fontId="12" fillId="5" borderId="11" xfId="0" applyNumberFormat="1" applyFont="1" applyFill="1" applyBorder="1" applyAlignment="1" applyProtection="1">
      <alignment horizontal="center"/>
      <protection locked="0"/>
    </xf>
    <xf numFmtId="3" fontId="0" fillId="0" borderId="6" xfId="0" applyNumberFormat="1" applyFill="1" applyBorder="1" applyAlignment="1" applyProtection="1">
      <alignment horizontal="right"/>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1"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21" fillId="0" borderId="4" xfId="0" applyFont="1" applyBorder="1" applyAlignment="1" applyProtection="1">
      <alignment horizontal="center"/>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0" fillId="0" borderId="0" xfId="570" applyFont="1" applyFill="1" applyBorder="1" applyAlignment="1" applyProtection="1">
      <alignment vertical="top" wrapText="1"/>
    </xf>
    <xf numFmtId="0" fontId="12" fillId="0" borderId="0" xfId="570" applyFill="1" applyBorder="1" applyAlignment="1">
      <alignment vertical="top" wrapText="1"/>
    </xf>
    <xf numFmtId="0" fontId="12" fillId="0" borderId="0" xfId="570" applyFont="1" applyFill="1" applyBorder="1" applyAlignment="1" applyProtection="1">
      <alignment horizontal="right" vertical="top" wrapText="1"/>
    </xf>
    <xf numFmtId="0" fontId="12" fillId="0" borderId="0" xfId="570" applyFont="1" applyFill="1" applyBorder="1" applyAlignment="1">
      <alignment vertical="top" wrapText="1"/>
    </xf>
    <xf numFmtId="0" fontId="12" fillId="0" borderId="0" xfId="570" applyFont="1" applyFill="1" applyBorder="1" applyAlignment="1" applyProtection="1">
      <alignment horizontal="left" vertical="top" wrapText="1"/>
    </xf>
    <xf numFmtId="0" fontId="12" fillId="0" borderId="0" xfId="570"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0" fontId="98" fillId="45" borderId="0" xfId="4504" applyFont="1" applyFill="1" applyBorder="1" applyAlignment="1">
      <alignment horizontal="left" vertical="top"/>
    </xf>
    <xf numFmtId="0" fontId="5" fillId="48" borderId="68" xfId="4501" applyFill="1" applyBorder="1" applyAlignment="1" applyProtection="1">
      <alignment horizontal="center"/>
      <protection locked="0"/>
    </xf>
    <xf numFmtId="0" fontId="5" fillId="48" borderId="69" xfId="4501" applyFill="1" applyBorder="1" applyAlignment="1" applyProtection="1">
      <alignment horizontal="center"/>
      <protection locked="0"/>
    </xf>
    <xf numFmtId="0" fontId="5" fillId="48" borderId="70" xfId="4501" applyFill="1" applyBorder="1" applyAlignment="1" applyProtection="1">
      <alignment horizontal="center"/>
      <protection locked="0"/>
    </xf>
    <xf numFmtId="0" fontId="98" fillId="45" borderId="0" xfId="4501" applyFont="1" applyFill="1" applyBorder="1" applyAlignment="1">
      <alignment horizontal="left"/>
    </xf>
    <xf numFmtId="0" fontId="19" fillId="45" borderId="0" xfId="4501" applyFont="1" applyFill="1" applyBorder="1" applyAlignment="1">
      <alignment horizontal="left" vertical="top"/>
    </xf>
    <xf numFmtId="0" fontId="98" fillId="51" borderId="67" xfId="4501" applyFont="1" applyFill="1" applyBorder="1" applyAlignment="1">
      <alignment horizontal="center"/>
    </xf>
    <xf numFmtId="0" fontId="98" fillId="51" borderId="0" xfId="4501" applyFont="1" applyFill="1" applyBorder="1" applyAlignment="1">
      <alignment horizontal="center"/>
    </xf>
    <xf numFmtId="0" fontId="98" fillId="51" borderId="41" xfId="4501" applyFont="1" applyFill="1" applyBorder="1" applyAlignment="1">
      <alignment horizontal="center"/>
    </xf>
    <xf numFmtId="0" fontId="98" fillId="51" borderId="0" xfId="4501" applyFont="1" applyFill="1" applyBorder="1" applyAlignment="1">
      <alignment horizontal="left"/>
    </xf>
    <xf numFmtId="0" fontId="98" fillId="51" borderId="0" xfId="4501" applyFont="1" applyFill="1" applyBorder="1" applyAlignment="1">
      <alignment horizontal="left" vertical="top" wrapText="1"/>
    </xf>
    <xf numFmtId="0" fontId="98" fillId="51" borderId="42" xfId="4501" applyFont="1" applyFill="1" applyBorder="1" applyAlignment="1">
      <alignment horizontal="center"/>
    </xf>
    <xf numFmtId="0" fontId="98" fillId="45" borderId="74" xfId="4501" applyFont="1" applyFill="1" applyBorder="1" applyAlignment="1">
      <alignment horizontal="center"/>
    </xf>
    <xf numFmtId="0" fontId="98" fillId="45" borderId="75" xfId="4501" applyFont="1" applyFill="1" applyBorder="1" applyAlignment="1">
      <alignment horizontal="center"/>
    </xf>
    <xf numFmtId="44" fontId="154" fillId="45" borderId="75" xfId="4502" applyFont="1" applyFill="1" applyBorder="1" applyAlignment="1">
      <alignment horizontal="center"/>
    </xf>
    <xf numFmtId="44" fontId="154" fillId="45" borderId="95" xfId="4502" applyFont="1" applyFill="1" applyBorder="1" applyAlignment="1">
      <alignment horizontal="center"/>
    </xf>
    <xf numFmtId="0" fontId="60" fillId="51" borderId="66" xfId="4501" applyFont="1" applyFill="1" applyBorder="1" applyAlignment="1">
      <alignment horizontal="center"/>
    </xf>
    <xf numFmtId="0" fontId="60" fillId="51" borderId="29" xfId="4501" applyFont="1" applyFill="1" applyBorder="1" applyAlignment="1">
      <alignment horizontal="center"/>
    </xf>
    <xf numFmtId="0" fontId="60" fillId="51" borderId="31" xfId="4501" applyFont="1" applyFill="1" applyBorder="1" applyAlignment="1">
      <alignment horizontal="center"/>
    </xf>
    <xf numFmtId="0" fontId="5" fillId="51" borderId="67" xfId="4501" applyFill="1" applyBorder="1" applyAlignment="1">
      <alignment horizontal="center"/>
    </xf>
    <xf numFmtId="0" fontId="5" fillId="51" borderId="0" xfId="4501" applyFill="1" applyBorder="1" applyAlignment="1">
      <alignment horizontal="center"/>
    </xf>
    <xf numFmtId="0" fontId="5" fillId="51" borderId="41" xfId="4501" applyFill="1" applyBorder="1" applyAlignment="1">
      <alignment horizontal="center"/>
    </xf>
    <xf numFmtId="0" fontId="19" fillId="51" borderId="67" xfId="4501" applyFont="1" applyFill="1" applyBorder="1" applyAlignment="1">
      <alignment horizontal="center"/>
    </xf>
    <xf numFmtId="0" fontId="19" fillId="51" borderId="0" xfId="4501" applyFont="1" applyFill="1" applyBorder="1" applyAlignment="1">
      <alignment horizontal="center"/>
    </xf>
    <xf numFmtId="0" fontId="19" fillId="51" borderId="41" xfId="4501" applyFont="1" applyFill="1" applyBorder="1" applyAlignment="1">
      <alignment horizontal="center"/>
    </xf>
    <xf numFmtId="0" fontId="150" fillId="48" borderId="83" xfId="4501" applyFont="1" applyFill="1" applyBorder="1" applyAlignment="1" applyProtection="1">
      <alignment horizontal="center"/>
      <protection locked="0"/>
    </xf>
    <xf numFmtId="0" fontId="150" fillId="48" borderId="84" xfId="4501" applyFont="1" applyFill="1" applyBorder="1" applyAlignment="1" applyProtection="1">
      <alignment horizontal="center"/>
      <protection locked="0"/>
    </xf>
    <xf numFmtId="0" fontId="50" fillId="48" borderId="75" xfId="4501" applyFont="1" applyFill="1" applyBorder="1" applyAlignment="1" applyProtection="1">
      <alignment horizontal="center"/>
      <protection locked="0"/>
    </xf>
    <xf numFmtId="0" fontId="50" fillId="48" borderId="95" xfId="4501" applyFont="1" applyFill="1" applyBorder="1" applyAlignment="1" applyProtection="1">
      <alignment horizontal="center"/>
      <protection locked="0"/>
    </xf>
    <xf numFmtId="164" fontId="5" fillId="48" borderId="84" xfId="4501" applyNumberFormat="1" applyFill="1" applyBorder="1" applyAlignment="1" applyProtection="1">
      <alignment horizontal="center"/>
      <protection locked="0"/>
    </xf>
    <xf numFmtId="164" fontId="5" fillId="48" borderId="87" xfId="4501" applyNumberFormat="1" applyFill="1" applyBorder="1" applyAlignment="1" applyProtection="1">
      <alignment horizontal="center"/>
      <protection locked="0"/>
    </xf>
    <xf numFmtId="0" fontId="5" fillId="48" borderId="83" xfId="4501" applyFill="1" applyBorder="1" applyAlignment="1" applyProtection="1">
      <alignment horizontal="center"/>
      <protection locked="0"/>
    </xf>
    <xf numFmtId="0" fontId="5" fillId="48" borderId="84" xfId="4501" applyFill="1" applyBorder="1" applyAlignment="1" applyProtection="1">
      <alignment horizontal="center"/>
      <protection locked="0"/>
    </xf>
    <xf numFmtId="0" fontId="5" fillId="48" borderId="87" xfId="4501" applyFill="1" applyBorder="1" applyAlignment="1" applyProtection="1">
      <alignment horizontal="center"/>
      <protection locked="0"/>
    </xf>
    <xf numFmtId="0" fontId="165" fillId="0" borderId="67" xfId="4501" applyFont="1" applyBorder="1" applyAlignment="1">
      <alignment horizontal="center"/>
    </xf>
    <xf numFmtId="0" fontId="165" fillId="0" borderId="0" xfId="4501" applyFont="1" applyBorder="1" applyAlignment="1">
      <alignment horizontal="center"/>
    </xf>
    <xf numFmtId="0" fontId="165" fillId="0" borderId="12" xfId="4501" applyFont="1" applyBorder="1" applyAlignment="1">
      <alignment horizontal="center"/>
    </xf>
    <xf numFmtId="44" fontId="154" fillId="45" borderId="105" xfId="4505" applyFont="1" applyFill="1" applyBorder="1" applyAlignment="1">
      <alignment horizontal="center"/>
    </xf>
    <xf numFmtId="44" fontId="154" fillId="45" borderId="29" xfId="4505" applyFont="1" applyFill="1" applyBorder="1" applyAlignment="1">
      <alignment horizontal="center"/>
    </xf>
    <xf numFmtId="44" fontId="154" fillId="45" borderId="31" xfId="4505" applyFont="1" applyFill="1" applyBorder="1" applyAlignment="1">
      <alignment horizontal="center"/>
    </xf>
    <xf numFmtId="0" fontId="50" fillId="48" borderId="94" xfId="4501" applyFont="1" applyFill="1" applyBorder="1" applyAlignment="1" applyProtection="1">
      <alignment horizontal="center"/>
      <protection locked="0"/>
    </xf>
    <xf numFmtId="0" fontId="50" fillId="48" borderId="4" xfId="4501" applyFont="1" applyFill="1" applyBorder="1" applyAlignment="1" applyProtection="1">
      <alignment horizontal="center"/>
      <protection locked="0"/>
    </xf>
    <xf numFmtId="0" fontId="50" fillId="48" borderId="11" xfId="4501" applyFont="1" applyFill="1" applyBorder="1" applyAlignment="1" applyProtection="1">
      <alignment horizontal="center"/>
      <protection locked="0"/>
    </xf>
    <xf numFmtId="0" fontId="50" fillId="48" borderId="93" xfId="4501" applyFont="1" applyFill="1" applyBorder="1" applyAlignment="1" applyProtection="1">
      <alignment horizontal="center"/>
      <protection locked="0"/>
    </xf>
    <xf numFmtId="164" fontId="5" fillId="48" borderId="4" xfId="4501" applyNumberFormat="1" applyFill="1" applyBorder="1" applyAlignment="1" applyProtection="1">
      <alignment horizontal="center"/>
    </xf>
    <xf numFmtId="164" fontId="5" fillId="48" borderId="81" xfId="4501" applyNumberFormat="1" applyFill="1" applyBorder="1" applyAlignment="1" applyProtection="1">
      <alignment horizontal="center"/>
    </xf>
    <xf numFmtId="0" fontId="5" fillId="48" borderId="94" xfId="4501" applyFill="1" applyBorder="1" applyAlignment="1" applyProtection="1">
      <alignment horizontal="center"/>
      <protection locked="0"/>
    </xf>
    <xf numFmtId="0" fontId="5" fillId="48" borderId="4" xfId="4501" applyFill="1" applyBorder="1" applyAlignment="1" applyProtection="1">
      <alignment horizontal="center"/>
      <protection locked="0"/>
    </xf>
    <xf numFmtId="0" fontId="5" fillId="48" borderId="81" xfId="4501" applyFill="1" applyBorder="1" applyAlignment="1" applyProtection="1">
      <alignment horizontal="center"/>
      <protection locked="0"/>
    </xf>
    <xf numFmtId="0" fontId="150" fillId="48" borderId="94" xfId="4501" applyFont="1" applyFill="1" applyBorder="1" applyAlignment="1" applyProtection="1">
      <alignment horizontal="center"/>
      <protection locked="0"/>
    </xf>
    <xf numFmtId="0" fontId="150" fillId="48" borderId="4" xfId="4501" applyFont="1" applyFill="1" applyBorder="1" applyAlignment="1" applyProtection="1">
      <alignment horizontal="center"/>
      <protection locked="0"/>
    </xf>
    <xf numFmtId="0" fontId="150" fillId="45" borderId="94" xfId="4501" applyFont="1" applyFill="1" applyBorder="1" applyAlignment="1">
      <alignment horizontal="center"/>
    </xf>
    <xf numFmtId="0" fontId="150" fillId="45" borderId="4" xfId="4501" applyFont="1" applyFill="1" applyBorder="1" applyAlignment="1">
      <alignment horizontal="center"/>
    </xf>
    <xf numFmtId="0" fontId="150" fillId="45" borderId="81" xfId="4501" applyFont="1" applyFill="1" applyBorder="1" applyAlignment="1">
      <alignment horizontal="center"/>
    </xf>
    <xf numFmtId="164" fontId="5" fillId="52" borderId="4" xfId="4501" applyNumberFormat="1" applyFill="1" applyBorder="1" applyAlignment="1">
      <alignment horizontal="center"/>
    </xf>
    <xf numFmtId="164" fontId="5" fillId="52" borderId="81" xfId="4501" applyNumberFormat="1" applyFill="1" applyBorder="1" applyAlignment="1">
      <alignment horizontal="center"/>
    </xf>
    <xf numFmtId="0" fontId="149" fillId="45" borderId="83" xfId="4501" applyFont="1" applyFill="1" applyBorder="1" applyAlignment="1">
      <alignment horizontal="center"/>
    </xf>
    <xf numFmtId="0" fontId="149" fillId="45" borderId="84" xfId="4501" applyFont="1" applyFill="1" applyBorder="1" applyAlignment="1">
      <alignment horizontal="center"/>
    </xf>
    <xf numFmtId="164" fontId="170" fillId="53" borderId="11" xfId="4502" applyNumberFormat="1" applyFont="1" applyFill="1" applyBorder="1" applyAlignment="1">
      <alignment horizontal="center"/>
    </xf>
    <xf numFmtId="44" fontId="170" fillId="53" borderId="11" xfId="4502" applyFont="1" applyFill="1" applyBorder="1" applyAlignment="1">
      <alignment horizontal="center"/>
    </xf>
    <xf numFmtId="0" fontId="98" fillId="0" borderId="94" xfId="4501" applyFont="1" applyBorder="1" applyAlignment="1">
      <alignment horizontal="center"/>
    </xf>
    <xf numFmtId="0" fontId="98" fillId="0" borderId="4" xfId="4501" applyFont="1" applyBorder="1" applyAlignment="1">
      <alignment horizontal="center"/>
    </xf>
    <xf numFmtId="0" fontId="98" fillId="0" borderId="81" xfId="4501" applyFont="1" applyBorder="1" applyAlignment="1">
      <alignment horizontal="center"/>
    </xf>
    <xf numFmtId="164" fontId="164" fillId="52" borderId="4" xfId="4501" applyNumberFormat="1" applyFont="1" applyFill="1" applyBorder="1" applyAlignment="1">
      <alignment horizontal="center"/>
    </xf>
    <xf numFmtId="164" fontId="164" fillId="52" borderId="81" xfId="4501" applyNumberFormat="1" applyFont="1" applyFill="1" applyBorder="1" applyAlignment="1">
      <alignment horizontal="center"/>
    </xf>
    <xf numFmtId="0" fontId="150" fillId="45" borderId="5" xfId="4501" applyFont="1" applyFill="1" applyBorder="1" applyAlignment="1">
      <alignment horizontal="center"/>
    </xf>
    <xf numFmtId="164" fontId="49" fillId="48" borderId="11" xfId="4502" applyNumberFormat="1" applyFont="1" applyFill="1" applyBorder="1" applyAlignment="1" applyProtection="1">
      <alignment horizontal="center"/>
      <protection locked="0"/>
    </xf>
    <xf numFmtId="44" fontId="49" fillId="48" borderId="11" xfId="4502" applyFont="1" applyFill="1" applyBorder="1" applyAlignment="1" applyProtection="1">
      <alignment horizontal="center"/>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164" fontId="164" fillId="48" borderId="4" xfId="4501" applyNumberFormat="1" applyFont="1" applyFill="1" applyBorder="1" applyAlignment="1" applyProtection="1">
      <alignment horizontal="center"/>
      <protection locked="0"/>
    </xf>
    <xf numFmtId="164" fontId="164" fillId="48" borderId="81" xfId="4501" applyNumberFormat="1" applyFont="1" applyFill="1" applyBorder="1" applyAlignment="1" applyProtection="1">
      <alignment horizontal="center"/>
      <protection locked="0"/>
    </xf>
    <xf numFmtId="0" fontId="150" fillId="50" borderId="94" xfId="4501" applyFont="1" applyFill="1" applyBorder="1" applyAlignment="1">
      <alignment horizontal="center"/>
    </xf>
    <xf numFmtId="0" fontId="150" fillId="50" borderId="4" xfId="4501" applyFont="1" applyFill="1" applyBorder="1" applyAlignment="1">
      <alignment horizontal="center"/>
    </xf>
    <xf numFmtId="0" fontId="150" fillId="50" borderId="5" xfId="4501" applyFont="1" applyFill="1" applyBorder="1" applyAlignment="1">
      <alignment horizontal="center"/>
    </xf>
    <xf numFmtId="44" fontId="154" fillId="50" borderId="3" xfId="4502" applyFont="1" applyFill="1" applyBorder="1" applyAlignment="1">
      <alignment horizontal="center"/>
    </xf>
    <xf numFmtId="44" fontId="154" fillId="50" borderId="4" xfId="4502" applyFont="1" applyFill="1" applyBorder="1" applyAlignment="1">
      <alignment horizontal="center"/>
    </xf>
    <xf numFmtId="44" fontId="154" fillId="50" borderId="5" xfId="4502" applyFont="1" applyFill="1" applyBorder="1" applyAlignment="1">
      <alignment horizontal="center"/>
    </xf>
    <xf numFmtId="0" fontId="150" fillId="48" borderId="81" xfId="4501" applyFont="1" applyFill="1" applyBorder="1" applyAlignment="1" applyProtection="1">
      <alignment horizontal="center"/>
      <protection locked="0"/>
    </xf>
    <xf numFmtId="0" fontId="150" fillId="50" borderId="81" xfId="4501" applyFont="1" applyFill="1" applyBorder="1" applyAlignment="1">
      <alignment horizontal="center"/>
    </xf>
    <xf numFmtId="0" fontId="150" fillId="45" borderId="82" xfId="4501" applyFont="1" applyFill="1" applyBorder="1" applyAlignment="1">
      <alignment horizontal="center"/>
    </xf>
    <xf numFmtId="0" fontId="150" fillId="45" borderId="11" xfId="4501" applyFont="1" applyFill="1" applyBorder="1" applyAlignment="1">
      <alignment horizontal="center"/>
    </xf>
    <xf numFmtId="0" fontId="5" fillId="48" borderId="11" xfId="4501" applyFill="1" applyBorder="1" applyAlignment="1" applyProtection="1">
      <alignment horizontal="center"/>
      <protection locked="0"/>
    </xf>
    <xf numFmtId="14" fontId="5" fillId="48" borderId="11" xfId="4501" applyNumberFormat="1" applyFill="1" applyBorder="1" applyAlignment="1" applyProtection="1">
      <alignment horizontal="center"/>
      <protection locked="0"/>
    </xf>
    <xf numFmtId="0" fontId="5" fillId="0" borderId="77" xfId="4501" applyBorder="1" applyAlignment="1">
      <alignment horizontal="center"/>
    </xf>
    <xf numFmtId="0" fontId="5" fillId="0" borderId="78" xfId="4501" applyBorder="1" applyAlignment="1">
      <alignment horizontal="center"/>
    </xf>
    <xf numFmtId="0" fontId="5" fillId="0" borderId="79" xfId="4501" applyBorder="1" applyAlignment="1">
      <alignment horizontal="center"/>
    </xf>
    <xf numFmtId="0" fontId="150" fillId="0" borderId="78" xfId="4501" applyFont="1" applyBorder="1" applyAlignment="1">
      <alignment horizontal="center"/>
    </xf>
    <xf numFmtId="0" fontId="150" fillId="0" borderId="79" xfId="4501" applyFont="1" applyBorder="1" applyAlignment="1">
      <alignment horizontal="center"/>
    </xf>
    <xf numFmtId="0" fontId="50" fillId="0" borderId="77" xfId="4501" applyFont="1" applyBorder="1" applyAlignment="1">
      <alignment horizontal="center"/>
    </xf>
    <xf numFmtId="0" fontId="50" fillId="0" borderId="78" xfId="4501" applyFont="1" applyBorder="1" applyAlignment="1">
      <alignment horizontal="center"/>
    </xf>
    <xf numFmtId="0" fontId="50" fillId="0" borderId="79" xfId="4501" applyFont="1" applyBorder="1" applyAlignment="1">
      <alignment horizontal="center"/>
    </xf>
    <xf numFmtId="0" fontId="150" fillId="45" borderId="71" xfId="4501" applyFont="1" applyFill="1" applyBorder="1" applyAlignment="1">
      <alignment horizontal="center"/>
    </xf>
    <xf numFmtId="0" fontId="150" fillId="45" borderId="72" xfId="4501" applyFont="1" applyFill="1" applyBorder="1" applyAlignment="1">
      <alignment horizontal="center"/>
    </xf>
    <xf numFmtId="0" fontId="98" fillId="45" borderId="68" xfId="4501" applyFont="1" applyFill="1" applyBorder="1" applyAlignment="1">
      <alignment horizontal="center"/>
    </xf>
    <xf numFmtId="0" fontId="98" fillId="45" borderId="69" xfId="4501" applyFont="1" applyFill="1" applyBorder="1" applyAlignment="1">
      <alignment horizontal="center"/>
    </xf>
    <xf numFmtId="0" fontId="98" fillId="45" borderId="70" xfId="4501" applyFont="1" applyFill="1" applyBorder="1" applyAlignment="1">
      <alignment horizontal="center"/>
    </xf>
    <xf numFmtId="0" fontId="149" fillId="45" borderId="71" xfId="4501" applyFont="1" applyFill="1" applyBorder="1" applyAlignment="1">
      <alignment horizontal="left"/>
    </xf>
    <xf numFmtId="0" fontId="149" fillId="45" borderId="72" xfId="4501" applyFont="1" applyFill="1" applyBorder="1" applyAlignment="1">
      <alignment horizontal="left"/>
    </xf>
    <xf numFmtId="0" fontId="149" fillId="45" borderId="76" xfId="4501" applyFont="1" applyFill="1" applyBorder="1" applyAlignment="1">
      <alignment horizontal="left"/>
    </xf>
    <xf numFmtId="0" fontId="98" fillId="45" borderId="66" xfId="4501" applyFont="1" applyFill="1" applyBorder="1" applyAlignment="1">
      <alignment horizontal="center"/>
    </xf>
    <xf numFmtId="0" fontId="98" fillId="45" borderId="29" xfId="4501" applyFont="1" applyFill="1" applyBorder="1" applyAlignment="1">
      <alignment horizontal="center"/>
    </xf>
    <xf numFmtId="0" fontId="98" fillId="45" borderId="31" xfId="4501" applyFont="1" applyFill="1" applyBorder="1" applyAlignment="1">
      <alignment horizontal="center"/>
    </xf>
    <xf numFmtId="0" fontId="5" fillId="48" borderId="82" xfId="4501" applyFill="1" applyBorder="1" applyAlignment="1" applyProtection="1">
      <alignment horizontal="left" vertical="top"/>
      <protection locked="0"/>
    </xf>
    <xf numFmtId="0" fontId="5" fillId="48" borderId="11" xfId="4501" applyFill="1" applyBorder="1" applyAlignment="1" applyProtection="1">
      <alignment horizontal="left" vertical="top"/>
      <protection locked="0"/>
    </xf>
    <xf numFmtId="0" fontId="5" fillId="48" borderId="93" xfId="4501" applyFill="1" applyBorder="1" applyAlignment="1" applyProtection="1">
      <alignment horizontal="left" vertical="top"/>
      <protection locked="0"/>
    </xf>
    <xf numFmtId="0" fontId="5" fillId="48" borderId="74" xfId="4501" applyFill="1" applyBorder="1" applyAlignment="1" applyProtection="1">
      <alignment horizontal="left" vertical="top"/>
      <protection locked="0"/>
    </xf>
    <xf numFmtId="0" fontId="5" fillId="48" borderId="75" xfId="4501" applyFill="1" applyBorder="1" applyAlignment="1" applyProtection="1">
      <alignment horizontal="left" vertical="top"/>
      <protection locked="0"/>
    </xf>
    <xf numFmtId="0" fontId="5" fillId="48" borderId="95" xfId="4501" applyFill="1" applyBorder="1" applyAlignment="1" applyProtection="1">
      <alignment horizontal="left" vertical="top"/>
      <protection locked="0"/>
    </xf>
    <xf numFmtId="0" fontId="150" fillId="45" borderId="74" xfId="4501" applyFont="1" applyFill="1" applyBorder="1" applyAlignment="1">
      <alignment horizontal="center"/>
    </xf>
    <xf numFmtId="0" fontId="150" fillId="45" borderId="75" xfId="4501" applyFont="1" applyFill="1" applyBorder="1" applyAlignment="1">
      <alignment horizontal="center"/>
    </xf>
    <xf numFmtId="0" fontId="154" fillId="48" borderId="11" xfId="4501" applyFont="1" applyFill="1" applyBorder="1" applyAlignment="1" applyProtection="1">
      <alignment horizontal="center"/>
      <protection locked="0"/>
    </xf>
    <xf numFmtId="14" fontId="154" fillId="48" borderId="11" xfId="4501" applyNumberFormat="1" applyFont="1" applyFill="1" applyBorder="1" applyAlignment="1" applyProtection="1">
      <alignment horizontal="center"/>
      <protection locked="0"/>
    </xf>
    <xf numFmtId="44" fontId="154" fillId="48" borderId="3" xfId="4502" applyFont="1" applyFill="1" applyBorder="1" applyAlignment="1" applyProtection="1">
      <alignment horizontal="center"/>
      <protection locked="0"/>
    </xf>
    <xf numFmtId="44" fontId="154" fillId="48" borderId="4" xfId="4502" applyFont="1" applyFill="1" applyBorder="1" applyAlignment="1" applyProtection="1">
      <alignment horizontal="center"/>
      <protection locked="0"/>
    </xf>
    <xf numFmtId="44" fontId="154" fillId="48" borderId="81" xfId="4502" applyFont="1" applyFill="1" applyBorder="1" applyAlignment="1" applyProtection="1">
      <alignment horizontal="center"/>
      <protection locked="0"/>
    </xf>
    <xf numFmtId="0" fontId="154" fillId="48" borderId="75" xfId="4501" applyFont="1" applyFill="1" applyBorder="1" applyAlignment="1" applyProtection="1">
      <alignment horizontal="center"/>
      <protection locked="0"/>
    </xf>
    <xf numFmtId="14" fontId="154" fillId="48" borderId="75" xfId="4501" applyNumberFormat="1" applyFont="1" applyFill="1" applyBorder="1" applyAlignment="1" applyProtection="1">
      <alignment horizontal="center"/>
      <protection locked="0"/>
    </xf>
    <xf numFmtId="44" fontId="154" fillId="48" borderId="86" xfId="4502" applyFont="1" applyFill="1" applyBorder="1" applyAlignment="1" applyProtection="1">
      <alignment horizontal="center"/>
      <protection locked="0"/>
    </xf>
    <xf numFmtId="44" fontId="154" fillId="48" borderId="84" xfId="4502" applyFont="1" applyFill="1" applyBorder="1" applyAlignment="1" applyProtection="1">
      <alignment horizontal="center"/>
      <protection locked="0"/>
    </xf>
    <xf numFmtId="44" fontId="154" fillId="48" borderId="87" xfId="4502" applyFont="1" applyFill="1" applyBorder="1" applyAlignment="1" applyProtection="1">
      <alignment horizontal="center"/>
      <protection locked="0"/>
    </xf>
    <xf numFmtId="0" fontId="5" fillId="52" borderId="3" xfId="4501" applyFill="1" applyBorder="1" applyAlignment="1">
      <alignment horizontal="center"/>
    </xf>
    <xf numFmtId="0" fontId="5" fillId="52" borderId="4" xfId="4501" applyFill="1" applyBorder="1" applyAlignment="1">
      <alignment horizontal="center"/>
    </xf>
    <xf numFmtId="0" fontId="5" fillId="52" borderId="5" xfId="4501" applyFill="1" applyBorder="1" applyAlignment="1">
      <alignment horizontal="center"/>
    </xf>
    <xf numFmtId="14" fontId="5" fillId="48" borderId="3" xfId="4501" applyNumberFormat="1" applyFill="1" applyBorder="1" applyAlignment="1" applyProtection="1">
      <alignment horizontal="center"/>
      <protection locked="0"/>
    </xf>
    <xf numFmtId="14" fontId="5" fillId="48" borderId="4" xfId="4501" applyNumberFormat="1" applyFill="1" applyBorder="1" applyAlignment="1" applyProtection="1">
      <alignment horizontal="center"/>
      <protection locked="0"/>
    </xf>
    <xf numFmtId="14" fontId="5"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4" fillId="48" borderId="3" xfId="4501" applyFont="1" applyFill="1" applyBorder="1" applyAlignment="1" applyProtection="1">
      <alignment horizontal="center"/>
      <protection locked="0"/>
    </xf>
    <xf numFmtId="0" fontId="154" fillId="48" borderId="4" xfId="4501" applyFont="1" applyFill="1" applyBorder="1" applyAlignment="1" applyProtection="1">
      <alignment horizontal="center"/>
      <protection locked="0"/>
    </xf>
    <xf numFmtId="0" fontId="154" fillId="48" borderId="5" xfId="4501" applyFont="1" applyFill="1" applyBorder="1" applyAlignment="1" applyProtection="1">
      <alignment horizontal="center"/>
      <protection locked="0"/>
    </xf>
    <xf numFmtId="14" fontId="154" fillId="48" borderId="3" xfId="4501" applyNumberFormat="1" applyFont="1" applyFill="1" applyBorder="1" applyAlignment="1" applyProtection="1">
      <alignment horizontal="center"/>
      <protection locked="0"/>
    </xf>
    <xf numFmtId="14" fontId="154" fillId="48" borderId="4" xfId="4501" applyNumberFormat="1" applyFont="1" applyFill="1" applyBorder="1" applyAlignment="1" applyProtection="1">
      <alignment horizontal="center"/>
      <protection locked="0"/>
    </xf>
    <xf numFmtId="0" fontId="5" fillId="50" borderId="3" xfId="4501" applyFill="1" applyBorder="1" applyAlignment="1">
      <alignment horizontal="center"/>
    </xf>
    <xf numFmtId="0" fontId="5" fillId="50" borderId="4" xfId="4501" applyFill="1" applyBorder="1" applyAlignment="1">
      <alignment horizontal="center"/>
    </xf>
    <xf numFmtId="0" fontId="5" fillId="50" borderId="5" xfId="4501" applyFill="1" applyBorder="1" applyAlignment="1">
      <alignment horizontal="center"/>
    </xf>
    <xf numFmtId="14" fontId="5" fillId="52" borderId="3" xfId="4501" applyNumberFormat="1" applyFill="1" applyBorder="1" applyAlignment="1">
      <alignment horizontal="center"/>
    </xf>
    <xf numFmtId="14" fontId="5" fillId="52" borderId="4" xfId="4501" applyNumberFormat="1" applyFill="1" applyBorder="1" applyAlignment="1">
      <alignment horizontal="center"/>
    </xf>
    <xf numFmtId="0" fontId="98" fillId="48" borderId="3" xfId="4501" applyFont="1" applyFill="1" applyBorder="1" applyAlignment="1" applyProtection="1">
      <alignment horizontal="center"/>
      <protection locked="0"/>
    </xf>
    <xf numFmtId="0" fontId="98" fillId="48" borderId="4" xfId="4501" applyFont="1" applyFill="1" applyBorder="1" applyAlignment="1" applyProtection="1">
      <alignment horizontal="center"/>
      <protection locked="0"/>
    </xf>
    <xf numFmtId="0" fontId="98" fillId="48" borderId="5" xfId="4501" applyFont="1" applyFill="1" applyBorder="1" applyAlignment="1" applyProtection="1">
      <alignment horizontal="center"/>
      <protection locked="0"/>
    </xf>
    <xf numFmtId="0" fontId="149" fillId="0" borderId="77" xfId="4501" applyFont="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98" fillId="0" borderId="5" xfId="4501" applyFont="1" applyBorder="1" applyAlignment="1">
      <alignment horizontal="center"/>
    </xf>
    <xf numFmtId="0" fontId="98" fillId="0" borderId="3" xfId="4501" applyFont="1" applyBorder="1" applyAlignment="1">
      <alignment horizontal="center"/>
    </xf>
    <xf numFmtId="0" fontId="158" fillId="0" borderId="3" xfId="4501" applyFont="1" applyBorder="1" applyAlignment="1">
      <alignment horizontal="center"/>
    </xf>
    <xf numFmtId="0" fontId="158" fillId="0" borderId="4" xfId="4501" applyFont="1" applyBorder="1" applyAlignment="1">
      <alignment horizontal="center"/>
    </xf>
    <xf numFmtId="0" fontId="158" fillId="0" borderId="5" xfId="4501" applyFont="1" applyBorder="1" applyAlignment="1">
      <alignment horizontal="center"/>
    </xf>
    <xf numFmtId="0" fontId="98" fillId="0" borderId="86" xfId="4501" applyFont="1" applyBorder="1" applyAlignment="1">
      <alignment horizontal="center"/>
    </xf>
    <xf numFmtId="0" fontId="98" fillId="0" borderId="84" xfId="4501" applyFont="1" applyBorder="1" applyAlignment="1">
      <alignment horizontal="center"/>
    </xf>
    <xf numFmtId="0" fontId="98" fillId="0" borderId="87" xfId="4501" applyFont="1" applyBorder="1" applyAlignment="1">
      <alignment horizontal="center"/>
    </xf>
    <xf numFmtId="0" fontId="152" fillId="48" borderId="66" xfId="4501" applyFont="1" applyFill="1" applyBorder="1" applyAlignment="1" applyProtection="1">
      <alignment vertical="top" wrapText="1"/>
      <protection locked="0"/>
    </xf>
    <xf numFmtId="0" fontId="152" fillId="0" borderId="29" xfId="4501" applyFont="1" applyBorder="1" applyAlignment="1" applyProtection="1">
      <alignment vertical="top" wrapText="1"/>
      <protection locked="0"/>
    </xf>
    <xf numFmtId="0" fontId="152" fillId="0" borderId="31" xfId="4501" applyFont="1" applyBorder="1" applyAlignment="1" applyProtection="1">
      <alignment vertical="top" wrapText="1"/>
      <protection locked="0"/>
    </xf>
    <xf numFmtId="0" fontId="152" fillId="0" borderId="67" xfId="4501" applyFont="1" applyBorder="1" applyAlignment="1" applyProtection="1">
      <alignment vertical="top" wrapText="1"/>
      <protection locked="0"/>
    </xf>
    <xf numFmtId="0" fontId="152" fillId="0" borderId="0" xfId="4501" applyFont="1" applyAlignment="1" applyProtection="1">
      <alignment vertical="top" wrapText="1"/>
      <protection locked="0"/>
    </xf>
    <xf numFmtId="0" fontId="152" fillId="0" borderId="41" xfId="4501" applyFont="1" applyBorder="1" applyAlignment="1" applyProtection="1">
      <alignment vertical="top" wrapText="1"/>
      <protection locked="0"/>
    </xf>
    <xf numFmtId="0" fontId="152" fillId="0" borderId="88" xfId="4501" applyFont="1" applyBorder="1" applyAlignment="1" applyProtection="1">
      <alignment vertical="top" wrapText="1"/>
      <protection locked="0"/>
    </xf>
    <xf numFmtId="0" fontId="152" fillId="0" borderId="42" xfId="4501" applyFont="1" applyBorder="1" applyAlignment="1" applyProtection="1">
      <alignment vertical="top" wrapText="1"/>
      <protection locked="0"/>
    </xf>
    <xf numFmtId="0" fontId="152" fillId="0" borderId="44" xfId="4501" applyFont="1" applyBorder="1" applyAlignment="1" applyProtection="1">
      <alignment vertical="top" wrapText="1"/>
      <protection locked="0"/>
    </xf>
    <xf numFmtId="0" fontId="149" fillId="45" borderId="77" xfId="4501" applyFont="1" applyFill="1" applyBorder="1" applyAlignment="1">
      <alignment horizontal="center"/>
    </xf>
    <xf numFmtId="0" fontId="149" fillId="45" borderId="78" xfId="4501" applyFont="1" applyFill="1" applyBorder="1" applyAlignment="1">
      <alignment horizontal="center"/>
    </xf>
    <xf numFmtId="0" fontId="149" fillId="45" borderId="91" xfId="4501" applyFont="1" applyFill="1" applyBorder="1" applyAlignment="1">
      <alignment horizontal="center"/>
    </xf>
    <xf numFmtId="0" fontId="98" fillId="45" borderId="94" xfId="4501" applyFont="1" applyFill="1" applyBorder="1" applyAlignment="1">
      <alignment horizontal="center"/>
    </xf>
    <xf numFmtId="0" fontId="98" fillId="45" borderId="4" xfId="4501" applyFont="1" applyFill="1" applyBorder="1" applyAlignment="1">
      <alignment horizontal="center"/>
    </xf>
    <xf numFmtId="0" fontId="98" fillId="45" borderId="5" xfId="4501" applyFont="1" applyFill="1" applyBorder="1" applyAlignment="1">
      <alignment horizontal="center"/>
    </xf>
    <xf numFmtId="0" fontId="149" fillId="45" borderId="3" xfId="4501" applyFont="1" applyFill="1" applyBorder="1" applyAlignment="1">
      <alignment horizontal="center"/>
    </xf>
    <xf numFmtId="0" fontId="149" fillId="45" borderId="5" xfId="4501" applyFont="1" applyFill="1" applyBorder="1" applyAlignment="1">
      <alignment horizontal="center"/>
    </xf>
    <xf numFmtId="0" fontId="98" fillId="45" borderId="82" xfId="4501" applyFont="1" applyFill="1" applyBorder="1" applyAlignment="1">
      <alignment horizontal="center"/>
    </xf>
    <xf numFmtId="0" fontId="98" fillId="45" borderId="11" xfId="4501" applyFont="1" applyFill="1" applyBorder="1" applyAlignment="1">
      <alignment horizontal="center"/>
    </xf>
    <xf numFmtId="0" fontId="149" fillId="45" borderId="68" xfId="4501" applyFont="1" applyFill="1" applyBorder="1" applyAlignment="1">
      <alignment horizontal="center"/>
    </xf>
    <xf numFmtId="0" fontId="149" fillId="45" borderId="69" xfId="4501" applyFont="1" applyFill="1" applyBorder="1" applyAlignment="1">
      <alignment horizontal="center"/>
    </xf>
    <xf numFmtId="0" fontId="149" fillId="45" borderId="29" xfId="4501" applyFont="1" applyFill="1" applyBorder="1" applyAlignment="1">
      <alignment horizontal="center"/>
    </xf>
    <xf numFmtId="0" fontId="154" fillId="48" borderId="29" xfId="4501" applyFont="1" applyFill="1" applyBorder="1" applyAlignment="1" applyProtection="1">
      <alignment horizontal="center"/>
      <protection locked="0"/>
    </xf>
    <xf numFmtId="0" fontId="154" fillId="48" borderId="31" xfId="4501" applyFont="1" applyFill="1" applyBorder="1" applyAlignment="1" applyProtection="1">
      <alignment horizontal="center"/>
      <protection locked="0"/>
    </xf>
    <xf numFmtId="0" fontId="162" fillId="45" borderId="68" xfId="4501" applyFont="1" applyFill="1" applyBorder="1" applyAlignment="1">
      <alignment horizontal="center"/>
    </xf>
    <xf numFmtId="0" fontId="162" fillId="45" borderId="69" xfId="4501" applyFont="1" applyFill="1" applyBorder="1" applyAlignment="1">
      <alignment horizontal="center"/>
    </xf>
    <xf numFmtId="0" fontId="162" fillId="45" borderId="70" xfId="4501" applyFont="1" applyFill="1" applyBorder="1" applyAlignment="1">
      <alignment horizontal="center"/>
    </xf>
    <xf numFmtId="0" fontId="152" fillId="48" borderId="68" xfId="4501" applyFont="1" applyFill="1" applyBorder="1" applyAlignment="1" applyProtection="1">
      <alignment horizontal="left"/>
      <protection locked="0"/>
    </xf>
    <xf numFmtId="0" fontId="152" fillId="48" borderId="69" xfId="4501" applyFont="1" applyFill="1" applyBorder="1" applyAlignment="1" applyProtection="1">
      <alignment horizontal="left"/>
      <protection locked="0"/>
    </xf>
    <xf numFmtId="0" fontId="152" fillId="48" borderId="70" xfId="4501" applyFont="1" applyFill="1" applyBorder="1" applyAlignment="1" applyProtection="1">
      <alignment horizontal="left"/>
      <protection locked="0"/>
    </xf>
    <xf numFmtId="0" fontId="98" fillId="45" borderId="102" xfId="4501" applyFont="1" applyFill="1" applyBorder="1" applyAlignment="1">
      <alignment horizontal="center"/>
    </xf>
    <xf numFmtId="0" fontId="98" fillId="45" borderId="103" xfId="4501" applyFont="1" applyFill="1" applyBorder="1" applyAlignment="1">
      <alignment horizontal="center"/>
    </xf>
    <xf numFmtId="0" fontId="98" fillId="45" borderId="104" xfId="4501" applyFont="1" applyFill="1" applyBorder="1" applyAlignment="1">
      <alignment horizontal="center"/>
    </xf>
    <xf numFmtId="0" fontId="98" fillId="48" borderId="10" xfId="4501" applyFont="1" applyFill="1" applyBorder="1" applyAlignment="1" applyProtection="1">
      <alignment horizontal="center"/>
      <protection locked="0"/>
    </xf>
    <xf numFmtId="0" fontId="98" fillId="48" borderId="13" xfId="4501" applyFont="1" applyFill="1" applyBorder="1" applyAlignment="1" applyProtection="1">
      <alignment horizontal="center"/>
      <protection locked="0"/>
    </xf>
    <xf numFmtId="0" fontId="98" fillId="48" borderId="98" xfId="4501" applyFont="1" applyFill="1" applyBorder="1" applyAlignment="1" applyProtection="1">
      <alignment horizontal="center"/>
      <protection locked="0"/>
    </xf>
    <xf numFmtId="0" fontId="5" fillId="48" borderId="13" xfId="4501" applyFill="1" applyBorder="1" applyAlignment="1" applyProtection="1">
      <alignment horizontal="center"/>
      <protection locked="0"/>
    </xf>
    <xf numFmtId="0" fontId="5" fillId="48" borderId="98" xfId="4501" applyFill="1" applyBorder="1" applyAlignment="1" applyProtection="1">
      <alignment horizontal="center"/>
      <protection locked="0"/>
    </xf>
    <xf numFmtId="0" fontId="98" fillId="48" borderId="85" xfId="4501" applyFont="1" applyFill="1" applyBorder="1" applyAlignment="1" applyProtection="1">
      <alignment horizontal="center"/>
      <protection locked="0"/>
    </xf>
    <xf numFmtId="0" fontId="98" fillId="48" borderId="75" xfId="4501" applyFont="1" applyFill="1" applyBorder="1" applyAlignment="1" applyProtection="1">
      <alignment horizontal="center"/>
      <protection locked="0"/>
    </xf>
    <xf numFmtId="0" fontId="98" fillId="48" borderId="95" xfId="4501" applyFont="1" applyFill="1" applyBorder="1" applyAlignment="1" applyProtection="1">
      <alignment horizontal="center"/>
      <protection locked="0"/>
    </xf>
    <xf numFmtId="0" fontId="5" fillId="48" borderId="75" xfId="4501" applyFill="1" applyBorder="1" applyAlignment="1" applyProtection="1">
      <alignment horizontal="center"/>
      <protection locked="0"/>
    </xf>
    <xf numFmtId="0" fontId="5" fillId="48" borderId="95" xfId="4501" applyFill="1" applyBorder="1" applyAlignment="1" applyProtection="1">
      <alignment horizontal="center"/>
      <protection locked="0"/>
    </xf>
    <xf numFmtId="0" fontId="149" fillId="0" borderId="68" xfId="4501" applyFont="1" applyFill="1" applyBorder="1" applyAlignment="1">
      <alignment horizontal="center"/>
    </xf>
    <xf numFmtId="0" fontId="149" fillId="0" borderId="69" xfId="4501" applyFont="1" applyFill="1" applyBorder="1" applyAlignment="1">
      <alignment horizontal="center"/>
    </xf>
    <xf numFmtId="0" fontId="149" fillId="0" borderId="70" xfId="4501" applyFont="1" applyFill="1" applyBorder="1" applyAlignment="1">
      <alignment horizontal="center"/>
    </xf>
    <xf numFmtId="0" fontId="98" fillId="48" borderId="9" xfId="4501" applyFont="1" applyFill="1" applyBorder="1" applyAlignment="1" applyProtection="1">
      <alignment horizontal="center"/>
      <protection locked="0"/>
    </xf>
    <xf numFmtId="0" fontId="98" fillId="48" borderId="86" xfId="4501" applyFont="1" applyFill="1" applyBorder="1" applyAlignment="1" applyProtection="1">
      <alignment horizontal="center"/>
      <protection locked="0"/>
    </xf>
    <xf numFmtId="0" fontId="5" fillId="0" borderId="69" xfId="4501" applyBorder="1" applyAlignment="1"/>
    <xf numFmtId="0" fontId="5" fillId="0" borderId="70" xfId="4501" applyBorder="1" applyAlignment="1"/>
    <xf numFmtId="0" fontId="5" fillId="48" borderId="82" xfId="4501" applyFill="1" applyBorder="1" applyAlignment="1" applyProtection="1">
      <alignment horizontal="center"/>
      <protection locked="0"/>
    </xf>
    <xf numFmtId="44" fontId="99" fillId="48" borderId="11" xfId="4502" applyFont="1" applyFill="1" applyBorder="1" applyAlignment="1" applyProtection="1">
      <alignment horizontal="center"/>
      <protection locked="0"/>
    </xf>
    <xf numFmtId="44" fontId="99" fillId="48" borderId="93" xfId="4502" applyFont="1" applyFill="1" applyBorder="1" applyAlignment="1" applyProtection="1">
      <alignment horizontal="center"/>
      <protection locked="0"/>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149" fillId="45" borderId="76" xfId="4501" applyFont="1" applyFill="1" applyBorder="1" applyAlignment="1">
      <alignment horizontal="center"/>
    </xf>
    <xf numFmtId="0" fontId="5" fillId="48" borderId="93" xfId="4501" applyFill="1" applyBorder="1" applyAlignment="1" applyProtection="1">
      <alignment horizontal="center"/>
      <protection locked="0"/>
    </xf>
    <xf numFmtId="0" fontId="5" fillId="48" borderId="74" xfId="4501" applyFill="1" applyBorder="1" applyAlignment="1" applyProtection="1">
      <alignment horizontal="center"/>
      <protection locked="0"/>
    </xf>
    <xf numFmtId="44" fontId="99" fillId="48" borderId="99" xfId="4502" applyFont="1" applyFill="1" applyBorder="1" applyAlignment="1" applyProtection="1">
      <alignment horizontal="center"/>
      <protection locked="0"/>
    </xf>
    <xf numFmtId="44" fontId="99" fillId="48" borderId="100" xfId="4502" applyFont="1" applyFill="1" applyBorder="1" applyAlignment="1" applyProtection="1">
      <alignment horizontal="center"/>
      <protection locked="0"/>
    </xf>
    <xf numFmtId="0" fontId="149" fillId="45" borderId="96" xfId="4501" applyFont="1" applyFill="1" applyBorder="1" applyAlignment="1">
      <alignment horizontal="right"/>
    </xf>
    <xf numFmtId="0" fontId="149" fillId="45" borderId="43" xfId="4501" applyFont="1" applyFill="1" applyBorder="1" applyAlignment="1">
      <alignment horizontal="right"/>
    </xf>
    <xf numFmtId="44" fontId="149" fillId="45" borderId="43" xfId="4501" applyNumberFormat="1" applyFont="1" applyFill="1" applyBorder="1" applyAlignment="1">
      <alignment horizontal="center"/>
    </xf>
    <xf numFmtId="0" fontId="149" fillId="45" borderId="43" xfId="4501" applyFont="1" applyFill="1" applyBorder="1" applyAlignment="1">
      <alignment horizontal="center"/>
    </xf>
    <xf numFmtId="0" fontId="149" fillId="45" borderId="101" xfId="4501" applyFont="1" applyFill="1" applyBorder="1" applyAlignment="1">
      <alignment horizontal="center"/>
    </xf>
    <xf numFmtId="0" fontId="99" fillId="48" borderId="82" xfId="4501" applyFont="1" applyFill="1" applyBorder="1" applyAlignment="1" applyProtection="1">
      <alignment horizontal="center"/>
      <protection locked="0"/>
    </xf>
    <xf numFmtId="0" fontId="99" fillId="48" borderId="11" xfId="4501" applyFont="1" applyFill="1" applyBorder="1" applyAlignment="1" applyProtection="1">
      <alignment horizontal="center"/>
      <protection locked="0"/>
    </xf>
    <xf numFmtId="0" fontId="149" fillId="45" borderId="97" xfId="4501" applyFont="1" applyFill="1" applyBorder="1" applyAlignment="1">
      <alignment horizontal="center"/>
    </xf>
    <xf numFmtId="0" fontId="149" fillId="45" borderId="13" xfId="4501" applyFont="1" applyFill="1" applyBorder="1" applyAlignment="1">
      <alignment horizontal="center"/>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149" fillId="45" borderId="79" xfId="4501" applyFont="1" applyFill="1" applyBorder="1" applyAlignment="1">
      <alignment horizontal="center"/>
    </xf>
    <xf numFmtId="0" fontId="98" fillId="45" borderId="71" xfId="4501" applyFont="1" applyFill="1" applyBorder="1" applyAlignment="1">
      <alignment horizontal="center"/>
    </xf>
    <xf numFmtId="0" fontId="98" fillId="45" borderId="72" xfId="4501" applyFont="1" applyFill="1" applyBorder="1" applyAlignment="1">
      <alignment horizontal="center"/>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154" fillId="48" borderId="95" xfId="4501" applyFont="1" applyFill="1" applyBorder="1" applyAlignment="1" applyProtection="1">
      <alignment horizontal="center"/>
      <protection locked="0"/>
    </xf>
    <xf numFmtId="0" fontId="160" fillId="48" borderId="82" xfId="4501" applyNumberFormat="1" applyFont="1" applyFill="1" applyBorder="1" applyAlignment="1" applyProtection="1">
      <alignment horizontal="center"/>
      <protection locked="0"/>
    </xf>
    <xf numFmtId="0" fontId="160" fillId="48" borderId="11" xfId="4501" applyNumberFormat="1" applyFont="1" applyFill="1" applyBorder="1" applyAlignment="1" applyProtection="1">
      <alignment horizontal="center"/>
      <protection locked="0"/>
    </xf>
    <xf numFmtId="0" fontId="160" fillId="48" borderId="93" xfId="4501" applyNumberFormat="1" applyFont="1" applyFill="1" applyBorder="1" applyAlignment="1" applyProtection="1">
      <alignment horizontal="center"/>
      <protection locked="0"/>
    </xf>
    <xf numFmtId="0" fontId="160" fillId="48" borderId="5" xfId="4501" applyFont="1" applyFill="1" applyBorder="1" applyAlignment="1" applyProtection="1">
      <alignment horizontal="center"/>
      <protection locked="0"/>
    </xf>
    <xf numFmtId="0" fontId="160" fillId="48" borderId="11" xfId="4501" applyFont="1" applyFill="1" applyBorder="1" applyAlignment="1" applyProtection="1">
      <alignment horizontal="center"/>
      <protection locked="0"/>
    </xf>
    <xf numFmtId="0" fontId="160" fillId="48" borderId="93" xfId="4501" applyFont="1" applyFill="1" applyBorder="1" applyAlignment="1" applyProtection="1">
      <alignment horizontal="center"/>
      <protection locked="0"/>
    </xf>
    <xf numFmtId="0" fontId="160" fillId="48" borderId="74" xfId="4501" applyNumberFormat="1" applyFont="1" applyFill="1" applyBorder="1" applyAlignment="1" applyProtection="1">
      <alignment horizontal="center"/>
      <protection locked="0"/>
    </xf>
    <xf numFmtId="0" fontId="160" fillId="48" borderId="75" xfId="4501" applyNumberFormat="1" applyFont="1" applyFill="1" applyBorder="1" applyAlignment="1" applyProtection="1">
      <alignment horizontal="center"/>
      <protection locked="0"/>
    </xf>
    <xf numFmtId="0" fontId="160" fillId="48" borderId="95" xfId="4501" applyNumberFormat="1" applyFont="1" applyFill="1" applyBorder="1" applyAlignment="1" applyProtection="1">
      <alignment horizontal="center"/>
      <protection locked="0"/>
    </xf>
    <xf numFmtId="0" fontId="160" fillId="48" borderId="85" xfId="4501" applyFont="1" applyFill="1" applyBorder="1" applyAlignment="1" applyProtection="1">
      <alignment horizontal="center"/>
      <protection locked="0"/>
    </xf>
    <xf numFmtId="0" fontId="160" fillId="48" borderId="75" xfId="4501" applyFont="1" applyFill="1" applyBorder="1" applyAlignment="1" applyProtection="1">
      <alignment horizontal="center"/>
      <protection locked="0"/>
    </xf>
    <xf numFmtId="0" fontId="160" fillId="48" borderId="95" xfId="4501" applyFont="1" applyFill="1" applyBorder="1" applyAlignment="1" applyProtection="1">
      <alignment horizontal="center"/>
      <protection locked="0"/>
    </xf>
    <xf numFmtId="0" fontId="50" fillId="0" borderId="66" xfId="4501" applyFont="1" applyBorder="1" applyAlignment="1">
      <alignment horizontal="center"/>
    </xf>
    <xf numFmtId="0" fontId="50" fillId="0" borderId="29" xfId="4501" applyFont="1" applyBorder="1" applyAlignment="1">
      <alignment horizontal="center"/>
    </xf>
    <xf numFmtId="0" fontId="50" fillId="0" borderId="31" xfId="4501" applyFont="1" applyBorder="1" applyAlignment="1">
      <alignment horizontal="center"/>
    </xf>
    <xf numFmtId="0" fontId="160" fillId="48" borderId="74" xfId="4501" applyFont="1" applyFill="1" applyBorder="1" applyAlignment="1" applyProtection="1">
      <alignment horizontal="center"/>
      <protection locked="0"/>
    </xf>
    <xf numFmtId="44" fontId="160" fillId="48" borderId="75" xfId="4502" applyFont="1" applyFill="1" applyBorder="1" applyAlignment="1" applyProtection="1">
      <alignment horizontal="center"/>
      <protection locked="0"/>
    </xf>
    <xf numFmtId="0" fontId="150" fillId="0" borderId="96" xfId="4501" applyFont="1" applyBorder="1" applyAlignment="1">
      <alignment horizontal="center"/>
    </xf>
    <xf numFmtId="0" fontId="150" fillId="0" borderId="43" xfId="4501" applyFont="1" applyBorder="1" applyAlignment="1">
      <alignment horizontal="center"/>
    </xf>
    <xf numFmtId="44" fontId="150" fillId="0" borderId="43" xfId="4502" applyFont="1" applyBorder="1" applyAlignment="1">
      <alignment horizontal="center"/>
    </xf>
    <xf numFmtId="0" fontId="160" fillId="48" borderId="82" xfId="4501" applyFont="1" applyFill="1" applyBorder="1" applyAlignment="1" applyProtection="1">
      <alignment horizontal="center"/>
      <protection locked="0"/>
    </xf>
    <xf numFmtId="44" fontId="160" fillId="48" borderId="11" xfId="4502" applyFont="1" applyFill="1" applyBorder="1" applyAlignment="1" applyProtection="1">
      <alignment horizontal="center"/>
      <protection locked="0"/>
    </xf>
    <xf numFmtId="0" fontId="149" fillId="0" borderId="68" xfId="4501" applyFont="1" applyBorder="1" applyAlignment="1">
      <alignment horizontal="center"/>
    </xf>
    <xf numFmtId="0" fontId="149" fillId="0" borderId="69" xfId="4501" applyFont="1" applyBorder="1" applyAlignment="1">
      <alignment horizontal="center"/>
    </xf>
    <xf numFmtId="0" fontId="149" fillId="0" borderId="70" xfId="4501" applyFont="1" applyBorder="1" applyAlignment="1">
      <alignment horizontal="center"/>
    </xf>
    <xf numFmtId="0" fontId="150" fillId="0" borderId="66" xfId="4501" applyFont="1" applyBorder="1" applyAlignment="1">
      <alignment horizontal="center"/>
    </xf>
    <xf numFmtId="0" fontId="150" fillId="0" borderId="29" xfId="4501" applyFont="1" applyBorder="1" applyAlignment="1">
      <alignment horizontal="center"/>
    </xf>
    <xf numFmtId="0" fontId="150" fillId="0" borderId="31" xfId="4501" applyFont="1" applyBorder="1" applyAlignment="1">
      <alignment horizontal="center"/>
    </xf>
    <xf numFmtId="0" fontId="50" fillId="0" borderId="66" xfId="4501" applyFont="1" applyBorder="1" applyAlignment="1">
      <alignment horizontal="center" vertical="center" wrapText="1"/>
    </xf>
    <xf numFmtId="0" fontId="50" fillId="0" borderId="29" xfId="4501" applyFont="1" applyBorder="1" applyAlignment="1">
      <alignment horizontal="center" vertical="center" wrapText="1"/>
    </xf>
    <xf numFmtId="0" fontId="50" fillId="0" borderId="31" xfId="4501" applyFont="1" applyBorder="1" applyAlignment="1">
      <alignment horizontal="center" vertical="center" wrapText="1"/>
    </xf>
    <xf numFmtId="0" fontId="28" fillId="0" borderId="66" xfId="4501" applyFont="1" applyBorder="1" applyAlignment="1">
      <alignment horizontal="center" vertical="center" wrapText="1"/>
    </xf>
    <xf numFmtId="0" fontId="28" fillId="0" borderId="29" xfId="4501" applyFont="1" applyBorder="1" applyAlignment="1">
      <alignment horizontal="center" vertical="center" wrapText="1"/>
    </xf>
    <xf numFmtId="0" fontId="28" fillId="0" borderId="31" xfId="4501" applyFont="1" applyBorder="1" applyAlignment="1">
      <alignment horizontal="center" vertical="center" wrapText="1"/>
    </xf>
    <xf numFmtId="1" fontId="5" fillId="48" borderId="11" xfId="4501" applyNumberFormat="1" applyFill="1" applyBorder="1" applyAlignment="1" applyProtection="1">
      <alignment horizontal="center"/>
      <protection locked="0"/>
    </xf>
    <xf numFmtId="1" fontId="154" fillId="45" borderId="13" xfId="4501" applyNumberFormat="1" applyFont="1" applyFill="1" applyBorder="1" applyAlignment="1">
      <alignment horizontal="center"/>
    </xf>
    <xf numFmtId="9" fontId="154" fillId="45" borderId="13" xfId="4503" applyFont="1" applyFill="1" applyBorder="1" applyAlignment="1">
      <alignment horizontal="center"/>
    </xf>
    <xf numFmtId="0" fontId="150" fillId="48" borderId="74" xfId="4501" applyFont="1" applyFill="1" applyBorder="1" applyAlignment="1" applyProtection="1">
      <alignment horizontal="right"/>
      <protection locked="0"/>
    </xf>
    <xf numFmtId="0" fontId="150" fillId="48" borderId="75" xfId="4501" applyFont="1" applyFill="1" applyBorder="1" applyAlignment="1" applyProtection="1">
      <alignment horizontal="right"/>
      <protection locked="0"/>
    </xf>
    <xf numFmtId="0" fontId="150" fillId="48" borderId="95" xfId="4501" applyFont="1" applyFill="1" applyBorder="1" applyAlignment="1" applyProtection="1">
      <alignment horizontal="right"/>
      <protection locked="0"/>
    </xf>
    <xf numFmtId="0" fontId="5" fillId="48" borderId="85" xfId="4501" applyFill="1" applyBorder="1" applyAlignment="1" applyProtection="1">
      <alignment horizontal="center"/>
      <protection locked="0"/>
    </xf>
    <xf numFmtId="0" fontId="5" fillId="48" borderId="86" xfId="4501" applyFill="1" applyBorder="1" applyAlignment="1" applyProtection="1">
      <alignment horizontal="center"/>
      <protection locked="0"/>
    </xf>
    <xf numFmtId="0" fontId="150" fillId="48" borderId="82" xfId="4501" applyFont="1" applyFill="1" applyBorder="1" applyAlignment="1" applyProtection="1">
      <alignment horizontal="right"/>
      <protection locked="0"/>
    </xf>
    <xf numFmtId="0" fontId="150" fillId="48" borderId="11" xfId="4501" applyFont="1" applyFill="1" applyBorder="1" applyAlignment="1" applyProtection="1">
      <alignment horizontal="right"/>
      <protection locked="0"/>
    </xf>
    <xf numFmtId="0" fontId="150" fillId="48" borderId="93" xfId="4501" applyFont="1" applyFill="1" applyBorder="1" applyAlignment="1" applyProtection="1">
      <alignment horizontal="right"/>
      <protection locked="0"/>
    </xf>
    <xf numFmtId="0" fontId="5" fillId="48" borderId="5" xfId="4501" applyFill="1" applyBorder="1" applyAlignment="1" applyProtection="1">
      <alignment horizontal="center"/>
      <protection locked="0"/>
    </xf>
    <xf numFmtId="0" fontId="152" fillId="48" borderId="82"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0" fontId="152" fillId="48" borderId="3" xfId="4501" applyFont="1" applyFill="1" applyBorder="1" applyAlignment="1" applyProtection="1">
      <alignment horizontal="center"/>
      <protection locked="0"/>
    </xf>
    <xf numFmtId="0" fontId="5" fillId="48" borderId="3" xfId="4501" applyFill="1" applyBorder="1" applyAlignment="1" applyProtection="1">
      <alignment horizontal="center"/>
      <protection locked="0"/>
    </xf>
    <xf numFmtId="0" fontId="150" fillId="48" borderId="94" xfId="4501" applyFont="1" applyFill="1" applyBorder="1" applyAlignment="1" applyProtection="1">
      <alignment horizontal="right"/>
      <protection locked="0"/>
    </xf>
    <xf numFmtId="0" fontId="150" fillId="48" borderId="4" xfId="4501" applyFont="1" applyFill="1" applyBorder="1" applyAlignment="1" applyProtection="1">
      <alignment horizontal="right"/>
      <protection locked="0"/>
    </xf>
    <xf numFmtId="0" fontId="150" fillId="48" borderId="81" xfId="4501" applyFont="1" applyFill="1" applyBorder="1" applyAlignment="1" applyProtection="1">
      <alignment horizontal="right"/>
      <protection locked="0"/>
    </xf>
    <xf numFmtId="0" fontId="158" fillId="48" borderId="82" xfId="4501" applyFont="1" applyFill="1" applyBorder="1" applyAlignment="1" applyProtection="1">
      <alignment horizontal="right"/>
      <protection locked="0"/>
    </xf>
    <xf numFmtId="0" fontId="158" fillId="48" borderId="11" xfId="4501" applyFont="1" applyFill="1" applyBorder="1" applyAlignment="1" applyProtection="1">
      <alignment horizontal="right"/>
      <protection locked="0"/>
    </xf>
    <xf numFmtId="0" fontId="158" fillId="48" borderId="93" xfId="4501" applyFont="1" applyFill="1" applyBorder="1" applyAlignment="1" applyProtection="1">
      <alignment horizontal="right"/>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152" fillId="48" borderId="5" xfId="4501" applyFont="1" applyFill="1" applyBorder="1" applyAlignment="1" applyProtection="1">
      <alignment horizontal="center"/>
      <protection locked="0"/>
    </xf>
    <xf numFmtId="0" fontId="152" fillId="48" borderId="93" xfId="4501" applyFont="1" applyFill="1" applyBorder="1" applyAlignment="1" applyProtection="1">
      <alignment horizontal="center"/>
      <protection locked="0"/>
    </xf>
    <xf numFmtId="9" fontId="5" fillId="48" borderId="68" xfId="4501" applyNumberFormat="1" applyFill="1" applyBorder="1" applyAlignment="1" applyProtection="1">
      <alignment horizontal="center"/>
      <protection locked="0"/>
    </xf>
    <xf numFmtId="9" fontId="5" fillId="48" borderId="69" xfId="4501" applyNumberFormat="1" applyFill="1" applyBorder="1" applyAlignment="1" applyProtection="1">
      <alignment horizontal="center"/>
      <protection locked="0"/>
    </xf>
    <xf numFmtId="9" fontId="5" fillId="48" borderId="70" xfId="4501" applyNumberFormat="1" applyFill="1" applyBorder="1" applyAlignment="1" applyProtection="1">
      <alignment horizontal="center"/>
      <protection locked="0"/>
    </xf>
    <xf numFmtId="0" fontId="154" fillId="45" borderId="68" xfId="4501" applyFont="1" applyFill="1" applyBorder="1" applyAlignment="1">
      <alignment horizontal="center"/>
    </xf>
    <xf numFmtId="0" fontId="154" fillId="45" borderId="69" xfId="4501" applyFont="1" applyFill="1" applyBorder="1" applyAlignment="1">
      <alignment horizontal="center"/>
    </xf>
    <xf numFmtId="0" fontId="154" fillId="45" borderId="70" xfId="4501" applyFont="1" applyFill="1" applyBorder="1" applyAlignment="1">
      <alignment horizontal="center"/>
    </xf>
    <xf numFmtId="0" fontId="50" fillId="48" borderId="71" xfId="4501" applyFont="1" applyFill="1" applyBorder="1" applyAlignment="1" applyProtection="1">
      <alignment horizontal="right"/>
      <protection locked="0"/>
    </xf>
    <xf numFmtId="0" fontId="50" fillId="48" borderId="72" xfId="4501" applyFont="1" applyFill="1" applyBorder="1" applyAlignment="1" applyProtection="1">
      <alignment horizontal="right"/>
      <protection locked="0"/>
    </xf>
    <xf numFmtId="0" fontId="50" fillId="48" borderId="76" xfId="4501" applyFont="1" applyFill="1" applyBorder="1" applyAlignment="1" applyProtection="1">
      <alignment horizontal="right"/>
      <protection locked="0"/>
    </xf>
    <xf numFmtId="0" fontId="157" fillId="48" borderId="91" xfId="4501" applyFont="1" applyFill="1" applyBorder="1" applyAlignment="1" applyProtection="1">
      <alignment horizontal="center"/>
      <protection locked="0"/>
    </xf>
    <xf numFmtId="0" fontId="157" fillId="48" borderId="72" xfId="4501" applyFont="1" applyFill="1" applyBorder="1" applyAlignment="1" applyProtection="1">
      <alignment horizontal="center"/>
      <protection locked="0"/>
    </xf>
    <xf numFmtId="0" fontId="157" fillId="48" borderId="76" xfId="4501" applyFont="1" applyFill="1" applyBorder="1" applyAlignment="1" applyProtection="1">
      <alignment horizontal="center"/>
      <protection locked="0"/>
    </xf>
    <xf numFmtId="0" fontId="152" fillId="48" borderId="71" xfId="4501" applyFont="1" applyFill="1" applyBorder="1" applyAlignment="1" applyProtection="1">
      <alignment horizontal="center"/>
      <protection locked="0"/>
    </xf>
    <xf numFmtId="0" fontId="152" fillId="48" borderId="72" xfId="4501" applyFont="1" applyFill="1" applyBorder="1" applyAlignment="1" applyProtection="1">
      <alignment horizontal="center"/>
      <protection locked="0"/>
    </xf>
    <xf numFmtId="0" fontId="152" fillId="48" borderId="92" xfId="4501" applyFont="1" applyFill="1" applyBorder="1" applyAlignment="1" applyProtection="1">
      <alignment horizontal="center"/>
      <protection locked="0"/>
    </xf>
    <xf numFmtId="1" fontId="152" fillId="48" borderId="13" xfId="4501" applyNumberFormat="1" applyFont="1" applyFill="1" applyBorder="1" applyAlignment="1" applyProtection="1">
      <alignment horizontal="center"/>
      <protection locked="0"/>
    </xf>
    <xf numFmtId="1" fontId="5" fillId="48" borderId="13" xfId="4501" applyNumberFormat="1" applyFill="1" applyBorder="1" applyAlignment="1" applyProtection="1">
      <alignment horizontal="center"/>
      <protection locked="0"/>
    </xf>
    <xf numFmtId="0" fontId="61" fillId="45" borderId="68" xfId="4501" applyFont="1" applyFill="1" applyBorder="1" applyAlignment="1">
      <alignment horizontal="center"/>
    </xf>
    <xf numFmtId="0" fontId="61" fillId="45" borderId="69" xfId="4501" applyFont="1" applyFill="1" applyBorder="1" applyAlignment="1">
      <alignment horizontal="center"/>
    </xf>
    <xf numFmtId="0" fontId="61" fillId="45" borderId="70" xfId="4501" applyFont="1" applyFill="1" applyBorder="1" applyAlignment="1">
      <alignment horizontal="center"/>
    </xf>
    <xf numFmtId="0" fontId="156" fillId="45" borderId="67" xfId="4501" applyFont="1" applyFill="1" applyBorder="1" applyAlignment="1">
      <alignment horizontal="center" vertical="center" wrapText="1"/>
    </xf>
    <xf numFmtId="0" fontId="156" fillId="45" borderId="0" xfId="4501" applyFont="1" applyFill="1" applyBorder="1" applyAlignment="1">
      <alignment horizontal="center" vertical="center"/>
    </xf>
    <xf numFmtId="0" fontId="156" fillId="45" borderId="41" xfId="4501" applyFont="1" applyFill="1" applyBorder="1" applyAlignment="1">
      <alignment horizontal="center" vertical="center"/>
    </xf>
    <xf numFmtId="0" fontId="156" fillId="45" borderId="67" xfId="4501" applyFont="1" applyFill="1" applyBorder="1" applyAlignment="1">
      <alignment horizontal="center" vertical="center"/>
    </xf>
    <xf numFmtId="0" fontId="150" fillId="45" borderId="67" xfId="4501" applyFont="1" applyFill="1" applyBorder="1" applyAlignment="1">
      <alignment horizontal="center" vertical="center" wrapText="1"/>
    </xf>
    <xf numFmtId="0" fontId="150" fillId="45" borderId="0" xfId="4501" applyFont="1" applyFill="1" applyBorder="1" applyAlignment="1">
      <alignment horizontal="center" vertical="center"/>
    </xf>
    <xf numFmtId="0" fontId="150" fillId="45" borderId="41" xfId="4501" applyFont="1" applyFill="1" applyBorder="1" applyAlignment="1">
      <alignment horizontal="center" vertical="center"/>
    </xf>
    <xf numFmtId="0" fontId="150" fillId="45" borderId="67" xfId="4501" applyFont="1" applyFill="1" applyBorder="1" applyAlignment="1">
      <alignment horizontal="center" vertical="center"/>
    </xf>
    <xf numFmtId="0" fontId="50" fillId="45" borderId="68" xfId="4501" applyFont="1" applyFill="1" applyBorder="1" applyAlignment="1">
      <alignment horizontal="center"/>
    </xf>
    <xf numFmtId="0" fontId="50" fillId="45" borderId="69" xfId="4501" applyFont="1" applyFill="1" applyBorder="1" applyAlignment="1">
      <alignment horizontal="center"/>
    </xf>
    <xf numFmtId="0" fontId="50" fillId="45" borderId="70" xfId="4501" applyFont="1" applyFill="1" applyBorder="1" applyAlignment="1">
      <alignment horizontal="center"/>
    </xf>
    <xf numFmtId="0" fontId="50" fillId="45" borderId="66" xfId="4501" applyFont="1" applyFill="1" applyBorder="1" applyAlignment="1">
      <alignment horizontal="center" vertical="center" wrapText="1"/>
    </xf>
    <xf numFmtId="0" fontId="150" fillId="45" borderId="29" xfId="4501" applyFont="1" applyFill="1" applyBorder="1" applyAlignment="1">
      <alignment horizontal="center" vertical="center" wrapText="1"/>
    </xf>
    <xf numFmtId="0" fontId="150" fillId="45" borderId="31" xfId="4501" applyFont="1" applyFill="1" applyBorder="1" applyAlignment="1">
      <alignment horizontal="center" vertical="center" wrapText="1"/>
    </xf>
    <xf numFmtId="0" fontId="150" fillId="45" borderId="88" xfId="4501" applyFont="1" applyFill="1" applyBorder="1" applyAlignment="1">
      <alignment horizontal="center" vertical="center" wrapText="1"/>
    </xf>
    <xf numFmtId="0" fontId="150" fillId="45" borderId="42" xfId="4501" applyFont="1" applyFill="1" applyBorder="1" applyAlignment="1">
      <alignment horizontal="center" vertical="center" wrapText="1"/>
    </xf>
    <xf numFmtId="0" fontId="150" fillId="45" borderId="44" xfId="4501" applyFont="1" applyFill="1" applyBorder="1" applyAlignment="1">
      <alignment horizontal="center" vertical="center" wrapText="1"/>
    </xf>
    <xf numFmtId="0" fontId="155" fillId="45" borderId="88" xfId="4501" applyFont="1" applyFill="1" applyBorder="1" applyAlignment="1">
      <alignment horizontal="center"/>
    </xf>
    <xf numFmtId="0" fontId="155" fillId="45" borderId="42" xfId="4501" applyFont="1" applyFill="1" applyBorder="1" applyAlignment="1">
      <alignment horizontal="center"/>
    </xf>
    <xf numFmtId="0" fontId="155" fillId="45" borderId="89" xfId="4501" applyFont="1" applyFill="1" applyBorder="1" applyAlignment="1">
      <alignment horizontal="center"/>
    </xf>
    <xf numFmtId="0" fontId="155" fillId="45" borderId="90" xfId="4501" applyFont="1" applyFill="1" applyBorder="1" applyAlignment="1">
      <alignment horizontal="center"/>
    </xf>
    <xf numFmtId="9" fontId="155" fillId="45" borderId="90" xfId="4495" applyFont="1" applyFill="1" applyBorder="1" applyAlignment="1">
      <alignment horizontal="center"/>
    </xf>
    <xf numFmtId="9" fontId="155" fillId="45" borderId="42" xfId="4495" applyFont="1" applyFill="1" applyBorder="1" applyAlignment="1">
      <alignment horizontal="center"/>
    </xf>
    <xf numFmtId="9" fontId="155" fillId="45" borderId="44" xfId="4495" applyFont="1" applyFill="1" applyBorder="1" applyAlignment="1">
      <alignment horizontal="center"/>
    </xf>
    <xf numFmtId="0" fontId="155" fillId="45" borderId="83" xfId="4501" applyFont="1" applyFill="1" applyBorder="1" applyAlignment="1">
      <alignment horizontal="center"/>
    </xf>
    <xf numFmtId="0" fontId="155" fillId="45" borderId="84" xfId="4501" applyFont="1" applyFill="1" applyBorder="1" applyAlignment="1">
      <alignment horizontal="center"/>
    </xf>
    <xf numFmtId="0" fontId="155" fillId="45" borderId="85" xfId="4501" applyFont="1" applyFill="1" applyBorder="1" applyAlignment="1">
      <alignment horizontal="center"/>
    </xf>
    <xf numFmtId="0" fontId="155" fillId="45" borderId="3" xfId="4501" applyFont="1" applyFill="1" applyBorder="1" applyAlignment="1">
      <alignment horizontal="center"/>
    </xf>
    <xf numFmtId="0" fontId="155" fillId="45" borderId="4" xfId="4501" applyFont="1" applyFill="1" applyBorder="1" applyAlignment="1">
      <alignment horizontal="center"/>
    </xf>
    <xf numFmtId="0" fontId="155" fillId="45" borderId="5" xfId="4501" applyFont="1" applyFill="1" applyBorder="1" applyAlignment="1">
      <alignment horizontal="center"/>
    </xf>
    <xf numFmtId="0" fontId="155" fillId="52" borderId="3" xfId="4501" applyFont="1" applyFill="1" applyBorder="1" applyAlignment="1">
      <alignment horizontal="center"/>
    </xf>
    <xf numFmtId="0" fontId="155" fillId="52" borderId="4" xfId="4501" applyFont="1" applyFill="1" applyBorder="1" applyAlignment="1">
      <alignment horizontal="center"/>
    </xf>
    <xf numFmtId="0" fontId="155" fillId="52" borderId="5" xfId="4501" applyFont="1" applyFill="1" applyBorder="1" applyAlignment="1">
      <alignment horizontal="center"/>
    </xf>
    <xf numFmtId="0" fontId="155" fillId="52" borderId="3" xfId="4501" applyFont="1" applyFill="1" applyBorder="1" applyAlignment="1" applyProtection="1">
      <alignment horizontal="center"/>
    </xf>
    <xf numFmtId="0" fontId="155" fillId="52" borderId="4" xfId="4501" applyFont="1" applyFill="1" applyBorder="1" applyAlignment="1" applyProtection="1">
      <alignment horizontal="center"/>
    </xf>
    <xf numFmtId="0" fontId="155" fillId="52" borderId="5" xfId="4501" applyFont="1" applyFill="1" applyBorder="1" applyAlignment="1" applyProtection="1">
      <alignment horizontal="center"/>
    </xf>
    <xf numFmtId="9" fontId="155" fillId="45" borderId="3" xfId="4501" applyNumberFormat="1" applyFont="1" applyFill="1" applyBorder="1" applyAlignment="1">
      <alignment horizontal="center"/>
    </xf>
    <xf numFmtId="9" fontId="155" fillId="45" borderId="4" xfId="4501" applyNumberFormat="1" applyFont="1" applyFill="1" applyBorder="1" applyAlignment="1">
      <alignment horizontal="center"/>
    </xf>
    <xf numFmtId="9" fontId="155" fillId="45" borderId="81" xfId="4501" applyNumberFormat="1" applyFont="1" applyFill="1" applyBorder="1" applyAlignment="1">
      <alignment horizontal="center"/>
    </xf>
    <xf numFmtId="9" fontId="155" fillId="45" borderId="82" xfId="4501" applyNumberFormat="1" applyFont="1" applyFill="1" applyBorder="1" applyAlignment="1">
      <alignment horizontal="center"/>
    </xf>
    <xf numFmtId="0" fontId="155" fillId="45" borderId="11" xfId="4501" applyFont="1" applyFill="1" applyBorder="1" applyAlignment="1">
      <alignment horizontal="center"/>
    </xf>
    <xf numFmtId="0" fontId="155" fillId="45" borderId="80" xfId="4501" applyFont="1" applyFill="1" applyBorder="1" applyAlignment="1">
      <alignment horizontal="center"/>
    </xf>
    <xf numFmtId="0" fontId="155" fillId="45" borderId="2" xfId="4501" applyFont="1" applyFill="1" applyBorder="1" applyAlignment="1">
      <alignment horizontal="center"/>
    </xf>
    <xf numFmtId="0" fontId="155" fillId="45" borderId="7" xfId="4501" applyFont="1" applyFill="1" applyBorder="1" applyAlignment="1">
      <alignment horizontal="center"/>
    </xf>
    <xf numFmtId="0" fontId="155" fillId="45" borderId="81" xfId="4501" applyFont="1" applyFill="1" applyBorder="1" applyAlignment="1">
      <alignment horizontal="center"/>
    </xf>
    <xf numFmtId="0" fontId="154" fillId="48" borderId="68" xfId="4501" applyFont="1" applyFill="1" applyBorder="1" applyAlignment="1" applyProtection="1">
      <alignment horizontal="center"/>
      <protection locked="0"/>
    </xf>
    <xf numFmtId="0" fontId="154" fillId="48" borderId="69" xfId="4501" applyFont="1" applyFill="1" applyBorder="1" applyAlignment="1" applyProtection="1">
      <alignment horizontal="center"/>
      <protection locked="0"/>
    </xf>
    <xf numFmtId="0" fontId="154" fillId="48" borderId="70" xfId="4501" applyFont="1" applyFill="1" applyBorder="1" applyAlignment="1" applyProtection="1">
      <alignment horizontal="center"/>
      <protection locked="0"/>
    </xf>
    <xf numFmtId="0" fontId="98" fillId="0" borderId="0" xfId="4501" applyFont="1" applyAlignment="1">
      <alignment horizontal="center"/>
    </xf>
    <xf numFmtId="0" fontId="98" fillId="0" borderId="41" xfId="4501" applyFont="1" applyBorder="1" applyAlignment="1">
      <alignment horizontal="center"/>
    </xf>
    <xf numFmtId="0" fontId="5" fillId="52" borderId="72" xfId="4501" applyFill="1" applyBorder="1" applyAlignment="1">
      <alignment horizontal="center"/>
    </xf>
    <xf numFmtId="0" fontId="5" fillId="52" borderId="76" xfId="4501" applyFill="1" applyBorder="1" applyAlignment="1">
      <alignment horizontal="center"/>
    </xf>
    <xf numFmtId="0" fontId="5" fillId="52" borderId="68" xfId="4501" applyFill="1" applyBorder="1" applyAlignment="1" applyProtection="1">
      <alignment horizontal="left"/>
    </xf>
    <xf numFmtId="0" fontId="5" fillId="52" borderId="69" xfId="4501" applyFill="1" applyBorder="1" applyAlignment="1" applyProtection="1">
      <alignment horizontal="left"/>
    </xf>
    <xf numFmtId="0" fontId="5" fillId="52" borderId="70" xfId="4501" applyFill="1" applyBorder="1" applyAlignment="1" applyProtection="1">
      <alignment horizontal="left"/>
    </xf>
    <xf numFmtId="0" fontId="5" fillId="53" borderId="68" xfId="4501" applyFill="1" applyBorder="1" applyAlignment="1">
      <alignment horizontal="center"/>
    </xf>
    <xf numFmtId="0" fontId="5" fillId="53" borderId="69" xfId="4501" applyFill="1" applyBorder="1" applyAlignment="1">
      <alignment horizontal="center"/>
    </xf>
    <xf numFmtId="0" fontId="5"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1" fillId="45" borderId="68" xfId="4501" applyFont="1" applyFill="1" applyBorder="1" applyAlignment="1">
      <alignment horizontal="center" wrapText="1"/>
    </xf>
    <xf numFmtId="0" fontId="151" fillId="45" borderId="69" xfId="4501" applyFont="1" applyFill="1" applyBorder="1" applyAlignment="1">
      <alignment horizontal="center" wrapText="1"/>
    </xf>
    <xf numFmtId="0" fontId="151" fillId="45" borderId="70" xfId="4501" applyFont="1" applyFill="1" applyBorder="1" applyAlignment="1">
      <alignment horizontal="center" wrapText="1"/>
    </xf>
    <xf numFmtId="0" fontId="148" fillId="50" borderId="66" xfId="4501" applyFont="1" applyFill="1" applyBorder="1" applyAlignment="1">
      <alignment horizontal="center"/>
    </xf>
    <xf numFmtId="0" fontId="148" fillId="50" borderId="29" xfId="4501" applyFont="1" applyFill="1" applyBorder="1" applyAlignment="1">
      <alignment horizontal="center"/>
    </xf>
    <xf numFmtId="0" fontId="148" fillId="50" borderId="31" xfId="4501" applyFont="1" applyFill="1" applyBorder="1" applyAlignment="1">
      <alignment horizontal="center"/>
    </xf>
    <xf numFmtId="0" fontId="149" fillId="51" borderId="67" xfId="4501" applyFont="1" applyFill="1" applyBorder="1" applyAlignment="1">
      <alignment horizontal="center"/>
    </xf>
    <xf numFmtId="0" fontId="149" fillId="51" borderId="0" xfId="4501" applyFont="1" applyFill="1" applyAlignment="1">
      <alignment horizontal="center"/>
    </xf>
    <xf numFmtId="0" fontId="149" fillId="51" borderId="41" xfId="4501" applyFont="1" applyFill="1" applyBorder="1" applyAlignment="1">
      <alignment horizontal="center"/>
    </xf>
    <xf numFmtId="0" fontId="82" fillId="52" borderId="68" xfId="4501" applyFont="1" applyFill="1" applyBorder="1" applyAlignment="1" applyProtection="1">
      <alignment horizontal="center"/>
    </xf>
    <xf numFmtId="0" fontId="82" fillId="52" borderId="69" xfId="4501" applyFont="1" applyFill="1" applyBorder="1" applyAlignment="1" applyProtection="1">
      <alignment horizontal="center"/>
    </xf>
    <xf numFmtId="0" fontId="82" fillId="52" borderId="70" xfId="4501" applyFont="1" applyFill="1" applyBorder="1" applyAlignment="1" applyProtection="1">
      <alignment horizontal="center"/>
    </xf>
    <xf numFmtId="14" fontId="154" fillId="48" borderId="73" xfId="4501" applyNumberFormat="1" applyFont="1" applyFill="1" applyBorder="1" applyAlignment="1" applyProtection="1">
      <alignment horizontal="center"/>
      <protection locked="0"/>
    </xf>
    <xf numFmtId="14" fontId="152" fillId="48" borderId="68" xfId="4501" applyNumberFormat="1" applyFont="1" applyFill="1" applyBorder="1" applyAlignment="1" applyProtection="1">
      <alignment horizontal="center" vertical="center"/>
      <protection locked="0"/>
    </xf>
    <xf numFmtId="0" fontId="152" fillId="48" borderId="69" xfId="4501" applyFont="1" applyFill="1" applyBorder="1" applyAlignment="1" applyProtection="1">
      <alignment horizontal="center" vertical="center"/>
      <protection locked="0"/>
    </xf>
    <xf numFmtId="0" fontId="152" fillId="48" borderId="70" xfId="4501" applyFont="1" applyFill="1" applyBorder="1" applyAlignment="1" applyProtection="1">
      <alignment horizontal="center" vertical="center"/>
      <protection locked="0"/>
    </xf>
    <xf numFmtId="1" fontId="5" fillId="52" borderId="68" xfId="4501" applyNumberFormat="1" applyFill="1" applyBorder="1" applyAlignment="1">
      <alignment horizontal="center"/>
    </xf>
    <xf numFmtId="0" fontId="5" fillId="52" borderId="69" xfId="4501" applyFill="1" applyBorder="1" applyAlignment="1">
      <alignment horizontal="center"/>
    </xf>
    <xf numFmtId="0" fontId="5" fillId="52" borderId="70" xfId="4501" applyFill="1" applyBorder="1" applyAlignment="1">
      <alignment horizontal="center"/>
    </xf>
    <xf numFmtId="10" fontId="118" fillId="0" borderId="3" xfId="4497" applyNumberFormat="1" applyFont="1" applyFill="1" applyBorder="1" applyAlignment="1">
      <alignment horizontal="center" vertical="top" wrapText="1"/>
    </xf>
    <xf numFmtId="10" fontId="118" fillId="0" borderId="4" xfId="4497" applyNumberFormat="1" applyFont="1" applyFill="1" applyBorder="1" applyAlignment="1">
      <alignment horizontal="center" vertical="top" wrapText="1"/>
    </xf>
    <xf numFmtId="10" fontId="118" fillId="0" borderId="5" xfId="4497" applyNumberFormat="1" applyFont="1" applyFill="1" applyBorder="1" applyAlignment="1">
      <alignment horizontal="center" vertical="top" wrapText="1"/>
    </xf>
    <xf numFmtId="168" fontId="118" fillId="0" borderId="6" xfId="4497" applyNumberFormat="1" applyFont="1" applyFill="1" applyBorder="1" applyAlignment="1">
      <alignment horizontal="center" vertical="top"/>
    </xf>
    <xf numFmtId="0" fontId="118" fillId="5" borderId="60" xfId="4497" applyFont="1" applyFill="1" applyBorder="1" applyAlignment="1" applyProtection="1">
      <alignment horizontal="center"/>
      <protection locked="0"/>
    </xf>
    <xf numFmtId="0" fontId="118" fillId="5" borderId="4" xfId="4497" applyFont="1" applyFill="1" applyBorder="1" applyAlignment="1" applyProtection="1">
      <alignment horizontal="center"/>
      <protection locked="0"/>
    </xf>
    <xf numFmtId="0" fontId="118" fillId="44" borderId="55" xfId="4497" applyFont="1" applyFill="1" applyBorder="1" applyAlignment="1" applyProtection="1">
      <alignment horizontal="left" vertical="top" wrapText="1"/>
      <protection locked="0"/>
    </xf>
    <xf numFmtId="0" fontId="118" fillId="44" borderId="6" xfId="4497" applyFont="1" applyFill="1" applyBorder="1" applyAlignment="1" applyProtection="1">
      <alignment horizontal="left" vertical="top" wrapText="1"/>
      <protection locked="0"/>
    </xf>
    <xf numFmtId="0" fontId="118" fillId="44" borderId="56" xfId="4497" applyFont="1" applyFill="1" applyBorder="1" applyAlignment="1" applyProtection="1">
      <alignment horizontal="left" vertical="top" wrapText="1"/>
      <protection locked="0"/>
    </xf>
    <xf numFmtId="0" fontId="118" fillId="5" borderId="6" xfId="4497" applyFont="1" applyFill="1" applyBorder="1" applyAlignment="1" applyProtection="1">
      <alignment horizontal="center"/>
      <protection locked="0"/>
    </xf>
    <xf numFmtId="0" fontId="12" fillId="0" borderId="50" xfId="4496" applyFont="1" applyFill="1" applyBorder="1" applyAlignment="1" applyProtection="1">
      <alignment vertical="center" wrapText="1"/>
    </xf>
    <xf numFmtId="0" fontId="12" fillId="0" borderId="51" xfId="4496" applyFont="1" applyFill="1" applyBorder="1" applyAlignment="1" applyProtection="1">
      <alignment vertical="center" wrapText="1"/>
    </xf>
    <xf numFmtId="0" fontId="12" fillId="0" borderId="52" xfId="4496" applyFont="1" applyFill="1" applyBorder="1" applyAlignment="1" applyProtection="1">
      <alignment vertical="center" wrapText="1"/>
    </xf>
    <xf numFmtId="0" fontId="12" fillId="0" borderId="57" xfId="4496" applyFont="1" applyFill="1" applyBorder="1" applyAlignment="1" applyProtection="1">
      <alignment vertical="center" wrapText="1"/>
    </xf>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2" fillId="0" borderId="50" xfId="4496" applyFont="1" applyFill="1" applyBorder="1" applyAlignment="1" applyProtection="1">
      <alignment horizontal="left" vertical="center" wrapText="1"/>
    </xf>
    <xf numFmtId="0" fontId="12" fillId="0" borderId="51" xfId="4496" applyFont="1" applyFill="1" applyBorder="1" applyAlignment="1" applyProtection="1">
      <alignment horizontal="left" vertical="center" wrapText="1"/>
    </xf>
    <xf numFmtId="0" fontId="12" fillId="0" borderId="52" xfId="4496" applyFont="1" applyFill="1" applyBorder="1" applyAlignment="1" applyProtection="1">
      <alignment horizontal="left" vertical="center" wrapText="1"/>
    </xf>
    <xf numFmtId="0" fontId="12" fillId="0" borderId="57" xfId="4496" applyFont="1" applyFill="1" applyBorder="1" applyAlignment="1" applyProtection="1">
      <alignment horizontal="left" vertical="center" wrapText="1"/>
    </xf>
    <xf numFmtId="0" fontId="12" fillId="0" borderId="58" xfId="4496" applyFont="1" applyFill="1" applyBorder="1" applyAlignment="1" applyProtection="1">
      <alignment horizontal="left" vertical="center" wrapText="1"/>
    </xf>
    <xf numFmtId="0" fontId="12" fillId="0" borderId="59" xfId="4496" applyFont="1" applyFill="1" applyBorder="1" applyAlignment="1" applyProtection="1">
      <alignment horizontal="left" vertical="center" wrapText="1"/>
    </xf>
    <xf numFmtId="0" fontId="12" fillId="0" borderId="53" xfId="4496" applyFont="1" applyFill="1" applyBorder="1" applyAlignment="1" applyProtection="1">
      <alignment horizontal="left" vertical="center" wrapText="1"/>
    </xf>
    <xf numFmtId="0" fontId="12" fillId="0" borderId="0" xfId="4496" applyFont="1" applyFill="1" applyBorder="1" applyAlignment="1" applyProtection="1">
      <alignment horizontal="left" vertical="center" wrapText="1"/>
    </xf>
    <xf numFmtId="0" fontId="12" fillId="0" borderId="54" xfId="4496" applyFont="1" applyFill="1" applyBorder="1" applyAlignment="1" applyProtection="1">
      <alignment horizontal="left" vertical="center" wrapText="1"/>
    </xf>
    <xf numFmtId="0" fontId="19" fillId="0" borderId="0" xfId="4496" applyFont="1" applyAlignment="1" applyProtection="1">
      <alignment horizontal="right"/>
    </xf>
    <xf numFmtId="0" fontId="118" fillId="0" borderId="50" xfId="4497" applyFont="1" applyBorder="1" applyAlignment="1">
      <alignment horizontal="left" vertical="top" wrapText="1"/>
    </xf>
    <xf numFmtId="0" fontId="118" fillId="0" borderId="51" xfId="4497" applyFont="1" applyBorder="1" applyAlignment="1">
      <alignment horizontal="left" vertical="top" wrapText="1"/>
    </xf>
    <xf numFmtId="0" fontId="118" fillId="0" borderId="52" xfId="4497" applyFont="1" applyBorder="1" applyAlignment="1">
      <alignment horizontal="left" vertical="top" wrapText="1"/>
    </xf>
    <xf numFmtId="0" fontId="118" fillId="0" borderId="53" xfId="4497" applyFont="1" applyBorder="1" applyAlignment="1">
      <alignment horizontal="left" vertical="top" wrapText="1"/>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18" fillId="0" borderId="57" xfId="4497" applyFont="1" applyBorder="1" applyAlignment="1">
      <alignment horizontal="left" vertical="top" wrapText="1"/>
    </xf>
    <xf numFmtId="0" fontId="118" fillId="0" borderId="58" xfId="4497" applyFont="1" applyBorder="1" applyAlignment="1">
      <alignment horizontal="left" vertical="top" wrapText="1"/>
    </xf>
    <xf numFmtId="0" fontId="118" fillId="0" borderId="59" xfId="4497" applyFont="1" applyBorder="1" applyAlignment="1">
      <alignment horizontal="left" vertical="top" wrapText="1"/>
    </xf>
    <xf numFmtId="0" fontId="118" fillId="5" borderId="55" xfId="4497" applyFont="1" applyFill="1" applyBorder="1" applyAlignment="1" applyProtection="1">
      <alignment horizontal="center"/>
      <protection locked="0"/>
    </xf>
    <xf numFmtId="0" fontId="18" fillId="3" borderId="2" xfId="4496" applyFont="1" applyFill="1" applyBorder="1" applyAlignment="1" applyProtection="1">
      <alignment horizontal="center" vertical="center"/>
    </xf>
    <xf numFmtId="0" fontId="18" fillId="3" borderId="16" xfId="4496" applyFont="1" applyFill="1" applyBorder="1" applyAlignment="1" applyProtection="1">
      <alignment horizontal="center" vertical="center"/>
    </xf>
    <xf numFmtId="0" fontId="19" fillId="0" borderId="48" xfId="4496" applyFont="1" applyFill="1" applyBorder="1" applyAlignment="1" applyProtection="1">
      <alignment horizontal="left" vertical="top"/>
    </xf>
    <xf numFmtId="0" fontId="19" fillId="0" borderId="49" xfId="4496" applyFont="1" applyFill="1" applyBorder="1" applyAlignment="1" applyProtection="1">
      <alignment horizontal="left" vertical="top"/>
    </xf>
    <xf numFmtId="1" fontId="12" fillId="0" borderId="3" xfId="4496" applyNumberFormat="1" applyFont="1" applyFill="1" applyBorder="1" applyAlignment="1" applyProtection="1">
      <alignment horizontal="center"/>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0" fontId="118" fillId="0" borderId="0" xfId="4497" applyFont="1" applyAlignment="1">
      <alignment horizontal="left" vertical="center" wrapText="1"/>
    </xf>
    <xf numFmtId="168" fontId="118" fillId="44" borderId="6" xfId="4497" applyNumberFormat="1" applyFont="1" applyFill="1" applyBorder="1" applyAlignment="1" applyProtection="1">
      <alignment horizontal="center" vertical="top" wrapText="1"/>
      <protection locked="0"/>
    </xf>
    <xf numFmtId="168" fontId="118" fillId="0" borderId="55" xfId="4497" applyNumberFormat="1" applyFont="1" applyFill="1" applyBorder="1" applyAlignment="1">
      <alignment horizontal="center" vertical="top"/>
    </xf>
    <xf numFmtId="0" fontId="118" fillId="0" borderId="55" xfId="4497" applyFont="1" applyBorder="1" applyAlignment="1">
      <alignment horizontal="center" vertical="top" wrapText="1"/>
    </xf>
    <xf numFmtId="0" fontId="118" fillId="0" borderId="6" xfId="4497" applyFont="1" applyBorder="1" applyAlignment="1">
      <alignment horizontal="center" vertical="top" wrapText="1"/>
    </xf>
    <xf numFmtId="0" fontId="118" fillId="0" borderId="50" xfId="4497" applyFont="1" applyFill="1" applyBorder="1" applyAlignment="1">
      <alignment horizontal="left" vertical="top" wrapText="1"/>
    </xf>
    <xf numFmtId="0" fontId="118" fillId="0" borderId="51" xfId="4497" applyFont="1" applyFill="1" applyBorder="1" applyAlignment="1">
      <alignment horizontal="left" vertical="top" wrapText="1"/>
    </xf>
    <xf numFmtId="0" fontId="118" fillId="0" borderId="52" xfId="4497" applyFont="1" applyFill="1" applyBorder="1" applyAlignment="1">
      <alignment horizontal="left" vertical="top" wrapText="1"/>
    </xf>
    <xf numFmtId="0" fontId="118" fillId="0" borderId="53" xfId="4497" applyFont="1" applyFill="1" applyBorder="1" applyAlignment="1">
      <alignment horizontal="left" vertical="top" wrapText="1"/>
    </xf>
    <xf numFmtId="0" fontId="118" fillId="0" borderId="0" xfId="4497" applyFont="1" applyFill="1" applyBorder="1" applyAlignment="1">
      <alignment horizontal="left" vertical="top" wrapText="1"/>
    </xf>
    <xf numFmtId="0" fontId="118" fillId="0" borderId="54" xfId="4497" applyFont="1" applyFill="1" applyBorder="1" applyAlignment="1">
      <alignment horizontal="left" vertical="top" wrapText="1"/>
    </xf>
    <xf numFmtId="165" fontId="118" fillId="0" borderId="55" xfId="4497" applyNumberFormat="1" applyFont="1" applyFill="1" applyBorder="1" applyAlignment="1">
      <alignment horizontal="center" vertical="top" wrapText="1"/>
    </xf>
    <xf numFmtId="165" fontId="118" fillId="0" borderId="6" xfId="4497" applyNumberFormat="1" applyFont="1" applyFill="1" applyBorder="1" applyAlignment="1">
      <alignment horizontal="center" vertical="top" wrapText="1"/>
    </xf>
    <xf numFmtId="165" fontId="118" fillId="0" borderId="60" xfId="4497" applyNumberFormat="1" applyFont="1" applyBorder="1" applyAlignment="1">
      <alignment horizontal="center" vertical="top" wrapText="1"/>
    </xf>
    <xf numFmtId="165" fontId="118" fillId="0" borderId="4" xfId="4497" applyNumberFormat="1" applyFont="1" applyBorder="1" applyAlignment="1">
      <alignment horizontal="center" vertical="top" wrapText="1"/>
    </xf>
    <xf numFmtId="168" fontId="12" fillId="0" borderId="0" xfId="1193" applyNumberFormat="1" applyFont="1" applyBorder="1" applyAlignment="1" applyProtection="1">
      <alignment horizontal="right"/>
    </xf>
    <xf numFmtId="1" fontId="12" fillId="5" borderId="2" xfId="1193" applyNumberFormat="1" applyFont="1" applyFill="1" applyBorder="1" applyAlignment="1" applyProtection="1">
      <alignment horizontal="center"/>
      <protection locked="0"/>
    </xf>
    <xf numFmtId="1" fontId="12" fillId="5" borderId="4" xfId="1193" applyNumberFormat="1" applyFont="1" applyFill="1" applyBorder="1" applyAlignment="1" applyProtection="1">
      <alignment horizontal="center"/>
      <protection locked="0"/>
    </xf>
    <xf numFmtId="0" fontId="145" fillId="0" borderId="6" xfId="1193" applyFont="1" applyBorder="1" applyAlignment="1" applyProtection="1">
      <alignment horizontal="center"/>
    </xf>
    <xf numFmtId="168" fontId="12" fillId="5" borderId="4" xfId="1193" applyNumberFormat="1" applyFont="1" applyFill="1" applyBorder="1" applyAlignment="1" applyProtection="1">
      <alignment horizontal="center"/>
      <protection locked="0"/>
    </xf>
    <xf numFmtId="0" fontId="19" fillId="0" borderId="0" xfId="4496" applyFont="1" applyFill="1" applyBorder="1" applyAlignment="1" applyProtection="1">
      <alignment horizontal="center" vertical="top"/>
    </xf>
    <xf numFmtId="0" fontId="12" fillId="5" borderId="6" xfId="4496" applyFont="1" applyFill="1" applyBorder="1" applyAlignment="1" applyProtection="1">
      <alignment horizontal="left"/>
      <protection locked="0"/>
    </xf>
    <xf numFmtId="1" fontId="118" fillId="0" borderId="55" xfId="4497" applyNumberFormat="1" applyFont="1" applyBorder="1" applyAlignment="1">
      <alignment horizontal="center" vertical="top" wrapText="1"/>
    </xf>
    <xf numFmtId="1" fontId="118" fillId="0" borderId="6" xfId="4497" applyNumberFormat="1" applyFont="1" applyBorder="1" applyAlignment="1">
      <alignment horizontal="center" vertical="top" wrapText="1"/>
    </xf>
    <xf numFmtId="168" fontId="118" fillId="44" borderId="55" xfId="4497" applyNumberFormat="1" applyFont="1" applyFill="1" applyBorder="1" applyAlignment="1" applyProtection="1">
      <alignment horizontal="center" vertical="top" wrapText="1"/>
      <protection locked="0"/>
    </xf>
    <xf numFmtId="0" fontId="12" fillId="0" borderId="0" xfId="1193" applyFont="1" applyBorder="1" applyAlignment="1" applyProtection="1">
      <alignment horizontal="right"/>
    </xf>
    <xf numFmtId="0" fontId="12" fillId="5" borderId="6" xfId="1193" applyFont="1" applyFill="1" applyBorder="1" applyAlignment="1" applyProtection="1">
      <alignment horizontal="left"/>
      <protection locked="0"/>
    </xf>
    <xf numFmtId="168" fontId="12" fillId="0" borderId="0" xfId="1193" applyNumberFormat="1" applyFont="1" applyAlignment="1" applyProtection="1">
      <alignment horizontal="right"/>
    </xf>
    <xf numFmtId="0" fontId="12" fillId="0" borderId="0" xfId="1193" applyFont="1" applyAlignment="1" applyProtection="1">
      <alignment horizontal="right"/>
    </xf>
    <xf numFmtId="168" fontId="12" fillId="44" borderId="6" xfId="4496" applyNumberFormat="1" applyFont="1" applyFill="1" applyBorder="1" applyAlignment="1" applyProtection="1">
      <alignment horizontal="right"/>
      <protection locked="0"/>
    </xf>
    <xf numFmtId="9" fontId="12" fillId="0" borderId="6" xfId="1193" applyNumberFormat="1" applyFont="1" applyFill="1" applyBorder="1" applyAlignment="1" applyProtection="1">
      <alignment horizontal="center"/>
    </xf>
    <xf numFmtId="9" fontId="12" fillId="0" borderId="6" xfId="1193" quotePrefix="1" applyNumberFormat="1" applyFont="1" applyFill="1" applyBorder="1" applyAlignment="1" applyProtection="1">
      <alignment horizontal="center"/>
    </xf>
    <xf numFmtId="9" fontId="12" fillId="0" borderId="0" xfId="1193" quotePrefix="1" applyNumberFormat="1" applyFont="1" applyFill="1" applyBorder="1" applyAlignment="1" applyProtection="1">
      <alignment horizontal="center"/>
    </xf>
    <xf numFmtId="9" fontId="12" fillId="5" borderId="4" xfId="1193" applyNumberFormat="1" applyFont="1" applyFill="1" applyBorder="1" applyAlignment="1" applyProtection="1">
      <alignment horizontal="left"/>
      <protection locked="0"/>
    </xf>
    <xf numFmtId="0" fontId="19" fillId="0" borderId="0" xfId="4496" applyFont="1" applyFill="1" applyBorder="1" applyAlignment="1" applyProtection="1">
      <alignment horizontal="right"/>
    </xf>
    <xf numFmtId="0" fontId="20" fillId="5" borderId="6" xfId="4496" applyFont="1" applyFill="1" applyBorder="1" applyAlignment="1" applyProtection="1">
      <alignment horizontal="left"/>
      <protection locked="0"/>
    </xf>
    <xf numFmtId="0" fontId="12" fillId="0" borderId="0" xfId="4496" applyFont="1" applyBorder="1" applyAlignment="1" applyProtection="1">
      <alignment horizontal="left"/>
    </xf>
    <xf numFmtId="0" fontId="49" fillId="5" borderId="6" xfId="4496" applyFont="1" applyFill="1" applyBorder="1" applyAlignment="1" applyProtection="1">
      <alignment horizontal="left"/>
      <protection locked="0"/>
    </xf>
    <xf numFmtId="0" fontId="12" fillId="5" borderId="6" xfId="4496" applyFont="1" applyFill="1" applyBorder="1" applyAlignment="1" applyProtection="1">
      <alignment horizontal="center"/>
      <protection locked="0"/>
    </xf>
    <xf numFmtId="1" fontId="12" fillId="0" borderId="11" xfId="4496" applyNumberFormat="1" applyFont="1" applyFill="1" applyBorder="1" applyAlignment="1" applyProtection="1">
      <alignment horizontal="center"/>
    </xf>
    <xf numFmtId="0" fontId="12" fillId="0" borderId="11" xfId="4496" applyNumberFormat="1" applyFont="1" applyFill="1" applyBorder="1" applyAlignment="1" applyProtection="1">
      <alignment horizontal="center"/>
    </xf>
    <xf numFmtId="0" fontId="116" fillId="5" borderId="6" xfId="4496" applyFill="1" applyBorder="1" applyAlignment="1" applyProtection="1">
      <alignment horizontal="center"/>
      <protection locked="0"/>
    </xf>
    <xf numFmtId="0" fontId="19" fillId="0" borderId="0" xfId="4496" applyFont="1" applyFill="1" applyBorder="1" applyAlignment="1" applyProtection="1">
      <alignment horizontal="left" vertical="top"/>
    </xf>
    <xf numFmtId="0" fontId="116" fillId="0" borderId="0" xfId="4496" applyFill="1" applyBorder="1" applyAlignment="1" applyProtection="1">
      <alignment horizontal="center"/>
      <protection locked="0"/>
    </xf>
    <xf numFmtId="0" fontId="12" fillId="0" borderId="3" xfId="4496" applyFont="1" applyFill="1" applyBorder="1" applyAlignment="1" applyProtection="1">
      <alignment horizontal="center"/>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168" fontId="12" fillId="0" borderId="6" xfId="4497" applyNumberFormat="1" applyFont="1" applyFill="1" applyBorder="1" applyAlignment="1" applyProtection="1">
      <alignment horizontal="center"/>
    </xf>
    <xf numFmtId="9" fontId="12" fillId="0" borderId="4" xfId="543" applyNumberFormat="1" applyFont="1" applyBorder="1" applyAlignment="1" applyProtection="1">
      <alignment horizontal="center"/>
    </xf>
    <xf numFmtId="0" fontId="12" fillId="0" borderId="4" xfId="4497" applyFont="1" applyFill="1" applyBorder="1" applyAlignment="1" applyProtection="1">
      <alignment horizontal="center"/>
    </xf>
    <xf numFmtId="0" fontId="12" fillId="0" borderId="5" xfId="4497" applyFont="1" applyFill="1" applyBorder="1" applyAlignment="1" applyProtection="1">
      <alignment horizontal="center"/>
    </xf>
    <xf numFmtId="168" fontId="12" fillId="0" borderId="6" xfId="4496" applyNumberFormat="1" applyFont="1" applyFill="1" applyBorder="1" applyAlignment="1" applyProtection="1">
      <alignment horizontal="right"/>
    </xf>
    <xf numFmtId="168" fontId="114" fillId="0" borderId="6" xfId="4496" applyNumberFormat="1" applyFont="1" applyFill="1" applyBorder="1" applyAlignment="1" applyProtection="1">
      <alignment horizontal="right"/>
    </xf>
    <xf numFmtId="6" fontId="12" fillId="0" borderId="3" xfId="1193" applyNumberFormat="1" applyFont="1" applyBorder="1" applyAlignment="1" applyProtection="1">
      <alignment horizontal="right"/>
    </xf>
    <xf numFmtId="6" fontId="12" fillId="0" borderId="4" xfId="1193" applyNumberFormat="1" applyFont="1" applyBorder="1" applyAlignment="1" applyProtection="1">
      <alignment horizontal="right"/>
    </xf>
    <xf numFmtId="6" fontId="12" fillId="0" borderId="5" xfId="1193" applyNumberFormat="1" applyFont="1" applyBorder="1" applyAlignment="1" applyProtection="1">
      <alignment horizontal="right"/>
    </xf>
    <xf numFmtId="168" fontId="12" fillId="0" borderId="4" xfId="4496" applyNumberFormat="1" applyFont="1" applyFill="1" applyBorder="1" applyAlignment="1" applyProtection="1">
      <alignment horizontal="right"/>
    </xf>
    <xf numFmtId="165" fontId="12" fillId="44" borderId="3" xfId="4496" applyNumberFormat="1" applyFont="1" applyFill="1" applyBorder="1" applyAlignment="1" applyProtection="1">
      <alignment horizontal="center"/>
      <protection locked="0"/>
    </xf>
    <xf numFmtId="165" fontId="12" fillId="44" borderId="4" xfId="4496" applyNumberFormat="1" applyFont="1" applyFill="1" applyBorder="1" applyAlignment="1" applyProtection="1">
      <alignment horizontal="center"/>
      <protection locked="0"/>
    </xf>
    <xf numFmtId="165" fontId="12" fillId="44" borderId="5" xfId="4496" applyNumberFormat="1" applyFont="1" applyFill="1" applyBorder="1" applyAlignment="1" applyProtection="1">
      <alignment horizontal="center"/>
      <protection locked="0"/>
    </xf>
    <xf numFmtId="165" fontId="12" fillId="0" borderId="6" xfId="1193" applyNumberFormat="1" applyFont="1" applyBorder="1" applyAlignment="1" applyProtection="1">
      <alignment horizontal="right"/>
    </xf>
    <xf numFmtId="168" fontId="12" fillId="0" borderId="2" xfId="1193" applyNumberFormat="1" applyFont="1" applyBorder="1" applyAlignment="1" applyProtection="1">
      <alignment horizontal="right"/>
    </xf>
    <xf numFmtId="165" fontId="12" fillId="0" borderId="0" xfId="1193" applyNumberFormat="1" applyFont="1" applyFill="1" applyAlignment="1" applyProtection="1">
      <alignment horizontal="right"/>
    </xf>
    <xf numFmtId="2" fontId="12" fillId="0" borderId="0" xfId="1193" applyNumberFormat="1" applyFont="1" applyAlignment="1" applyProtection="1">
      <alignment horizontal="right"/>
    </xf>
    <xf numFmtId="0" fontId="12" fillId="0" borderId="53" xfId="4496" applyFont="1" applyFill="1" applyBorder="1" applyAlignment="1" applyProtection="1">
      <alignment horizontal="left" vertical="top" wrapText="1"/>
    </xf>
    <xf numFmtId="0" fontId="12" fillId="0" borderId="0" xfId="4496" applyFont="1" applyFill="1" applyBorder="1" applyAlignment="1" applyProtection="1">
      <alignment horizontal="left" vertical="top" wrapText="1"/>
    </xf>
    <xf numFmtId="0" fontId="12" fillId="0" borderId="54" xfId="4496" applyFont="1" applyFill="1" applyBorder="1" applyAlignment="1" applyProtection="1">
      <alignment horizontal="left" vertical="top" wrapText="1"/>
    </xf>
    <xf numFmtId="0" fontId="12" fillId="0" borderId="57" xfId="4496" applyFont="1" applyFill="1" applyBorder="1" applyAlignment="1" applyProtection="1">
      <alignment horizontal="left" vertical="top" wrapText="1"/>
    </xf>
    <xf numFmtId="0" fontId="12" fillId="0" borderId="58" xfId="4496" applyFont="1" applyFill="1" applyBorder="1" applyAlignment="1" applyProtection="1">
      <alignment horizontal="left" vertical="top" wrapText="1"/>
    </xf>
    <xf numFmtId="0" fontId="12" fillId="0" borderId="59" xfId="4496" applyFont="1" applyFill="1" applyBorder="1" applyAlignment="1" applyProtection="1">
      <alignment horizontal="left" vertical="top" wrapText="1"/>
    </xf>
    <xf numFmtId="0" fontId="12" fillId="0" borderId="0" xfId="543" applyFont="1" applyAlignment="1" applyProtection="1">
      <alignment horizontal="center"/>
    </xf>
    <xf numFmtId="0" fontId="12" fillId="0" borderId="50" xfId="4496" applyFont="1" applyFill="1" applyBorder="1" applyAlignment="1" applyProtection="1">
      <alignment horizontal="left" vertical="top" wrapText="1"/>
    </xf>
    <xf numFmtId="0" fontId="12" fillId="0" borderId="51" xfId="4496" applyFont="1" applyFill="1" applyBorder="1" applyAlignment="1" applyProtection="1">
      <alignment horizontal="left" vertical="top" wrapText="1"/>
    </xf>
    <xf numFmtId="0" fontId="12" fillId="0" borderId="52" xfId="4496" applyFont="1" applyFill="1" applyBorder="1" applyAlignment="1" applyProtection="1">
      <alignment horizontal="left" vertical="top" wrapText="1"/>
    </xf>
    <xf numFmtId="0" fontId="12" fillId="44" borderId="53" xfId="4496" applyFont="1" applyFill="1" applyBorder="1" applyAlignment="1" applyProtection="1">
      <alignment vertical="top" wrapText="1"/>
      <protection locked="0"/>
    </xf>
    <xf numFmtId="0" fontId="12" fillId="44" borderId="0" xfId="4496" applyFont="1" applyFill="1" applyBorder="1" applyAlignment="1" applyProtection="1">
      <alignment vertical="top" wrapText="1"/>
      <protection locked="0"/>
    </xf>
    <xf numFmtId="0" fontId="12" fillId="44" borderId="54" xfId="4496" applyFont="1" applyFill="1" applyBorder="1" applyAlignment="1" applyProtection="1">
      <alignment vertical="top" wrapText="1"/>
      <protection locked="0"/>
    </xf>
    <xf numFmtId="0" fontId="12" fillId="44" borderId="55" xfId="4496" applyFont="1" applyFill="1" applyBorder="1" applyAlignment="1" applyProtection="1">
      <alignment vertical="top" wrapText="1"/>
      <protection locked="0"/>
    </xf>
    <xf numFmtId="0" fontId="12" fillId="44" borderId="6" xfId="4496" applyFont="1" applyFill="1" applyBorder="1" applyAlignment="1" applyProtection="1">
      <alignment vertical="top" wrapText="1"/>
      <protection locked="0"/>
    </xf>
    <xf numFmtId="0" fontId="12" fillId="44" borderId="56" xfId="4496" applyFont="1" applyFill="1" applyBorder="1" applyAlignment="1" applyProtection="1">
      <alignment vertical="top" wrapText="1"/>
      <protection locked="0"/>
    </xf>
    <xf numFmtId="0" fontId="12" fillId="44" borderId="0" xfId="4496" applyFont="1" applyFill="1" applyBorder="1" applyAlignment="1" applyProtection="1">
      <alignment horizontal="left" vertical="center" wrapText="1"/>
      <protection locked="0"/>
    </xf>
    <xf numFmtId="0" fontId="12" fillId="44" borderId="54" xfId="4496" applyFont="1" applyFill="1" applyBorder="1" applyAlignment="1" applyProtection="1">
      <alignment horizontal="left" vertical="center" wrapText="1"/>
      <protection locked="0"/>
    </xf>
    <xf numFmtId="0" fontId="12" fillId="44" borderId="6" xfId="4496" applyFont="1" applyFill="1" applyBorder="1" applyAlignment="1" applyProtection="1">
      <alignment horizontal="left" vertical="center" wrapText="1"/>
      <protection locked="0"/>
    </xf>
    <xf numFmtId="0" fontId="12" fillId="44" borderId="56" xfId="4496" applyFont="1" applyFill="1" applyBorder="1" applyAlignment="1" applyProtection="1">
      <alignment horizontal="left" vertical="center" wrapText="1"/>
      <protection locked="0"/>
    </xf>
    <xf numFmtId="0" fontId="12" fillId="5" borderId="6" xfId="4496" applyFont="1" applyFill="1" applyBorder="1" applyAlignment="1" applyProtection="1">
      <alignment horizontal="center" vertical="center" wrapText="1" shrinkToFit="1"/>
      <protection locked="0"/>
    </xf>
    <xf numFmtId="0" fontId="12" fillId="0" borderId="0" xfId="4496" applyFont="1" applyFill="1" applyBorder="1" applyAlignment="1" applyProtection="1">
      <alignment horizontal="left" vertical="center" wrapText="1" shrinkToFit="1"/>
    </xf>
    <xf numFmtId="0" fontId="12" fillId="5" borderId="6" xfId="4496" applyFont="1" applyFill="1" applyBorder="1" applyAlignment="1" applyProtection="1">
      <alignment horizontal="left" wrapText="1" shrinkToFit="1"/>
      <protection locked="0"/>
    </xf>
    <xf numFmtId="0" fontId="12" fillId="44" borderId="6" xfId="1193" applyFont="1" applyFill="1" applyBorder="1" applyAlignment="1" applyProtection="1">
      <alignment horizontal="left" vertical="top"/>
      <protection locked="0"/>
    </xf>
    <xf numFmtId="0" fontId="20" fillId="0" borderId="0" xfId="4496" applyFont="1" applyFill="1" applyBorder="1" applyAlignment="1" applyProtection="1">
      <alignment horizontal="center"/>
    </xf>
    <xf numFmtId="0" fontId="12" fillId="0" borderId="0" xfId="4496" applyFont="1" applyFill="1" applyBorder="1" applyAlignment="1" applyProtection="1">
      <alignment horizontal="left" vertical="top" wrapText="1" shrinkToFit="1"/>
    </xf>
    <xf numFmtId="44" fontId="12" fillId="0" borderId="0" xfId="708" applyFont="1" applyFill="1" applyBorder="1" applyAlignment="1" applyProtection="1">
      <alignment horizontal="left" vertical="top" wrapText="1"/>
    </xf>
    <xf numFmtId="0" fontId="126" fillId="0" borderId="0" xfId="4496" applyFont="1" applyAlignment="1">
      <alignment horizontal="left" vertical="top" wrapText="1"/>
    </xf>
    <xf numFmtId="0" fontId="19" fillId="0" borderId="0" xfId="4496" applyFont="1" applyFill="1" applyBorder="1" applyAlignment="1" applyProtection="1">
      <alignment horizontal="left" vertical="top" wrapText="1"/>
    </xf>
    <xf numFmtId="0" fontId="116" fillId="5" borderId="55" xfId="4496" applyFill="1" applyBorder="1" applyAlignment="1" applyProtection="1">
      <alignment horizontal="center"/>
      <protection locked="0"/>
    </xf>
    <xf numFmtId="0" fontId="19" fillId="0" borderId="0" xfId="4496" applyFont="1" applyBorder="1" applyAlignment="1" applyProtection="1">
      <alignment horizontal="center"/>
    </xf>
    <xf numFmtId="0" fontId="19" fillId="0" borderId="54" xfId="4496" applyFont="1" applyBorder="1" applyAlignment="1" applyProtection="1">
      <alignment horizontal="center"/>
    </xf>
    <xf numFmtId="0" fontId="20" fillId="0" borderId="51" xfId="4496" applyFont="1" applyBorder="1" applyAlignment="1">
      <alignment horizontal="left" vertical="top" wrapText="1"/>
    </xf>
    <xf numFmtId="0" fontId="20" fillId="0" borderId="0" xfId="4496" applyFont="1" applyBorder="1" applyAlignment="1">
      <alignment horizontal="left" vertical="top" wrapText="1"/>
    </xf>
    <xf numFmtId="0" fontId="12" fillId="46" borderId="11" xfId="4496" applyFont="1" applyFill="1" applyBorder="1" applyAlignment="1" applyProtection="1">
      <alignment horizontal="center"/>
    </xf>
    <xf numFmtId="0" fontId="126" fillId="0" borderId="0" xfId="4496" applyFont="1" applyAlignment="1">
      <alignment horizontal="left" vertical="center" wrapText="1"/>
    </xf>
    <xf numFmtId="0" fontId="19" fillId="0" borderId="11" xfId="4496" applyFont="1" applyBorder="1" applyAlignment="1" applyProtection="1">
      <alignment horizontal="center"/>
    </xf>
    <xf numFmtId="0" fontId="20" fillId="0" borderId="58" xfId="4496" applyFont="1" applyBorder="1" applyAlignment="1">
      <alignment horizontal="left" vertical="top" wrapText="1"/>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20" fillId="0" borderId="51" xfId="4496" applyNumberFormat="1" applyFont="1" applyBorder="1" applyAlignment="1">
      <alignment horizontal="left" vertical="top" wrapText="1"/>
    </xf>
    <xf numFmtId="0" fontId="20" fillId="0" borderId="0" xfId="4496" applyNumberFormat="1" applyFont="1" applyBorder="1" applyAlignment="1">
      <alignment horizontal="left" vertical="top" wrapText="1"/>
    </xf>
    <xf numFmtId="0" fontId="116" fillId="5" borderId="63" xfId="4496" applyFill="1" applyBorder="1" applyAlignment="1" applyProtection="1">
      <alignment horizontal="center"/>
      <protection locked="0"/>
    </xf>
    <xf numFmtId="0" fontId="116" fillId="5" borderId="64" xfId="4496" applyFill="1" applyBorder="1" applyAlignment="1" applyProtection="1">
      <alignment horizontal="center"/>
      <protection locked="0"/>
    </xf>
    <xf numFmtId="0" fontId="19" fillId="0" borderId="51" xfId="4496" applyFont="1" applyBorder="1" applyAlignment="1" applyProtection="1">
      <alignment horizontal="center" vertical="top"/>
    </xf>
    <xf numFmtId="0" fontId="19" fillId="0" borderId="52" xfId="4496" applyFont="1" applyBorder="1" applyAlignment="1" applyProtection="1">
      <alignment horizontal="center" vertical="top"/>
    </xf>
    <xf numFmtId="0" fontId="116" fillId="5" borderId="50" xfId="4496" applyFill="1" applyBorder="1" applyAlignment="1" applyProtection="1">
      <alignment horizontal="center"/>
    </xf>
    <xf numFmtId="0" fontId="116" fillId="5" borderId="51" xfId="4496" applyFill="1" applyBorder="1" applyAlignment="1" applyProtection="1">
      <alignment horizontal="center"/>
    </xf>
    <xf numFmtId="0" fontId="49" fillId="0" borderId="51" xfId="4496" applyFont="1" applyBorder="1" applyAlignment="1" applyProtection="1">
      <alignment horizontal="left" wrapText="1"/>
    </xf>
    <xf numFmtId="0" fontId="49" fillId="0" borderId="0" xfId="4496" applyFont="1" applyBorder="1" applyAlignment="1" applyProtection="1">
      <alignment horizontal="left" wrapText="1"/>
    </xf>
    <xf numFmtId="0" fontId="20" fillId="5" borderId="6" xfId="4496" applyFont="1" applyFill="1" applyBorder="1" applyAlignment="1" applyProtection="1">
      <alignment horizontal="left"/>
    </xf>
    <xf numFmtId="0" fontId="116" fillId="5" borderId="63" xfId="4496" applyFill="1" applyBorder="1" applyAlignment="1" applyProtection="1">
      <alignment horizontal="center"/>
    </xf>
    <xf numFmtId="0" fontId="116" fillId="5" borderId="64" xfId="4496" applyFill="1" applyBorder="1" applyAlignment="1" applyProtection="1">
      <alignment horizontal="center"/>
    </xf>
    <xf numFmtId="0" fontId="20" fillId="5" borderId="58" xfId="4496" applyFont="1" applyFill="1" applyBorder="1" applyAlignment="1" applyProtection="1">
      <alignment horizontal="left"/>
    </xf>
    <xf numFmtId="0" fontId="49" fillId="0" borderId="51" xfId="4496" applyFont="1" applyFill="1" applyBorder="1" applyAlignment="1" applyProtection="1">
      <alignment horizontal="left" vertical="top" wrapText="1"/>
    </xf>
    <xf numFmtId="0" fontId="49" fillId="0" borderId="0" xfId="4496" applyFont="1" applyFill="1" applyBorder="1" applyAlignment="1" applyProtection="1">
      <alignment horizontal="left" vertical="top" wrapText="1"/>
    </xf>
    <xf numFmtId="9" fontId="20" fillId="5" borderId="58" xfId="4496" applyNumberFormat="1" applyFont="1" applyFill="1" applyBorder="1" applyAlignment="1" applyProtection="1">
      <alignment horizontal="left"/>
    </xf>
    <xf numFmtId="0" fontId="116" fillId="0" borderId="0" xfId="4496" applyFill="1" applyBorder="1" applyAlignment="1" applyProtection="1">
      <alignment horizontal="center"/>
    </xf>
    <xf numFmtId="9" fontId="20" fillId="5" borderId="6" xfId="4496" applyNumberFormat="1" applyFont="1" applyFill="1" applyBorder="1" applyAlignment="1" applyProtection="1">
      <alignment horizontal="left"/>
    </xf>
    <xf numFmtId="0" fontId="116" fillId="5" borderId="55" xfId="4496" applyFill="1" applyBorder="1" applyAlignment="1" applyProtection="1">
      <alignment horizontal="center"/>
    </xf>
    <xf numFmtId="0" fontId="116" fillId="5" borderId="6" xfId="4496" applyFill="1" applyBorder="1" applyAlignment="1" applyProtection="1">
      <alignment horizontal="center"/>
    </xf>
    <xf numFmtId="0" fontId="20" fillId="5" borderId="0" xfId="4496" applyFont="1" applyFill="1" applyBorder="1" applyAlignment="1" applyProtection="1">
      <alignment horizontal="left" vertical="top" wrapText="1"/>
    </xf>
    <xf numFmtId="0" fontId="20" fillId="5" borderId="58" xfId="4496" applyFont="1" applyFill="1" applyBorder="1" applyAlignment="1" applyProtection="1">
      <alignment horizontal="left" vertical="top" wrapText="1"/>
    </xf>
    <xf numFmtId="0" fontId="118" fillId="0" borderId="50" xfId="4497" applyFont="1" applyBorder="1" applyAlignment="1">
      <alignment horizontal="left" wrapText="1"/>
    </xf>
    <xf numFmtId="0" fontId="118" fillId="0" borderId="51" xfId="4497" applyFont="1" applyBorder="1" applyAlignment="1">
      <alignment horizontal="left" wrapText="1"/>
    </xf>
    <xf numFmtId="0" fontId="118" fillId="0" borderId="52" xfId="4497" applyFont="1" applyBorder="1" applyAlignment="1">
      <alignment horizontal="left" wrapText="1"/>
    </xf>
    <xf numFmtId="0" fontId="118" fillId="0" borderId="57" xfId="4497" applyFont="1" applyBorder="1" applyAlignment="1">
      <alignment horizontal="left" wrapText="1"/>
    </xf>
    <xf numFmtId="0" fontId="118" fillId="0" borderId="58" xfId="4497" applyFont="1" applyBorder="1" applyAlignment="1">
      <alignment horizontal="left" wrapText="1"/>
    </xf>
    <xf numFmtId="0" fontId="118" fillId="0" borderId="59" xfId="4497" applyFont="1" applyBorder="1" applyAlignment="1">
      <alignment horizontal="left" wrapText="1"/>
    </xf>
    <xf numFmtId="0" fontId="116" fillId="0" borderId="53" xfId="4496" applyFill="1" applyBorder="1" applyAlignment="1" applyProtection="1">
      <alignment horizontal="center"/>
    </xf>
    <xf numFmtId="0" fontId="20" fillId="5" borderId="0" xfId="4496" applyFont="1" applyFill="1" applyBorder="1" applyAlignment="1" applyProtection="1">
      <alignment horizontal="left" vertical="top"/>
    </xf>
    <xf numFmtId="0" fontId="116" fillId="5" borderId="53" xfId="4496" applyFill="1" applyBorder="1" applyAlignment="1" applyProtection="1">
      <alignment horizontal="center"/>
    </xf>
    <xf numFmtId="0" fontId="116" fillId="5"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20" fillId="0" borderId="58" xfId="4496" applyFont="1" applyFill="1" applyBorder="1" applyAlignment="1" applyProtection="1">
      <alignment horizontal="left" vertical="top" wrapText="1"/>
    </xf>
    <xf numFmtId="0" fontId="19" fillId="0" borderId="4" xfId="4496" applyFont="1" applyFill="1" applyBorder="1" applyAlignment="1" applyProtection="1">
      <alignment horizontal="left"/>
    </xf>
    <xf numFmtId="0" fontId="19" fillId="0" borderId="5" xfId="4496" applyFont="1" applyFill="1" applyBorder="1" applyAlignment="1" applyProtection="1">
      <alignment horizontal="left"/>
    </xf>
    <xf numFmtId="1" fontId="19" fillId="0" borderId="4" xfId="4496" applyNumberFormat="1" applyFont="1" applyFill="1" applyBorder="1" applyAlignment="1" applyProtection="1">
      <alignment horizontal="center" wrapText="1"/>
    </xf>
    <xf numFmtId="0" fontId="19" fillId="0" borderId="4" xfId="4496" applyFont="1" applyFill="1" applyBorder="1" applyAlignment="1" applyProtection="1">
      <alignment horizontal="center" wrapText="1"/>
    </xf>
    <xf numFmtId="0" fontId="19" fillId="0" borderId="5" xfId="4496" applyFont="1" applyFill="1" applyBorder="1" applyAlignment="1" applyProtection="1">
      <alignment horizontal="center" wrapText="1"/>
    </xf>
    <xf numFmtId="0" fontId="19" fillId="0" borderId="3" xfId="4496" applyFont="1" applyFill="1" applyBorder="1" applyAlignment="1" applyProtection="1">
      <alignment horizontal="center" wrapText="1"/>
    </xf>
    <xf numFmtId="0" fontId="19" fillId="0" borderId="11" xfId="4496" applyFont="1" applyFill="1" applyBorder="1" applyAlignment="1" applyProtection="1">
      <alignment horizontal="center"/>
    </xf>
    <xf numFmtId="0" fontId="12" fillId="0" borderId="50" xfId="4497" applyFont="1" applyBorder="1" applyAlignment="1" applyProtection="1">
      <alignment horizontal="left" wrapText="1"/>
    </xf>
    <xf numFmtId="0" fontId="12" fillId="0" borderId="51" xfId="4497" applyFont="1" applyBorder="1" applyAlignment="1" applyProtection="1">
      <alignment horizontal="left" wrapText="1"/>
    </xf>
    <xf numFmtId="0" fontId="12" fillId="0" borderId="52" xfId="4497" applyFont="1" applyBorder="1" applyAlignment="1" applyProtection="1">
      <alignment horizontal="left" wrapText="1"/>
    </xf>
    <xf numFmtId="0" fontId="12" fillId="0" borderId="53" xfId="4497" applyFont="1" applyBorder="1" applyAlignment="1" applyProtection="1">
      <alignment horizontal="left" wrapText="1"/>
    </xf>
    <xf numFmtId="0" fontId="12" fillId="0" borderId="0" xfId="4497" applyFont="1" applyBorder="1" applyAlignment="1" applyProtection="1">
      <alignment horizontal="left" wrapText="1"/>
    </xf>
    <xf numFmtId="0" fontId="12" fillId="0" borderId="54" xfId="4497" applyFont="1" applyBorder="1" applyAlignment="1" applyProtection="1">
      <alignment horizontal="left" wrapText="1"/>
    </xf>
    <xf numFmtId="0" fontId="12" fillId="0" borderId="57" xfId="4497" applyFont="1" applyBorder="1" applyAlignment="1" applyProtection="1">
      <alignment horizontal="left" wrapText="1"/>
    </xf>
    <xf numFmtId="0" fontId="12" fillId="0" borderId="58" xfId="4497" applyFont="1" applyBorder="1" applyAlignment="1" applyProtection="1">
      <alignment horizontal="left" wrapText="1"/>
    </xf>
    <xf numFmtId="0" fontId="12" fillId="0" borderId="59" xfId="4497" applyFont="1" applyBorder="1" applyAlignment="1" applyProtection="1">
      <alignment horizontal="left" wrapText="1"/>
    </xf>
    <xf numFmtId="1" fontId="12" fillId="0" borderId="4" xfId="4497" applyNumberFormat="1" applyFont="1" applyFill="1" applyBorder="1" applyAlignment="1" applyProtection="1">
      <alignment horizontal="center"/>
    </xf>
    <xf numFmtId="1" fontId="12" fillId="0" borderId="5" xfId="4497" applyNumberFormat="1" applyFont="1" applyFill="1" applyBorder="1" applyAlignment="1" applyProtection="1">
      <alignment horizontal="center"/>
    </xf>
    <xf numFmtId="49" fontId="18" fillId="3" borderId="2" xfId="4496" applyNumberFormat="1" applyFont="1" applyFill="1" applyBorder="1" applyAlignment="1" applyProtection="1">
      <alignment horizontal="center" vertical="center" wrapText="1"/>
    </xf>
    <xf numFmtId="49" fontId="18" fillId="3" borderId="2" xfId="4496" applyNumberFormat="1" applyFont="1" applyFill="1" applyBorder="1" applyAlignment="1" applyProtection="1">
      <alignment horizontal="center" vertical="center"/>
    </xf>
    <xf numFmtId="49" fontId="18" fillId="3" borderId="0" xfId="4496" applyNumberFormat="1" applyFont="1" applyFill="1" applyBorder="1" applyAlignment="1" applyProtection="1">
      <alignment horizontal="center" vertical="center"/>
    </xf>
    <xf numFmtId="0" fontId="19" fillId="0" borderId="0" xfId="4496" applyFont="1" applyFill="1" applyBorder="1" applyAlignment="1" applyProtection="1">
      <alignment horizontal="center"/>
    </xf>
    <xf numFmtId="0" fontId="19" fillId="0" borderId="1" xfId="4496" applyFont="1" applyFill="1" applyBorder="1" applyAlignment="1" applyProtection="1">
      <alignment horizontal="center" wrapText="1"/>
    </xf>
    <xf numFmtId="0" fontId="19" fillId="0" borderId="2" xfId="4496" applyFont="1" applyFill="1" applyBorder="1" applyAlignment="1" applyProtection="1">
      <alignment horizontal="center" wrapText="1"/>
    </xf>
    <xf numFmtId="0" fontId="19" fillId="0" borderId="7" xfId="4496" applyFont="1" applyFill="1" applyBorder="1" applyAlignment="1" applyProtection="1">
      <alignment horizontal="center" wrapText="1"/>
    </xf>
    <xf numFmtId="0" fontId="19" fillId="0" borderId="9" xfId="4496" applyFont="1" applyFill="1" applyBorder="1" applyAlignment="1" applyProtection="1">
      <alignment horizontal="center" wrapText="1"/>
    </xf>
    <xf numFmtId="0" fontId="19" fillId="0" borderId="6" xfId="4496" applyFont="1" applyFill="1" applyBorder="1" applyAlignment="1" applyProtection="1">
      <alignment horizontal="center" wrapText="1"/>
    </xf>
    <xf numFmtId="0" fontId="19" fillId="0" borderId="10" xfId="4496" applyFont="1" applyFill="1" applyBorder="1" applyAlignment="1" applyProtection="1">
      <alignment horizontal="center" wrapText="1"/>
    </xf>
    <xf numFmtId="1" fontId="19" fillId="0" borderId="11" xfId="4496" applyNumberFormat="1" applyFont="1" applyFill="1" applyBorder="1" applyAlignment="1" applyProtection="1">
      <alignment horizontal="center"/>
    </xf>
    <xf numFmtId="0" fontId="12" fillId="0" borderId="4" xfId="4496" applyFont="1" applyFill="1" applyBorder="1" applyAlignment="1" applyProtection="1">
      <alignment horizontal="left"/>
    </xf>
    <xf numFmtId="0" fontId="12" fillId="0" borderId="5" xfId="4496" applyFont="1" applyFill="1" applyBorder="1" applyAlignment="1" applyProtection="1">
      <alignment horizontal="left"/>
    </xf>
    <xf numFmtId="0" fontId="12" fillId="0" borderId="11" xfId="4496" applyFont="1" applyFill="1" applyBorder="1" applyAlignment="1" applyProtection="1">
      <alignment horizontal="center"/>
    </xf>
    <xf numFmtId="1" fontId="12" fillId="47" borderId="11" xfId="4496" applyNumberFormat="1" applyFont="1" applyFill="1" applyBorder="1" applyAlignment="1" applyProtection="1">
      <alignment horizontal="center"/>
    </xf>
    <xf numFmtId="0" fontId="19" fillId="0" borderId="3" xfId="4496" applyFont="1" applyFill="1" applyBorder="1" applyAlignment="1" applyProtection="1">
      <alignment horizontal="left"/>
    </xf>
    <xf numFmtId="0" fontId="12" fillId="5" borderId="11" xfId="4496" applyFont="1" applyFill="1" applyBorder="1" applyAlignment="1" applyProtection="1">
      <alignment horizontal="center"/>
      <protection locked="0"/>
    </xf>
    <xf numFmtId="0" fontId="19" fillId="0" borderId="3" xfId="4496" applyFont="1" applyFill="1" applyBorder="1" applyAlignment="1" applyProtection="1">
      <alignment horizontal="center"/>
    </xf>
    <xf numFmtId="0" fontId="19" fillId="0" borderId="4" xfId="4496" applyFont="1" applyFill="1" applyBorder="1" applyAlignment="1" applyProtection="1">
      <alignment horizontal="center"/>
    </xf>
    <xf numFmtId="0" fontId="19" fillId="0" borderId="5" xfId="4496" applyFont="1" applyFill="1" applyBorder="1" applyAlignment="1" applyProtection="1">
      <alignment horizontal="center"/>
    </xf>
    <xf numFmtId="164" fontId="60" fillId="0" borderId="1" xfId="4496" applyNumberFormat="1" applyFont="1" applyFill="1" applyBorder="1" applyAlignment="1" applyProtection="1">
      <alignment horizontal="right" vertical="center"/>
    </xf>
    <xf numFmtId="164" fontId="60" fillId="0" borderId="2" xfId="4496" applyNumberFormat="1" applyFont="1" applyFill="1" applyBorder="1" applyAlignment="1" applyProtection="1">
      <alignment horizontal="right" vertical="center"/>
    </xf>
    <xf numFmtId="164" fontId="60" fillId="0" borderId="7" xfId="4496" applyNumberFormat="1" applyFont="1" applyFill="1" applyBorder="1" applyAlignment="1" applyProtection="1">
      <alignment horizontal="right" vertical="center"/>
    </xf>
    <xf numFmtId="164" fontId="60" fillId="0" borderId="9" xfId="4496" applyNumberFormat="1" applyFont="1" applyFill="1" applyBorder="1" applyAlignment="1" applyProtection="1">
      <alignment horizontal="right" vertical="center"/>
    </xf>
    <xf numFmtId="164" fontId="60" fillId="0" borderId="6" xfId="4496" applyNumberFormat="1" applyFont="1" applyFill="1" applyBorder="1" applyAlignment="1" applyProtection="1">
      <alignment horizontal="right" vertical="center"/>
    </xf>
    <xf numFmtId="164" fontId="60" fillId="0" borderId="10" xfId="4496" applyNumberFormat="1" applyFont="1" applyFill="1" applyBorder="1" applyAlignment="1" applyProtection="1">
      <alignment horizontal="right" vertical="center"/>
    </xf>
    <xf numFmtId="180" fontId="60" fillId="0" borderId="1" xfId="4496" applyNumberFormat="1" applyFont="1" applyFill="1" applyBorder="1" applyAlignment="1" applyProtection="1">
      <alignment horizontal="center" vertical="center"/>
    </xf>
    <xf numFmtId="180" fontId="60" fillId="0" borderId="2" xfId="4496" applyNumberFormat="1" applyFont="1" applyFill="1" applyBorder="1" applyAlignment="1" applyProtection="1">
      <alignment horizontal="center" vertical="center"/>
    </xf>
    <xf numFmtId="180" fontId="60" fillId="0" borderId="7" xfId="4496" applyNumberFormat="1" applyFont="1" applyFill="1" applyBorder="1" applyAlignment="1" applyProtection="1">
      <alignment horizontal="center" vertical="center"/>
    </xf>
    <xf numFmtId="180" fontId="60" fillId="0" borderId="9" xfId="4496" applyNumberFormat="1" applyFont="1" applyFill="1" applyBorder="1" applyAlignment="1" applyProtection="1">
      <alignment horizontal="center" vertical="center"/>
    </xf>
    <xf numFmtId="180" fontId="60" fillId="0" borderId="6" xfId="4496" applyNumberFormat="1" applyFont="1" applyFill="1" applyBorder="1" applyAlignment="1" applyProtection="1">
      <alignment horizontal="center" vertical="center"/>
    </xf>
    <xf numFmtId="180" fontId="60" fillId="0" borderId="10" xfId="4496" applyNumberFormat="1" applyFont="1" applyFill="1" applyBorder="1" applyAlignment="1" applyProtection="1">
      <alignment horizontal="center" vertical="center"/>
    </xf>
    <xf numFmtId="0" fontId="19" fillId="0" borderId="4" xfId="4496" applyFont="1" applyBorder="1"/>
    <xf numFmtId="0" fontId="19" fillId="0" borderId="5" xfId="4496" applyFont="1" applyBorder="1"/>
    <xf numFmtId="168" fontId="12" fillId="0" borderId="6" xfId="1193" applyNumberFormat="1" applyFont="1" applyFill="1" applyBorder="1" applyAlignment="1" applyProtection="1">
      <alignment horizontal="right"/>
    </xf>
    <xf numFmtId="0" fontId="114" fillId="0" borderId="4" xfId="1193" applyFont="1" applyFill="1" applyBorder="1" applyAlignment="1" applyProtection="1">
      <alignment horizontal="left"/>
    </xf>
    <xf numFmtId="168" fontId="12" fillId="44" borderId="6" xfId="543" applyNumberFormat="1" applyFont="1" applyFill="1" applyBorder="1" applyAlignment="1" applyProtection="1">
      <alignment horizontal="center"/>
      <protection locked="0"/>
    </xf>
    <xf numFmtId="0" fontId="12" fillId="0" borderId="6" xfId="1193" applyFont="1" applyFill="1" applyBorder="1" applyAlignment="1" applyProtection="1">
      <alignment horizontal="left"/>
    </xf>
    <xf numFmtId="0" fontId="12" fillId="0" borderId="6" xfId="1193" applyFont="1" applyBorder="1" applyAlignment="1" applyProtection="1">
      <alignment horizontal="right"/>
    </xf>
    <xf numFmtId="168" fontId="12" fillId="44" borderId="6" xfId="1193" applyNumberFormat="1" applyFont="1" applyFill="1" applyBorder="1" applyAlignment="1" applyProtection="1">
      <alignment horizontal="right"/>
      <protection locked="0"/>
    </xf>
    <xf numFmtId="10" fontId="20" fillId="0" borderId="2" xfId="4496" applyNumberFormat="1" applyFont="1" applyBorder="1" applyAlignment="1" applyProtection="1">
      <alignment horizontal="center"/>
    </xf>
    <xf numFmtId="4" fontId="20" fillId="0" borderId="0" xfId="4496" applyNumberFormat="1" applyFont="1" applyAlignment="1" applyProtection="1">
      <alignment horizontal="center"/>
    </xf>
    <xf numFmtId="0" fontId="20" fillId="0" borderId="0" xfId="4496" applyFont="1" applyAlignment="1" applyProtection="1">
      <alignment horizontal="center"/>
    </xf>
    <xf numFmtId="0" fontId="28" fillId="0" borderId="2" xfId="4496" applyFont="1" applyFill="1" applyBorder="1" applyAlignment="1">
      <alignment horizontal="center"/>
    </xf>
    <xf numFmtId="0" fontId="28" fillId="0" borderId="6" xfId="4496" applyFont="1" applyFill="1" applyBorder="1" applyAlignment="1">
      <alignment horizontal="center"/>
    </xf>
    <xf numFmtId="4" fontId="20" fillId="0" borderId="6" xfId="4496" applyNumberFormat="1" applyFont="1" applyBorder="1" applyAlignment="1" applyProtection="1">
      <alignment horizontal="center"/>
    </xf>
    <xf numFmtId="168" fontId="12" fillId="0" borderId="6" xfId="1193" applyNumberFormat="1" applyFont="1" applyBorder="1" applyAlignment="1" applyProtection="1">
      <alignment horizontal="right"/>
    </xf>
    <xf numFmtId="168" fontId="12" fillId="0" borderId="4" xfId="1193" applyNumberFormat="1" applyFont="1" applyFill="1" applyBorder="1" applyAlignment="1" applyProtection="1">
      <alignment horizontal="right"/>
    </xf>
    <xf numFmtId="0" fontId="12" fillId="0" borderId="53" xfId="4496" applyNumberFormat="1" applyFont="1" applyBorder="1" applyAlignment="1">
      <alignment horizontal="left" vertical="top" wrapText="1"/>
    </xf>
    <xf numFmtId="0" fontId="12" fillId="0" borderId="0" xfId="4496" applyNumberFormat="1" applyFont="1" applyBorder="1" applyAlignment="1">
      <alignment horizontal="left" vertical="top" wrapText="1"/>
    </xf>
    <xf numFmtId="0" fontId="12" fillId="0" borderId="54" xfId="4496" applyNumberFormat="1" applyFont="1" applyBorder="1" applyAlignment="1">
      <alignment horizontal="left" vertical="top" wrapText="1"/>
    </xf>
    <xf numFmtId="0" fontId="12" fillId="0" borderId="57" xfId="4496" applyNumberFormat="1" applyFont="1" applyBorder="1" applyAlignment="1">
      <alignment horizontal="left" vertical="top" wrapText="1"/>
    </xf>
    <xf numFmtId="0" fontId="12" fillId="0" borderId="58" xfId="4496" applyNumberFormat="1" applyFont="1" applyBorder="1" applyAlignment="1">
      <alignment horizontal="left" vertical="top" wrapText="1"/>
    </xf>
    <xf numFmtId="168" fontId="12" fillId="0" borderId="4" xfId="4497" applyNumberFormat="1" applyFont="1" applyFill="1" applyBorder="1" applyAlignment="1" applyProtection="1">
      <alignment horizontal="center"/>
    </xf>
    <xf numFmtId="9" fontId="12" fillId="0" borderId="4" xfId="4497" applyNumberFormat="1" applyFont="1" applyFill="1" applyBorder="1" applyAlignment="1" applyProtection="1">
      <alignment horizontal="center"/>
    </xf>
    <xf numFmtId="164" fontId="12" fillId="0" borderId="50" xfId="4496" applyNumberFormat="1" applyFont="1" applyFill="1" applyBorder="1" applyAlignment="1" applyProtection="1">
      <alignment horizontal="center" vertical="top" wrapText="1"/>
    </xf>
    <xf numFmtId="164" fontId="12" fillId="0" borderId="51" xfId="4496" applyNumberFormat="1" applyFont="1" applyFill="1" applyBorder="1" applyAlignment="1" applyProtection="1">
      <alignment horizontal="center" vertical="top" wrapText="1"/>
    </xf>
    <xf numFmtId="164" fontId="12" fillId="0" borderId="52" xfId="4496" applyNumberFormat="1" applyFont="1" applyFill="1" applyBorder="1" applyAlignment="1" applyProtection="1">
      <alignment horizontal="center" vertical="top" wrapText="1"/>
    </xf>
    <xf numFmtId="164" fontId="12" fillId="0" borderId="53" xfId="4496" applyNumberFormat="1" applyFont="1" applyFill="1" applyBorder="1" applyAlignment="1" applyProtection="1">
      <alignment horizontal="center" vertical="top" wrapText="1"/>
    </xf>
    <xf numFmtId="164" fontId="12" fillId="0" borderId="0" xfId="4496" applyNumberFormat="1" applyFont="1" applyFill="1" applyBorder="1" applyAlignment="1" applyProtection="1">
      <alignment horizontal="center" vertical="top" wrapText="1"/>
    </xf>
    <xf numFmtId="164" fontId="12" fillId="0" borderId="54" xfId="4496" applyNumberFormat="1" applyFont="1" applyFill="1" applyBorder="1" applyAlignment="1" applyProtection="1">
      <alignment horizontal="center" vertical="top" wrapText="1"/>
    </xf>
    <xf numFmtId="164" fontId="12" fillId="0" borderId="57" xfId="4496" applyNumberFormat="1" applyFont="1" applyFill="1" applyBorder="1" applyAlignment="1" applyProtection="1">
      <alignment horizontal="center" vertical="top" wrapText="1"/>
    </xf>
    <xf numFmtId="164" fontId="12" fillId="0" borderId="58" xfId="4496" applyNumberFormat="1" applyFont="1" applyFill="1" applyBorder="1" applyAlignment="1" applyProtection="1">
      <alignment horizontal="center" vertical="top" wrapText="1"/>
    </xf>
    <xf numFmtId="164" fontId="12" fillId="0" borderId="59" xfId="4496" applyNumberFormat="1" applyFont="1" applyFill="1" applyBorder="1" applyAlignment="1" applyProtection="1">
      <alignment horizontal="center" vertical="top" wrapText="1"/>
    </xf>
    <xf numFmtId="4" fontId="20" fillId="0" borderId="3" xfId="4496" applyNumberFormat="1" applyFont="1" applyBorder="1" applyAlignment="1" applyProtection="1">
      <alignment horizontal="center"/>
    </xf>
    <xf numFmtId="4" fontId="20" fillId="0" borderId="4" xfId="4496" applyNumberFormat="1" applyFont="1" applyBorder="1" applyAlignment="1" applyProtection="1">
      <alignment horizontal="center"/>
    </xf>
    <xf numFmtId="4" fontId="20" fillId="0" borderId="5" xfId="4496" applyNumberFormat="1" applyFont="1" applyBorder="1" applyAlignment="1" applyProtection="1">
      <alignment horizontal="center"/>
    </xf>
    <xf numFmtId="165" fontId="118" fillId="0" borderId="3" xfId="4497" applyNumberFormat="1" applyFont="1" applyFill="1" applyBorder="1" applyAlignment="1">
      <alignment horizontal="center" vertical="top" wrapText="1"/>
    </xf>
    <xf numFmtId="165" fontId="118" fillId="0" borderId="4" xfId="4497" applyNumberFormat="1" applyFont="1" applyFill="1" applyBorder="1" applyAlignment="1">
      <alignment horizontal="center" vertical="top" wrapText="1"/>
    </xf>
    <xf numFmtId="165" fontId="118" fillId="0" borderId="5" xfId="4497" applyNumberFormat="1" applyFont="1" applyFill="1" applyBorder="1" applyAlignment="1">
      <alignment horizontal="center" vertical="top" wrapText="1"/>
    </xf>
    <xf numFmtId="3" fontId="12" fillId="44" borderId="6" xfId="1193" applyNumberFormat="1" applyFont="1" applyFill="1" applyBorder="1" applyAlignment="1" applyProtection="1">
      <alignment horizontal="right"/>
      <protection locked="0"/>
    </xf>
    <xf numFmtId="0" fontId="145" fillId="0" borderId="0" xfId="1193" applyFont="1" applyBorder="1" applyAlignment="1" applyProtection="1">
      <alignment horizontal="center"/>
    </xf>
    <xf numFmtId="49" fontId="132" fillId="3" borderId="0" xfId="1193" applyNumberFormat="1" applyFont="1" applyFill="1" applyBorder="1" applyAlignment="1" applyProtection="1">
      <alignment horizontal="center" vertical="center"/>
    </xf>
    <xf numFmtId="0" fontId="94" fillId="0" borderId="0" xfId="4497" applyFont="1" applyFill="1" applyAlignment="1">
      <alignment horizontal="center" vertical="center"/>
    </xf>
    <xf numFmtId="0" fontId="94" fillId="0" borderId="0" xfId="4497" applyFont="1" applyFill="1" applyAlignment="1">
      <alignment horizontal="left" vertical="top" wrapText="1"/>
    </xf>
    <xf numFmtId="168" fontId="12" fillId="0" borderId="11" xfId="570" applyNumberFormat="1" applyFill="1" applyBorder="1" applyAlignment="1"/>
    <xf numFmtId="168" fontId="12" fillId="0" borderId="3" xfId="570" applyNumberFormat="1" applyFill="1" applyBorder="1" applyAlignment="1"/>
    <xf numFmtId="168" fontId="12" fillId="0" borderId="4" xfId="570" applyNumberFormat="1" applyFill="1" applyBorder="1" applyAlignment="1"/>
    <xf numFmtId="168" fontId="12" fillId="0" borderId="5" xfId="570" applyNumberFormat="1" applyFill="1" applyBorder="1" applyAlignment="1"/>
    <xf numFmtId="168" fontId="12" fillId="0" borderId="11" xfId="570" applyNumberFormat="1" applyFill="1" applyBorder="1" applyAlignment="1">
      <alignment wrapText="1"/>
    </xf>
    <xf numFmtId="168" fontId="12" fillId="0" borderId="11" xfId="570" applyNumberFormat="1" applyFill="1" applyBorder="1" applyAlignment="1">
      <alignment horizontal="right"/>
    </xf>
    <xf numFmtId="9" fontId="12" fillId="0" borderId="15" xfId="570" applyNumberFormat="1" applyFill="1" applyBorder="1" applyAlignment="1" applyProtection="1">
      <alignment horizontal="center"/>
    </xf>
    <xf numFmtId="168" fontId="12" fillId="0" borderId="11" xfId="570" applyNumberFormat="1" applyFill="1" applyBorder="1" applyAlignment="1" applyProtection="1">
      <alignment horizontal="center"/>
    </xf>
    <xf numFmtId="0" fontId="12" fillId="0" borderId="11" xfId="570" applyBorder="1" applyAlignment="1">
      <alignment horizontal="center"/>
    </xf>
    <xf numFmtId="176" fontId="12" fillId="5" borderId="3" xfId="570" applyNumberFormat="1" applyFill="1" applyBorder="1" applyAlignment="1" applyProtection="1">
      <alignment horizontal="right"/>
      <protection locked="0"/>
    </xf>
    <xf numFmtId="176" fontId="12" fillId="5" borderId="4" xfId="570" applyNumberFormat="1" applyFill="1" applyBorder="1" applyAlignment="1" applyProtection="1">
      <alignment horizontal="right"/>
      <protection locked="0"/>
    </xf>
    <xf numFmtId="176" fontId="12" fillId="5" borderId="5" xfId="570" applyNumberFormat="1" applyFill="1" applyBorder="1" applyAlignment="1" applyProtection="1">
      <alignment horizontal="right"/>
      <protection locked="0"/>
    </xf>
    <xf numFmtId="0" fontId="103" fillId="0" borderId="0" xfId="0" applyFont="1" applyFill="1" applyBorder="1" applyAlignment="1">
      <alignment horizontal="left" vertical="top" wrapText="1"/>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0" fontId="19" fillId="0" borderId="6" xfId="570" applyFont="1" applyBorder="1" applyAlignment="1">
      <alignment horizontal="center"/>
    </xf>
    <xf numFmtId="168" fontId="12" fillId="0" borderId="3" xfId="570" applyNumberFormat="1" applyFill="1" applyBorder="1" applyAlignment="1" applyProtection="1">
      <alignment horizontal="center"/>
    </xf>
    <xf numFmtId="0" fontId="12" fillId="0" borderId="4" xfId="570" applyBorder="1" applyAlignment="1">
      <alignment horizontal="center"/>
    </xf>
    <xf numFmtId="0" fontId="12" fillId="0" borderId="5" xfId="570" applyBorder="1" applyAlignment="1">
      <alignment horizontal="center"/>
    </xf>
    <xf numFmtId="0" fontId="103" fillId="0" borderId="0" xfId="570" applyFont="1" applyBorder="1" applyAlignment="1">
      <alignment horizontal="left" wrapText="1"/>
    </xf>
    <xf numFmtId="168" fontId="12" fillId="0" borderId="3" xfId="570" applyNumberFormat="1" applyFill="1" applyBorder="1" applyAlignment="1">
      <alignment horizontal="right"/>
    </xf>
    <xf numFmtId="168" fontId="12" fillId="0" borderId="4" xfId="570" applyNumberFormat="1" applyFill="1" applyBorder="1" applyAlignment="1">
      <alignment horizontal="right"/>
    </xf>
    <xf numFmtId="168" fontId="12" fillId="0" borderId="5" xfId="570" applyNumberFormat="1" applyFill="1" applyBorder="1" applyAlignment="1">
      <alignment horizontal="right"/>
    </xf>
    <xf numFmtId="168" fontId="12" fillId="0" borderId="3" xfId="570" applyNumberFormat="1" applyBorder="1" applyAlignment="1" applyProtection="1">
      <alignment horizontal="right"/>
      <protection locked="0"/>
    </xf>
    <xf numFmtId="168" fontId="12" fillId="0" borderId="4" xfId="570" applyNumberFormat="1" applyBorder="1" applyAlignment="1" applyProtection="1">
      <alignment horizontal="right"/>
      <protection locked="0"/>
    </xf>
    <xf numFmtId="168" fontId="12" fillId="0" borderId="5" xfId="570" applyNumberFormat="1" applyBorder="1" applyAlignment="1" applyProtection="1">
      <alignment horizontal="right"/>
      <protection locked="0"/>
    </xf>
    <xf numFmtId="0" fontId="19" fillId="0" borderId="16" xfId="271" applyFont="1" applyFill="1" applyBorder="1" applyAlignment="1" applyProtection="1">
      <alignment horizontal="center"/>
    </xf>
    <xf numFmtId="168" fontId="12" fillId="0" borderId="3" xfId="570" applyNumberFormat="1" applyFill="1" applyBorder="1" applyAlignment="1">
      <alignment horizontal="center"/>
    </xf>
    <xf numFmtId="168" fontId="12" fillId="0" borderId="4" xfId="570" applyNumberFormat="1" applyFill="1" applyBorder="1" applyAlignment="1">
      <alignment horizontal="center"/>
    </xf>
    <xf numFmtId="168" fontId="12" fillId="0" borderId="5" xfId="570" applyNumberFormat="1" applyFill="1" applyBorder="1" applyAlignment="1">
      <alignment horizontal="center"/>
    </xf>
    <xf numFmtId="0" fontId="19" fillId="0" borderId="11" xfId="570" applyFont="1" applyBorder="1" applyAlignment="1">
      <alignment horizontal="center" wrapText="1"/>
    </xf>
    <xf numFmtId="0" fontId="19" fillId="0" borderId="11" xfId="570" applyFont="1" applyBorder="1" applyAlignment="1">
      <alignment horizontal="center"/>
    </xf>
    <xf numFmtId="168" fontId="12" fillId="0" borderId="11" xfId="570" applyNumberFormat="1" applyFill="1" applyBorder="1" applyAlignment="1">
      <alignment horizontal="center"/>
    </xf>
    <xf numFmtId="165" fontId="12" fillId="0" borderId="11" xfId="570" applyNumberFormat="1" applyFill="1" applyBorder="1" applyAlignment="1" applyProtection="1">
      <alignment horizontal="center"/>
      <protection locked="0"/>
    </xf>
    <xf numFmtId="0" fontId="49" fillId="0" borderId="0" xfId="570" applyFont="1" applyBorder="1" applyAlignment="1">
      <alignment horizontal="left"/>
    </xf>
    <xf numFmtId="5" fontId="12" fillId="0" borderId="5" xfId="570" applyNumberFormat="1" applyFill="1" applyBorder="1" applyAlignment="1">
      <alignment horizontal="center"/>
    </xf>
    <xf numFmtId="5" fontId="12" fillId="0" borderId="11" xfId="570" applyNumberFormat="1" applyFill="1" applyBorder="1" applyAlignment="1">
      <alignment horizontal="center"/>
    </xf>
    <xf numFmtId="5" fontId="12" fillId="0" borderId="3" xfId="570" applyNumberFormat="1" applyFill="1" applyBorder="1" applyAlignment="1">
      <alignment horizontal="center"/>
    </xf>
    <xf numFmtId="5" fontId="12" fillId="0" borderId="4" xfId="570" applyNumberFormat="1" applyFill="1" applyBorder="1" applyAlignment="1">
      <alignment horizontal="center"/>
    </xf>
    <xf numFmtId="168" fontId="12" fillId="5" borderId="5" xfId="570" applyNumberFormat="1" applyFill="1" applyBorder="1" applyAlignment="1" applyProtection="1">
      <alignment horizontal="center"/>
      <protection locked="0"/>
    </xf>
    <xf numFmtId="168" fontId="12" fillId="5" borderId="11" xfId="570" applyNumberFormat="1" applyFill="1" applyBorder="1" applyAlignment="1" applyProtection="1">
      <alignment horizontal="center"/>
      <protection locked="0"/>
    </xf>
    <xf numFmtId="168" fontId="12" fillId="0" borderId="5" xfId="570" applyNumberFormat="1" applyFont="1" applyFill="1" applyBorder="1" applyAlignment="1" applyProtection="1">
      <alignment horizontal="center"/>
    </xf>
    <xf numFmtId="168" fontId="12" fillId="0" borderId="11" xfId="570" applyNumberFormat="1" applyFont="1" applyFill="1" applyBorder="1" applyAlignment="1" applyProtection="1">
      <alignment horizontal="center"/>
    </xf>
    <xf numFmtId="9" fontId="12" fillId="0" borderId="5" xfId="570" applyNumberFormat="1" applyFill="1" applyBorder="1" applyAlignment="1" applyProtection="1">
      <alignment horizontal="center"/>
    </xf>
    <xf numFmtId="9" fontId="12" fillId="0" borderId="11" xfId="570" applyNumberFormat="1" applyFill="1" applyBorder="1" applyAlignment="1" applyProtection="1">
      <alignment horizontal="center"/>
    </xf>
    <xf numFmtId="9" fontId="12" fillId="0" borderId="9" xfId="570" applyNumberFormat="1" applyFill="1" applyBorder="1" applyAlignment="1">
      <alignment horizontal="center" vertical="center"/>
    </xf>
    <xf numFmtId="9" fontId="12" fillId="0" borderId="6" xfId="570" applyNumberFormat="1" applyFill="1" applyBorder="1" applyAlignment="1">
      <alignment horizontal="center" vertical="center"/>
    </xf>
    <xf numFmtId="9" fontId="12" fillId="0" borderId="10" xfId="570" applyNumberFormat="1" applyFill="1" applyBorder="1" applyAlignment="1">
      <alignment horizontal="center" vertical="center"/>
    </xf>
    <xf numFmtId="168" fontId="12" fillId="0" borderId="5" xfId="570" applyNumberFormat="1" applyFont="1" applyFill="1" applyBorder="1" applyAlignment="1">
      <alignment horizontal="center"/>
    </xf>
    <xf numFmtId="168" fontId="12" fillId="0" borderId="11" xfId="570" applyNumberFormat="1" applyFont="1" applyFill="1" applyBorder="1" applyAlignment="1">
      <alignment horizontal="center"/>
    </xf>
    <xf numFmtId="168" fontId="12" fillId="2" borderId="3" xfId="570" applyNumberFormat="1" applyFill="1" applyBorder="1" applyAlignment="1" applyProtection="1">
      <alignment horizontal="center"/>
    </xf>
    <xf numFmtId="168" fontId="12" fillId="2" borderId="4" xfId="570" applyNumberFormat="1" applyFill="1" applyBorder="1" applyAlignment="1" applyProtection="1">
      <alignment horizontal="center"/>
    </xf>
    <xf numFmtId="168" fontId="12" fillId="2" borderId="5" xfId="570" applyNumberFormat="1" applyFill="1" applyBorder="1" applyAlignment="1" applyProtection="1">
      <alignment horizontal="center"/>
    </xf>
    <xf numFmtId="168" fontId="12" fillId="5" borderId="10" xfId="570" applyNumberFormat="1" applyFill="1" applyBorder="1" applyAlignment="1" applyProtection="1">
      <alignment horizontal="center"/>
      <protection locked="0"/>
    </xf>
    <xf numFmtId="168" fontId="12" fillId="5" borderId="13" xfId="570" applyNumberFormat="1" applyFill="1" applyBorder="1" applyAlignment="1" applyProtection="1">
      <alignment horizontal="center"/>
      <protection locked="0"/>
    </xf>
    <xf numFmtId="0" fontId="18" fillId="3" borderId="2" xfId="570" applyFont="1" applyFill="1" applyBorder="1" applyAlignment="1">
      <alignment horizontal="center" vertical="center"/>
    </xf>
    <xf numFmtId="0" fontId="18" fillId="3" borderId="16" xfId="570" applyFont="1" applyFill="1" applyBorder="1" applyAlignment="1">
      <alignment horizontal="center" vertical="center"/>
    </xf>
    <xf numFmtId="168" fontId="12" fillId="0" borderId="7" xfId="570" applyNumberFormat="1" applyFill="1" applyBorder="1" applyAlignment="1">
      <alignment horizontal="center"/>
    </xf>
    <xf numFmtId="168" fontId="12" fillId="0" borderId="15" xfId="570" applyNumberFormat="1" applyFill="1" applyBorder="1" applyAlignment="1">
      <alignment horizontal="center"/>
    </xf>
    <xf numFmtId="0" fontId="20" fillId="5" borderId="4" xfId="570" applyFont="1" applyFill="1" applyBorder="1" applyAlignment="1" applyProtection="1">
      <alignment horizontal="left"/>
      <protection locked="0"/>
    </xf>
    <xf numFmtId="0" fontId="20" fillId="5" borderId="5" xfId="570" applyFont="1" applyFill="1" applyBorder="1" applyAlignment="1" applyProtection="1">
      <alignment horizontal="left"/>
      <protection locked="0"/>
    </xf>
    <xf numFmtId="0" fontId="19" fillId="0" borderId="3" xfId="570" applyFont="1" applyFill="1" applyBorder="1" applyAlignment="1">
      <alignment horizontal="left"/>
    </xf>
    <xf numFmtId="0" fontId="19" fillId="0" borderId="4" xfId="570" applyFont="1" applyFill="1" applyBorder="1" applyAlignment="1">
      <alignment horizontal="left"/>
    </xf>
    <xf numFmtId="0" fontId="19" fillId="0" borderId="5" xfId="570" applyFont="1" applyFill="1" applyBorder="1" applyAlignment="1">
      <alignment horizontal="left"/>
    </xf>
    <xf numFmtId="0" fontId="20" fillId="0" borderId="4" xfId="570" applyFont="1" applyBorder="1" applyAlignment="1">
      <alignment horizontal="left"/>
    </xf>
    <xf numFmtId="0" fontId="20" fillId="0" borderId="5" xfId="570" applyFont="1" applyBorder="1" applyAlignment="1">
      <alignment horizontal="left"/>
    </xf>
    <xf numFmtId="179" fontId="19" fillId="0" borderId="0" xfId="570" applyNumberFormat="1" applyFont="1" applyFill="1" applyBorder="1" applyAlignment="1" applyProtection="1">
      <alignment horizontal="center" wrapText="1"/>
    </xf>
    <xf numFmtId="164" fontId="19" fillId="0" borderId="0" xfId="570" applyNumberFormat="1" applyFont="1" applyFill="1" applyBorder="1" applyAlignment="1" applyProtection="1">
      <alignment horizontal="center" wrapText="1"/>
    </xf>
    <xf numFmtId="0" fontId="19" fillId="0" borderId="3" xfId="570" applyFont="1" applyFill="1" applyBorder="1" applyAlignment="1">
      <alignment horizontal="right"/>
    </xf>
    <xf numFmtId="0" fontId="19" fillId="0" borderId="4" xfId="570" applyFont="1" applyFill="1" applyBorder="1" applyAlignment="1">
      <alignment horizontal="right"/>
    </xf>
    <xf numFmtId="0" fontId="19" fillId="0" borderId="5" xfId="570" applyFont="1" applyFill="1" applyBorder="1" applyAlignment="1">
      <alignment horizontal="right"/>
    </xf>
    <xf numFmtId="0" fontId="12" fillId="0" borderId="3" xfId="570" applyFont="1" applyBorder="1" applyAlignment="1">
      <alignment horizontal="right"/>
    </xf>
    <xf numFmtId="0" fontId="12" fillId="0" borderId="4" xfId="570" applyFont="1" applyBorder="1" applyAlignment="1">
      <alignment horizontal="right"/>
    </xf>
    <xf numFmtId="0" fontId="12" fillId="0" borderId="5" xfId="570" applyFont="1" applyBorder="1" applyAlignment="1">
      <alignment horizontal="right"/>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168" fontId="12" fillId="0" borderId="3" xfId="570" applyNumberFormat="1" applyBorder="1" applyAlignment="1">
      <alignment horizontal="center"/>
    </xf>
    <xf numFmtId="168" fontId="12" fillId="0" borderId="4" xfId="570" applyNumberFormat="1" applyBorder="1" applyAlignment="1">
      <alignment horizontal="center"/>
    </xf>
    <xf numFmtId="168" fontId="12" fillId="0" borderId="5" xfId="570" applyNumberFormat="1" applyBorder="1" applyAlignment="1">
      <alignment horizontal="center"/>
    </xf>
    <xf numFmtId="0" fontId="20" fillId="5" borderId="14" xfId="570" applyFont="1" applyFill="1" applyBorder="1" applyAlignment="1" applyProtection="1">
      <alignment horizontal="center" wrapText="1"/>
      <protection locked="0"/>
    </xf>
    <xf numFmtId="0" fontId="61" fillId="0" borderId="15" xfId="570" applyFont="1" applyBorder="1" applyAlignment="1">
      <alignment horizontal="center" vertical="center" wrapText="1"/>
    </xf>
    <xf numFmtId="0" fontId="61" fillId="0" borderId="13" xfId="570" applyFont="1" applyBorder="1" applyAlignment="1">
      <alignment horizontal="center" vertical="center" wrapText="1"/>
    </xf>
    <xf numFmtId="49" fontId="132" fillId="3" borderId="0" xfId="570" applyNumberFormat="1" applyFont="1" applyFill="1" applyBorder="1" applyAlignment="1" applyProtection="1">
      <alignment horizontal="center" vertical="center"/>
    </xf>
    <xf numFmtId="0" fontId="17" fillId="0" borderId="0" xfId="570" applyFont="1" applyBorder="1" applyAlignment="1">
      <alignment horizontal="left" vertical="center" wrapText="1"/>
    </xf>
    <xf numFmtId="0" fontId="17" fillId="0" borderId="6" xfId="570" applyFont="1" applyBorder="1" applyAlignment="1">
      <alignment horizontal="left" vertical="center" wrapText="1"/>
    </xf>
    <xf numFmtId="0" fontId="17" fillId="0" borderId="4" xfId="570" applyFont="1" applyBorder="1" applyAlignment="1">
      <alignment horizontal="left" vertical="center" wrapText="1"/>
    </xf>
    <xf numFmtId="0" fontId="17" fillId="0" borderId="4" xfId="570" applyFont="1" applyBorder="1" applyAlignment="1">
      <alignment horizontal="left" wrapText="1"/>
    </xf>
    <xf numFmtId="0" fontId="61" fillId="0" borderId="1" xfId="570" applyFont="1" applyBorder="1" applyAlignment="1">
      <alignment horizontal="center" vertical="center"/>
    </xf>
    <xf numFmtId="0" fontId="12" fillId="0" borderId="2" xfId="570" applyBorder="1" applyAlignment="1"/>
    <xf numFmtId="0" fontId="12" fillId="0" borderId="7" xfId="570" applyBorder="1" applyAlignment="1"/>
    <xf numFmtId="0" fontId="12" fillId="0" borderId="9" xfId="570" applyBorder="1" applyAlignment="1"/>
    <xf numFmtId="0" fontId="12" fillId="0" borderId="6" xfId="570" applyBorder="1" applyAlignment="1"/>
    <xf numFmtId="0" fontId="12" fillId="0" borderId="10" xfId="570" applyBorder="1" applyAlignment="1"/>
    <xf numFmtId="0" fontId="61" fillId="0" borderId="15" xfId="1193" applyFont="1" applyBorder="1" applyAlignment="1">
      <alignment horizontal="center" vertical="center" wrapText="1"/>
    </xf>
    <xf numFmtId="0" fontId="61" fillId="0" borderId="13" xfId="1193" applyFont="1" applyBorder="1" applyAlignment="1">
      <alignment horizontal="center" vertical="center" wrapText="1"/>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4" borderId="0" xfId="0" applyFont="1" applyFill="1" applyAlignment="1">
      <alignment horizontal="left"/>
    </xf>
    <xf numFmtId="0" fontId="17" fillId="0" borderId="6" xfId="271" applyFont="1" applyBorder="1" applyAlignment="1" applyProtection="1">
      <alignment horizontal="center"/>
    </xf>
  </cellXfs>
  <cellStyles count="17148">
    <cellStyle name="20% - Accent1" xfId="1" builtinId="30" customBuiltin="1"/>
    <cellStyle name="20% - Accent1 10" xfId="4507" xr:uid="{00000000-0005-0000-0000-000001000000}"/>
    <cellStyle name="20% - Accent1 10 2" xfId="12936" xr:uid="{25584328-BED3-46BF-AB2A-36EFB7902029}"/>
    <cellStyle name="20% - Accent1 11" xfId="8718" xr:uid="{A717CBEF-0C33-43E8-BED5-EE4B687E4049}"/>
    <cellStyle name="20% - Accent1 2" xfId="2" xr:uid="{00000000-0005-0000-0000-000002000000}"/>
    <cellStyle name="20% - Accent1 2 10" xfId="8719" xr:uid="{278FCCD6-1A1E-4C91-A70D-F83652C97D9A}"/>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2 2 2" xfId="15498" xr:uid="{F61AB611-B429-4304-9521-D41F6FAD6917}"/>
    <cellStyle name="20% - Accent1 2 2 2 2 2 3" xfId="11280" xr:uid="{8BFE4F25-FB1B-4E04-AEED-5544E6572F52}"/>
    <cellStyle name="20% - Accent1 2 2 2 2 3" xfId="4924" xr:uid="{00000000-0005-0000-0000-000008000000}"/>
    <cellStyle name="20% - Accent1 2 2 2 2 3 2" xfId="13353" xr:uid="{2C4B1017-831C-4FDD-B108-90E5E15B9B17}"/>
    <cellStyle name="20% - Accent1 2 2 2 2 4" xfId="9135" xr:uid="{CA62A9FE-25C9-4849-9488-7A2C0CA17117}"/>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2 2 2" xfId="15911" xr:uid="{D805AA5E-49B6-467B-9640-F9CE581A0A95}"/>
    <cellStyle name="20% - Accent1 2 2 2 3 2 3" xfId="11693" xr:uid="{3713F2AB-76B5-4455-A7D9-19C6BFC9FFF2}"/>
    <cellStyle name="20% - Accent1 2 2 2 3 3" xfId="5337" xr:uid="{00000000-0005-0000-0000-00000C000000}"/>
    <cellStyle name="20% - Accent1 2 2 2 3 3 2" xfId="13766" xr:uid="{FD98287C-B76A-4585-9E5B-A8398B77514D}"/>
    <cellStyle name="20% - Accent1 2 2 2 3 4" xfId="9548" xr:uid="{8DD593D8-DA7B-434C-BEFA-D743958F84E6}"/>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2 2 2" xfId="16324" xr:uid="{39D9E7B6-78F8-4E12-B1DC-1F4E8DFCD537}"/>
    <cellStyle name="20% - Accent1 2 2 2 4 2 3" xfId="12106" xr:uid="{55005A14-8368-414F-B554-E08C667A98B0}"/>
    <cellStyle name="20% - Accent1 2 2 2 4 3" xfId="5750" xr:uid="{00000000-0005-0000-0000-000010000000}"/>
    <cellStyle name="20% - Accent1 2 2 2 4 3 2" xfId="14179" xr:uid="{E3E071FA-246D-48D7-8D6C-134DA78319CC}"/>
    <cellStyle name="20% - Accent1 2 2 2 4 4" xfId="9961" xr:uid="{B8CF9EAB-182F-4BCF-8A44-AA3AC34FDA35}"/>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2 2 2" xfId="16737" xr:uid="{C20877F5-BB84-4894-A52C-3BF8E7353D52}"/>
    <cellStyle name="20% - Accent1 2 2 2 5 2 3" xfId="12519" xr:uid="{6E5A7DF4-87D1-435C-B465-C32444ED2328}"/>
    <cellStyle name="20% - Accent1 2 2 2 5 3" xfId="6163" xr:uid="{00000000-0005-0000-0000-000014000000}"/>
    <cellStyle name="20% - Accent1 2 2 2 5 3 2" xfId="14592" xr:uid="{EC926063-7F27-40BD-A5E0-829C29AA3E09}"/>
    <cellStyle name="20% - Accent1 2 2 2 5 4" xfId="10374" xr:uid="{2A212D54-78C7-4FCF-8CAD-48BF4BA8A7C0}"/>
    <cellStyle name="20% - Accent1 2 2 2 6" xfId="2268" xr:uid="{00000000-0005-0000-0000-000015000000}"/>
    <cellStyle name="20% - Accent1 2 2 2 6 2" xfId="6576" xr:uid="{00000000-0005-0000-0000-000016000000}"/>
    <cellStyle name="20% - Accent1 2 2 2 6 2 2" xfId="15005" xr:uid="{E28E530E-1160-46CA-AC1F-E2EF8A0E0F5E}"/>
    <cellStyle name="20% - Accent1 2 2 2 6 3" xfId="10787" xr:uid="{A963E356-A90B-46F4-B7B7-2F6D5AD2A460}"/>
    <cellStyle name="20% - Accent1 2 2 2 7" xfId="4510" xr:uid="{00000000-0005-0000-0000-000017000000}"/>
    <cellStyle name="20% - Accent1 2 2 2 7 2" xfId="12939" xr:uid="{925EE071-77FF-43E3-AE0E-9070FA6EB0E9}"/>
    <cellStyle name="20% - Accent1 2 2 2 8" xfId="8721" xr:uid="{45997448-F474-4231-BB5C-26DD3D69E170}"/>
    <cellStyle name="20% - Accent1 2 2 3" xfId="573" xr:uid="{00000000-0005-0000-0000-000018000000}"/>
    <cellStyle name="20% - Accent1 2 2 3 2" xfId="2844" xr:uid="{00000000-0005-0000-0000-000019000000}"/>
    <cellStyle name="20% - Accent1 2 2 3 2 2" xfId="7068" xr:uid="{00000000-0005-0000-0000-00001A000000}"/>
    <cellStyle name="20% - Accent1 2 2 3 2 2 2" xfId="15497" xr:uid="{71690992-735A-413F-98FC-643C6FF8181E}"/>
    <cellStyle name="20% - Accent1 2 2 3 2 3" xfId="11279" xr:uid="{A5E83E65-22CD-44D0-9B2F-EB9016B8DC38}"/>
    <cellStyle name="20% - Accent1 2 2 3 3" xfId="4923" xr:uid="{00000000-0005-0000-0000-00001B000000}"/>
    <cellStyle name="20% - Accent1 2 2 3 3 2" xfId="13352" xr:uid="{64E646A9-7D19-4E32-B860-31C18C00C6E9}"/>
    <cellStyle name="20% - Accent1 2 2 3 4" xfId="9134" xr:uid="{2E9373D9-2F2F-4930-B1F1-47B714778F02}"/>
    <cellStyle name="20% - Accent1 2 2 4" xfId="1026" xr:uid="{00000000-0005-0000-0000-00001C000000}"/>
    <cellStyle name="20% - Accent1 2 2 4 2" xfId="3257" xr:uid="{00000000-0005-0000-0000-00001D000000}"/>
    <cellStyle name="20% - Accent1 2 2 4 2 2" xfId="7481" xr:uid="{00000000-0005-0000-0000-00001E000000}"/>
    <cellStyle name="20% - Accent1 2 2 4 2 2 2" xfId="15910" xr:uid="{A5A60E4C-E2D5-4217-BE38-AF76C6B10270}"/>
    <cellStyle name="20% - Accent1 2 2 4 2 3" xfId="11692" xr:uid="{9D850449-CC55-444E-B6A1-BAE678DF581B}"/>
    <cellStyle name="20% - Accent1 2 2 4 3" xfId="5336" xr:uid="{00000000-0005-0000-0000-00001F000000}"/>
    <cellStyle name="20% - Accent1 2 2 4 3 2" xfId="13765" xr:uid="{A639A938-20D2-4243-A14A-6E78C9E00E29}"/>
    <cellStyle name="20% - Accent1 2 2 4 4" xfId="9547" xr:uid="{F121FB7F-92B3-45B1-969E-28729FDB78E7}"/>
    <cellStyle name="20% - Accent1 2 2 5" xfId="1440" xr:uid="{00000000-0005-0000-0000-000020000000}"/>
    <cellStyle name="20% - Accent1 2 2 5 2" xfId="3670" xr:uid="{00000000-0005-0000-0000-000021000000}"/>
    <cellStyle name="20% - Accent1 2 2 5 2 2" xfId="7894" xr:uid="{00000000-0005-0000-0000-000022000000}"/>
    <cellStyle name="20% - Accent1 2 2 5 2 2 2" xfId="16323" xr:uid="{976D84DF-0842-4333-BE51-6181586950C3}"/>
    <cellStyle name="20% - Accent1 2 2 5 2 3" xfId="12105" xr:uid="{C3972185-96AD-4622-A1EC-A00F8651A812}"/>
    <cellStyle name="20% - Accent1 2 2 5 3" xfId="5749" xr:uid="{00000000-0005-0000-0000-000023000000}"/>
    <cellStyle name="20% - Accent1 2 2 5 3 2" xfId="14178" xr:uid="{46EA4807-8985-40B5-B3B6-2284A8FC56DD}"/>
    <cellStyle name="20% - Accent1 2 2 5 4" xfId="9960" xr:uid="{F8960A3C-270E-4A17-8D2C-7FFCF71CBB6F}"/>
    <cellStyle name="20% - Accent1 2 2 6" xfId="1854" xr:uid="{00000000-0005-0000-0000-000024000000}"/>
    <cellStyle name="20% - Accent1 2 2 6 2" xfId="4083" xr:uid="{00000000-0005-0000-0000-000025000000}"/>
    <cellStyle name="20% - Accent1 2 2 6 2 2" xfId="8307" xr:uid="{00000000-0005-0000-0000-000026000000}"/>
    <cellStyle name="20% - Accent1 2 2 6 2 2 2" xfId="16736" xr:uid="{946A80E1-DC29-4E0E-B3C5-C2E0101D86F9}"/>
    <cellStyle name="20% - Accent1 2 2 6 2 3" xfId="12518" xr:uid="{2371DEF5-5B0C-4F6B-BA7D-A05792B8DFCC}"/>
    <cellStyle name="20% - Accent1 2 2 6 3" xfId="6162" xr:uid="{00000000-0005-0000-0000-000027000000}"/>
    <cellStyle name="20% - Accent1 2 2 6 3 2" xfId="14591" xr:uid="{383FBA5A-1B89-490A-B1BD-96C4626A0522}"/>
    <cellStyle name="20% - Accent1 2 2 6 4" xfId="10373" xr:uid="{B1A4617F-9B68-4FEE-B45B-DECAF3FA9648}"/>
    <cellStyle name="20% - Accent1 2 2 7" xfId="2267" xr:uid="{00000000-0005-0000-0000-000028000000}"/>
    <cellStyle name="20% - Accent1 2 2 7 2" xfId="6575" xr:uid="{00000000-0005-0000-0000-000029000000}"/>
    <cellStyle name="20% - Accent1 2 2 7 2 2" xfId="15004" xr:uid="{3C307621-F572-47F8-810B-CBED8C9561D5}"/>
    <cellStyle name="20% - Accent1 2 2 7 3" xfId="10786" xr:uid="{2D5E4EA2-94BB-476D-8AEB-EDF79353A59E}"/>
    <cellStyle name="20% - Accent1 2 2 8" xfId="4509" xr:uid="{00000000-0005-0000-0000-00002A000000}"/>
    <cellStyle name="20% - Accent1 2 2 8 2" xfId="12938" xr:uid="{D0031FF7-0593-4B67-B2E7-E1007927EF18}"/>
    <cellStyle name="20% - Accent1 2 2 9" xfId="8720" xr:uid="{67D71023-4A34-4BE7-B529-068773AB6F6E}"/>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2 2 2" xfId="15499" xr:uid="{FC6654A2-8A47-4FD1-B6C6-1F9DB64D8979}"/>
    <cellStyle name="20% - Accent1 2 3 2 2 3" xfId="11281" xr:uid="{589E3747-2C2C-4F8A-B81A-FEB8DBFE9374}"/>
    <cellStyle name="20% - Accent1 2 3 2 3" xfId="4925" xr:uid="{00000000-0005-0000-0000-00002F000000}"/>
    <cellStyle name="20% - Accent1 2 3 2 3 2" xfId="13354" xr:uid="{BD73E746-B6EB-4D45-AA33-EE38F388E5BC}"/>
    <cellStyle name="20% - Accent1 2 3 2 4" xfId="9136" xr:uid="{A3CEECED-6AD4-49A8-A5A3-2CFA5C2B04FA}"/>
    <cellStyle name="20% - Accent1 2 3 3" xfId="1028" xr:uid="{00000000-0005-0000-0000-000030000000}"/>
    <cellStyle name="20% - Accent1 2 3 3 2" xfId="3259" xr:uid="{00000000-0005-0000-0000-000031000000}"/>
    <cellStyle name="20% - Accent1 2 3 3 2 2" xfId="7483" xr:uid="{00000000-0005-0000-0000-000032000000}"/>
    <cellStyle name="20% - Accent1 2 3 3 2 2 2" xfId="15912" xr:uid="{03B3056D-5ED5-4619-84B1-ABBA663F5360}"/>
    <cellStyle name="20% - Accent1 2 3 3 2 3" xfId="11694" xr:uid="{EF69D866-F55D-47B0-AA24-92366AF39CCB}"/>
    <cellStyle name="20% - Accent1 2 3 3 3" xfId="5338" xr:uid="{00000000-0005-0000-0000-000033000000}"/>
    <cellStyle name="20% - Accent1 2 3 3 3 2" xfId="13767" xr:uid="{D07DA84F-8EFF-4354-97C4-7633B4672E58}"/>
    <cellStyle name="20% - Accent1 2 3 3 4" xfId="9549" xr:uid="{600A98B6-6758-4701-9AE5-E14EFE33CD0A}"/>
    <cellStyle name="20% - Accent1 2 3 4" xfId="1442" xr:uid="{00000000-0005-0000-0000-000034000000}"/>
    <cellStyle name="20% - Accent1 2 3 4 2" xfId="3672" xr:uid="{00000000-0005-0000-0000-000035000000}"/>
    <cellStyle name="20% - Accent1 2 3 4 2 2" xfId="7896" xr:uid="{00000000-0005-0000-0000-000036000000}"/>
    <cellStyle name="20% - Accent1 2 3 4 2 2 2" xfId="16325" xr:uid="{164DE2FB-DC99-4E7B-A5AC-90E463F8628D}"/>
    <cellStyle name="20% - Accent1 2 3 4 2 3" xfId="12107" xr:uid="{3738C46C-14FF-4DA5-9819-D2EDF247FB73}"/>
    <cellStyle name="20% - Accent1 2 3 4 3" xfId="5751" xr:uid="{00000000-0005-0000-0000-000037000000}"/>
    <cellStyle name="20% - Accent1 2 3 4 3 2" xfId="14180" xr:uid="{49626749-B7A4-444D-AA73-CDFB4B648DC7}"/>
    <cellStyle name="20% - Accent1 2 3 4 4" xfId="9962" xr:uid="{EC96CCDC-0AF5-4298-B08D-4FC3986714C9}"/>
    <cellStyle name="20% - Accent1 2 3 5" xfId="1856" xr:uid="{00000000-0005-0000-0000-000038000000}"/>
    <cellStyle name="20% - Accent1 2 3 5 2" xfId="4085" xr:uid="{00000000-0005-0000-0000-000039000000}"/>
    <cellStyle name="20% - Accent1 2 3 5 2 2" xfId="8309" xr:uid="{00000000-0005-0000-0000-00003A000000}"/>
    <cellStyle name="20% - Accent1 2 3 5 2 2 2" xfId="16738" xr:uid="{2E5B0BD0-1123-42C2-B138-83C59680D5E3}"/>
    <cellStyle name="20% - Accent1 2 3 5 2 3" xfId="12520" xr:uid="{A675FC9B-7697-4087-9F3C-29C8A01ED6E0}"/>
    <cellStyle name="20% - Accent1 2 3 5 3" xfId="6164" xr:uid="{00000000-0005-0000-0000-00003B000000}"/>
    <cellStyle name="20% - Accent1 2 3 5 3 2" xfId="14593" xr:uid="{11F3B2D4-8031-4AD9-9D7B-0D77EBE4B674}"/>
    <cellStyle name="20% - Accent1 2 3 5 4" xfId="10375" xr:uid="{E2248897-37D4-413B-AAFD-73679141E067}"/>
    <cellStyle name="20% - Accent1 2 3 6" xfId="2269" xr:uid="{00000000-0005-0000-0000-00003C000000}"/>
    <cellStyle name="20% - Accent1 2 3 6 2" xfId="6577" xr:uid="{00000000-0005-0000-0000-00003D000000}"/>
    <cellStyle name="20% - Accent1 2 3 6 2 2" xfId="15006" xr:uid="{5A228403-EDC7-44C1-BEA7-57AC3F55B413}"/>
    <cellStyle name="20% - Accent1 2 3 6 3" xfId="10788" xr:uid="{1AD2F5A0-956A-4633-95C0-06E55DBC56B5}"/>
    <cellStyle name="20% - Accent1 2 3 7" xfId="4511" xr:uid="{00000000-0005-0000-0000-00003E000000}"/>
    <cellStyle name="20% - Accent1 2 3 7 2" xfId="12940" xr:uid="{E8497356-E3CA-420D-B243-57AC8E87D46F}"/>
    <cellStyle name="20% - Accent1 2 3 8" xfId="8722" xr:uid="{B2B7F2A8-3A57-4AD2-8AE4-25B31FB6BD8B}"/>
    <cellStyle name="20% - Accent1 2 4" xfId="572" xr:uid="{00000000-0005-0000-0000-00003F000000}"/>
    <cellStyle name="20% - Accent1 2 4 2" xfId="2843" xr:uid="{00000000-0005-0000-0000-000040000000}"/>
    <cellStyle name="20% - Accent1 2 4 2 2" xfId="7067" xr:uid="{00000000-0005-0000-0000-000041000000}"/>
    <cellStyle name="20% - Accent1 2 4 2 2 2" xfId="15496" xr:uid="{FFC99404-214A-4120-94D8-04E445A4B9EF}"/>
    <cellStyle name="20% - Accent1 2 4 2 3" xfId="11278" xr:uid="{9E189CDD-7363-42D6-8CFB-41812CADB685}"/>
    <cellStyle name="20% - Accent1 2 4 3" xfId="4922" xr:uid="{00000000-0005-0000-0000-000042000000}"/>
    <cellStyle name="20% - Accent1 2 4 3 2" xfId="13351" xr:uid="{72822413-BD75-4D33-AF3E-F6FF3A07E2CA}"/>
    <cellStyle name="20% - Accent1 2 4 4" xfId="9133" xr:uid="{79459EA8-2535-4252-9815-08C3167A0214}"/>
    <cellStyle name="20% - Accent1 2 5" xfId="1025" xr:uid="{00000000-0005-0000-0000-000043000000}"/>
    <cellStyle name="20% - Accent1 2 5 2" xfId="3256" xr:uid="{00000000-0005-0000-0000-000044000000}"/>
    <cellStyle name="20% - Accent1 2 5 2 2" xfId="7480" xr:uid="{00000000-0005-0000-0000-000045000000}"/>
    <cellStyle name="20% - Accent1 2 5 2 2 2" xfId="15909" xr:uid="{04CEA297-92E2-4D98-A897-5F7964121291}"/>
    <cellStyle name="20% - Accent1 2 5 2 3" xfId="11691" xr:uid="{7D78E888-3EA2-46FE-A70E-44A7D9D91F72}"/>
    <cellStyle name="20% - Accent1 2 5 3" xfId="5335" xr:uid="{00000000-0005-0000-0000-000046000000}"/>
    <cellStyle name="20% - Accent1 2 5 3 2" xfId="13764" xr:uid="{719A1D7D-205F-4DA0-A806-6BACFBC9DA4B}"/>
    <cellStyle name="20% - Accent1 2 5 4" xfId="9546" xr:uid="{5184EF64-1B3C-423A-82A6-6A6B79E8199A}"/>
    <cellStyle name="20% - Accent1 2 6" xfId="1439" xr:uid="{00000000-0005-0000-0000-000047000000}"/>
    <cellStyle name="20% - Accent1 2 6 2" xfId="3669" xr:uid="{00000000-0005-0000-0000-000048000000}"/>
    <cellStyle name="20% - Accent1 2 6 2 2" xfId="7893" xr:uid="{00000000-0005-0000-0000-000049000000}"/>
    <cellStyle name="20% - Accent1 2 6 2 2 2" xfId="16322" xr:uid="{1290CF30-6116-4B91-A532-E4906C2E344D}"/>
    <cellStyle name="20% - Accent1 2 6 2 3" xfId="12104" xr:uid="{D71AC9FF-FCE4-4DD4-8783-2A5D87AD78E1}"/>
    <cellStyle name="20% - Accent1 2 6 3" xfId="5748" xr:uid="{00000000-0005-0000-0000-00004A000000}"/>
    <cellStyle name="20% - Accent1 2 6 3 2" xfId="14177" xr:uid="{634E315D-6A79-4E77-B0C3-FCB80B577580}"/>
    <cellStyle name="20% - Accent1 2 6 4" xfId="9959" xr:uid="{B8F09F81-F99D-400D-AFC4-6FB039D039E9}"/>
    <cellStyle name="20% - Accent1 2 7" xfId="1853" xr:uid="{00000000-0005-0000-0000-00004B000000}"/>
    <cellStyle name="20% - Accent1 2 7 2" xfId="4082" xr:uid="{00000000-0005-0000-0000-00004C000000}"/>
    <cellStyle name="20% - Accent1 2 7 2 2" xfId="8306" xr:uid="{00000000-0005-0000-0000-00004D000000}"/>
    <cellStyle name="20% - Accent1 2 7 2 2 2" xfId="16735" xr:uid="{16C31E36-F407-4E36-883C-C6BD08C80561}"/>
    <cellStyle name="20% - Accent1 2 7 2 3" xfId="12517" xr:uid="{54F88849-60B2-4429-8D81-5D5E2F63599D}"/>
    <cellStyle name="20% - Accent1 2 7 3" xfId="6161" xr:uid="{00000000-0005-0000-0000-00004E000000}"/>
    <cellStyle name="20% - Accent1 2 7 3 2" xfId="14590" xr:uid="{E06906E6-6541-483C-B985-D26284BA02EA}"/>
    <cellStyle name="20% - Accent1 2 7 4" xfId="10372" xr:uid="{4034C388-A086-42BA-B993-4E274D7BCC0F}"/>
    <cellStyle name="20% - Accent1 2 8" xfId="2266" xr:uid="{00000000-0005-0000-0000-00004F000000}"/>
    <cellStyle name="20% - Accent1 2 8 2" xfId="6574" xr:uid="{00000000-0005-0000-0000-000050000000}"/>
    <cellStyle name="20% - Accent1 2 8 2 2" xfId="15003" xr:uid="{3C24CC4A-C304-43B4-A880-154F66472DD8}"/>
    <cellStyle name="20% - Accent1 2 8 3" xfId="10785" xr:uid="{2D7E4D78-2DD5-4C1B-8BE2-7DF067D7D85B}"/>
    <cellStyle name="20% - Accent1 2 9" xfId="4508" xr:uid="{00000000-0005-0000-0000-000051000000}"/>
    <cellStyle name="20% - Accent1 2 9 2" xfId="12937" xr:uid="{07EBB4D2-A953-42D2-B842-82E045151BFD}"/>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2 2 2" xfId="15501" xr:uid="{B6B65B1D-975F-4643-A5D1-E95D3C89A724}"/>
    <cellStyle name="20% - Accent1 3 2 2 2 3" xfId="11283" xr:uid="{BDFD856B-E6E2-4C99-B83C-D6C0C1C58DB9}"/>
    <cellStyle name="20% - Accent1 3 2 2 3" xfId="4927" xr:uid="{00000000-0005-0000-0000-000057000000}"/>
    <cellStyle name="20% - Accent1 3 2 2 3 2" xfId="13356" xr:uid="{2E7FD393-FA1E-4412-A0C7-95A6979EF59C}"/>
    <cellStyle name="20% - Accent1 3 2 2 4" xfId="9138" xr:uid="{5CDE212A-68BF-46E9-AACE-6A046DEE3DDC}"/>
    <cellStyle name="20% - Accent1 3 2 3" xfId="1030" xr:uid="{00000000-0005-0000-0000-000058000000}"/>
    <cellStyle name="20% - Accent1 3 2 3 2" xfId="3261" xr:uid="{00000000-0005-0000-0000-000059000000}"/>
    <cellStyle name="20% - Accent1 3 2 3 2 2" xfId="7485" xr:uid="{00000000-0005-0000-0000-00005A000000}"/>
    <cellStyle name="20% - Accent1 3 2 3 2 2 2" xfId="15914" xr:uid="{12422FEE-0F5F-4A8F-8CD7-0F7F7BC0C617}"/>
    <cellStyle name="20% - Accent1 3 2 3 2 3" xfId="11696" xr:uid="{F3048C56-C94A-4C95-A166-AA9674800CC1}"/>
    <cellStyle name="20% - Accent1 3 2 3 3" xfId="5340" xr:uid="{00000000-0005-0000-0000-00005B000000}"/>
    <cellStyle name="20% - Accent1 3 2 3 3 2" xfId="13769" xr:uid="{679A33F1-3317-453F-8816-24B79A033E05}"/>
    <cellStyle name="20% - Accent1 3 2 3 4" xfId="9551" xr:uid="{93BB864A-8EA6-46E2-952A-95A0182591FC}"/>
    <cellStyle name="20% - Accent1 3 2 4" xfId="1444" xr:uid="{00000000-0005-0000-0000-00005C000000}"/>
    <cellStyle name="20% - Accent1 3 2 4 2" xfId="3674" xr:uid="{00000000-0005-0000-0000-00005D000000}"/>
    <cellStyle name="20% - Accent1 3 2 4 2 2" xfId="7898" xr:uid="{00000000-0005-0000-0000-00005E000000}"/>
    <cellStyle name="20% - Accent1 3 2 4 2 2 2" xfId="16327" xr:uid="{4A25B633-2967-4B0B-99F4-9E0E88A3A8B9}"/>
    <cellStyle name="20% - Accent1 3 2 4 2 3" xfId="12109" xr:uid="{9451847E-7068-4737-8782-C63B087A9B22}"/>
    <cellStyle name="20% - Accent1 3 2 4 3" xfId="5753" xr:uid="{00000000-0005-0000-0000-00005F000000}"/>
    <cellStyle name="20% - Accent1 3 2 4 3 2" xfId="14182" xr:uid="{FECC60BC-9BF5-4306-88F0-3B3F83BE36B0}"/>
    <cellStyle name="20% - Accent1 3 2 4 4" xfId="9964" xr:uid="{421A901D-878C-4440-9CC9-F02320F05BE9}"/>
    <cellStyle name="20% - Accent1 3 2 5" xfId="1858" xr:uid="{00000000-0005-0000-0000-000060000000}"/>
    <cellStyle name="20% - Accent1 3 2 5 2" xfId="4087" xr:uid="{00000000-0005-0000-0000-000061000000}"/>
    <cellStyle name="20% - Accent1 3 2 5 2 2" xfId="8311" xr:uid="{00000000-0005-0000-0000-000062000000}"/>
    <cellStyle name="20% - Accent1 3 2 5 2 2 2" xfId="16740" xr:uid="{663F285B-DDA5-4291-90B5-5A9FDC602947}"/>
    <cellStyle name="20% - Accent1 3 2 5 2 3" xfId="12522" xr:uid="{7089B38C-EF14-4037-B3EA-9699EAB01498}"/>
    <cellStyle name="20% - Accent1 3 2 5 3" xfId="6166" xr:uid="{00000000-0005-0000-0000-000063000000}"/>
    <cellStyle name="20% - Accent1 3 2 5 3 2" xfId="14595" xr:uid="{4FCF24BD-53B0-4F06-8C77-DFB0278B1B03}"/>
    <cellStyle name="20% - Accent1 3 2 5 4" xfId="10377" xr:uid="{E3D1E3FF-23FE-4520-A5C1-A783F79FCB42}"/>
    <cellStyle name="20% - Accent1 3 2 6" xfId="2271" xr:uid="{00000000-0005-0000-0000-000064000000}"/>
    <cellStyle name="20% - Accent1 3 2 6 2" xfId="6579" xr:uid="{00000000-0005-0000-0000-000065000000}"/>
    <cellStyle name="20% - Accent1 3 2 6 2 2" xfId="15008" xr:uid="{FA739731-E1C0-4BDA-9462-FD49A0DB229A}"/>
    <cellStyle name="20% - Accent1 3 2 6 3" xfId="10790" xr:uid="{06685005-54A6-491F-9B22-37F51DB484C8}"/>
    <cellStyle name="20% - Accent1 3 2 7" xfId="4513" xr:uid="{00000000-0005-0000-0000-000066000000}"/>
    <cellStyle name="20% - Accent1 3 2 7 2" xfId="12942" xr:uid="{59B24F97-5F30-43DE-98AE-7202BDC69FCF}"/>
    <cellStyle name="20% - Accent1 3 2 8" xfId="8724" xr:uid="{16362549-E69D-4F39-9DE4-F17CDB2080FB}"/>
    <cellStyle name="20% - Accent1 3 3" xfId="576" xr:uid="{00000000-0005-0000-0000-000067000000}"/>
    <cellStyle name="20% - Accent1 3 3 2" xfId="2847" xr:uid="{00000000-0005-0000-0000-000068000000}"/>
    <cellStyle name="20% - Accent1 3 3 2 2" xfId="7071" xr:uid="{00000000-0005-0000-0000-000069000000}"/>
    <cellStyle name="20% - Accent1 3 3 2 2 2" xfId="15500" xr:uid="{F7CA2F27-1D18-4FB9-BE98-5D14A617BA29}"/>
    <cellStyle name="20% - Accent1 3 3 2 3" xfId="11282" xr:uid="{85DDF4F4-25B0-493F-857E-092622201B30}"/>
    <cellStyle name="20% - Accent1 3 3 3" xfId="4926" xr:uid="{00000000-0005-0000-0000-00006A000000}"/>
    <cellStyle name="20% - Accent1 3 3 3 2" xfId="13355" xr:uid="{CDD89872-688D-41C4-B829-1D177FC776C6}"/>
    <cellStyle name="20% - Accent1 3 3 4" xfId="9137" xr:uid="{658AB6D1-EB43-4E0C-8BFF-098D5DB95672}"/>
    <cellStyle name="20% - Accent1 3 4" xfId="1029" xr:uid="{00000000-0005-0000-0000-00006B000000}"/>
    <cellStyle name="20% - Accent1 3 4 2" xfId="3260" xr:uid="{00000000-0005-0000-0000-00006C000000}"/>
    <cellStyle name="20% - Accent1 3 4 2 2" xfId="7484" xr:uid="{00000000-0005-0000-0000-00006D000000}"/>
    <cellStyle name="20% - Accent1 3 4 2 2 2" xfId="15913" xr:uid="{5FB884FB-74D0-4898-B136-F6EC193D3CE4}"/>
    <cellStyle name="20% - Accent1 3 4 2 3" xfId="11695" xr:uid="{ABBA2DA1-5E8F-4326-8A4F-A2C2B3C345EB}"/>
    <cellStyle name="20% - Accent1 3 4 3" xfId="5339" xr:uid="{00000000-0005-0000-0000-00006E000000}"/>
    <cellStyle name="20% - Accent1 3 4 3 2" xfId="13768" xr:uid="{91465BB1-28E5-4E52-AD04-CA98526D2EAF}"/>
    <cellStyle name="20% - Accent1 3 4 4" xfId="9550" xr:uid="{FA68BD89-B38A-40B4-ABB2-03E4B29414BE}"/>
    <cellStyle name="20% - Accent1 3 5" xfId="1443" xr:uid="{00000000-0005-0000-0000-00006F000000}"/>
    <cellStyle name="20% - Accent1 3 5 2" xfId="3673" xr:uid="{00000000-0005-0000-0000-000070000000}"/>
    <cellStyle name="20% - Accent1 3 5 2 2" xfId="7897" xr:uid="{00000000-0005-0000-0000-000071000000}"/>
    <cellStyle name="20% - Accent1 3 5 2 2 2" xfId="16326" xr:uid="{F7B072BB-3ADF-4508-9471-F895309B4FAA}"/>
    <cellStyle name="20% - Accent1 3 5 2 3" xfId="12108" xr:uid="{841D4701-CBD6-4EE4-B3D8-5E3E6E46D9C3}"/>
    <cellStyle name="20% - Accent1 3 5 3" xfId="5752" xr:uid="{00000000-0005-0000-0000-000072000000}"/>
    <cellStyle name="20% - Accent1 3 5 3 2" xfId="14181" xr:uid="{5D560F71-FCDF-4B5C-A985-5D43A00E412E}"/>
    <cellStyle name="20% - Accent1 3 5 4" xfId="9963" xr:uid="{55E1C670-5301-4F6F-8EF5-04EE73DF2462}"/>
    <cellStyle name="20% - Accent1 3 6" xfId="1857" xr:uid="{00000000-0005-0000-0000-000073000000}"/>
    <cellStyle name="20% - Accent1 3 6 2" xfId="4086" xr:uid="{00000000-0005-0000-0000-000074000000}"/>
    <cellStyle name="20% - Accent1 3 6 2 2" xfId="8310" xr:uid="{00000000-0005-0000-0000-000075000000}"/>
    <cellStyle name="20% - Accent1 3 6 2 2 2" xfId="16739" xr:uid="{1061D153-CC59-429C-96AE-A499BE656D4D}"/>
    <cellStyle name="20% - Accent1 3 6 2 3" xfId="12521" xr:uid="{D9D662DA-58E1-44BF-B633-A415A3B49173}"/>
    <cellStyle name="20% - Accent1 3 6 3" xfId="6165" xr:uid="{00000000-0005-0000-0000-000076000000}"/>
    <cellStyle name="20% - Accent1 3 6 3 2" xfId="14594" xr:uid="{11AB415B-98C7-489D-BDD3-AFDD15CD45C2}"/>
    <cellStyle name="20% - Accent1 3 6 4" xfId="10376" xr:uid="{799A8F65-78DE-4EDD-8BEC-4F4EA5D3AC9F}"/>
    <cellStyle name="20% - Accent1 3 7" xfId="2270" xr:uid="{00000000-0005-0000-0000-000077000000}"/>
    <cellStyle name="20% - Accent1 3 7 2" xfId="6578" xr:uid="{00000000-0005-0000-0000-000078000000}"/>
    <cellStyle name="20% - Accent1 3 7 2 2" xfId="15007" xr:uid="{FB36681C-6368-453B-979C-F46B79B3AEF9}"/>
    <cellStyle name="20% - Accent1 3 7 3" xfId="10789" xr:uid="{8986AF65-A380-4588-A7B6-CE44199E4D5F}"/>
    <cellStyle name="20% - Accent1 3 8" xfId="4512" xr:uid="{00000000-0005-0000-0000-000079000000}"/>
    <cellStyle name="20% - Accent1 3 8 2" xfId="12941" xr:uid="{6ECCD4DB-2C40-4C31-8ED5-F0DCD520FC4C}"/>
    <cellStyle name="20% - Accent1 3 9" xfId="8723" xr:uid="{8D994622-6448-4D5D-9D28-F7A13B508647}"/>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2 2 2" xfId="15502" xr:uid="{6560669B-CA32-4AA9-B046-06451D25EA0F}"/>
    <cellStyle name="20% - Accent1 4 2 2 3" xfId="11284" xr:uid="{DA755A59-E713-4261-97B6-FB7E4B93C340}"/>
    <cellStyle name="20% - Accent1 4 2 3" xfId="4928" xr:uid="{00000000-0005-0000-0000-00007E000000}"/>
    <cellStyle name="20% - Accent1 4 2 3 2" xfId="13357" xr:uid="{C4B825DD-B219-4469-A0BB-F216BC74CA72}"/>
    <cellStyle name="20% - Accent1 4 2 4" xfId="9139" xr:uid="{074EF403-4DF2-451E-BB21-3CEC15FCFE2D}"/>
    <cellStyle name="20% - Accent1 4 3" xfId="1031" xr:uid="{00000000-0005-0000-0000-00007F000000}"/>
    <cellStyle name="20% - Accent1 4 3 2" xfId="3262" xr:uid="{00000000-0005-0000-0000-000080000000}"/>
    <cellStyle name="20% - Accent1 4 3 2 2" xfId="7486" xr:uid="{00000000-0005-0000-0000-000081000000}"/>
    <cellStyle name="20% - Accent1 4 3 2 2 2" xfId="15915" xr:uid="{0008A8EB-9702-4735-B67A-56A88FF0C51B}"/>
    <cellStyle name="20% - Accent1 4 3 2 3" xfId="11697" xr:uid="{DDF9B96F-0C09-4687-AFFC-FE59E0A855DE}"/>
    <cellStyle name="20% - Accent1 4 3 3" xfId="5341" xr:uid="{00000000-0005-0000-0000-000082000000}"/>
    <cellStyle name="20% - Accent1 4 3 3 2" xfId="13770" xr:uid="{5AF15982-1C7B-4E57-9D2E-3E581505A0F8}"/>
    <cellStyle name="20% - Accent1 4 3 4" xfId="9552" xr:uid="{A4C6E3DC-7F2A-48E2-8911-260402707F42}"/>
    <cellStyle name="20% - Accent1 4 4" xfId="1445" xr:uid="{00000000-0005-0000-0000-000083000000}"/>
    <cellStyle name="20% - Accent1 4 4 2" xfId="3675" xr:uid="{00000000-0005-0000-0000-000084000000}"/>
    <cellStyle name="20% - Accent1 4 4 2 2" xfId="7899" xr:uid="{00000000-0005-0000-0000-000085000000}"/>
    <cellStyle name="20% - Accent1 4 4 2 2 2" xfId="16328" xr:uid="{2B30876B-ADE7-4CC5-8753-2D1D7DB98887}"/>
    <cellStyle name="20% - Accent1 4 4 2 3" xfId="12110" xr:uid="{AC8119EE-2AAF-4573-A2DE-1AE7235A270F}"/>
    <cellStyle name="20% - Accent1 4 4 3" xfId="5754" xr:uid="{00000000-0005-0000-0000-000086000000}"/>
    <cellStyle name="20% - Accent1 4 4 3 2" xfId="14183" xr:uid="{F1063C71-A62A-4441-9419-223DC70F342F}"/>
    <cellStyle name="20% - Accent1 4 4 4" xfId="9965" xr:uid="{A9AF757C-73F1-4542-962B-403E0E7C9AF4}"/>
    <cellStyle name="20% - Accent1 4 5" xfId="1859" xr:uid="{00000000-0005-0000-0000-000087000000}"/>
    <cellStyle name="20% - Accent1 4 5 2" xfId="4088" xr:uid="{00000000-0005-0000-0000-000088000000}"/>
    <cellStyle name="20% - Accent1 4 5 2 2" xfId="8312" xr:uid="{00000000-0005-0000-0000-000089000000}"/>
    <cellStyle name="20% - Accent1 4 5 2 2 2" xfId="16741" xr:uid="{649BFFF4-A3D0-446C-B0F4-A3EA2D97BB5A}"/>
    <cellStyle name="20% - Accent1 4 5 2 3" xfId="12523" xr:uid="{B4528A02-2851-4714-97AF-B346B55BD20A}"/>
    <cellStyle name="20% - Accent1 4 5 3" xfId="6167" xr:uid="{00000000-0005-0000-0000-00008A000000}"/>
    <cellStyle name="20% - Accent1 4 5 3 2" xfId="14596" xr:uid="{287F2B86-CE32-4EA0-B0D5-4B723F986FD4}"/>
    <cellStyle name="20% - Accent1 4 5 4" xfId="10378" xr:uid="{B2BB14A3-D4CD-4081-BBEB-65BB3FE6B14A}"/>
    <cellStyle name="20% - Accent1 4 6" xfId="2272" xr:uid="{00000000-0005-0000-0000-00008B000000}"/>
    <cellStyle name="20% - Accent1 4 6 2" xfId="6580" xr:uid="{00000000-0005-0000-0000-00008C000000}"/>
    <cellStyle name="20% - Accent1 4 6 2 2" xfId="15009" xr:uid="{E1811631-7371-4247-B7AC-8133F032E1C2}"/>
    <cellStyle name="20% - Accent1 4 6 3" xfId="10791" xr:uid="{7395CB8C-8970-46D2-BC32-8FEFCA7C3E8A}"/>
    <cellStyle name="20% - Accent1 4 7" xfId="4514" xr:uid="{00000000-0005-0000-0000-00008D000000}"/>
    <cellStyle name="20% - Accent1 4 7 2" xfId="12943" xr:uid="{9B1EE0A0-564B-432C-95C5-46B86067C96D}"/>
    <cellStyle name="20% - Accent1 4 8" xfId="8725" xr:uid="{783848A6-D101-4063-AC75-3F21214F3DBA}"/>
    <cellStyle name="20% - Accent1 5" xfId="571" xr:uid="{00000000-0005-0000-0000-00008E000000}"/>
    <cellStyle name="20% - Accent1 5 2" xfId="2842" xr:uid="{00000000-0005-0000-0000-00008F000000}"/>
    <cellStyle name="20% - Accent1 5 2 2" xfId="7066" xr:uid="{00000000-0005-0000-0000-000090000000}"/>
    <cellStyle name="20% - Accent1 5 2 2 2" xfId="15495" xr:uid="{723C27A1-536C-4BD0-869E-E03DA65196D2}"/>
    <cellStyle name="20% - Accent1 5 2 3" xfId="11277" xr:uid="{6DF272FB-90A4-4A28-83A7-CB6E7A5AE6AD}"/>
    <cellStyle name="20% - Accent1 5 3" xfId="4921" xr:uid="{00000000-0005-0000-0000-000091000000}"/>
    <cellStyle name="20% - Accent1 5 3 2" xfId="13350" xr:uid="{755D3C5D-E14D-4BB6-985F-1DF4F1AB2E0D}"/>
    <cellStyle name="20% - Accent1 5 4" xfId="9132" xr:uid="{A2FDAE03-8EFE-4217-A5F8-DA0F6DF71C52}"/>
    <cellStyle name="20% - Accent1 6" xfId="1024" xr:uid="{00000000-0005-0000-0000-000092000000}"/>
    <cellStyle name="20% - Accent1 6 2" xfId="3255" xr:uid="{00000000-0005-0000-0000-000093000000}"/>
    <cellStyle name="20% - Accent1 6 2 2" xfId="7479" xr:uid="{00000000-0005-0000-0000-000094000000}"/>
    <cellStyle name="20% - Accent1 6 2 2 2" xfId="15908" xr:uid="{9CEDE10A-95A9-410A-99B6-F86AD5CE4C5A}"/>
    <cellStyle name="20% - Accent1 6 2 3" xfId="11690" xr:uid="{2DD6969F-7E3C-4530-99AF-FEC501519692}"/>
    <cellStyle name="20% - Accent1 6 3" xfId="5334" xr:uid="{00000000-0005-0000-0000-000095000000}"/>
    <cellStyle name="20% - Accent1 6 3 2" xfId="13763" xr:uid="{95740597-D2AC-4994-9F0A-2B5DA89B6B9D}"/>
    <cellStyle name="20% - Accent1 6 4" xfId="9545" xr:uid="{53B0FD80-215F-42AD-8EAC-A1BB40FFA492}"/>
    <cellStyle name="20% - Accent1 7" xfId="1438" xr:uid="{00000000-0005-0000-0000-000096000000}"/>
    <cellStyle name="20% - Accent1 7 2" xfId="3668" xr:uid="{00000000-0005-0000-0000-000097000000}"/>
    <cellStyle name="20% - Accent1 7 2 2" xfId="7892" xr:uid="{00000000-0005-0000-0000-000098000000}"/>
    <cellStyle name="20% - Accent1 7 2 2 2" xfId="16321" xr:uid="{2F02F5DA-90F1-4689-89AB-2F66FFCF9C85}"/>
    <cellStyle name="20% - Accent1 7 2 3" xfId="12103" xr:uid="{D07A0F44-4D37-4A28-AD16-12542783BB6F}"/>
    <cellStyle name="20% - Accent1 7 3" xfId="5747" xr:uid="{00000000-0005-0000-0000-000099000000}"/>
    <cellStyle name="20% - Accent1 7 3 2" xfId="14176" xr:uid="{886E418F-3B34-4476-AFE6-828DAA46697F}"/>
    <cellStyle name="20% - Accent1 7 4" xfId="9958" xr:uid="{407D25B6-4BA1-40DB-88AE-9A0B4E8106EC}"/>
    <cellStyle name="20% - Accent1 8" xfId="1852" xr:uid="{00000000-0005-0000-0000-00009A000000}"/>
    <cellStyle name="20% - Accent1 8 2" xfId="4081" xr:uid="{00000000-0005-0000-0000-00009B000000}"/>
    <cellStyle name="20% - Accent1 8 2 2" xfId="8305" xr:uid="{00000000-0005-0000-0000-00009C000000}"/>
    <cellStyle name="20% - Accent1 8 2 2 2" xfId="16734" xr:uid="{0FE958BC-5FAE-4311-AF97-7726FF8EC5BE}"/>
    <cellStyle name="20% - Accent1 8 2 3" xfId="12516" xr:uid="{91D4396E-1575-4393-98E3-2F93D862E8A4}"/>
    <cellStyle name="20% - Accent1 8 3" xfId="6160" xr:uid="{00000000-0005-0000-0000-00009D000000}"/>
    <cellStyle name="20% - Accent1 8 3 2" xfId="14589" xr:uid="{E32E72E6-82FB-4E07-81EF-E1CA749A7752}"/>
    <cellStyle name="20% - Accent1 8 4" xfId="10371" xr:uid="{EA700C10-5B4C-443D-A644-87A3A4DE2FB4}"/>
    <cellStyle name="20% - Accent1 9" xfId="2265" xr:uid="{00000000-0005-0000-0000-00009E000000}"/>
    <cellStyle name="20% - Accent1 9 2" xfId="6573" xr:uid="{00000000-0005-0000-0000-00009F000000}"/>
    <cellStyle name="20% - Accent1 9 2 2" xfId="15002" xr:uid="{9FE0C3FD-583B-45A2-ACBF-E5B6852F60C5}"/>
    <cellStyle name="20% - Accent1 9 3" xfId="10784" xr:uid="{55758ED5-7C74-46E4-8964-E14030C55FD7}"/>
    <cellStyle name="20% - Accent2" xfId="9" builtinId="34" customBuiltin="1"/>
    <cellStyle name="20% - Accent2 10" xfId="4515" xr:uid="{00000000-0005-0000-0000-0000A1000000}"/>
    <cellStyle name="20% - Accent2 10 2" xfId="12944" xr:uid="{33455750-D100-4707-A46B-6F74B7BC0748}"/>
    <cellStyle name="20% - Accent2 11" xfId="8726" xr:uid="{5805F10F-FA6A-401F-8482-3337D70FE336}"/>
    <cellStyle name="20% - Accent2 2" xfId="10" xr:uid="{00000000-0005-0000-0000-0000A2000000}"/>
    <cellStyle name="20% - Accent2 2 10" xfId="8727" xr:uid="{7C14F211-D77E-45E9-8F34-328E503211D7}"/>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2 2 2" xfId="15506" xr:uid="{7C0583DA-C22E-46CA-9F8E-3CAB982B4F3E}"/>
    <cellStyle name="20% - Accent2 2 2 2 2 2 3" xfId="11288" xr:uid="{DB74DAEA-4EBC-4992-98C5-FC8BCBA0DC21}"/>
    <cellStyle name="20% - Accent2 2 2 2 2 3" xfId="4932" xr:uid="{00000000-0005-0000-0000-0000A8000000}"/>
    <cellStyle name="20% - Accent2 2 2 2 2 3 2" xfId="13361" xr:uid="{1DE9015C-3C25-4513-B8AF-D9F98868A0A4}"/>
    <cellStyle name="20% - Accent2 2 2 2 2 4" xfId="9143" xr:uid="{106ABF97-499F-4866-A478-4220894432D8}"/>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2 2 2" xfId="15919" xr:uid="{739D6EB8-C6AE-444E-93EA-0E176F99CB2E}"/>
    <cellStyle name="20% - Accent2 2 2 2 3 2 3" xfId="11701" xr:uid="{CBBE09BC-29FF-4DB2-80D9-7EB05E8E4F44}"/>
    <cellStyle name="20% - Accent2 2 2 2 3 3" xfId="5345" xr:uid="{00000000-0005-0000-0000-0000AC000000}"/>
    <cellStyle name="20% - Accent2 2 2 2 3 3 2" xfId="13774" xr:uid="{1EC128EA-2B50-409C-86B7-5B9150427916}"/>
    <cellStyle name="20% - Accent2 2 2 2 3 4" xfId="9556" xr:uid="{B62F98B6-F464-43E1-A702-5424A10016FE}"/>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2 2 2" xfId="16332" xr:uid="{F382E6B1-B051-46C5-BB38-2B659C18E64D}"/>
    <cellStyle name="20% - Accent2 2 2 2 4 2 3" xfId="12114" xr:uid="{ECDEE410-C32A-4F24-9B1B-57280EFD990B}"/>
    <cellStyle name="20% - Accent2 2 2 2 4 3" xfId="5758" xr:uid="{00000000-0005-0000-0000-0000B0000000}"/>
    <cellStyle name="20% - Accent2 2 2 2 4 3 2" xfId="14187" xr:uid="{70D1B799-4D96-4F4F-AD7C-0071C7975C30}"/>
    <cellStyle name="20% - Accent2 2 2 2 4 4" xfId="9969" xr:uid="{81469A79-8B28-475D-8FF6-37B8CCC9B261}"/>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2 2 2" xfId="16745" xr:uid="{19E35514-093C-4706-AD81-E7EF1552D93A}"/>
    <cellStyle name="20% - Accent2 2 2 2 5 2 3" xfId="12527" xr:uid="{C8D0D3BA-E376-4789-9EA4-FD6FB55AA969}"/>
    <cellStyle name="20% - Accent2 2 2 2 5 3" xfId="6171" xr:uid="{00000000-0005-0000-0000-0000B4000000}"/>
    <cellStyle name="20% - Accent2 2 2 2 5 3 2" xfId="14600" xr:uid="{18361960-99C9-4645-886E-8D1E602A333D}"/>
    <cellStyle name="20% - Accent2 2 2 2 5 4" xfId="10382" xr:uid="{0A91A03E-4D59-410A-8FD5-31E1665B6D14}"/>
    <cellStyle name="20% - Accent2 2 2 2 6" xfId="2276" xr:uid="{00000000-0005-0000-0000-0000B5000000}"/>
    <cellStyle name="20% - Accent2 2 2 2 6 2" xfId="6584" xr:uid="{00000000-0005-0000-0000-0000B6000000}"/>
    <cellStyle name="20% - Accent2 2 2 2 6 2 2" xfId="15013" xr:uid="{F5F0279A-752F-4F26-977A-31D33F073BAF}"/>
    <cellStyle name="20% - Accent2 2 2 2 6 3" xfId="10795" xr:uid="{A37BCACC-A7E2-4A9D-A48E-1C9B4206A0F2}"/>
    <cellStyle name="20% - Accent2 2 2 2 7" xfId="4518" xr:uid="{00000000-0005-0000-0000-0000B7000000}"/>
    <cellStyle name="20% - Accent2 2 2 2 7 2" xfId="12947" xr:uid="{EB2E84CE-02D3-461D-BAF7-1E4C15FE71A0}"/>
    <cellStyle name="20% - Accent2 2 2 2 8" xfId="8729" xr:uid="{FA46A759-E842-462C-8097-699124B436BE}"/>
    <cellStyle name="20% - Accent2 2 2 3" xfId="581" xr:uid="{00000000-0005-0000-0000-0000B8000000}"/>
    <cellStyle name="20% - Accent2 2 2 3 2" xfId="2852" xr:uid="{00000000-0005-0000-0000-0000B9000000}"/>
    <cellStyle name="20% - Accent2 2 2 3 2 2" xfId="7076" xr:uid="{00000000-0005-0000-0000-0000BA000000}"/>
    <cellStyle name="20% - Accent2 2 2 3 2 2 2" xfId="15505" xr:uid="{8BC5C934-E3F6-4470-B740-E64FDFAA57D2}"/>
    <cellStyle name="20% - Accent2 2 2 3 2 3" xfId="11287" xr:uid="{A386F297-09F3-451A-B4BC-FF86F7F98046}"/>
    <cellStyle name="20% - Accent2 2 2 3 3" xfId="4931" xr:uid="{00000000-0005-0000-0000-0000BB000000}"/>
    <cellStyle name="20% - Accent2 2 2 3 3 2" xfId="13360" xr:uid="{A1070763-6DD3-437D-B5B8-D3F0C3F21880}"/>
    <cellStyle name="20% - Accent2 2 2 3 4" xfId="9142" xr:uid="{56FCBED6-20C3-4893-9641-79980A0BEBED}"/>
    <cellStyle name="20% - Accent2 2 2 4" xfId="1034" xr:uid="{00000000-0005-0000-0000-0000BC000000}"/>
    <cellStyle name="20% - Accent2 2 2 4 2" xfId="3265" xr:uid="{00000000-0005-0000-0000-0000BD000000}"/>
    <cellStyle name="20% - Accent2 2 2 4 2 2" xfId="7489" xr:uid="{00000000-0005-0000-0000-0000BE000000}"/>
    <cellStyle name="20% - Accent2 2 2 4 2 2 2" xfId="15918" xr:uid="{91BAFAB7-6F55-44F4-A7F2-5F69950D13BC}"/>
    <cellStyle name="20% - Accent2 2 2 4 2 3" xfId="11700" xr:uid="{B73B1CAC-9083-4C24-9E38-0ED6FBFD7DDA}"/>
    <cellStyle name="20% - Accent2 2 2 4 3" xfId="5344" xr:uid="{00000000-0005-0000-0000-0000BF000000}"/>
    <cellStyle name="20% - Accent2 2 2 4 3 2" xfId="13773" xr:uid="{6EDC585F-70C0-4075-BFCC-93F242AA59C3}"/>
    <cellStyle name="20% - Accent2 2 2 4 4" xfId="9555" xr:uid="{F6E0F7E9-7927-42C6-B01E-C8DEBB6E8AA1}"/>
    <cellStyle name="20% - Accent2 2 2 5" xfId="1448" xr:uid="{00000000-0005-0000-0000-0000C0000000}"/>
    <cellStyle name="20% - Accent2 2 2 5 2" xfId="3678" xr:uid="{00000000-0005-0000-0000-0000C1000000}"/>
    <cellStyle name="20% - Accent2 2 2 5 2 2" xfId="7902" xr:uid="{00000000-0005-0000-0000-0000C2000000}"/>
    <cellStyle name="20% - Accent2 2 2 5 2 2 2" xfId="16331" xr:uid="{B29DFB02-600F-4958-8F81-58351F0357E9}"/>
    <cellStyle name="20% - Accent2 2 2 5 2 3" xfId="12113" xr:uid="{87927FAC-4EE1-4B9D-BC57-C5683B43B8F7}"/>
    <cellStyle name="20% - Accent2 2 2 5 3" xfId="5757" xr:uid="{00000000-0005-0000-0000-0000C3000000}"/>
    <cellStyle name="20% - Accent2 2 2 5 3 2" xfId="14186" xr:uid="{BEF2AFCC-4E49-447C-9114-EC7D7A31F1FD}"/>
    <cellStyle name="20% - Accent2 2 2 5 4" xfId="9968" xr:uid="{4CE27D68-A498-4A01-BD11-FE2360C6D25F}"/>
    <cellStyle name="20% - Accent2 2 2 6" xfId="1862" xr:uid="{00000000-0005-0000-0000-0000C4000000}"/>
    <cellStyle name="20% - Accent2 2 2 6 2" xfId="4091" xr:uid="{00000000-0005-0000-0000-0000C5000000}"/>
    <cellStyle name="20% - Accent2 2 2 6 2 2" xfId="8315" xr:uid="{00000000-0005-0000-0000-0000C6000000}"/>
    <cellStyle name="20% - Accent2 2 2 6 2 2 2" xfId="16744" xr:uid="{E02DB0E3-0DB2-4D48-8E44-7A52DBB8192E}"/>
    <cellStyle name="20% - Accent2 2 2 6 2 3" xfId="12526" xr:uid="{7FD16F6C-38FF-4816-B9DA-797FB1A61610}"/>
    <cellStyle name="20% - Accent2 2 2 6 3" xfId="6170" xr:uid="{00000000-0005-0000-0000-0000C7000000}"/>
    <cellStyle name="20% - Accent2 2 2 6 3 2" xfId="14599" xr:uid="{58EED06F-0C54-47CE-A6D2-6E3F91BF819C}"/>
    <cellStyle name="20% - Accent2 2 2 6 4" xfId="10381" xr:uid="{C76F91F0-50FB-4E89-AA04-CCE6D6F25149}"/>
    <cellStyle name="20% - Accent2 2 2 7" xfId="2275" xr:uid="{00000000-0005-0000-0000-0000C8000000}"/>
    <cellStyle name="20% - Accent2 2 2 7 2" xfId="6583" xr:uid="{00000000-0005-0000-0000-0000C9000000}"/>
    <cellStyle name="20% - Accent2 2 2 7 2 2" xfId="15012" xr:uid="{29BAB707-FA0F-4E7F-A752-7F60C54275EA}"/>
    <cellStyle name="20% - Accent2 2 2 7 3" xfId="10794" xr:uid="{F9AB04C9-35DF-4AA9-8D99-A96EF2D4A4BE}"/>
    <cellStyle name="20% - Accent2 2 2 8" xfId="4517" xr:uid="{00000000-0005-0000-0000-0000CA000000}"/>
    <cellStyle name="20% - Accent2 2 2 8 2" xfId="12946" xr:uid="{B3516480-71C5-430A-9C41-87F3B448E173}"/>
    <cellStyle name="20% - Accent2 2 2 9" xfId="8728" xr:uid="{6965B874-B09B-4855-96DE-CF1698A29B27}"/>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2 2 2" xfId="15507" xr:uid="{EF00891B-E479-4684-9B16-A7CBCE9EB7FF}"/>
    <cellStyle name="20% - Accent2 2 3 2 2 3" xfId="11289" xr:uid="{73E0A407-B927-4A9E-B1AE-84DC9C3AA100}"/>
    <cellStyle name="20% - Accent2 2 3 2 3" xfId="4933" xr:uid="{00000000-0005-0000-0000-0000CF000000}"/>
    <cellStyle name="20% - Accent2 2 3 2 3 2" xfId="13362" xr:uid="{C364638D-ABCC-45A3-A684-4104A1B6CFF1}"/>
    <cellStyle name="20% - Accent2 2 3 2 4" xfId="9144" xr:uid="{C2717C17-A5BA-44E6-817C-5BC7AC23E7C1}"/>
    <cellStyle name="20% - Accent2 2 3 3" xfId="1036" xr:uid="{00000000-0005-0000-0000-0000D0000000}"/>
    <cellStyle name="20% - Accent2 2 3 3 2" xfId="3267" xr:uid="{00000000-0005-0000-0000-0000D1000000}"/>
    <cellStyle name="20% - Accent2 2 3 3 2 2" xfId="7491" xr:uid="{00000000-0005-0000-0000-0000D2000000}"/>
    <cellStyle name="20% - Accent2 2 3 3 2 2 2" xfId="15920" xr:uid="{CD81176E-2A87-4E46-8719-8680DE83861D}"/>
    <cellStyle name="20% - Accent2 2 3 3 2 3" xfId="11702" xr:uid="{3BE97B30-624F-4308-83D9-F1359800459B}"/>
    <cellStyle name="20% - Accent2 2 3 3 3" xfId="5346" xr:uid="{00000000-0005-0000-0000-0000D3000000}"/>
    <cellStyle name="20% - Accent2 2 3 3 3 2" xfId="13775" xr:uid="{77C59045-27C5-40B0-B823-5B2A50C9D24E}"/>
    <cellStyle name="20% - Accent2 2 3 3 4" xfId="9557" xr:uid="{9E70DF97-6A0B-4B57-874B-4157B7645A18}"/>
    <cellStyle name="20% - Accent2 2 3 4" xfId="1450" xr:uid="{00000000-0005-0000-0000-0000D4000000}"/>
    <cellStyle name="20% - Accent2 2 3 4 2" xfId="3680" xr:uid="{00000000-0005-0000-0000-0000D5000000}"/>
    <cellStyle name="20% - Accent2 2 3 4 2 2" xfId="7904" xr:uid="{00000000-0005-0000-0000-0000D6000000}"/>
    <cellStyle name="20% - Accent2 2 3 4 2 2 2" xfId="16333" xr:uid="{0B4D93C0-60E2-4E85-B74B-6C092297C2A4}"/>
    <cellStyle name="20% - Accent2 2 3 4 2 3" xfId="12115" xr:uid="{02B898E1-83AA-42D6-96F7-B6B6C5301828}"/>
    <cellStyle name="20% - Accent2 2 3 4 3" xfId="5759" xr:uid="{00000000-0005-0000-0000-0000D7000000}"/>
    <cellStyle name="20% - Accent2 2 3 4 3 2" xfId="14188" xr:uid="{6FDB2484-A86D-4556-AA89-5F16F4BF9FE5}"/>
    <cellStyle name="20% - Accent2 2 3 4 4" xfId="9970" xr:uid="{E23CBB1A-B2D3-41F7-A684-A6DE628A93F3}"/>
    <cellStyle name="20% - Accent2 2 3 5" xfId="1864" xr:uid="{00000000-0005-0000-0000-0000D8000000}"/>
    <cellStyle name="20% - Accent2 2 3 5 2" xfId="4093" xr:uid="{00000000-0005-0000-0000-0000D9000000}"/>
    <cellStyle name="20% - Accent2 2 3 5 2 2" xfId="8317" xr:uid="{00000000-0005-0000-0000-0000DA000000}"/>
    <cellStyle name="20% - Accent2 2 3 5 2 2 2" xfId="16746" xr:uid="{997DF10D-82E7-49F9-ADAE-0BACBEFDBCA8}"/>
    <cellStyle name="20% - Accent2 2 3 5 2 3" xfId="12528" xr:uid="{88C556A0-63BD-4ABD-AD71-AF939C988C28}"/>
    <cellStyle name="20% - Accent2 2 3 5 3" xfId="6172" xr:uid="{00000000-0005-0000-0000-0000DB000000}"/>
    <cellStyle name="20% - Accent2 2 3 5 3 2" xfId="14601" xr:uid="{A8862219-932B-48AC-8346-961502B23651}"/>
    <cellStyle name="20% - Accent2 2 3 5 4" xfId="10383" xr:uid="{411DD5FF-4259-4459-A539-AC5625EFCF92}"/>
    <cellStyle name="20% - Accent2 2 3 6" xfId="2277" xr:uid="{00000000-0005-0000-0000-0000DC000000}"/>
    <cellStyle name="20% - Accent2 2 3 6 2" xfId="6585" xr:uid="{00000000-0005-0000-0000-0000DD000000}"/>
    <cellStyle name="20% - Accent2 2 3 6 2 2" xfId="15014" xr:uid="{D4C40AD9-9F9E-4EDD-9247-5044DEA78965}"/>
    <cellStyle name="20% - Accent2 2 3 6 3" xfId="10796" xr:uid="{2C44C2EB-49C0-4491-8F90-2C6496A292A6}"/>
    <cellStyle name="20% - Accent2 2 3 7" xfId="4519" xr:uid="{00000000-0005-0000-0000-0000DE000000}"/>
    <cellStyle name="20% - Accent2 2 3 7 2" xfId="12948" xr:uid="{800A030A-0526-49FB-B5D2-4531CC29EEFA}"/>
    <cellStyle name="20% - Accent2 2 3 8" xfId="8730" xr:uid="{04BCD3E7-162D-43B1-A005-38B99B78C07E}"/>
    <cellStyle name="20% - Accent2 2 4" xfId="580" xr:uid="{00000000-0005-0000-0000-0000DF000000}"/>
    <cellStyle name="20% - Accent2 2 4 2" xfId="2851" xr:uid="{00000000-0005-0000-0000-0000E0000000}"/>
    <cellStyle name="20% - Accent2 2 4 2 2" xfId="7075" xr:uid="{00000000-0005-0000-0000-0000E1000000}"/>
    <cellStyle name="20% - Accent2 2 4 2 2 2" xfId="15504" xr:uid="{2E7CBA59-7AD8-40E5-BFB3-FE153BC1541B}"/>
    <cellStyle name="20% - Accent2 2 4 2 3" xfId="11286" xr:uid="{029715ED-2D17-4DD2-8717-56D83A4E0A01}"/>
    <cellStyle name="20% - Accent2 2 4 3" xfId="4930" xr:uid="{00000000-0005-0000-0000-0000E2000000}"/>
    <cellStyle name="20% - Accent2 2 4 3 2" xfId="13359" xr:uid="{E20D1845-9304-4E1A-AA11-9A41B3B26425}"/>
    <cellStyle name="20% - Accent2 2 4 4" xfId="9141" xr:uid="{D2978E85-5E38-469F-9861-625099EF5677}"/>
    <cellStyle name="20% - Accent2 2 5" xfId="1033" xr:uid="{00000000-0005-0000-0000-0000E3000000}"/>
    <cellStyle name="20% - Accent2 2 5 2" xfId="3264" xr:uid="{00000000-0005-0000-0000-0000E4000000}"/>
    <cellStyle name="20% - Accent2 2 5 2 2" xfId="7488" xr:uid="{00000000-0005-0000-0000-0000E5000000}"/>
    <cellStyle name="20% - Accent2 2 5 2 2 2" xfId="15917" xr:uid="{CFC6BCF0-3281-4BBF-845D-84464FAA28BB}"/>
    <cellStyle name="20% - Accent2 2 5 2 3" xfId="11699" xr:uid="{76BAF3DC-B075-4226-9A24-701DE77406BC}"/>
    <cellStyle name="20% - Accent2 2 5 3" xfId="5343" xr:uid="{00000000-0005-0000-0000-0000E6000000}"/>
    <cellStyle name="20% - Accent2 2 5 3 2" xfId="13772" xr:uid="{98882591-2155-4ACB-B096-BF2500819951}"/>
    <cellStyle name="20% - Accent2 2 5 4" xfId="9554" xr:uid="{709B5D9C-1174-4296-99D9-CA3F23B1EECF}"/>
    <cellStyle name="20% - Accent2 2 6" xfId="1447" xr:uid="{00000000-0005-0000-0000-0000E7000000}"/>
    <cellStyle name="20% - Accent2 2 6 2" xfId="3677" xr:uid="{00000000-0005-0000-0000-0000E8000000}"/>
    <cellStyle name="20% - Accent2 2 6 2 2" xfId="7901" xr:uid="{00000000-0005-0000-0000-0000E9000000}"/>
    <cellStyle name="20% - Accent2 2 6 2 2 2" xfId="16330" xr:uid="{D5E76D5A-50EB-451A-9913-106821FF7CC6}"/>
    <cellStyle name="20% - Accent2 2 6 2 3" xfId="12112" xr:uid="{2C909786-D052-4BBA-82F3-E7BE67C0C771}"/>
    <cellStyle name="20% - Accent2 2 6 3" xfId="5756" xr:uid="{00000000-0005-0000-0000-0000EA000000}"/>
    <cellStyle name="20% - Accent2 2 6 3 2" xfId="14185" xr:uid="{F275C89F-A04A-4D44-B71D-D77044E5AC13}"/>
    <cellStyle name="20% - Accent2 2 6 4" xfId="9967" xr:uid="{B211DA20-2EE5-4387-9FAD-FA020312E8B9}"/>
    <cellStyle name="20% - Accent2 2 7" xfId="1861" xr:uid="{00000000-0005-0000-0000-0000EB000000}"/>
    <cellStyle name="20% - Accent2 2 7 2" xfId="4090" xr:uid="{00000000-0005-0000-0000-0000EC000000}"/>
    <cellStyle name="20% - Accent2 2 7 2 2" xfId="8314" xr:uid="{00000000-0005-0000-0000-0000ED000000}"/>
    <cellStyle name="20% - Accent2 2 7 2 2 2" xfId="16743" xr:uid="{02D07AF7-11E8-4504-AC12-2FBE08E1E3F5}"/>
    <cellStyle name="20% - Accent2 2 7 2 3" xfId="12525" xr:uid="{A889A038-735D-4A39-8C37-FF230C21E0B5}"/>
    <cellStyle name="20% - Accent2 2 7 3" xfId="6169" xr:uid="{00000000-0005-0000-0000-0000EE000000}"/>
    <cellStyle name="20% - Accent2 2 7 3 2" xfId="14598" xr:uid="{49018B17-F3E6-411E-8848-B22BF0408E85}"/>
    <cellStyle name="20% - Accent2 2 7 4" xfId="10380" xr:uid="{F5122ADB-00A6-4A53-AFB5-4662FBD24196}"/>
    <cellStyle name="20% - Accent2 2 8" xfId="2274" xr:uid="{00000000-0005-0000-0000-0000EF000000}"/>
    <cellStyle name="20% - Accent2 2 8 2" xfId="6582" xr:uid="{00000000-0005-0000-0000-0000F0000000}"/>
    <cellStyle name="20% - Accent2 2 8 2 2" xfId="15011" xr:uid="{ECEEDBA6-D10C-4AF0-AB1A-30342D986679}"/>
    <cellStyle name="20% - Accent2 2 8 3" xfId="10793" xr:uid="{B4F9C0D7-5BEC-4B8D-A78A-9D492C2B6B10}"/>
    <cellStyle name="20% - Accent2 2 9" xfId="4516" xr:uid="{00000000-0005-0000-0000-0000F1000000}"/>
    <cellStyle name="20% - Accent2 2 9 2" xfId="12945" xr:uid="{251974B0-CE53-4D8A-9081-C81751B38D12}"/>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2 2 2" xfId="15509" xr:uid="{B6704E4E-18A2-4224-8096-E73C73A2FDEA}"/>
    <cellStyle name="20% - Accent2 3 2 2 2 3" xfId="11291" xr:uid="{9B3B1D6B-DE4A-49EE-9528-F762991D8CF0}"/>
    <cellStyle name="20% - Accent2 3 2 2 3" xfId="4935" xr:uid="{00000000-0005-0000-0000-0000F7000000}"/>
    <cellStyle name="20% - Accent2 3 2 2 3 2" xfId="13364" xr:uid="{3986AC02-6949-448A-A00E-1C20FAFA895D}"/>
    <cellStyle name="20% - Accent2 3 2 2 4" xfId="9146" xr:uid="{E0829DBA-29D0-47F5-A0FD-2CE49E4CE64E}"/>
    <cellStyle name="20% - Accent2 3 2 3" xfId="1038" xr:uid="{00000000-0005-0000-0000-0000F8000000}"/>
    <cellStyle name="20% - Accent2 3 2 3 2" xfId="3269" xr:uid="{00000000-0005-0000-0000-0000F9000000}"/>
    <cellStyle name="20% - Accent2 3 2 3 2 2" xfId="7493" xr:uid="{00000000-0005-0000-0000-0000FA000000}"/>
    <cellStyle name="20% - Accent2 3 2 3 2 2 2" xfId="15922" xr:uid="{D2A33011-F74F-4711-9F87-01EE1237CDD7}"/>
    <cellStyle name="20% - Accent2 3 2 3 2 3" xfId="11704" xr:uid="{5F4B1A75-85CA-4101-BB0B-5EB57A6E0FC4}"/>
    <cellStyle name="20% - Accent2 3 2 3 3" xfId="5348" xr:uid="{00000000-0005-0000-0000-0000FB000000}"/>
    <cellStyle name="20% - Accent2 3 2 3 3 2" xfId="13777" xr:uid="{8E9E99EC-AFFB-40DE-B9AB-084461298AB3}"/>
    <cellStyle name="20% - Accent2 3 2 3 4" xfId="9559" xr:uid="{453071A0-E235-4121-A776-D53DA8AD77F7}"/>
    <cellStyle name="20% - Accent2 3 2 4" xfId="1452" xr:uid="{00000000-0005-0000-0000-0000FC000000}"/>
    <cellStyle name="20% - Accent2 3 2 4 2" xfId="3682" xr:uid="{00000000-0005-0000-0000-0000FD000000}"/>
    <cellStyle name="20% - Accent2 3 2 4 2 2" xfId="7906" xr:uid="{00000000-0005-0000-0000-0000FE000000}"/>
    <cellStyle name="20% - Accent2 3 2 4 2 2 2" xfId="16335" xr:uid="{6FFD3CD0-76A3-45E5-9E21-BFD6D70BE866}"/>
    <cellStyle name="20% - Accent2 3 2 4 2 3" xfId="12117" xr:uid="{6EF11DB5-92C0-4A1E-B244-82ABFB776E00}"/>
    <cellStyle name="20% - Accent2 3 2 4 3" xfId="5761" xr:uid="{00000000-0005-0000-0000-0000FF000000}"/>
    <cellStyle name="20% - Accent2 3 2 4 3 2" xfId="14190" xr:uid="{23AB4C4C-DE7E-4473-A6A2-F97B7403414C}"/>
    <cellStyle name="20% - Accent2 3 2 4 4" xfId="9972" xr:uid="{244765FE-812D-42DD-B3A8-2B8F1C0C42B9}"/>
    <cellStyle name="20% - Accent2 3 2 5" xfId="1866" xr:uid="{00000000-0005-0000-0000-000000010000}"/>
    <cellStyle name="20% - Accent2 3 2 5 2" xfId="4095" xr:uid="{00000000-0005-0000-0000-000001010000}"/>
    <cellStyle name="20% - Accent2 3 2 5 2 2" xfId="8319" xr:uid="{00000000-0005-0000-0000-000002010000}"/>
    <cellStyle name="20% - Accent2 3 2 5 2 2 2" xfId="16748" xr:uid="{C003F19A-2F84-4095-9918-626C5A5B13D8}"/>
    <cellStyle name="20% - Accent2 3 2 5 2 3" xfId="12530" xr:uid="{10D3EAB9-AB51-4D64-9FE3-402B5A300262}"/>
    <cellStyle name="20% - Accent2 3 2 5 3" xfId="6174" xr:uid="{00000000-0005-0000-0000-000003010000}"/>
    <cellStyle name="20% - Accent2 3 2 5 3 2" xfId="14603" xr:uid="{774632F1-41E2-4111-AFAB-5D5A8DB51644}"/>
    <cellStyle name="20% - Accent2 3 2 5 4" xfId="10385" xr:uid="{B94EE93B-D3AC-48BF-AC00-F29231752821}"/>
    <cellStyle name="20% - Accent2 3 2 6" xfId="2279" xr:uid="{00000000-0005-0000-0000-000004010000}"/>
    <cellStyle name="20% - Accent2 3 2 6 2" xfId="6587" xr:uid="{00000000-0005-0000-0000-000005010000}"/>
    <cellStyle name="20% - Accent2 3 2 6 2 2" xfId="15016" xr:uid="{CC533DED-5C9D-4D9D-BCF2-24DCBA2D9733}"/>
    <cellStyle name="20% - Accent2 3 2 6 3" xfId="10798" xr:uid="{61847ECE-065C-4106-9ED0-B60C2ECC8695}"/>
    <cellStyle name="20% - Accent2 3 2 7" xfId="4521" xr:uid="{00000000-0005-0000-0000-000006010000}"/>
    <cellStyle name="20% - Accent2 3 2 7 2" xfId="12950" xr:uid="{6B1C4022-36AB-4432-A1D0-359C142330F9}"/>
    <cellStyle name="20% - Accent2 3 2 8" xfId="8732" xr:uid="{6C68BF59-DF44-4E92-AE60-037954DB443D}"/>
    <cellStyle name="20% - Accent2 3 3" xfId="584" xr:uid="{00000000-0005-0000-0000-000007010000}"/>
    <cellStyle name="20% - Accent2 3 3 2" xfId="2855" xr:uid="{00000000-0005-0000-0000-000008010000}"/>
    <cellStyle name="20% - Accent2 3 3 2 2" xfId="7079" xr:uid="{00000000-0005-0000-0000-000009010000}"/>
    <cellStyle name="20% - Accent2 3 3 2 2 2" xfId="15508" xr:uid="{2C5FF12E-3AB3-4946-9BE6-14474C4C5A08}"/>
    <cellStyle name="20% - Accent2 3 3 2 3" xfId="11290" xr:uid="{500A30C7-3FE8-4D1F-A616-43033B4BEA63}"/>
    <cellStyle name="20% - Accent2 3 3 3" xfId="4934" xr:uid="{00000000-0005-0000-0000-00000A010000}"/>
    <cellStyle name="20% - Accent2 3 3 3 2" xfId="13363" xr:uid="{DE12EEE3-B459-4D08-9366-24E084238113}"/>
    <cellStyle name="20% - Accent2 3 3 4" xfId="9145" xr:uid="{DE225728-70AD-4601-A6D5-53168A7DB835}"/>
    <cellStyle name="20% - Accent2 3 4" xfId="1037" xr:uid="{00000000-0005-0000-0000-00000B010000}"/>
    <cellStyle name="20% - Accent2 3 4 2" xfId="3268" xr:uid="{00000000-0005-0000-0000-00000C010000}"/>
    <cellStyle name="20% - Accent2 3 4 2 2" xfId="7492" xr:uid="{00000000-0005-0000-0000-00000D010000}"/>
    <cellStyle name="20% - Accent2 3 4 2 2 2" xfId="15921" xr:uid="{7AF3053D-63FB-42BB-8EEA-F80055A65054}"/>
    <cellStyle name="20% - Accent2 3 4 2 3" xfId="11703" xr:uid="{1C69051D-A8FA-41C6-BA5B-36C56488AD66}"/>
    <cellStyle name="20% - Accent2 3 4 3" xfId="5347" xr:uid="{00000000-0005-0000-0000-00000E010000}"/>
    <cellStyle name="20% - Accent2 3 4 3 2" xfId="13776" xr:uid="{D928BCE6-4054-4591-8E66-A40355D9E537}"/>
    <cellStyle name="20% - Accent2 3 4 4" xfId="9558" xr:uid="{1EA7FDD3-2EB9-4E81-9AC8-C756343B978C}"/>
    <cellStyle name="20% - Accent2 3 5" xfId="1451" xr:uid="{00000000-0005-0000-0000-00000F010000}"/>
    <cellStyle name="20% - Accent2 3 5 2" xfId="3681" xr:uid="{00000000-0005-0000-0000-000010010000}"/>
    <cellStyle name="20% - Accent2 3 5 2 2" xfId="7905" xr:uid="{00000000-0005-0000-0000-000011010000}"/>
    <cellStyle name="20% - Accent2 3 5 2 2 2" xfId="16334" xr:uid="{559DBE15-54DB-4C81-A17A-333D98916F75}"/>
    <cellStyle name="20% - Accent2 3 5 2 3" xfId="12116" xr:uid="{D7C6AD60-CCDE-4FAC-AFA6-93A22953618B}"/>
    <cellStyle name="20% - Accent2 3 5 3" xfId="5760" xr:uid="{00000000-0005-0000-0000-000012010000}"/>
    <cellStyle name="20% - Accent2 3 5 3 2" xfId="14189" xr:uid="{CE430D6C-5D4C-4348-AEC0-F2D6EBF32E84}"/>
    <cellStyle name="20% - Accent2 3 5 4" xfId="9971" xr:uid="{D2F86827-D6DB-4796-94B3-BF8D96A8D9F8}"/>
    <cellStyle name="20% - Accent2 3 6" xfId="1865" xr:uid="{00000000-0005-0000-0000-000013010000}"/>
    <cellStyle name="20% - Accent2 3 6 2" xfId="4094" xr:uid="{00000000-0005-0000-0000-000014010000}"/>
    <cellStyle name="20% - Accent2 3 6 2 2" xfId="8318" xr:uid="{00000000-0005-0000-0000-000015010000}"/>
    <cellStyle name="20% - Accent2 3 6 2 2 2" xfId="16747" xr:uid="{7791F9C5-4D02-4393-91BA-D1A004DEE5A4}"/>
    <cellStyle name="20% - Accent2 3 6 2 3" xfId="12529" xr:uid="{0E26194B-9155-495B-8BEB-BFA56DCB2F15}"/>
    <cellStyle name="20% - Accent2 3 6 3" xfId="6173" xr:uid="{00000000-0005-0000-0000-000016010000}"/>
    <cellStyle name="20% - Accent2 3 6 3 2" xfId="14602" xr:uid="{2E371F09-B90C-48F5-8B5E-39E6E4BD97F1}"/>
    <cellStyle name="20% - Accent2 3 6 4" xfId="10384" xr:uid="{5718E7BE-8193-4B8C-B7BE-A730751C8D1C}"/>
    <cellStyle name="20% - Accent2 3 7" xfId="2278" xr:uid="{00000000-0005-0000-0000-000017010000}"/>
    <cellStyle name="20% - Accent2 3 7 2" xfId="6586" xr:uid="{00000000-0005-0000-0000-000018010000}"/>
    <cellStyle name="20% - Accent2 3 7 2 2" xfId="15015" xr:uid="{EB498E0B-89B4-49D7-8792-800E1CCAF84C}"/>
    <cellStyle name="20% - Accent2 3 7 3" xfId="10797" xr:uid="{6E16E6F8-A940-4B53-995D-622564625D19}"/>
    <cellStyle name="20% - Accent2 3 8" xfId="4520" xr:uid="{00000000-0005-0000-0000-000019010000}"/>
    <cellStyle name="20% - Accent2 3 8 2" xfId="12949" xr:uid="{2F84138B-54BF-4D90-96BF-57C60CC75173}"/>
    <cellStyle name="20% - Accent2 3 9" xfId="8731" xr:uid="{18D162ED-77D5-4DBE-B17B-91970848BC99}"/>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2 2 2" xfId="15510" xr:uid="{38512151-2855-49E3-8208-9730563A308C}"/>
    <cellStyle name="20% - Accent2 4 2 2 3" xfId="11292" xr:uid="{34FDFA90-32A5-49C5-A14F-43E2D59C7CE8}"/>
    <cellStyle name="20% - Accent2 4 2 3" xfId="4936" xr:uid="{00000000-0005-0000-0000-00001E010000}"/>
    <cellStyle name="20% - Accent2 4 2 3 2" xfId="13365" xr:uid="{690E5FD6-FC0F-461E-A8F3-1A5440B7ABEA}"/>
    <cellStyle name="20% - Accent2 4 2 4" xfId="9147" xr:uid="{ED82A290-6A1D-4AC8-AF01-2B8E7D7F1F8C}"/>
    <cellStyle name="20% - Accent2 4 3" xfId="1039" xr:uid="{00000000-0005-0000-0000-00001F010000}"/>
    <cellStyle name="20% - Accent2 4 3 2" xfId="3270" xr:uid="{00000000-0005-0000-0000-000020010000}"/>
    <cellStyle name="20% - Accent2 4 3 2 2" xfId="7494" xr:uid="{00000000-0005-0000-0000-000021010000}"/>
    <cellStyle name="20% - Accent2 4 3 2 2 2" xfId="15923" xr:uid="{E17C1558-2D36-4DB1-A251-D50767AE0BB0}"/>
    <cellStyle name="20% - Accent2 4 3 2 3" xfId="11705" xr:uid="{A6B08D3B-EFE6-4338-83B8-9AA45E7F04CE}"/>
    <cellStyle name="20% - Accent2 4 3 3" xfId="5349" xr:uid="{00000000-0005-0000-0000-000022010000}"/>
    <cellStyle name="20% - Accent2 4 3 3 2" xfId="13778" xr:uid="{3D394FEC-22F4-4EE6-B8E7-A16673DDB338}"/>
    <cellStyle name="20% - Accent2 4 3 4" xfId="9560" xr:uid="{B40799E5-F3FE-4A8C-B8A7-90521466538F}"/>
    <cellStyle name="20% - Accent2 4 4" xfId="1453" xr:uid="{00000000-0005-0000-0000-000023010000}"/>
    <cellStyle name="20% - Accent2 4 4 2" xfId="3683" xr:uid="{00000000-0005-0000-0000-000024010000}"/>
    <cellStyle name="20% - Accent2 4 4 2 2" xfId="7907" xr:uid="{00000000-0005-0000-0000-000025010000}"/>
    <cellStyle name="20% - Accent2 4 4 2 2 2" xfId="16336" xr:uid="{5DD6DD3E-2430-48A6-9A87-8EF46F59B688}"/>
    <cellStyle name="20% - Accent2 4 4 2 3" xfId="12118" xr:uid="{135C3715-E84D-4AF8-9062-A497006F6A37}"/>
    <cellStyle name="20% - Accent2 4 4 3" xfId="5762" xr:uid="{00000000-0005-0000-0000-000026010000}"/>
    <cellStyle name="20% - Accent2 4 4 3 2" xfId="14191" xr:uid="{8C805FE1-A34A-42FA-84BF-D32116863D24}"/>
    <cellStyle name="20% - Accent2 4 4 4" xfId="9973" xr:uid="{4E306401-8290-4A13-A15B-0734F3FF50B5}"/>
    <cellStyle name="20% - Accent2 4 5" xfId="1867" xr:uid="{00000000-0005-0000-0000-000027010000}"/>
    <cellStyle name="20% - Accent2 4 5 2" xfId="4096" xr:uid="{00000000-0005-0000-0000-000028010000}"/>
    <cellStyle name="20% - Accent2 4 5 2 2" xfId="8320" xr:uid="{00000000-0005-0000-0000-000029010000}"/>
    <cellStyle name="20% - Accent2 4 5 2 2 2" xfId="16749" xr:uid="{45188D94-4E22-41AA-9C1D-3D19791917CA}"/>
    <cellStyle name="20% - Accent2 4 5 2 3" xfId="12531" xr:uid="{D6C16F53-919C-4323-92EA-631864BC1AAA}"/>
    <cellStyle name="20% - Accent2 4 5 3" xfId="6175" xr:uid="{00000000-0005-0000-0000-00002A010000}"/>
    <cellStyle name="20% - Accent2 4 5 3 2" xfId="14604" xr:uid="{385F62A1-C40E-4A55-95A7-991EA7C122C8}"/>
    <cellStyle name="20% - Accent2 4 5 4" xfId="10386" xr:uid="{97D3ED1E-5C35-4387-9AB2-508CA4AE5BFD}"/>
    <cellStyle name="20% - Accent2 4 6" xfId="2280" xr:uid="{00000000-0005-0000-0000-00002B010000}"/>
    <cellStyle name="20% - Accent2 4 6 2" xfId="6588" xr:uid="{00000000-0005-0000-0000-00002C010000}"/>
    <cellStyle name="20% - Accent2 4 6 2 2" xfId="15017" xr:uid="{0025B8F5-F9B7-4F26-B48F-88C476FE9A4D}"/>
    <cellStyle name="20% - Accent2 4 6 3" xfId="10799" xr:uid="{C867B8C5-F445-4824-B323-7F7FFDADA396}"/>
    <cellStyle name="20% - Accent2 4 7" xfId="4522" xr:uid="{00000000-0005-0000-0000-00002D010000}"/>
    <cellStyle name="20% - Accent2 4 7 2" xfId="12951" xr:uid="{7B7579D7-8D6D-4390-B5BC-8CFBF92E7319}"/>
    <cellStyle name="20% - Accent2 4 8" xfId="8733" xr:uid="{ECA3DA35-6CDF-4CE6-AE3E-F722E6B271D7}"/>
    <cellStyle name="20% - Accent2 5" xfId="579" xr:uid="{00000000-0005-0000-0000-00002E010000}"/>
    <cellStyle name="20% - Accent2 5 2" xfId="2850" xr:uid="{00000000-0005-0000-0000-00002F010000}"/>
    <cellStyle name="20% - Accent2 5 2 2" xfId="7074" xr:uid="{00000000-0005-0000-0000-000030010000}"/>
    <cellStyle name="20% - Accent2 5 2 2 2" xfId="15503" xr:uid="{7C730DA6-7EB8-4C0B-94C1-71AAF963CA93}"/>
    <cellStyle name="20% - Accent2 5 2 3" xfId="11285" xr:uid="{0B3078D1-287A-46E5-9902-E182518FF3EC}"/>
    <cellStyle name="20% - Accent2 5 3" xfId="4929" xr:uid="{00000000-0005-0000-0000-000031010000}"/>
    <cellStyle name="20% - Accent2 5 3 2" xfId="13358" xr:uid="{BB75C4FE-D02E-4B87-BD4F-A9BB75616B19}"/>
    <cellStyle name="20% - Accent2 5 4" xfId="9140" xr:uid="{2F24AB15-A512-40A6-956A-E1498969258A}"/>
    <cellStyle name="20% - Accent2 6" xfId="1032" xr:uid="{00000000-0005-0000-0000-000032010000}"/>
    <cellStyle name="20% - Accent2 6 2" xfId="3263" xr:uid="{00000000-0005-0000-0000-000033010000}"/>
    <cellStyle name="20% - Accent2 6 2 2" xfId="7487" xr:uid="{00000000-0005-0000-0000-000034010000}"/>
    <cellStyle name="20% - Accent2 6 2 2 2" xfId="15916" xr:uid="{8C3F82A1-1B3B-44E0-8FD0-B0D080B2FC68}"/>
    <cellStyle name="20% - Accent2 6 2 3" xfId="11698" xr:uid="{1798B641-2676-4989-AF17-32AD1A18AC39}"/>
    <cellStyle name="20% - Accent2 6 3" xfId="5342" xr:uid="{00000000-0005-0000-0000-000035010000}"/>
    <cellStyle name="20% - Accent2 6 3 2" xfId="13771" xr:uid="{57B2F126-BA7D-47F9-A5C3-A3D375856734}"/>
    <cellStyle name="20% - Accent2 6 4" xfId="9553" xr:uid="{154AA4D9-049F-44CD-B5A1-69AB08E221CB}"/>
    <cellStyle name="20% - Accent2 7" xfId="1446" xr:uid="{00000000-0005-0000-0000-000036010000}"/>
    <cellStyle name="20% - Accent2 7 2" xfId="3676" xr:uid="{00000000-0005-0000-0000-000037010000}"/>
    <cellStyle name="20% - Accent2 7 2 2" xfId="7900" xr:uid="{00000000-0005-0000-0000-000038010000}"/>
    <cellStyle name="20% - Accent2 7 2 2 2" xfId="16329" xr:uid="{4B0CE0D2-05EA-4805-9DA8-AAF8FCFEC939}"/>
    <cellStyle name="20% - Accent2 7 2 3" xfId="12111" xr:uid="{75EAB2BF-51E4-40EF-868A-787DDB41CFE3}"/>
    <cellStyle name="20% - Accent2 7 3" xfId="5755" xr:uid="{00000000-0005-0000-0000-000039010000}"/>
    <cellStyle name="20% - Accent2 7 3 2" xfId="14184" xr:uid="{A6A18D4B-D46E-4E09-8807-499149FF3A71}"/>
    <cellStyle name="20% - Accent2 7 4" xfId="9966" xr:uid="{9AAD5354-F832-40DD-9BB6-19F78E004CC6}"/>
    <cellStyle name="20% - Accent2 8" xfId="1860" xr:uid="{00000000-0005-0000-0000-00003A010000}"/>
    <cellStyle name="20% - Accent2 8 2" xfId="4089" xr:uid="{00000000-0005-0000-0000-00003B010000}"/>
    <cellStyle name="20% - Accent2 8 2 2" xfId="8313" xr:uid="{00000000-0005-0000-0000-00003C010000}"/>
    <cellStyle name="20% - Accent2 8 2 2 2" xfId="16742" xr:uid="{794B0890-2725-4A07-9A07-C7A9B43EE691}"/>
    <cellStyle name="20% - Accent2 8 2 3" xfId="12524" xr:uid="{01F236C6-27E5-4817-BD8B-9E6DB26B6393}"/>
    <cellStyle name="20% - Accent2 8 3" xfId="6168" xr:uid="{00000000-0005-0000-0000-00003D010000}"/>
    <cellStyle name="20% - Accent2 8 3 2" xfId="14597" xr:uid="{26EBD84F-1F16-4B1F-AC80-836F107D66B1}"/>
    <cellStyle name="20% - Accent2 8 4" xfId="10379" xr:uid="{25229923-DE06-44D0-BB13-F130455A8946}"/>
    <cellStyle name="20% - Accent2 9" xfId="2273" xr:uid="{00000000-0005-0000-0000-00003E010000}"/>
    <cellStyle name="20% - Accent2 9 2" xfId="6581" xr:uid="{00000000-0005-0000-0000-00003F010000}"/>
    <cellStyle name="20% - Accent2 9 2 2" xfId="15010" xr:uid="{6DD1D94C-6E39-4993-ACAD-BEDF5A76D88E}"/>
    <cellStyle name="20% - Accent2 9 3" xfId="10792" xr:uid="{2229A416-7951-4824-87DE-F2A94CA18C12}"/>
    <cellStyle name="20% - Accent3" xfId="17" builtinId="38" customBuiltin="1"/>
    <cellStyle name="20% - Accent3 10" xfId="4523" xr:uid="{00000000-0005-0000-0000-000041010000}"/>
    <cellStyle name="20% - Accent3 10 2" xfId="12952" xr:uid="{8E965FA7-69F4-4276-A941-9C4CB6F8843F}"/>
    <cellStyle name="20% - Accent3 11" xfId="8734" xr:uid="{0E2D76FC-00A0-4134-A3D1-D4510EC151D3}"/>
    <cellStyle name="20% - Accent3 2" xfId="18" xr:uid="{00000000-0005-0000-0000-000042010000}"/>
    <cellStyle name="20% - Accent3 2 10" xfId="8735" xr:uid="{855AC9CC-7C0E-4E64-9A35-0FD77E1630BB}"/>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2 2 2" xfId="15514" xr:uid="{60C890A5-443E-4AAD-B9FE-CF645289BE08}"/>
    <cellStyle name="20% - Accent3 2 2 2 2 2 3" xfId="11296" xr:uid="{5715F74F-192B-4AAB-80CC-1B6DF993E073}"/>
    <cellStyle name="20% - Accent3 2 2 2 2 3" xfId="4940" xr:uid="{00000000-0005-0000-0000-000048010000}"/>
    <cellStyle name="20% - Accent3 2 2 2 2 3 2" xfId="13369" xr:uid="{103D9ACA-7429-4608-938A-FF660E7B1548}"/>
    <cellStyle name="20% - Accent3 2 2 2 2 4" xfId="9151" xr:uid="{FDFA4305-CACA-4BE7-A2D8-8F4A6893EE79}"/>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2 2 2" xfId="15927" xr:uid="{6534B166-5FBB-4CBD-9462-5F2FD115AFE4}"/>
    <cellStyle name="20% - Accent3 2 2 2 3 2 3" xfId="11709" xr:uid="{2AFCC993-B06B-40A8-9AEF-29406DDEE03D}"/>
    <cellStyle name="20% - Accent3 2 2 2 3 3" xfId="5353" xr:uid="{00000000-0005-0000-0000-00004C010000}"/>
    <cellStyle name="20% - Accent3 2 2 2 3 3 2" xfId="13782" xr:uid="{8FA5CDAB-727D-4AC6-8EB6-DF3EA5EAF7E4}"/>
    <cellStyle name="20% - Accent3 2 2 2 3 4" xfId="9564" xr:uid="{A3A51C8B-DD53-4261-BE1E-82D604FF0858}"/>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2 2 2" xfId="16340" xr:uid="{89A7B52B-E7BC-4596-A548-D7F58C8EB0E9}"/>
    <cellStyle name="20% - Accent3 2 2 2 4 2 3" xfId="12122" xr:uid="{4338C25D-9C09-4070-B856-D51E4731FE98}"/>
    <cellStyle name="20% - Accent3 2 2 2 4 3" xfId="5766" xr:uid="{00000000-0005-0000-0000-000050010000}"/>
    <cellStyle name="20% - Accent3 2 2 2 4 3 2" xfId="14195" xr:uid="{C922B3CD-7C8F-4797-B913-8D1A0F149137}"/>
    <cellStyle name="20% - Accent3 2 2 2 4 4" xfId="9977" xr:uid="{F6307126-2AEE-4CD4-AF9D-4B7DF6D7912F}"/>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2 2 2" xfId="16753" xr:uid="{7BD34834-D641-49CA-ABB6-70715C8D8612}"/>
    <cellStyle name="20% - Accent3 2 2 2 5 2 3" xfId="12535" xr:uid="{C0C4177F-23D6-44D8-974B-452BB43F9EF9}"/>
    <cellStyle name="20% - Accent3 2 2 2 5 3" xfId="6179" xr:uid="{00000000-0005-0000-0000-000054010000}"/>
    <cellStyle name="20% - Accent3 2 2 2 5 3 2" xfId="14608" xr:uid="{790E7B53-AC86-4776-8626-74DD8D035869}"/>
    <cellStyle name="20% - Accent3 2 2 2 5 4" xfId="10390" xr:uid="{245E1BC4-9B95-461E-9592-E91651E7ECC4}"/>
    <cellStyle name="20% - Accent3 2 2 2 6" xfId="2284" xr:uid="{00000000-0005-0000-0000-000055010000}"/>
    <cellStyle name="20% - Accent3 2 2 2 6 2" xfId="6592" xr:uid="{00000000-0005-0000-0000-000056010000}"/>
    <cellStyle name="20% - Accent3 2 2 2 6 2 2" xfId="15021" xr:uid="{0DFD3CB6-0E27-4AF8-91B7-4E5A0CA996CD}"/>
    <cellStyle name="20% - Accent3 2 2 2 6 3" xfId="10803" xr:uid="{C2F09A36-B7B8-4C82-9818-9C4520E337C8}"/>
    <cellStyle name="20% - Accent3 2 2 2 7" xfId="4526" xr:uid="{00000000-0005-0000-0000-000057010000}"/>
    <cellStyle name="20% - Accent3 2 2 2 7 2" xfId="12955" xr:uid="{B5DD904F-262B-4B4E-AF05-5D7C003B3B3B}"/>
    <cellStyle name="20% - Accent3 2 2 2 8" xfId="8737" xr:uid="{0ED22631-E8CE-4C81-A410-3D39E8C32121}"/>
    <cellStyle name="20% - Accent3 2 2 3" xfId="589" xr:uid="{00000000-0005-0000-0000-000058010000}"/>
    <cellStyle name="20% - Accent3 2 2 3 2" xfId="2860" xr:uid="{00000000-0005-0000-0000-000059010000}"/>
    <cellStyle name="20% - Accent3 2 2 3 2 2" xfId="7084" xr:uid="{00000000-0005-0000-0000-00005A010000}"/>
    <cellStyle name="20% - Accent3 2 2 3 2 2 2" xfId="15513" xr:uid="{46C96D35-9E70-473D-9CA0-73A302C21F5F}"/>
    <cellStyle name="20% - Accent3 2 2 3 2 3" xfId="11295" xr:uid="{9C749965-0B83-4CF9-82D4-2D49952B48F4}"/>
    <cellStyle name="20% - Accent3 2 2 3 3" xfId="4939" xr:uid="{00000000-0005-0000-0000-00005B010000}"/>
    <cellStyle name="20% - Accent3 2 2 3 3 2" xfId="13368" xr:uid="{29DBD8A7-9F89-4DFE-9768-A9D5C4210A04}"/>
    <cellStyle name="20% - Accent3 2 2 3 4" xfId="9150" xr:uid="{CA3F4A4F-52BE-472F-B8FA-5047D4EB90B5}"/>
    <cellStyle name="20% - Accent3 2 2 4" xfId="1042" xr:uid="{00000000-0005-0000-0000-00005C010000}"/>
    <cellStyle name="20% - Accent3 2 2 4 2" xfId="3273" xr:uid="{00000000-0005-0000-0000-00005D010000}"/>
    <cellStyle name="20% - Accent3 2 2 4 2 2" xfId="7497" xr:uid="{00000000-0005-0000-0000-00005E010000}"/>
    <cellStyle name="20% - Accent3 2 2 4 2 2 2" xfId="15926" xr:uid="{ED25CD37-53EA-4F4C-9927-D166DDE2BE8D}"/>
    <cellStyle name="20% - Accent3 2 2 4 2 3" xfId="11708" xr:uid="{3FAA40E3-77AA-4C89-8F2A-99BAEAC821BD}"/>
    <cellStyle name="20% - Accent3 2 2 4 3" xfId="5352" xr:uid="{00000000-0005-0000-0000-00005F010000}"/>
    <cellStyle name="20% - Accent3 2 2 4 3 2" xfId="13781" xr:uid="{E69D3204-E866-4C56-B655-F897DE493C56}"/>
    <cellStyle name="20% - Accent3 2 2 4 4" xfId="9563" xr:uid="{607B55E6-DAB6-45A9-A9D1-CAC6CC93466C}"/>
    <cellStyle name="20% - Accent3 2 2 5" xfId="1456" xr:uid="{00000000-0005-0000-0000-000060010000}"/>
    <cellStyle name="20% - Accent3 2 2 5 2" xfId="3686" xr:uid="{00000000-0005-0000-0000-000061010000}"/>
    <cellStyle name="20% - Accent3 2 2 5 2 2" xfId="7910" xr:uid="{00000000-0005-0000-0000-000062010000}"/>
    <cellStyle name="20% - Accent3 2 2 5 2 2 2" xfId="16339" xr:uid="{151CF39F-7201-4699-9B2D-EF26F6523CE6}"/>
    <cellStyle name="20% - Accent3 2 2 5 2 3" xfId="12121" xr:uid="{25FAD82A-91B2-467E-B18A-87B18154B938}"/>
    <cellStyle name="20% - Accent3 2 2 5 3" xfId="5765" xr:uid="{00000000-0005-0000-0000-000063010000}"/>
    <cellStyle name="20% - Accent3 2 2 5 3 2" xfId="14194" xr:uid="{EAC3A72E-F22D-4B11-93D3-E3B070826F73}"/>
    <cellStyle name="20% - Accent3 2 2 5 4" xfId="9976" xr:uid="{FD3D7FA1-4B7F-419A-A21A-F93F4D2481D4}"/>
    <cellStyle name="20% - Accent3 2 2 6" xfId="1870" xr:uid="{00000000-0005-0000-0000-000064010000}"/>
    <cellStyle name="20% - Accent3 2 2 6 2" xfId="4099" xr:uid="{00000000-0005-0000-0000-000065010000}"/>
    <cellStyle name="20% - Accent3 2 2 6 2 2" xfId="8323" xr:uid="{00000000-0005-0000-0000-000066010000}"/>
    <cellStyle name="20% - Accent3 2 2 6 2 2 2" xfId="16752" xr:uid="{418B4D9A-8B9C-462A-B8E8-64041E94C448}"/>
    <cellStyle name="20% - Accent3 2 2 6 2 3" xfId="12534" xr:uid="{8E7943EC-7622-43F0-8D35-A44AC66650E6}"/>
    <cellStyle name="20% - Accent3 2 2 6 3" xfId="6178" xr:uid="{00000000-0005-0000-0000-000067010000}"/>
    <cellStyle name="20% - Accent3 2 2 6 3 2" xfId="14607" xr:uid="{46AAAC3C-373D-481E-8932-14637F63A0F9}"/>
    <cellStyle name="20% - Accent3 2 2 6 4" xfId="10389" xr:uid="{3F360275-B3DF-4CC9-BEDE-528544DF2D0A}"/>
    <cellStyle name="20% - Accent3 2 2 7" xfId="2283" xr:uid="{00000000-0005-0000-0000-000068010000}"/>
    <cellStyle name="20% - Accent3 2 2 7 2" xfId="6591" xr:uid="{00000000-0005-0000-0000-000069010000}"/>
    <cellStyle name="20% - Accent3 2 2 7 2 2" xfId="15020" xr:uid="{A72C8FCF-1674-4332-976A-7813991B561C}"/>
    <cellStyle name="20% - Accent3 2 2 7 3" xfId="10802" xr:uid="{EB63B90D-723B-4A73-BE75-62D66C71D3E6}"/>
    <cellStyle name="20% - Accent3 2 2 8" xfId="4525" xr:uid="{00000000-0005-0000-0000-00006A010000}"/>
    <cellStyle name="20% - Accent3 2 2 8 2" xfId="12954" xr:uid="{3445E240-2BCC-4E39-9319-1BADEC5637D9}"/>
    <cellStyle name="20% - Accent3 2 2 9" xfId="8736" xr:uid="{04132440-8F0C-4A36-BFDE-0B5EB3D067E8}"/>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2 2 2" xfId="15515" xr:uid="{4D933C7B-9C39-4F8B-8E52-55487A697C05}"/>
    <cellStyle name="20% - Accent3 2 3 2 2 3" xfId="11297" xr:uid="{377F29E7-59F9-458C-9563-C33FAB270B2D}"/>
    <cellStyle name="20% - Accent3 2 3 2 3" xfId="4941" xr:uid="{00000000-0005-0000-0000-00006F010000}"/>
    <cellStyle name="20% - Accent3 2 3 2 3 2" xfId="13370" xr:uid="{71ED49BE-25D3-44AE-8242-C37315B1ED67}"/>
    <cellStyle name="20% - Accent3 2 3 2 4" xfId="9152" xr:uid="{6BF60FF8-A06E-4A54-856F-6E35E1BF70BB}"/>
    <cellStyle name="20% - Accent3 2 3 3" xfId="1044" xr:uid="{00000000-0005-0000-0000-000070010000}"/>
    <cellStyle name="20% - Accent3 2 3 3 2" xfId="3275" xr:uid="{00000000-0005-0000-0000-000071010000}"/>
    <cellStyle name="20% - Accent3 2 3 3 2 2" xfId="7499" xr:uid="{00000000-0005-0000-0000-000072010000}"/>
    <cellStyle name="20% - Accent3 2 3 3 2 2 2" xfId="15928" xr:uid="{089F9112-BA93-41BB-80E5-8D76155D2E98}"/>
    <cellStyle name="20% - Accent3 2 3 3 2 3" xfId="11710" xr:uid="{1E4EC27A-C3CB-40A1-8475-C7BD2F72AB44}"/>
    <cellStyle name="20% - Accent3 2 3 3 3" xfId="5354" xr:uid="{00000000-0005-0000-0000-000073010000}"/>
    <cellStyle name="20% - Accent3 2 3 3 3 2" xfId="13783" xr:uid="{39785D87-EB00-437C-8C9E-DDD4C26B8E20}"/>
    <cellStyle name="20% - Accent3 2 3 3 4" xfId="9565" xr:uid="{75AF3EE4-F240-4BEA-82E0-FCB8A308E33B}"/>
    <cellStyle name="20% - Accent3 2 3 4" xfId="1458" xr:uid="{00000000-0005-0000-0000-000074010000}"/>
    <cellStyle name="20% - Accent3 2 3 4 2" xfId="3688" xr:uid="{00000000-0005-0000-0000-000075010000}"/>
    <cellStyle name="20% - Accent3 2 3 4 2 2" xfId="7912" xr:uid="{00000000-0005-0000-0000-000076010000}"/>
    <cellStyle name="20% - Accent3 2 3 4 2 2 2" xfId="16341" xr:uid="{D752C024-B9C6-43C7-9E30-EB7EAA3080F2}"/>
    <cellStyle name="20% - Accent3 2 3 4 2 3" xfId="12123" xr:uid="{82B64EEA-547F-452F-91EA-A7154312929E}"/>
    <cellStyle name="20% - Accent3 2 3 4 3" xfId="5767" xr:uid="{00000000-0005-0000-0000-000077010000}"/>
    <cellStyle name="20% - Accent3 2 3 4 3 2" xfId="14196" xr:uid="{87D47C27-81B4-4877-A67B-F23DE3C71B9A}"/>
    <cellStyle name="20% - Accent3 2 3 4 4" xfId="9978" xr:uid="{61ECD326-5C46-4A67-AD42-B150D125581E}"/>
    <cellStyle name="20% - Accent3 2 3 5" xfId="1872" xr:uid="{00000000-0005-0000-0000-000078010000}"/>
    <cellStyle name="20% - Accent3 2 3 5 2" xfId="4101" xr:uid="{00000000-0005-0000-0000-000079010000}"/>
    <cellStyle name="20% - Accent3 2 3 5 2 2" xfId="8325" xr:uid="{00000000-0005-0000-0000-00007A010000}"/>
    <cellStyle name="20% - Accent3 2 3 5 2 2 2" xfId="16754" xr:uid="{74E22307-9D8D-4FDC-BB71-B0FE56239D19}"/>
    <cellStyle name="20% - Accent3 2 3 5 2 3" xfId="12536" xr:uid="{86F5BF55-3391-4FCE-B5F5-0FB14FB0A965}"/>
    <cellStyle name="20% - Accent3 2 3 5 3" xfId="6180" xr:uid="{00000000-0005-0000-0000-00007B010000}"/>
    <cellStyle name="20% - Accent3 2 3 5 3 2" xfId="14609" xr:uid="{9FB910FE-FFBE-49C5-99E0-4CB24345AA00}"/>
    <cellStyle name="20% - Accent3 2 3 5 4" xfId="10391" xr:uid="{E400C4C7-13D7-42E6-BEB4-BFCDFE85453B}"/>
    <cellStyle name="20% - Accent3 2 3 6" xfId="2285" xr:uid="{00000000-0005-0000-0000-00007C010000}"/>
    <cellStyle name="20% - Accent3 2 3 6 2" xfId="6593" xr:uid="{00000000-0005-0000-0000-00007D010000}"/>
    <cellStyle name="20% - Accent3 2 3 6 2 2" xfId="15022" xr:uid="{579C48B6-6A0A-4913-A4B4-4C468C0F340F}"/>
    <cellStyle name="20% - Accent3 2 3 6 3" xfId="10804" xr:uid="{B6271607-329F-42B1-BF47-A89C3B8ED103}"/>
    <cellStyle name="20% - Accent3 2 3 7" xfId="4527" xr:uid="{00000000-0005-0000-0000-00007E010000}"/>
    <cellStyle name="20% - Accent3 2 3 7 2" xfId="12956" xr:uid="{AA429A88-0268-4649-A623-B8C13F31F824}"/>
    <cellStyle name="20% - Accent3 2 3 8" xfId="8738" xr:uid="{45EE89A5-50F3-4EAE-A918-6DA4DA2989BF}"/>
    <cellStyle name="20% - Accent3 2 4" xfId="588" xr:uid="{00000000-0005-0000-0000-00007F010000}"/>
    <cellStyle name="20% - Accent3 2 4 2" xfId="2859" xr:uid="{00000000-0005-0000-0000-000080010000}"/>
    <cellStyle name="20% - Accent3 2 4 2 2" xfId="7083" xr:uid="{00000000-0005-0000-0000-000081010000}"/>
    <cellStyle name="20% - Accent3 2 4 2 2 2" xfId="15512" xr:uid="{F1DFC729-2C2C-4DC7-8040-0A8312E00C5A}"/>
    <cellStyle name="20% - Accent3 2 4 2 3" xfId="11294" xr:uid="{310A6462-2331-4ECA-8E8D-C84EFC772D80}"/>
    <cellStyle name="20% - Accent3 2 4 3" xfId="4938" xr:uid="{00000000-0005-0000-0000-000082010000}"/>
    <cellStyle name="20% - Accent3 2 4 3 2" xfId="13367" xr:uid="{D950C2E4-0300-4A17-B4AC-F542D9DDB2E8}"/>
    <cellStyle name="20% - Accent3 2 4 4" xfId="9149" xr:uid="{8779F09D-ACDB-4C66-A9AC-D57CB008B469}"/>
    <cellStyle name="20% - Accent3 2 5" xfId="1041" xr:uid="{00000000-0005-0000-0000-000083010000}"/>
    <cellStyle name="20% - Accent3 2 5 2" xfId="3272" xr:uid="{00000000-0005-0000-0000-000084010000}"/>
    <cellStyle name="20% - Accent3 2 5 2 2" xfId="7496" xr:uid="{00000000-0005-0000-0000-000085010000}"/>
    <cellStyle name="20% - Accent3 2 5 2 2 2" xfId="15925" xr:uid="{F9C9AF5F-CA3E-4FEA-A1DB-03EC771A4D3E}"/>
    <cellStyle name="20% - Accent3 2 5 2 3" xfId="11707" xr:uid="{B6C5F1C9-7855-464D-8AF8-7C1949AD6805}"/>
    <cellStyle name="20% - Accent3 2 5 3" xfId="5351" xr:uid="{00000000-0005-0000-0000-000086010000}"/>
    <cellStyle name="20% - Accent3 2 5 3 2" xfId="13780" xr:uid="{E05345A2-5CCF-4377-A51A-977F8627B13E}"/>
    <cellStyle name="20% - Accent3 2 5 4" xfId="9562" xr:uid="{FC6969DD-665F-44B6-A7BE-2FFE8D72A4AD}"/>
    <cellStyle name="20% - Accent3 2 6" xfId="1455" xr:uid="{00000000-0005-0000-0000-000087010000}"/>
    <cellStyle name="20% - Accent3 2 6 2" xfId="3685" xr:uid="{00000000-0005-0000-0000-000088010000}"/>
    <cellStyle name="20% - Accent3 2 6 2 2" xfId="7909" xr:uid="{00000000-0005-0000-0000-000089010000}"/>
    <cellStyle name="20% - Accent3 2 6 2 2 2" xfId="16338" xr:uid="{5EACCCA1-4B2F-4ED7-A6CA-02F9E71F053E}"/>
    <cellStyle name="20% - Accent3 2 6 2 3" xfId="12120" xr:uid="{1A4F50FF-F051-4A91-9351-55816B06495B}"/>
    <cellStyle name="20% - Accent3 2 6 3" xfId="5764" xr:uid="{00000000-0005-0000-0000-00008A010000}"/>
    <cellStyle name="20% - Accent3 2 6 3 2" xfId="14193" xr:uid="{DF95F91B-0247-4915-8342-79DFA23BC26A}"/>
    <cellStyle name="20% - Accent3 2 6 4" xfId="9975" xr:uid="{D261D096-35AE-47C4-B3F9-4315C8E96586}"/>
    <cellStyle name="20% - Accent3 2 7" xfId="1869" xr:uid="{00000000-0005-0000-0000-00008B010000}"/>
    <cellStyle name="20% - Accent3 2 7 2" xfId="4098" xr:uid="{00000000-0005-0000-0000-00008C010000}"/>
    <cellStyle name="20% - Accent3 2 7 2 2" xfId="8322" xr:uid="{00000000-0005-0000-0000-00008D010000}"/>
    <cellStyle name="20% - Accent3 2 7 2 2 2" xfId="16751" xr:uid="{5C28DBD1-84E6-4EAF-9B1D-B371671DCBE2}"/>
    <cellStyle name="20% - Accent3 2 7 2 3" xfId="12533" xr:uid="{0F6B57AC-4F6B-4435-84C6-123DB0B46698}"/>
    <cellStyle name="20% - Accent3 2 7 3" xfId="6177" xr:uid="{00000000-0005-0000-0000-00008E010000}"/>
    <cellStyle name="20% - Accent3 2 7 3 2" xfId="14606" xr:uid="{DE0D117A-3E5A-45B8-9B44-4C63A6DEF3AD}"/>
    <cellStyle name="20% - Accent3 2 7 4" xfId="10388" xr:uid="{80288FE0-2553-4CAE-876B-AB8A0FE81F23}"/>
    <cellStyle name="20% - Accent3 2 8" xfId="2282" xr:uid="{00000000-0005-0000-0000-00008F010000}"/>
    <cellStyle name="20% - Accent3 2 8 2" xfId="6590" xr:uid="{00000000-0005-0000-0000-000090010000}"/>
    <cellStyle name="20% - Accent3 2 8 2 2" xfId="15019" xr:uid="{0BFABF38-9DD9-4C54-A5E1-F554D374A889}"/>
    <cellStyle name="20% - Accent3 2 8 3" xfId="10801" xr:uid="{AEA07547-FCA9-444B-B8C3-3EFD7563254A}"/>
    <cellStyle name="20% - Accent3 2 9" xfId="4524" xr:uid="{00000000-0005-0000-0000-000091010000}"/>
    <cellStyle name="20% - Accent3 2 9 2" xfId="12953" xr:uid="{F5321A97-76E2-4529-8689-8A88CE99E8E4}"/>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2 2 2" xfId="15517" xr:uid="{762DE468-3D7B-471A-8384-4C5D39DC467A}"/>
    <cellStyle name="20% - Accent3 3 2 2 2 3" xfId="11299" xr:uid="{BBD695AE-3B7F-4DD5-B908-E4764B518ADF}"/>
    <cellStyle name="20% - Accent3 3 2 2 3" xfId="4943" xr:uid="{00000000-0005-0000-0000-000097010000}"/>
    <cellStyle name="20% - Accent3 3 2 2 3 2" xfId="13372" xr:uid="{BC79EEC4-DE5A-4455-8623-90ACD1B8BE5A}"/>
    <cellStyle name="20% - Accent3 3 2 2 4" xfId="9154" xr:uid="{2869FFD2-EB97-4C99-AED2-6AEA541D5A75}"/>
    <cellStyle name="20% - Accent3 3 2 3" xfId="1046" xr:uid="{00000000-0005-0000-0000-000098010000}"/>
    <cellStyle name="20% - Accent3 3 2 3 2" xfId="3277" xr:uid="{00000000-0005-0000-0000-000099010000}"/>
    <cellStyle name="20% - Accent3 3 2 3 2 2" xfId="7501" xr:uid="{00000000-0005-0000-0000-00009A010000}"/>
    <cellStyle name="20% - Accent3 3 2 3 2 2 2" xfId="15930" xr:uid="{47B636D5-97B3-456D-91C4-3CE1FFD2455B}"/>
    <cellStyle name="20% - Accent3 3 2 3 2 3" xfId="11712" xr:uid="{C4F858F2-840A-4AD0-AB12-5DCD3129B1DF}"/>
    <cellStyle name="20% - Accent3 3 2 3 3" xfId="5356" xr:uid="{00000000-0005-0000-0000-00009B010000}"/>
    <cellStyle name="20% - Accent3 3 2 3 3 2" xfId="13785" xr:uid="{D8C9B903-1257-49F6-AA82-E1C294D284A9}"/>
    <cellStyle name="20% - Accent3 3 2 3 4" xfId="9567" xr:uid="{146C2B80-1B78-4862-83AD-F676D4D555F5}"/>
    <cellStyle name="20% - Accent3 3 2 4" xfId="1460" xr:uid="{00000000-0005-0000-0000-00009C010000}"/>
    <cellStyle name="20% - Accent3 3 2 4 2" xfId="3690" xr:uid="{00000000-0005-0000-0000-00009D010000}"/>
    <cellStyle name="20% - Accent3 3 2 4 2 2" xfId="7914" xr:uid="{00000000-0005-0000-0000-00009E010000}"/>
    <cellStyle name="20% - Accent3 3 2 4 2 2 2" xfId="16343" xr:uid="{1D668722-7DCC-466E-9A82-61B4BE4475D1}"/>
    <cellStyle name="20% - Accent3 3 2 4 2 3" xfId="12125" xr:uid="{6A0D46A0-0764-458F-A49D-DB23BBEA7DAD}"/>
    <cellStyle name="20% - Accent3 3 2 4 3" xfId="5769" xr:uid="{00000000-0005-0000-0000-00009F010000}"/>
    <cellStyle name="20% - Accent3 3 2 4 3 2" xfId="14198" xr:uid="{F36BEEB1-98DA-4A68-B3EA-0596D05300F2}"/>
    <cellStyle name="20% - Accent3 3 2 4 4" xfId="9980" xr:uid="{E504F74E-DCDD-4EEB-AC2A-F77A10C0F828}"/>
    <cellStyle name="20% - Accent3 3 2 5" xfId="1874" xr:uid="{00000000-0005-0000-0000-0000A0010000}"/>
    <cellStyle name="20% - Accent3 3 2 5 2" xfId="4103" xr:uid="{00000000-0005-0000-0000-0000A1010000}"/>
    <cellStyle name="20% - Accent3 3 2 5 2 2" xfId="8327" xr:uid="{00000000-0005-0000-0000-0000A2010000}"/>
    <cellStyle name="20% - Accent3 3 2 5 2 2 2" xfId="16756" xr:uid="{4E20BF2B-CA96-48EA-A0EA-16E5A190155F}"/>
    <cellStyle name="20% - Accent3 3 2 5 2 3" xfId="12538" xr:uid="{2A7BF041-FB74-4939-9B09-09A442AADF18}"/>
    <cellStyle name="20% - Accent3 3 2 5 3" xfId="6182" xr:uid="{00000000-0005-0000-0000-0000A3010000}"/>
    <cellStyle name="20% - Accent3 3 2 5 3 2" xfId="14611" xr:uid="{BABCCD54-BB0D-42B3-95A5-9D0F9DB2B92B}"/>
    <cellStyle name="20% - Accent3 3 2 5 4" xfId="10393" xr:uid="{38B4EC5A-0897-4307-AE3F-8CAC7DDB4AF7}"/>
    <cellStyle name="20% - Accent3 3 2 6" xfId="2287" xr:uid="{00000000-0005-0000-0000-0000A4010000}"/>
    <cellStyle name="20% - Accent3 3 2 6 2" xfId="6595" xr:uid="{00000000-0005-0000-0000-0000A5010000}"/>
    <cellStyle name="20% - Accent3 3 2 6 2 2" xfId="15024" xr:uid="{8D4B6ED6-0DD6-42E1-AB7A-F9D0EAB5DFE3}"/>
    <cellStyle name="20% - Accent3 3 2 6 3" xfId="10806" xr:uid="{0F5362C1-39AA-4814-9BAB-050EDE083ED7}"/>
    <cellStyle name="20% - Accent3 3 2 7" xfId="4529" xr:uid="{00000000-0005-0000-0000-0000A6010000}"/>
    <cellStyle name="20% - Accent3 3 2 7 2" xfId="12958" xr:uid="{3E7FC149-7954-4AE6-8D4E-83A74A3AC326}"/>
    <cellStyle name="20% - Accent3 3 2 8" xfId="8740" xr:uid="{E56FD1A0-A775-4580-9FD8-25221A3F9D07}"/>
    <cellStyle name="20% - Accent3 3 3" xfId="592" xr:uid="{00000000-0005-0000-0000-0000A7010000}"/>
    <cellStyle name="20% - Accent3 3 3 2" xfId="2863" xr:uid="{00000000-0005-0000-0000-0000A8010000}"/>
    <cellStyle name="20% - Accent3 3 3 2 2" xfId="7087" xr:uid="{00000000-0005-0000-0000-0000A9010000}"/>
    <cellStyle name="20% - Accent3 3 3 2 2 2" xfId="15516" xr:uid="{AEC25AA0-7840-45DA-ABA6-E07185D80EB6}"/>
    <cellStyle name="20% - Accent3 3 3 2 3" xfId="11298" xr:uid="{EDB62F1F-9308-47AE-9858-DDB8CC8BE7DD}"/>
    <cellStyle name="20% - Accent3 3 3 3" xfId="4942" xr:uid="{00000000-0005-0000-0000-0000AA010000}"/>
    <cellStyle name="20% - Accent3 3 3 3 2" xfId="13371" xr:uid="{9B57D45C-84E4-4CEA-866B-D4A45BD6D064}"/>
    <cellStyle name="20% - Accent3 3 3 4" xfId="9153" xr:uid="{9BB3F238-CFBC-45C0-A7EC-540384593922}"/>
    <cellStyle name="20% - Accent3 3 4" xfId="1045" xr:uid="{00000000-0005-0000-0000-0000AB010000}"/>
    <cellStyle name="20% - Accent3 3 4 2" xfId="3276" xr:uid="{00000000-0005-0000-0000-0000AC010000}"/>
    <cellStyle name="20% - Accent3 3 4 2 2" xfId="7500" xr:uid="{00000000-0005-0000-0000-0000AD010000}"/>
    <cellStyle name="20% - Accent3 3 4 2 2 2" xfId="15929" xr:uid="{6C16D48B-98E1-4AC2-A530-C7AA33D068FD}"/>
    <cellStyle name="20% - Accent3 3 4 2 3" xfId="11711" xr:uid="{E1CE0A9A-F598-4F1B-B2E8-CDCF558C7BAE}"/>
    <cellStyle name="20% - Accent3 3 4 3" xfId="5355" xr:uid="{00000000-0005-0000-0000-0000AE010000}"/>
    <cellStyle name="20% - Accent3 3 4 3 2" xfId="13784" xr:uid="{0ADDAF10-5896-473E-B16B-9A8858A42792}"/>
    <cellStyle name="20% - Accent3 3 4 4" xfId="9566" xr:uid="{3C3EBA27-784E-4FEA-AF20-DC96E85C07EC}"/>
    <cellStyle name="20% - Accent3 3 5" xfId="1459" xr:uid="{00000000-0005-0000-0000-0000AF010000}"/>
    <cellStyle name="20% - Accent3 3 5 2" xfId="3689" xr:uid="{00000000-0005-0000-0000-0000B0010000}"/>
    <cellStyle name="20% - Accent3 3 5 2 2" xfId="7913" xr:uid="{00000000-0005-0000-0000-0000B1010000}"/>
    <cellStyle name="20% - Accent3 3 5 2 2 2" xfId="16342" xr:uid="{4EFB4321-5638-4474-B720-2A78725F5AE0}"/>
    <cellStyle name="20% - Accent3 3 5 2 3" xfId="12124" xr:uid="{D9843CE5-6A2A-4180-AF65-4EC83BBDB162}"/>
    <cellStyle name="20% - Accent3 3 5 3" xfId="5768" xr:uid="{00000000-0005-0000-0000-0000B2010000}"/>
    <cellStyle name="20% - Accent3 3 5 3 2" xfId="14197" xr:uid="{91B57662-644E-4803-8BAE-D3BF0FC69208}"/>
    <cellStyle name="20% - Accent3 3 5 4" xfId="9979" xr:uid="{56F90EF4-D2C0-4A29-BA53-70A4006B6B92}"/>
    <cellStyle name="20% - Accent3 3 6" xfId="1873" xr:uid="{00000000-0005-0000-0000-0000B3010000}"/>
    <cellStyle name="20% - Accent3 3 6 2" xfId="4102" xr:uid="{00000000-0005-0000-0000-0000B4010000}"/>
    <cellStyle name="20% - Accent3 3 6 2 2" xfId="8326" xr:uid="{00000000-0005-0000-0000-0000B5010000}"/>
    <cellStyle name="20% - Accent3 3 6 2 2 2" xfId="16755" xr:uid="{EE45F948-746B-4718-BFFC-72DF55C6E91A}"/>
    <cellStyle name="20% - Accent3 3 6 2 3" xfId="12537" xr:uid="{A08669A6-72A8-49DD-8D59-37E4989270E4}"/>
    <cellStyle name="20% - Accent3 3 6 3" xfId="6181" xr:uid="{00000000-0005-0000-0000-0000B6010000}"/>
    <cellStyle name="20% - Accent3 3 6 3 2" xfId="14610" xr:uid="{39AEB343-315A-4743-A05F-D4D727DAD169}"/>
    <cellStyle name="20% - Accent3 3 6 4" xfId="10392" xr:uid="{050F4534-74FB-42F6-9700-813DB6D8BEF7}"/>
    <cellStyle name="20% - Accent3 3 7" xfId="2286" xr:uid="{00000000-0005-0000-0000-0000B7010000}"/>
    <cellStyle name="20% - Accent3 3 7 2" xfId="6594" xr:uid="{00000000-0005-0000-0000-0000B8010000}"/>
    <cellStyle name="20% - Accent3 3 7 2 2" xfId="15023" xr:uid="{B9095DFC-F850-42E3-87DE-99457697859B}"/>
    <cellStyle name="20% - Accent3 3 7 3" xfId="10805" xr:uid="{D4D66786-013F-4028-9D7F-C5407DAA64E0}"/>
    <cellStyle name="20% - Accent3 3 8" xfId="4528" xr:uid="{00000000-0005-0000-0000-0000B9010000}"/>
    <cellStyle name="20% - Accent3 3 8 2" xfId="12957" xr:uid="{5D376751-1B5B-4416-BD8C-790AF76D0F1A}"/>
    <cellStyle name="20% - Accent3 3 9" xfId="8739" xr:uid="{2AFBC374-19B8-4576-821C-74CB3BE04E2C}"/>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2 2 2" xfId="15518" xr:uid="{47D1F3E2-62F7-454B-809C-2EA7A1B52244}"/>
    <cellStyle name="20% - Accent3 4 2 2 3" xfId="11300" xr:uid="{A047779B-6F1D-4B23-A13F-F7F064CE75F5}"/>
    <cellStyle name="20% - Accent3 4 2 3" xfId="4944" xr:uid="{00000000-0005-0000-0000-0000BE010000}"/>
    <cellStyle name="20% - Accent3 4 2 3 2" xfId="13373" xr:uid="{5A509A65-E83D-41FF-B7D5-ADD13B8D9A0A}"/>
    <cellStyle name="20% - Accent3 4 2 4" xfId="9155" xr:uid="{86730D3C-6691-420D-9D5D-3D74A3440EF4}"/>
    <cellStyle name="20% - Accent3 4 3" xfId="1047" xr:uid="{00000000-0005-0000-0000-0000BF010000}"/>
    <cellStyle name="20% - Accent3 4 3 2" xfId="3278" xr:uid="{00000000-0005-0000-0000-0000C0010000}"/>
    <cellStyle name="20% - Accent3 4 3 2 2" xfId="7502" xr:uid="{00000000-0005-0000-0000-0000C1010000}"/>
    <cellStyle name="20% - Accent3 4 3 2 2 2" xfId="15931" xr:uid="{89B7A9A6-9463-4325-8C1F-6DCD5C9BB837}"/>
    <cellStyle name="20% - Accent3 4 3 2 3" xfId="11713" xr:uid="{E8ABC897-3536-49A1-B4AE-156BA9FD7D14}"/>
    <cellStyle name="20% - Accent3 4 3 3" xfId="5357" xr:uid="{00000000-0005-0000-0000-0000C2010000}"/>
    <cellStyle name="20% - Accent3 4 3 3 2" xfId="13786" xr:uid="{69C0AC80-EC0A-4136-8CAF-C522F9232088}"/>
    <cellStyle name="20% - Accent3 4 3 4" xfId="9568" xr:uid="{07E258DA-530B-478B-94C8-07B5A661652F}"/>
    <cellStyle name="20% - Accent3 4 4" xfId="1461" xr:uid="{00000000-0005-0000-0000-0000C3010000}"/>
    <cellStyle name="20% - Accent3 4 4 2" xfId="3691" xr:uid="{00000000-0005-0000-0000-0000C4010000}"/>
    <cellStyle name="20% - Accent3 4 4 2 2" xfId="7915" xr:uid="{00000000-0005-0000-0000-0000C5010000}"/>
    <cellStyle name="20% - Accent3 4 4 2 2 2" xfId="16344" xr:uid="{8983837F-1E7F-4B95-A9D0-E0FAEB682DA0}"/>
    <cellStyle name="20% - Accent3 4 4 2 3" xfId="12126" xr:uid="{0154EABC-F61C-4801-8519-9301F95974AE}"/>
    <cellStyle name="20% - Accent3 4 4 3" xfId="5770" xr:uid="{00000000-0005-0000-0000-0000C6010000}"/>
    <cellStyle name="20% - Accent3 4 4 3 2" xfId="14199" xr:uid="{FC6BDDB0-2E7B-4683-97A5-CDD98F84ABBB}"/>
    <cellStyle name="20% - Accent3 4 4 4" xfId="9981" xr:uid="{7B3C7248-7D00-4B6E-94E6-87C7716BEC45}"/>
    <cellStyle name="20% - Accent3 4 5" xfId="1875" xr:uid="{00000000-0005-0000-0000-0000C7010000}"/>
    <cellStyle name="20% - Accent3 4 5 2" xfId="4104" xr:uid="{00000000-0005-0000-0000-0000C8010000}"/>
    <cellStyle name="20% - Accent3 4 5 2 2" xfId="8328" xr:uid="{00000000-0005-0000-0000-0000C9010000}"/>
    <cellStyle name="20% - Accent3 4 5 2 2 2" xfId="16757" xr:uid="{ED6D104A-3205-4A42-94F3-B6693890F687}"/>
    <cellStyle name="20% - Accent3 4 5 2 3" xfId="12539" xr:uid="{0D7EC59E-7AE9-484D-AFD8-0F77EE933D7E}"/>
    <cellStyle name="20% - Accent3 4 5 3" xfId="6183" xr:uid="{00000000-0005-0000-0000-0000CA010000}"/>
    <cellStyle name="20% - Accent3 4 5 3 2" xfId="14612" xr:uid="{265FB860-2485-43C2-A331-FAB37CE46A61}"/>
    <cellStyle name="20% - Accent3 4 5 4" xfId="10394" xr:uid="{84E37C13-5A42-4A02-81B9-209BD06311DF}"/>
    <cellStyle name="20% - Accent3 4 6" xfId="2288" xr:uid="{00000000-0005-0000-0000-0000CB010000}"/>
    <cellStyle name="20% - Accent3 4 6 2" xfId="6596" xr:uid="{00000000-0005-0000-0000-0000CC010000}"/>
    <cellStyle name="20% - Accent3 4 6 2 2" xfId="15025" xr:uid="{4AF4C0A2-3090-4AAE-97ED-705ED94614ED}"/>
    <cellStyle name="20% - Accent3 4 6 3" xfId="10807" xr:uid="{614EAA74-0CFF-4097-A30F-67B85362A080}"/>
    <cellStyle name="20% - Accent3 4 7" xfId="4530" xr:uid="{00000000-0005-0000-0000-0000CD010000}"/>
    <cellStyle name="20% - Accent3 4 7 2" xfId="12959" xr:uid="{648CBEE3-6C36-48EE-BF13-138FD5B33D39}"/>
    <cellStyle name="20% - Accent3 4 8" xfId="8741" xr:uid="{256010AF-82E1-46F2-A194-641A294D4B28}"/>
    <cellStyle name="20% - Accent3 5" xfId="587" xr:uid="{00000000-0005-0000-0000-0000CE010000}"/>
    <cellStyle name="20% - Accent3 5 2" xfId="2858" xr:uid="{00000000-0005-0000-0000-0000CF010000}"/>
    <cellStyle name="20% - Accent3 5 2 2" xfId="7082" xr:uid="{00000000-0005-0000-0000-0000D0010000}"/>
    <cellStyle name="20% - Accent3 5 2 2 2" xfId="15511" xr:uid="{F0EA4D46-B30E-43BF-85ED-5E2BE9C560F2}"/>
    <cellStyle name="20% - Accent3 5 2 3" xfId="11293" xr:uid="{B70B20B2-5FDD-4790-AEB0-242596647D1A}"/>
    <cellStyle name="20% - Accent3 5 3" xfId="4937" xr:uid="{00000000-0005-0000-0000-0000D1010000}"/>
    <cellStyle name="20% - Accent3 5 3 2" xfId="13366" xr:uid="{DCEF8BEE-E0A4-4BD8-BF0F-F9728A3E38C9}"/>
    <cellStyle name="20% - Accent3 5 4" xfId="9148" xr:uid="{A7C4B643-84D3-4389-A359-BEF0563039C2}"/>
    <cellStyle name="20% - Accent3 6" xfId="1040" xr:uid="{00000000-0005-0000-0000-0000D2010000}"/>
    <cellStyle name="20% - Accent3 6 2" xfId="3271" xr:uid="{00000000-0005-0000-0000-0000D3010000}"/>
    <cellStyle name="20% - Accent3 6 2 2" xfId="7495" xr:uid="{00000000-0005-0000-0000-0000D4010000}"/>
    <cellStyle name="20% - Accent3 6 2 2 2" xfId="15924" xr:uid="{1C8B064A-2F12-4501-A845-0E486CC56A73}"/>
    <cellStyle name="20% - Accent3 6 2 3" xfId="11706" xr:uid="{349E9F0B-6208-4221-BEF5-BC52CB7AA0FB}"/>
    <cellStyle name="20% - Accent3 6 3" xfId="5350" xr:uid="{00000000-0005-0000-0000-0000D5010000}"/>
    <cellStyle name="20% - Accent3 6 3 2" xfId="13779" xr:uid="{A42F31A9-A170-415D-A3C3-0EC3A6EFCAA9}"/>
    <cellStyle name="20% - Accent3 6 4" xfId="9561" xr:uid="{9D49F346-8838-4614-9623-F1E84BC2C901}"/>
    <cellStyle name="20% - Accent3 7" xfId="1454" xr:uid="{00000000-0005-0000-0000-0000D6010000}"/>
    <cellStyle name="20% - Accent3 7 2" xfId="3684" xr:uid="{00000000-0005-0000-0000-0000D7010000}"/>
    <cellStyle name="20% - Accent3 7 2 2" xfId="7908" xr:uid="{00000000-0005-0000-0000-0000D8010000}"/>
    <cellStyle name="20% - Accent3 7 2 2 2" xfId="16337" xr:uid="{12751655-BB58-4CFD-9D3F-102CFD70736D}"/>
    <cellStyle name="20% - Accent3 7 2 3" xfId="12119" xr:uid="{5C406914-0799-4BD0-BD8C-8E98CA0447F3}"/>
    <cellStyle name="20% - Accent3 7 3" xfId="5763" xr:uid="{00000000-0005-0000-0000-0000D9010000}"/>
    <cellStyle name="20% - Accent3 7 3 2" xfId="14192" xr:uid="{4B051B5F-0B8D-46DF-958A-A7D78D8D41D5}"/>
    <cellStyle name="20% - Accent3 7 4" xfId="9974" xr:uid="{5797C473-5584-4F22-929A-ED1DAC726095}"/>
    <cellStyle name="20% - Accent3 8" xfId="1868" xr:uid="{00000000-0005-0000-0000-0000DA010000}"/>
    <cellStyle name="20% - Accent3 8 2" xfId="4097" xr:uid="{00000000-0005-0000-0000-0000DB010000}"/>
    <cellStyle name="20% - Accent3 8 2 2" xfId="8321" xr:uid="{00000000-0005-0000-0000-0000DC010000}"/>
    <cellStyle name="20% - Accent3 8 2 2 2" xfId="16750" xr:uid="{9712A134-3A97-4247-B622-7CCCA438960C}"/>
    <cellStyle name="20% - Accent3 8 2 3" xfId="12532" xr:uid="{BF40A5F0-E503-4F4A-B678-D2DBE29A258D}"/>
    <cellStyle name="20% - Accent3 8 3" xfId="6176" xr:uid="{00000000-0005-0000-0000-0000DD010000}"/>
    <cellStyle name="20% - Accent3 8 3 2" xfId="14605" xr:uid="{FEB127BD-780C-4731-BD9F-47EFC390922D}"/>
    <cellStyle name="20% - Accent3 8 4" xfId="10387" xr:uid="{C0C1E2C8-3941-4957-8B99-92049B40E424}"/>
    <cellStyle name="20% - Accent3 9" xfId="2281" xr:uid="{00000000-0005-0000-0000-0000DE010000}"/>
    <cellStyle name="20% - Accent3 9 2" xfId="6589" xr:uid="{00000000-0005-0000-0000-0000DF010000}"/>
    <cellStyle name="20% - Accent3 9 2 2" xfId="15018" xr:uid="{FCE1E880-B95B-4BDE-8C4D-FA8C12E93991}"/>
    <cellStyle name="20% - Accent3 9 3" xfId="10800" xr:uid="{6C32E341-0BE7-4994-8DA6-D18F0AD61703}"/>
    <cellStyle name="20% - Accent4" xfId="25" builtinId="42" customBuiltin="1"/>
    <cellStyle name="20% - Accent4 10" xfId="4531" xr:uid="{00000000-0005-0000-0000-0000E1010000}"/>
    <cellStyle name="20% - Accent4 10 2" xfId="12960" xr:uid="{BF678A4D-303D-48D6-A67D-D4DDC99E6E0E}"/>
    <cellStyle name="20% - Accent4 11" xfId="8742" xr:uid="{16FE1D8B-1913-4D5D-AA7A-9B88BACA04DD}"/>
    <cellStyle name="20% - Accent4 2" xfId="26" xr:uid="{00000000-0005-0000-0000-0000E2010000}"/>
    <cellStyle name="20% - Accent4 2 10" xfId="8743" xr:uid="{61796E4C-15B7-409E-B006-940043CD40B9}"/>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2 2 2" xfId="15522" xr:uid="{BD248975-5C98-48A7-B924-5C81CCC658B4}"/>
    <cellStyle name="20% - Accent4 2 2 2 2 2 3" xfId="11304" xr:uid="{D02BEE9D-66EB-4704-80A3-876DF60E20A4}"/>
    <cellStyle name="20% - Accent4 2 2 2 2 3" xfId="4948" xr:uid="{00000000-0005-0000-0000-0000E8010000}"/>
    <cellStyle name="20% - Accent4 2 2 2 2 3 2" xfId="13377" xr:uid="{966305CD-7321-419C-A000-9AD924649264}"/>
    <cellStyle name="20% - Accent4 2 2 2 2 4" xfId="9159" xr:uid="{BAC20B06-73B8-4FC2-AF42-5AA64DD90E41}"/>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2 2 2" xfId="15935" xr:uid="{9B9231E2-8572-46D5-AA24-DFD6EC62E852}"/>
    <cellStyle name="20% - Accent4 2 2 2 3 2 3" xfId="11717" xr:uid="{9880D6DD-951B-4CC6-9067-8B4C68186EB0}"/>
    <cellStyle name="20% - Accent4 2 2 2 3 3" xfId="5361" xr:uid="{00000000-0005-0000-0000-0000EC010000}"/>
    <cellStyle name="20% - Accent4 2 2 2 3 3 2" xfId="13790" xr:uid="{937C0128-11D5-458A-9A15-66600D3D16C8}"/>
    <cellStyle name="20% - Accent4 2 2 2 3 4" xfId="9572" xr:uid="{4783748E-6764-49CE-B99B-2D1AB9F7EB93}"/>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2 2 2" xfId="16348" xr:uid="{5F6074CE-92D0-419E-A5E1-72608A794B74}"/>
    <cellStyle name="20% - Accent4 2 2 2 4 2 3" xfId="12130" xr:uid="{3DBA9B9B-19C2-4499-8EC8-B92E026E3B81}"/>
    <cellStyle name="20% - Accent4 2 2 2 4 3" xfId="5774" xr:uid="{00000000-0005-0000-0000-0000F0010000}"/>
    <cellStyle name="20% - Accent4 2 2 2 4 3 2" xfId="14203" xr:uid="{A776182D-FC04-4C1E-A695-9B556D9E7165}"/>
    <cellStyle name="20% - Accent4 2 2 2 4 4" xfId="9985" xr:uid="{A64ED119-3997-4E75-8E90-53C717D65308}"/>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2 2 2" xfId="16761" xr:uid="{B7ADF2F0-6BAA-45EC-BA77-BDCC9C4C592C}"/>
    <cellStyle name="20% - Accent4 2 2 2 5 2 3" xfId="12543" xr:uid="{BFDA8BEC-C851-4AB7-9ABE-49A641DAA35E}"/>
    <cellStyle name="20% - Accent4 2 2 2 5 3" xfId="6187" xr:uid="{00000000-0005-0000-0000-0000F4010000}"/>
    <cellStyle name="20% - Accent4 2 2 2 5 3 2" xfId="14616" xr:uid="{3695314F-AADD-47BE-864D-3343863372E3}"/>
    <cellStyle name="20% - Accent4 2 2 2 5 4" xfId="10398" xr:uid="{8376E04F-DF53-4980-A6A9-0065FCDAB28C}"/>
    <cellStyle name="20% - Accent4 2 2 2 6" xfId="2292" xr:uid="{00000000-0005-0000-0000-0000F5010000}"/>
    <cellStyle name="20% - Accent4 2 2 2 6 2" xfId="6600" xr:uid="{00000000-0005-0000-0000-0000F6010000}"/>
    <cellStyle name="20% - Accent4 2 2 2 6 2 2" xfId="15029" xr:uid="{C78EEE8F-5015-4374-99C7-E397173895A0}"/>
    <cellStyle name="20% - Accent4 2 2 2 6 3" xfId="10811" xr:uid="{030A0C07-06A7-42C1-9DC0-4819D64CB353}"/>
    <cellStyle name="20% - Accent4 2 2 2 7" xfId="4534" xr:uid="{00000000-0005-0000-0000-0000F7010000}"/>
    <cellStyle name="20% - Accent4 2 2 2 7 2" xfId="12963" xr:uid="{1936B6BB-5B77-42B3-B2B7-716567EBBF48}"/>
    <cellStyle name="20% - Accent4 2 2 2 8" xfId="8745" xr:uid="{E037C4D3-8B1C-48A8-B2A4-4CB4941108A1}"/>
    <cellStyle name="20% - Accent4 2 2 3" xfId="597" xr:uid="{00000000-0005-0000-0000-0000F8010000}"/>
    <cellStyle name="20% - Accent4 2 2 3 2" xfId="2868" xr:uid="{00000000-0005-0000-0000-0000F9010000}"/>
    <cellStyle name="20% - Accent4 2 2 3 2 2" xfId="7092" xr:uid="{00000000-0005-0000-0000-0000FA010000}"/>
    <cellStyle name="20% - Accent4 2 2 3 2 2 2" xfId="15521" xr:uid="{577F60DD-7AB0-4B06-96B8-619572A83E92}"/>
    <cellStyle name="20% - Accent4 2 2 3 2 3" xfId="11303" xr:uid="{25E9B24D-2507-4810-B1A9-01454917B7A9}"/>
    <cellStyle name="20% - Accent4 2 2 3 3" xfId="4947" xr:uid="{00000000-0005-0000-0000-0000FB010000}"/>
    <cellStyle name="20% - Accent4 2 2 3 3 2" xfId="13376" xr:uid="{42A99E4C-8698-4377-8557-B31ABA52D0AF}"/>
    <cellStyle name="20% - Accent4 2 2 3 4" xfId="9158" xr:uid="{8F772BF8-2C7C-4C54-A072-1A3FB859A9FB}"/>
    <cellStyle name="20% - Accent4 2 2 4" xfId="1050" xr:uid="{00000000-0005-0000-0000-0000FC010000}"/>
    <cellStyle name="20% - Accent4 2 2 4 2" xfId="3281" xr:uid="{00000000-0005-0000-0000-0000FD010000}"/>
    <cellStyle name="20% - Accent4 2 2 4 2 2" xfId="7505" xr:uid="{00000000-0005-0000-0000-0000FE010000}"/>
    <cellStyle name="20% - Accent4 2 2 4 2 2 2" xfId="15934" xr:uid="{8471F7BA-34CC-4728-A30E-3EFD7A861432}"/>
    <cellStyle name="20% - Accent4 2 2 4 2 3" xfId="11716" xr:uid="{E6EAA0F0-4EFF-4EC0-BBA0-28B417279EFD}"/>
    <cellStyle name="20% - Accent4 2 2 4 3" xfId="5360" xr:uid="{00000000-0005-0000-0000-0000FF010000}"/>
    <cellStyle name="20% - Accent4 2 2 4 3 2" xfId="13789" xr:uid="{EA0597C9-5BE5-4EA8-9AF2-E051A25921FD}"/>
    <cellStyle name="20% - Accent4 2 2 4 4" xfId="9571" xr:uid="{508F73C3-C10A-460E-A729-608D85763BFE}"/>
    <cellStyle name="20% - Accent4 2 2 5" xfId="1464" xr:uid="{00000000-0005-0000-0000-000000020000}"/>
    <cellStyle name="20% - Accent4 2 2 5 2" xfId="3694" xr:uid="{00000000-0005-0000-0000-000001020000}"/>
    <cellStyle name="20% - Accent4 2 2 5 2 2" xfId="7918" xr:uid="{00000000-0005-0000-0000-000002020000}"/>
    <cellStyle name="20% - Accent4 2 2 5 2 2 2" xfId="16347" xr:uid="{5083B55C-0C3C-4800-B20A-929F82B657C8}"/>
    <cellStyle name="20% - Accent4 2 2 5 2 3" xfId="12129" xr:uid="{F3D9A382-B73F-48D1-922D-334EDAF1B613}"/>
    <cellStyle name="20% - Accent4 2 2 5 3" xfId="5773" xr:uid="{00000000-0005-0000-0000-000003020000}"/>
    <cellStyle name="20% - Accent4 2 2 5 3 2" xfId="14202" xr:uid="{1729404B-73C7-4E0C-9670-42EB88410817}"/>
    <cellStyle name="20% - Accent4 2 2 5 4" xfId="9984" xr:uid="{777D2D1C-F142-4A8C-9378-9FE3B38B3C7C}"/>
    <cellStyle name="20% - Accent4 2 2 6" xfId="1878" xr:uid="{00000000-0005-0000-0000-000004020000}"/>
    <cellStyle name="20% - Accent4 2 2 6 2" xfId="4107" xr:uid="{00000000-0005-0000-0000-000005020000}"/>
    <cellStyle name="20% - Accent4 2 2 6 2 2" xfId="8331" xr:uid="{00000000-0005-0000-0000-000006020000}"/>
    <cellStyle name="20% - Accent4 2 2 6 2 2 2" xfId="16760" xr:uid="{E3346F57-50B2-4B1C-B4D3-1A2F94E6ECB2}"/>
    <cellStyle name="20% - Accent4 2 2 6 2 3" xfId="12542" xr:uid="{8C3576C5-E8DF-4DA5-AF9E-EBD639AEA5A8}"/>
    <cellStyle name="20% - Accent4 2 2 6 3" xfId="6186" xr:uid="{00000000-0005-0000-0000-000007020000}"/>
    <cellStyle name="20% - Accent4 2 2 6 3 2" xfId="14615" xr:uid="{451FB806-F436-4353-B763-3E09D27134DA}"/>
    <cellStyle name="20% - Accent4 2 2 6 4" xfId="10397" xr:uid="{21123838-70E2-48D1-8BC3-57A4883FFA7F}"/>
    <cellStyle name="20% - Accent4 2 2 7" xfId="2291" xr:uid="{00000000-0005-0000-0000-000008020000}"/>
    <cellStyle name="20% - Accent4 2 2 7 2" xfId="6599" xr:uid="{00000000-0005-0000-0000-000009020000}"/>
    <cellStyle name="20% - Accent4 2 2 7 2 2" xfId="15028" xr:uid="{05C3A7A4-7A45-45EC-860D-1FD9A810D19A}"/>
    <cellStyle name="20% - Accent4 2 2 7 3" xfId="10810" xr:uid="{ED20C2A2-4B99-403B-8A36-FB58AD9393BB}"/>
    <cellStyle name="20% - Accent4 2 2 8" xfId="4533" xr:uid="{00000000-0005-0000-0000-00000A020000}"/>
    <cellStyle name="20% - Accent4 2 2 8 2" xfId="12962" xr:uid="{BDCC0796-CC7E-4D2A-B08D-EDA63BBBBBAF}"/>
    <cellStyle name="20% - Accent4 2 2 9" xfId="8744" xr:uid="{D00379BE-4FC9-4D09-B175-212080138513}"/>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2 2 2" xfId="15523" xr:uid="{111BFC65-B7FD-49BD-8AEF-9134F297FBE3}"/>
    <cellStyle name="20% - Accent4 2 3 2 2 3" xfId="11305" xr:uid="{5A4D0139-474E-46EC-96E8-167F95110C52}"/>
    <cellStyle name="20% - Accent4 2 3 2 3" xfId="4949" xr:uid="{00000000-0005-0000-0000-00000F020000}"/>
    <cellStyle name="20% - Accent4 2 3 2 3 2" xfId="13378" xr:uid="{E5A678E7-DF1B-4E0C-AD66-73CFE3F84BEE}"/>
    <cellStyle name="20% - Accent4 2 3 2 4" xfId="9160" xr:uid="{55B25456-477E-4E30-A617-E56753A43354}"/>
    <cellStyle name="20% - Accent4 2 3 3" xfId="1052" xr:uid="{00000000-0005-0000-0000-000010020000}"/>
    <cellStyle name="20% - Accent4 2 3 3 2" xfId="3283" xr:uid="{00000000-0005-0000-0000-000011020000}"/>
    <cellStyle name="20% - Accent4 2 3 3 2 2" xfId="7507" xr:uid="{00000000-0005-0000-0000-000012020000}"/>
    <cellStyle name="20% - Accent4 2 3 3 2 2 2" xfId="15936" xr:uid="{815D6159-F940-459E-ACDB-E8D619BC0373}"/>
    <cellStyle name="20% - Accent4 2 3 3 2 3" xfId="11718" xr:uid="{E844A1B8-C02E-400A-9B32-0BD37B7D6868}"/>
    <cellStyle name="20% - Accent4 2 3 3 3" xfId="5362" xr:uid="{00000000-0005-0000-0000-000013020000}"/>
    <cellStyle name="20% - Accent4 2 3 3 3 2" xfId="13791" xr:uid="{AE148C83-7C29-418F-8429-5D858FFB022A}"/>
    <cellStyle name="20% - Accent4 2 3 3 4" xfId="9573" xr:uid="{40EEB872-4286-4F61-AAC3-64210FC39104}"/>
    <cellStyle name="20% - Accent4 2 3 4" xfId="1466" xr:uid="{00000000-0005-0000-0000-000014020000}"/>
    <cellStyle name="20% - Accent4 2 3 4 2" xfId="3696" xr:uid="{00000000-0005-0000-0000-000015020000}"/>
    <cellStyle name="20% - Accent4 2 3 4 2 2" xfId="7920" xr:uid="{00000000-0005-0000-0000-000016020000}"/>
    <cellStyle name="20% - Accent4 2 3 4 2 2 2" xfId="16349" xr:uid="{BF47272D-B88E-4BE4-998C-D7285E08E85C}"/>
    <cellStyle name="20% - Accent4 2 3 4 2 3" xfId="12131" xr:uid="{A8174E39-38D9-4400-BB04-64F943FB8A9F}"/>
    <cellStyle name="20% - Accent4 2 3 4 3" xfId="5775" xr:uid="{00000000-0005-0000-0000-000017020000}"/>
    <cellStyle name="20% - Accent4 2 3 4 3 2" xfId="14204" xr:uid="{D3F78739-8801-4DED-983B-A74064A56102}"/>
    <cellStyle name="20% - Accent4 2 3 4 4" xfId="9986" xr:uid="{7B8FB540-D56A-4B08-AA5A-C04FE98E813B}"/>
    <cellStyle name="20% - Accent4 2 3 5" xfId="1880" xr:uid="{00000000-0005-0000-0000-000018020000}"/>
    <cellStyle name="20% - Accent4 2 3 5 2" xfId="4109" xr:uid="{00000000-0005-0000-0000-000019020000}"/>
    <cellStyle name="20% - Accent4 2 3 5 2 2" xfId="8333" xr:uid="{00000000-0005-0000-0000-00001A020000}"/>
    <cellStyle name="20% - Accent4 2 3 5 2 2 2" xfId="16762" xr:uid="{683B8290-6633-42D6-8524-6D580AEEF0E3}"/>
    <cellStyle name="20% - Accent4 2 3 5 2 3" xfId="12544" xr:uid="{F48C7B06-038E-46CA-BE17-16EFD708D7A3}"/>
    <cellStyle name="20% - Accent4 2 3 5 3" xfId="6188" xr:uid="{00000000-0005-0000-0000-00001B020000}"/>
    <cellStyle name="20% - Accent4 2 3 5 3 2" xfId="14617" xr:uid="{47E651AE-2344-42C5-85D1-35CBC94FFFF7}"/>
    <cellStyle name="20% - Accent4 2 3 5 4" xfId="10399" xr:uid="{18E4E6C7-23DA-47CA-8F5F-3A809B3866B8}"/>
    <cellStyle name="20% - Accent4 2 3 6" xfId="2293" xr:uid="{00000000-0005-0000-0000-00001C020000}"/>
    <cellStyle name="20% - Accent4 2 3 6 2" xfId="6601" xr:uid="{00000000-0005-0000-0000-00001D020000}"/>
    <cellStyle name="20% - Accent4 2 3 6 2 2" xfId="15030" xr:uid="{09D43A1A-F9F6-43EE-8383-0CAAF991E6F2}"/>
    <cellStyle name="20% - Accent4 2 3 6 3" xfId="10812" xr:uid="{0D25D8F5-090C-4C85-B2A8-9398E3317CC1}"/>
    <cellStyle name="20% - Accent4 2 3 7" xfId="4535" xr:uid="{00000000-0005-0000-0000-00001E020000}"/>
    <cellStyle name="20% - Accent4 2 3 7 2" xfId="12964" xr:uid="{A18776A8-7D96-43A7-9B5E-927B782E4796}"/>
    <cellStyle name="20% - Accent4 2 3 8" xfId="8746" xr:uid="{029907E8-1219-43BA-9BBB-9601F1A15EB6}"/>
    <cellStyle name="20% - Accent4 2 4" xfId="596" xr:uid="{00000000-0005-0000-0000-00001F020000}"/>
    <cellStyle name="20% - Accent4 2 4 2" xfId="2867" xr:uid="{00000000-0005-0000-0000-000020020000}"/>
    <cellStyle name="20% - Accent4 2 4 2 2" xfId="7091" xr:uid="{00000000-0005-0000-0000-000021020000}"/>
    <cellStyle name="20% - Accent4 2 4 2 2 2" xfId="15520" xr:uid="{13D9BFC1-E7AE-47D7-9D17-AC4108ACA8F2}"/>
    <cellStyle name="20% - Accent4 2 4 2 3" xfId="11302" xr:uid="{E8321BDA-ECFE-4911-99D4-D93C1B516159}"/>
    <cellStyle name="20% - Accent4 2 4 3" xfId="4946" xr:uid="{00000000-0005-0000-0000-000022020000}"/>
    <cellStyle name="20% - Accent4 2 4 3 2" xfId="13375" xr:uid="{3491AB29-D294-4DB7-A90B-0A03E302D295}"/>
    <cellStyle name="20% - Accent4 2 4 4" xfId="9157" xr:uid="{2A803EA5-9F00-4D1C-B067-5CF7FCC1062D}"/>
    <cellStyle name="20% - Accent4 2 5" xfId="1049" xr:uid="{00000000-0005-0000-0000-000023020000}"/>
    <cellStyle name="20% - Accent4 2 5 2" xfId="3280" xr:uid="{00000000-0005-0000-0000-000024020000}"/>
    <cellStyle name="20% - Accent4 2 5 2 2" xfId="7504" xr:uid="{00000000-0005-0000-0000-000025020000}"/>
    <cellStyle name="20% - Accent4 2 5 2 2 2" xfId="15933" xr:uid="{F8ADCB5A-D03A-4A3F-AF4F-01C285918FCB}"/>
    <cellStyle name="20% - Accent4 2 5 2 3" xfId="11715" xr:uid="{C70A9C37-AD6E-4993-BEB6-56EE096B41D0}"/>
    <cellStyle name="20% - Accent4 2 5 3" xfId="5359" xr:uid="{00000000-0005-0000-0000-000026020000}"/>
    <cellStyle name="20% - Accent4 2 5 3 2" xfId="13788" xr:uid="{117BD69D-16DE-4905-956C-04F413617124}"/>
    <cellStyle name="20% - Accent4 2 5 4" xfId="9570" xr:uid="{2A84C66E-2D82-4079-8778-0E97972B35E7}"/>
    <cellStyle name="20% - Accent4 2 6" xfId="1463" xr:uid="{00000000-0005-0000-0000-000027020000}"/>
    <cellStyle name="20% - Accent4 2 6 2" xfId="3693" xr:uid="{00000000-0005-0000-0000-000028020000}"/>
    <cellStyle name="20% - Accent4 2 6 2 2" xfId="7917" xr:uid="{00000000-0005-0000-0000-000029020000}"/>
    <cellStyle name="20% - Accent4 2 6 2 2 2" xfId="16346" xr:uid="{1AF71361-3B61-4B16-8F56-C2F389E9FDEF}"/>
    <cellStyle name="20% - Accent4 2 6 2 3" xfId="12128" xr:uid="{9BA66691-9BC4-4E4A-B2A2-AE42E99A5398}"/>
    <cellStyle name="20% - Accent4 2 6 3" xfId="5772" xr:uid="{00000000-0005-0000-0000-00002A020000}"/>
    <cellStyle name="20% - Accent4 2 6 3 2" xfId="14201" xr:uid="{C0D33727-F7BF-43E7-AD10-ABEE7B713125}"/>
    <cellStyle name="20% - Accent4 2 6 4" xfId="9983" xr:uid="{75CD4D36-2852-42B1-849D-2B0C7C60938B}"/>
    <cellStyle name="20% - Accent4 2 7" xfId="1877" xr:uid="{00000000-0005-0000-0000-00002B020000}"/>
    <cellStyle name="20% - Accent4 2 7 2" xfId="4106" xr:uid="{00000000-0005-0000-0000-00002C020000}"/>
    <cellStyle name="20% - Accent4 2 7 2 2" xfId="8330" xr:uid="{00000000-0005-0000-0000-00002D020000}"/>
    <cellStyle name="20% - Accent4 2 7 2 2 2" xfId="16759" xr:uid="{28F01E14-B349-4B57-AE08-D59A7A833729}"/>
    <cellStyle name="20% - Accent4 2 7 2 3" xfId="12541" xr:uid="{19089D4F-61B6-48B1-9985-24A49310FBC9}"/>
    <cellStyle name="20% - Accent4 2 7 3" xfId="6185" xr:uid="{00000000-0005-0000-0000-00002E020000}"/>
    <cellStyle name="20% - Accent4 2 7 3 2" xfId="14614" xr:uid="{56B063D1-B8C9-4D1E-8204-31D5E6F7916A}"/>
    <cellStyle name="20% - Accent4 2 7 4" xfId="10396" xr:uid="{72FD257D-A10D-4A16-8845-33DF32B5D6EF}"/>
    <cellStyle name="20% - Accent4 2 8" xfId="2290" xr:uid="{00000000-0005-0000-0000-00002F020000}"/>
    <cellStyle name="20% - Accent4 2 8 2" xfId="6598" xr:uid="{00000000-0005-0000-0000-000030020000}"/>
    <cellStyle name="20% - Accent4 2 8 2 2" xfId="15027" xr:uid="{FB670A4F-D979-482D-980B-5C6CA841A2FE}"/>
    <cellStyle name="20% - Accent4 2 8 3" xfId="10809" xr:uid="{120662D0-7D5C-40EE-9965-E03D500C9D8B}"/>
    <cellStyle name="20% - Accent4 2 9" xfId="4532" xr:uid="{00000000-0005-0000-0000-000031020000}"/>
    <cellStyle name="20% - Accent4 2 9 2" xfId="12961" xr:uid="{D2236A7A-31F1-48B1-94AF-0ED8260F5BEC}"/>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2 2 2" xfId="15525" xr:uid="{68286DB9-83F3-4560-9121-59EDA352B1D9}"/>
    <cellStyle name="20% - Accent4 3 2 2 2 3" xfId="11307" xr:uid="{928E9C66-A38F-4220-B0D1-816FA336FC9F}"/>
    <cellStyle name="20% - Accent4 3 2 2 3" xfId="4951" xr:uid="{00000000-0005-0000-0000-000037020000}"/>
    <cellStyle name="20% - Accent4 3 2 2 3 2" xfId="13380" xr:uid="{204A30ED-8735-4B79-BD4F-13BA5558320B}"/>
    <cellStyle name="20% - Accent4 3 2 2 4" xfId="9162" xr:uid="{51ADB132-3606-4CFD-BB0B-22052BD5F33F}"/>
    <cellStyle name="20% - Accent4 3 2 3" xfId="1054" xr:uid="{00000000-0005-0000-0000-000038020000}"/>
    <cellStyle name="20% - Accent4 3 2 3 2" xfId="3285" xr:uid="{00000000-0005-0000-0000-000039020000}"/>
    <cellStyle name="20% - Accent4 3 2 3 2 2" xfId="7509" xr:uid="{00000000-0005-0000-0000-00003A020000}"/>
    <cellStyle name="20% - Accent4 3 2 3 2 2 2" xfId="15938" xr:uid="{4397FF6A-B299-4C7D-9D98-B12A40CB9469}"/>
    <cellStyle name="20% - Accent4 3 2 3 2 3" xfId="11720" xr:uid="{56C879CD-142B-4A96-8EEF-808DCE0192B1}"/>
    <cellStyle name="20% - Accent4 3 2 3 3" xfId="5364" xr:uid="{00000000-0005-0000-0000-00003B020000}"/>
    <cellStyle name="20% - Accent4 3 2 3 3 2" xfId="13793" xr:uid="{E4AB72AB-EAA2-411F-B1CB-4E1CF8EA434F}"/>
    <cellStyle name="20% - Accent4 3 2 3 4" xfId="9575" xr:uid="{B88AB7D0-77A6-433E-AA50-1D13901EA8F3}"/>
    <cellStyle name="20% - Accent4 3 2 4" xfId="1468" xr:uid="{00000000-0005-0000-0000-00003C020000}"/>
    <cellStyle name="20% - Accent4 3 2 4 2" xfId="3698" xr:uid="{00000000-0005-0000-0000-00003D020000}"/>
    <cellStyle name="20% - Accent4 3 2 4 2 2" xfId="7922" xr:uid="{00000000-0005-0000-0000-00003E020000}"/>
    <cellStyle name="20% - Accent4 3 2 4 2 2 2" xfId="16351" xr:uid="{CCD83E2A-2D34-4A8F-8CC0-F07F12451266}"/>
    <cellStyle name="20% - Accent4 3 2 4 2 3" xfId="12133" xr:uid="{B1FE1D46-0859-49E6-8E97-8C2990FAFA79}"/>
    <cellStyle name="20% - Accent4 3 2 4 3" xfId="5777" xr:uid="{00000000-0005-0000-0000-00003F020000}"/>
    <cellStyle name="20% - Accent4 3 2 4 3 2" xfId="14206" xr:uid="{0972DAD0-5C2A-422D-899B-2C6CA2D3F61F}"/>
    <cellStyle name="20% - Accent4 3 2 4 4" xfId="9988" xr:uid="{901C8B3E-2CF9-44AD-AD99-7AA6244D2929}"/>
    <cellStyle name="20% - Accent4 3 2 5" xfId="1882" xr:uid="{00000000-0005-0000-0000-000040020000}"/>
    <cellStyle name="20% - Accent4 3 2 5 2" xfId="4111" xr:uid="{00000000-0005-0000-0000-000041020000}"/>
    <cellStyle name="20% - Accent4 3 2 5 2 2" xfId="8335" xr:uid="{00000000-0005-0000-0000-000042020000}"/>
    <cellStyle name="20% - Accent4 3 2 5 2 2 2" xfId="16764" xr:uid="{7FD3CBA3-52ED-4743-A8EA-FDB4823D1B7A}"/>
    <cellStyle name="20% - Accent4 3 2 5 2 3" xfId="12546" xr:uid="{91301822-C0F6-499E-84E1-09C907C6FEA9}"/>
    <cellStyle name="20% - Accent4 3 2 5 3" xfId="6190" xr:uid="{00000000-0005-0000-0000-000043020000}"/>
    <cellStyle name="20% - Accent4 3 2 5 3 2" xfId="14619" xr:uid="{39587A08-C261-403A-BF71-980F8E00FDEF}"/>
    <cellStyle name="20% - Accent4 3 2 5 4" xfId="10401" xr:uid="{3213DB35-547D-490E-A831-FB79C24FEF4D}"/>
    <cellStyle name="20% - Accent4 3 2 6" xfId="2295" xr:uid="{00000000-0005-0000-0000-000044020000}"/>
    <cellStyle name="20% - Accent4 3 2 6 2" xfId="6603" xr:uid="{00000000-0005-0000-0000-000045020000}"/>
    <cellStyle name="20% - Accent4 3 2 6 2 2" xfId="15032" xr:uid="{8A417893-051F-42F9-9C01-FCFE78FD2F5E}"/>
    <cellStyle name="20% - Accent4 3 2 6 3" xfId="10814" xr:uid="{78CF86A1-EF40-4190-81E1-30233EFA15CF}"/>
    <cellStyle name="20% - Accent4 3 2 7" xfId="4537" xr:uid="{00000000-0005-0000-0000-000046020000}"/>
    <cellStyle name="20% - Accent4 3 2 7 2" xfId="12966" xr:uid="{B1847D51-2F9F-4994-85E3-9F4EFBA9547A}"/>
    <cellStyle name="20% - Accent4 3 2 8" xfId="8748" xr:uid="{85CD8143-65DA-4D17-8F32-6C39D6DFF1C5}"/>
    <cellStyle name="20% - Accent4 3 3" xfId="600" xr:uid="{00000000-0005-0000-0000-000047020000}"/>
    <cellStyle name="20% - Accent4 3 3 2" xfId="2871" xr:uid="{00000000-0005-0000-0000-000048020000}"/>
    <cellStyle name="20% - Accent4 3 3 2 2" xfId="7095" xr:uid="{00000000-0005-0000-0000-000049020000}"/>
    <cellStyle name="20% - Accent4 3 3 2 2 2" xfId="15524" xr:uid="{ADE6663C-0CA4-4E87-B76C-B5D3C75114E2}"/>
    <cellStyle name="20% - Accent4 3 3 2 3" xfId="11306" xr:uid="{8373A70C-39A9-490D-A8D6-A84565AC3498}"/>
    <cellStyle name="20% - Accent4 3 3 3" xfId="4950" xr:uid="{00000000-0005-0000-0000-00004A020000}"/>
    <cellStyle name="20% - Accent4 3 3 3 2" xfId="13379" xr:uid="{4BA7336F-4DDC-4301-A183-0215731B33D7}"/>
    <cellStyle name="20% - Accent4 3 3 4" xfId="9161" xr:uid="{AC100795-23A1-4113-9324-E1DFF2F376CC}"/>
    <cellStyle name="20% - Accent4 3 4" xfId="1053" xr:uid="{00000000-0005-0000-0000-00004B020000}"/>
    <cellStyle name="20% - Accent4 3 4 2" xfId="3284" xr:uid="{00000000-0005-0000-0000-00004C020000}"/>
    <cellStyle name="20% - Accent4 3 4 2 2" xfId="7508" xr:uid="{00000000-0005-0000-0000-00004D020000}"/>
    <cellStyle name="20% - Accent4 3 4 2 2 2" xfId="15937" xr:uid="{7DEC6E7A-F78D-4F0E-B64A-482EB38AB5F2}"/>
    <cellStyle name="20% - Accent4 3 4 2 3" xfId="11719" xr:uid="{B25D34DE-093F-4BCB-9F89-20FE4273BBA4}"/>
    <cellStyle name="20% - Accent4 3 4 3" xfId="5363" xr:uid="{00000000-0005-0000-0000-00004E020000}"/>
    <cellStyle name="20% - Accent4 3 4 3 2" xfId="13792" xr:uid="{57AE8494-F337-4076-AE74-0FD6CA86F703}"/>
    <cellStyle name="20% - Accent4 3 4 4" xfId="9574" xr:uid="{27DFDFB3-9F27-47CB-A847-9D869FC1F337}"/>
    <cellStyle name="20% - Accent4 3 5" xfId="1467" xr:uid="{00000000-0005-0000-0000-00004F020000}"/>
    <cellStyle name="20% - Accent4 3 5 2" xfId="3697" xr:uid="{00000000-0005-0000-0000-000050020000}"/>
    <cellStyle name="20% - Accent4 3 5 2 2" xfId="7921" xr:uid="{00000000-0005-0000-0000-000051020000}"/>
    <cellStyle name="20% - Accent4 3 5 2 2 2" xfId="16350" xr:uid="{1BBCC29B-6DB1-49AB-8788-D29E5A0F35EA}"/>
    <cellStyle name="20% - Accent4 3 5 2 3" xfId="12132" xr:uid="{C2BA6EDB-35DE-4D53-BB11-55A486D7DB23}"/>
    <cellStyle name="20% - Accent4 3 5 3" xfId="5776" xr:uid="{00000000-0005-0000-0000-000052020000}"/>
    <cellStyle name="20% - Accent4 3 5 3 2" xfId="14205" xr:uid="{17E021E8-866E-4E0C-BDCE-D68D121C30A2}"/>
    <cellStyle name="20% - Accent4 3 5 4" xfId="9987" xr:uid="{6E8C5182-7670-4716-80E9-79E599A5DEFE}"/>
    <cellStyle name="20% - Accent4 3 6" xfId="1881" xr:uid="{00000000-0005-0000-0000-000053020000}"/>
    <cellStyle name="20% - Accent4 3 6 2" xfId="4110" xr:uid="{00000000-0005-0000-0000-000054020000}"/>
    <cellStyle name="20% - Accent4 3 6 2 2" xfId="8334" xr:uid="{00000000-0005-0000-0000-000055020000}"/>
    <cellStyle name="20% - Accent4 3 6 2 2 2" xfId="16763" xr:uid="{508CB699-E331-49E0-9D5C-8075B018E171}"/>
    <cellStyle name="20% - Accent4 3 6 2 3" xfId="12545" xr:uid="{251321BB-8B77-4D85-A7A5-448E655DA4DA}"/>
    <cellStyle name="20% - Accent4 3 6 3" xfId="6189" xr:uid="{00000000-0005-0000-0000-000056020000}"/>
    <cellStyle name="20% - Accent4 3 6 3 2" xfId="14618" xr:uid="{3567982B-CDFC-4524-A4C9-14977C08C2C1}"/>
    <cellStyle name="20% - Accent4 3 6 4" xfId="10400" xr:uid="{AF272B44-FFEC-4E1C-8AF5-4B4F18BF072A}"/>
    <cellStyle name="20% - Accent4 3 7" xfId="2294" xr:uid="{00000000-0005-0000-0000-000057020000}"/>
    <cellStyle name="20% - Accent4 3 7 2" xfId="6602" xr:uid="{00000000-0005-0000-0000-000058020000}"/>
    <cellStyle name="20% - Accent4 3 7 2 2" xfId="15031" xr:uid="{DC2AD20C-E303-4AE8-B984-B7A041619028}"/>
    <cellStyle name="20% - Accent4 3 7 3" xfId="10813" xr:uid="{7D533A0C-649D-47BC-BC67-95FE881DA78D}"/>
    <cellStyle name="20% - Accent4 3 8" xfId="4536" xr:uid="{00000000-0005-0000-0000-000059020000}"/>
    <cellStyle name="20% - Accent4 3 8 2" xfId="12965" xr:uid="{FFDB684A-FE6F-4278-A66E-01BF6F11031C}"/>
    <cellStyle name="20% - Accent4 3 9" xfId="8747" xr:uid="{C50E6F52-745F-4963-AF55-EA2772B0777C}"/>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2 2 2" xfId="15526" xr:uid="{D90E1DB5-F631-4F80-9DC1-116978057D22}"/>
    <cellStyle name="20% - Accent4 4 2 2 3" xfId="11308" xr:uid="{E39FEB86-0267-4B10-ADEF-50278E1C1C4C}"/>
    <cellStyle name="20% - Accent4 4 2 3" xfId="4952" xr:uid="{00000000-0005-0000-0000-00005E020000}"/>
    <cellStyle name="20% - Accent4 4 2 3 2" xfId="13381" xr:uid="{4AF375B6-DBB0-4CC3-B37C-09B9D76906C3}"/>
    <cellStyle name="20% - Accent4 4 2 4" xfId="9163" xr:uid="{5895B940-3864-492B-8CD0-DBA7735BBB18}"/>
    <cellStyle name="20% - Accent4 4 3" xfId="1055" xr:uid="{00000000-0005-0000-0000-00005F020000}"/>
    <cellStyle name="20% - Accent4 4 3 2" xfId="3286" xr:uid="{00000000-0005-0000-0000-000060020000}"/>
    <cellStyle name="20% - Accent4 4 3 2 2" xfId="7510" xr:uid="{00000000-0005-0000-0000-000061020000}"/>
    <cellStyle name="20% - Accent4 4 3 2 2 2" xfId="15939" xr:uid="{2C418FDE-0D1B-4F90-B78A-D532729BAB74}"/>
    <cellStyle name="20% - Accent4 4 3 2 3" xfId="11721" xr:uid="{BB8E1A22-B789-4568-B0BC-A71BDE56E3F6}"/>
    <cellStyle name="20% - Accent4 4 3 3" xfId="5365" xr:uid="{00000000-0005-0000-0000-000062020000}"/>
    <cellStyle name="20% - Accent4 4 3 3 2" xfId="13794" xr:uid="{DE5DB843-120D-4580-8F70-BB76CD64A3C4}"/>
    <cellStyle name="20% - Accent4 4 3 4" xfId="9576" xr:uid="{BBB3423F-20D8-4A16-8BD4-ED7FFEC70CCD}"/>
    <cellStyle name="20% - Accent4 4 4" xfId="1469" xr:uid="{00000000-0005-0000-0000-000063020000}"/>
    <cellStyle name="20% - Accent4 4 4 2" xfId="3699" xr:uid="{00000000-0005-0000-0000-000064020000}"/>
    <cellStyle name="20% - Accent4 4 4 2 2" xfId="7923" xr:uid="{00000000-0005-0000-0000-000065020000}"/>
    <cellStyle name="20% - Accent4 4 4 2 2 2" xfId="16352" xr:uid="{47498465-3A7F-4BB1-8BF4-3C6A938B6C0B}"/>
    <cellStyle name="20% - Accent4 4 4 2 3" xfId="12134" xr:uid="{3E4376F2-9224-4B6E-85EF-11C750CF87A8}"/>
    <cellStyle name="20% - Accent4 4 4 3" xfId="5778" xr:uid="{00000000-0005-0000-0000-000066020000}"/>
    <cellStyle name="20% - Accent4 4 4 3 2" xfId="14207" xr:uid="{E63B7C65-3638-441A-B02B-DBCCA0F3F033}"/>
    <cellStyle name="20% - Accent4 4 4 4" xfId="9989" xr:uid="{E95E5482-4357-4D69-9BA6-14BE4919E6B6}"/>
    <cellStyle name="20% - Accent4 4 5" xfId="1883" xr:uid="{00000000-0005-0000-0000-000067020000}"/>
    <cellStyle name="20% - Accent4 4 5 2" xfId="4112" xr:uid="{00000000-0005-0000-0000-000068020000}"/>
    <cellStyle name="20% - Accent4 4 5 2 2" xfId="8336" xr:uid="{00000000-0005-0000-0000-000069020000}"/>
    <cellStyle name="20% - Accent4 4 5 2 2 2" xfId="16765" xr:uid="{75B2317D-E4A8-4FB8-905B-C4C54C2A5249}"/>
    <cellStyle name="20% - Accent4 4 5 2 3" xfId="12547" xr:uid="{46CA2000-6B25-4E75-A4AB-F6A2274E66F5}"/>
    <cellStyle name="20% - Accent4 4 5 3" xfId="6191" xr:uid="{00000000-0005-0000-0000-00006A020000}"/>
    <cellStyle name="20% - Accent4 4 5 3 2" xfId="14620" xr:uid="{8D474E87-273A-4710-86B4-C9F787CE36B1}"/>
    <cellStyle name="20% - Accent4 4 5 4" xfId="10402" xr:uid="{FA90F620-FAD0-4B64-A5BF-8BE80675E481}"/>
    <cellStyle name="20% - Accent4 4 6" xfId="2296" xr:uid="{00000000-0005-0000-0000-00006B020000}"/>
    <cellStyle name="20% - Accent4 4 6 2" xfId="6604" xr:uid="{00000000-0005-0000-0000-00006C020000}"/>
    <cellStyle name="20% - Accent4 4 6 2 2" xfId="15033" xr:uid="{431EB802-31C8-4A92-A7F6-6C50A10E0EF7}"/>
    <cellStyle name="20% - Accent4 4 6 3" xfId="10815" xr:uid="{2C106A81-AB88-49A1-B149-E1472F1C3886}"/>
    <cellStyle name="20% - Accent4 4 7" xfId="4538" xr:uid="{00000000-0005-0000-0000-00006D020000}"/>
    <cellStyle name="20% - Accent4 4 7 2" xfId="12967" xr:uid="{AED8A83D-E176-4F57-B839-BA280A018B3B}"/>
    <cellStyle name="20% - Accent4 4 8" xfId="8749" xr:uid="{0D5F1F72-A31A-475C-9D6E-01DA57EC56DD}"/>
    <cellStyle name="20% - Accent4 5" xfId="595" xr:uid="{00000000-0005-0000-0000-00006E020000}"/>
    <cellStyle name="20% - Accent4 5 2" xfId="2866" xr:uid="{00000000-0005-0000-0000-00006F020000}"/>
    <cellStyle name="20% - Accent4 5 2 2" xfId="7090" xr:uid="{00000000-0005-0000-0000-000070020000}"/>
    <cellStyle name="20% - Accent4 5 2 2 2" xfId="15519" xr:uid="{A2C10E87-CFC6-48D5-B9D3-A00D445C426D}"/>
    <cellStyle name="20% - Accent4 5 2 3" xfId="11301" xr:uid="{80114EFE-BB74-4C08-9A8E-5F57EAFCA425}"/>
    <cellStyle name="20% - Accent4 5 3" xfId="4945" xr:uid="{00000000-0005-0000-0000-000071020000}"/>
    <cellStyle name="20% - Accent4 5 3 2" xfId="13374" xr:uid="{B23309F6-7B24-4029-A6D7-A93C684D44B2}"/>
    <cellStyle name="20% - Accent4 5 4" xfId="9156" xr:uid="{23F4C9B6-32BE-4EA0-9454-F3062371398E}"/>
    <cellStyle name="20% - Accent4 6" xfId="1048" xr:uid="{00000000-0005-0000-0000-000072020000}"/>
    <cellStyle name="20% - Accent4 6 2" xfId="3279" xr:uid="{00000000-0005-0000-0000-000073020000}"/>
    <cellStyle name="20% - Accent4 6 2 2" xfId="7503" xr:uid="{00000000-0005-0000-0000-000074020000}"/>
    <cellStyle name="20% - Accent4 6 2 2 2" xfId="15932" xr:uid="{AAC67EA2-7A07-413E-9FAC-CD687C4CFC65}"/>
    <cellStyle name="20% - Accent4 6 2 3" xfId="11714" xr:uid="{C1B42E70-3FC7-48FC-9A13-67FA637BCABF}"/>
    <cellStyle name="20% - Accent4 6 3" xfId="5358" xr:uid="{00000000-0005-0000-0000-000075020000}"/>
    <cellStyle name="20% - Accent4 6 3 2" xfId="13787" xr:uid="{EF4CE5C5-6CBB-420C-B0E4-D200115B07D5}"/>
    <cellStyle name="20% - Accent4 6 4" xfId="9569" xr:uid="{1E860770-3606-43C2-AFCB-6F6EAE16932D}"/>
    <cellStyle name="20% - Accent4 7" xfId="1462" xr:uid="{00000000-0005-0000-0000-000076020000}"/>
    <cellStyle name="20% - Accent4 7 2" xfId="3692" xr:uid="{00000000-0005-0000-0000-000077020000}"/>
    <cellStyle name="20% - Accent4 7 2 2" xfId="7916" xr:uid="{00000000-0005-0000-0000-000078020000}"/>
    <cellStyle name="20% - Accent4 7 2 2 2" xfId="16345" xr:uid="{20AFFD93-2B34-4A73-A2A0-1A4A81ED0392}"/>
    <cellStyle name="20% - Accent4 7 2 3" xfId="12127" xr:uid="{29F278BF-E06F-4FEC-A489-931923B729E8}"/>
    <cellStyle name="20% - Accent4 7 3" xfId="5771" xr:uid="{00000000-0005-0000-0000-000079020000}"/>
    <cellStyle name="20% - Accent4 7 3 2" xfId="14200" xr:uid="{EA19F804-1C70-472C-A336-C6045304FB25}"/>
    <cellStyle name="20% - Accent4 7 4" xfId="9982" xr:uid="{923D12BA-612F-4CAD-B74E-5A638F427841}"/>
    <cellStyle name="20% - Accent4 8" xfId="1876" xr:uid="{00000000-0005-0000-0000-00007A020000}"/>
    <cellStyle name="20% - Accent4 8 2" xfId="4105" xr:uid="{00000000-0005-0000-0000-00007B020000}"/>
    <cellStyle name="20% - Accent4 8 2 2" xfId="8329" xr:uid="{00000000-0005-0000-0000-00007C020000}"/>
    <cellStyle name="20% - Accent4 8 2 2 2" xfId="16758" xr:uid="{26EB5762-553E-48CB-B29E-40BA80F444D7}"/>
    <cellStyle name="20% - Accent4 8 2 3" xfId="12540" xr:uid="{87B8F406-D012-4C71-800A-71FFE5CC718B}"/>
    <cellStyle name="20% - Accent4 8 3" xfId="6184" xr:uid="{00000000-0005-0000-0000-00007D020000}"/>
    <cellStyle name="20% - Accent4 8 3 2" xfId="14613" xr:uid="{9669DA04-DF5E-4B05-BCD0-5A800BA37D8D}"/>
    <cellStyle name="20% - Accent4 8 4" xfId="10395" xr:uid="{8F21FABA-C07E-4A60-B7E0-568D11AD9301}"/>
    <cellStyle name="20% - Accent4 9" xfId="2289" xr:uid="{00000000-0005-0000-0000-00007E020000}"/>
    <cellStyle name="20% - Accent4 9 2" xfId="6597" xr:uid="{00000000-0005-0000-0000-00007F020000}"/>
    <cellStyle name="20% - Accent4 9 2 2" xfId="15026" xr:uid="{AFA0E66C-91A7-4149-885F-9AC523158321}"/>
    <cellStyle name="20% - Accent4 9 3" xfId="10808" xr:uid="{EC4EB961-F595-47CB-8184-86CF2F551DEA}"/>
    <cellStyle name="20% - Accent5" xfId="33" builtinId="46" customBuiltin="1"/>
    <cellStyle name="20% - Accent5 10" xfId="4539" xr:uid="{00000000-0005-0000-0000-000081020000}"/>
    <cellStyle name="20% - Accent5 10 2" xfId="12968" xr:uid="{6CA92DED-2A80-427B-B18F-B1B0BF2B48AE}"/>
    <cellStyle name="20% - Accent5 11" xfId="8750" xr:uid="{1C272CCB-2303-496D-BB59-9276B2D949D0}"/>
    <cellStyle name="20% - Accent5 2" xfId="34" xr:uid="{00000000-0005-0000-0000-000082020000}"/>
    <cellStyle name="20% - Accent5 2 10" xfId="8751" xr:uid="{DB2C6CBC-B292-40AD-BD8D-26D5AB37DA12}"/>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2 2 2" xfId="15530" xr:uid="{B97F243E-E2C0-48C2-8000-8F64A959130A}"/>
    <cellStyle name="20% - Accent5 2 2 2 2 2 3" xfId="11312" xr:uid="{FEA10740-2FFF-4DD5-8FBC-D2578A2624A6}"/>
    <cellStyle name="20% - Accent5 2 2 2 2 3" xfId="4956" xr:uid="{00000000-0005-0000-0000-000088020000}"/>
    <cellStyle name="20% - Accent5 2 2 2 2 3 2" xfId="13385" xr:uid="{CF518D40-8137-4696-A0C1-CC6C411CBBBC}"/>
    <cellStyle name="20% - Accent5 2 2 2 2 4" xfId="9167" xr:uid="{31440A33-343D-4750-89EB-E0561859FA19}"/>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2 2 2" xfId="15943" xr:uid="{F9F81741-C16A-4F2C-B6A7-76124E2A2628}"/>
    <cellStyle name="20% - Accent5 2 2 2 3 2 3" xfId="11725" xr:uid="{B5023747-C0B5-4464-A8EF-47D3C4D15460}"/>
    <cellStyle name="20% - Accent5 2 2 2 3 3" xfId="5369" xr:uid="{00000000-0005-0000-0000-00008C020000}"/>
    <cellStyle name="20% - Accent5 2 2 2 3 3 2" xfId="13798" xr:uid="{13142078-7E64-4C98-9A15-0CECFE005ECD}"/>
    <cellStyle name="20% - Accent5 2 2 2 3 4" xfId="9580" xr:uid="{3D9FFDE0-1042-4813-9CC7-6DC883865B34}"/>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2 2 2" xfId="16356" xr:uid="{F3D1958F-B6BD-4957-B34D-46934AFAEB3F}"/>
    <cellStyle name="20% - Accent5 2 2 2 4 2 3" xfId="12138" xr:uid="{6335A7CB-EBD3-4F25-80CB-37B6A2F8F64F}"/>
    <cellStyle name="20% - Accent5 2 2 2 4 3" xfId="5782" xr:uid="{00000000-0005-0000-0000-000090020000}"/>
    <cellStyle name="20% - Accent5 2 2 2 4 3 2" xfId="14211" xr:uid="{2F0112CC-66A0-483C-84E9-02433FA69783}"/>
    <cellStyle name="20% - Accent5 2 2 2 4 4" xfId="9993" xr:uid="{0C6C63E4-B038-4BDF-9312-BAAB996568E2}"/>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2 2 2" xfId="16769" xr:uid="{B25E6A6C-BB04-4C34-A2E9-4530B31F3CBC}"/>
    <cellStyle name="20% - Accent5 2 2 2 5 2 3" xfId="12551" xr:uid="{0239BAB1-2B22-45E2-84F1-0ADE9DC87EB2}"/>
    <cellStyle name="20% - Accent5 2 2 2 5 3" xfId="6195" xr:uid="{00000000-0005-0000-0000-000094020000}"/>
    <cellStyle name="20% - Accent5 2 2 2 5 3 2" xfId="14624" xr:uid="{D55450D8-D47B-49D6-ABA0-9710BA3506B6}"/>
    <cellStyle name="20% - Accent5 2 2 2 5 4" xfId="10406" xr:uid="{7D55B129-DE07-4BF0-9F81-69098CB9F973}"/>
    <cellStyle name="20% - Accent5 2 2 2 6" xfId="2300" xr:uid="{00000000-0005-0000-0000-000095020000}"/>
    <cellStyle name="20% - Accent5 2 2 2 6 2" xfId="6608" xr:uid="{00000000-0005-0000-0000-000096020000}"/>
    <cellStyle name="20% - Accent5 2 2 2 6 2 2" xfId="15037" xr:uid="{F869BFF9-1D1D-41B5-9E80-66BE707C978E}"/>
    <cellStyle name="20% - Accent5 2 2 2 6 3" xfId="10819" xr:uid="{D3AF47E9-E2C7-40EF-9187-BBA9E7377CDD}"/>
    <cellStyle name="20% - Accent5 2 2 2 7" xfId="4542" xr:uid="{00000000-0005-0000-0000-000097020000}"/>
    <cellStyle name="20% - Accent5 2 2 2 7 2" xfId="12971" xr:uid="{1B2EB4E8-3D13-4F9A-9113-38C7564EB24C}"/>
    <cellStyle name="20% - Accent5 2 2 2 8" xfId="8753" xr:uid="{1BEDF600-B102-4010-AC50-A58BD61860BC}"/>
    <cellStyle name="20% - Accent5 2 2 3" xfId="605" xr:uid="{00000000-0005-0000-0000-000098020000}"/>
    <cellStyle name="20% - Accent5 2 2 3 2" xfId="2876" xr:uid="{00000000-0005-0000-0000-000099020000}"/>
    <cellStyle name="20% - Accent5 2 2 3 2 2" xfId="7100" xr:uid="{00000000-0005-0000-0000-00009A020000}"/>
    <cellStyle name="20% - Accent5 2 2 3 2 2 2" xfId="15529" xr:uid="{F0E4686F-C6DF-4124-BF7D-B11084999021}"/>
    <cellStyle name="20% - Accent5 2 2 3 2 3" xfId="11311" xr:uid="{464EA52B-5D1A-4A81-84C5-58AB71462263}"/>
    <cellStyle name="20% - Accent5 2 2 3 3" xfId="4955" xr:uid="{00000000-0005-0000-0000-00009B020000}"/>
    <cellStyle name="20% - Accent5 2 2 3 3 2" xfId="13384" xr:uid="{4948A2BC-FB81-44B3-B23D-AFD079EDE0DE}"/>
    <cellStyle name="20% - Accent5 2 2 3 4" xfId="9166" xr:uid="{EABB2BCC-B74E-4727-A2A6-06DDD1F3A923}"/>
    <cellStyle name="20% - Accent5 2 2 4" xfId="1058" xr:uid="{00000000-0005-0000-0000-00009C020000}"/>
    <cellStyle name="20% - Accent5 2 2 4 2" xfId="3289" xr:uid="{00000000-0005-0000-0000-00009D020000}"/>
    <cellStyle name="20% - Accent5 2 2 4 2 2" xfId="7513" xr:uid="{00000000-0005-0000-0000-00009E020000}"/>
    <cellStyle name="20% - Accent5 2 2 4 2 2 2" xfId="15942" xr:uid="{B19DC2E7-084F-4F68-AEBF-C14BC3D6726F}"/>
    <cellStyle name="20% - Accent5 2 2 4 2 3" xfId="11724" xr:uid="{B6328FC6-3623-4E93-A1D7-3D7C7B00187B}"/>
    <cellStyle name="20% - Accent5 2 2 4 3" xfId="5368" xr:uid="{00000000-0005-0000-0000-00009F020000}"/>
    <cellStyle name="20% - Accent5 2 2 4 3 2" xfId="13797" xr:uid="{D0E6085A-C42A-4D19-8BB8-D9F31483B0EB}"/>
    <cellStyle name="20% - Accent5 2 2 4 4" xfId="9579" xr:uid="{56B5B12E-4BB9-4E1A-A42A-5EA4AFA7522C}"/>
    <cellStyle name="20% - Accent5 2 2 5" xfId="1472" xr:uid="{00000000-0005-0000-0000-0000A0020000}"/>
    <cellStyle name="20% - Accent5 2 2 5 2" xfId="3702" xr:uid="{00000000-0005-0000-0000-0000A1020000}"/>
    <cellStyle name="20% - Accent5 2 2 5 2 2" xfId="7926" xr:uid="{00000000-0005-0000-0000-0000A2020000}"/>
    <cellStyle name="20% - Accent5 2 2 5 2 2 2" xfId="16355" xr:uid="{EE2D3405-3820-4093-BAFC-951712011C4C}"/>
    <cellStyle name="20% - Accent5 2 2 5 2 3" xfId="12137" xr:uid="{2D4ECF4A-0198-418D-B385-303A3A3299A9}"/>
    <cellStyle name="20% - Accent5 2 2 5 3" xfId="5781" xr:uid="{00000000-0005-0000-0000-0000A3020000}"/>
    <cellStyle name="20% - Accent5 2 2 5 3 2" xfId="14210" xr:uid="{2B43BF1F-A431-4887-83D2-1B1434592237}"/>
    <cellStyle name="20% - Accent5 2 2 5 4" xfId="9992" xr:uid="{4E511DF8-F7EA-4AB6-AD9D-9FE654170322}"/>
    <cellStyle name="20% - Accent5 2 2 6" xfId="1886" xr:uid="{00000000-0005-0000-0000-0000A4020000}"/>
    <cellStyle name="20% - Accent5 2 2 6 2" xfId="4115" xr:uid="{00000000-0005-0000-0000-0000A5020000}"/>
    <cellStyle name="20% - Accent5 2 2 6 2 2" xfId="8339" xr:uid="{00000000-0005-0000-0000-0000A6020000}"/>
    <cellStyle name="20% - Accent5 2 2 6 2 2 2" xfId="16768" xr:uid="{E160ECED-504D-4ABD-9B63-AF2BCE7B6B0D}"/>
    <cellStyle name="20% - Accent5 2 2 6 2 3" xfId="12550" xr:uid="{DD4D47DD-987D-44B9-B2EC-D938A0399BA8}"/>
    <cellStyle name="20% - Accent5 2 2 6 3" xfId="6194" xr:uid="{00000000-0005-0000-0000-0000A7020000}"/>
    <cellStyle name="20% - Accent5 2 2 6 3 2" xfId="14623" xr:uid="{B46071D7-B439-492F-BE46-ABB2CB1B4947}"/>
    <cellStyle name="20% - Accent5 2 2 6 4" xfId="10405" xr:uid="{E1F0AD5C-E1E0-4FA9-A024-E445F1DDEDF3}"/>
    <cellStyle name="20% - Accent5 2 2 7" xfId="2299" xr:uid="{00000000-0005-0000-0000-0000A8020000}"/>
    <cellStyle name="20% - Accent5 2 2 7 2" xfId="6607" xr:uid="{00000000-0005-0000-0000-0000A9020000}"/>
    <cellStyle name="20% - Accent5 2 2 7 2 2" xfId="15036" xr:uid="{EA53A932-E1F4-44D7-80A5-76D2D9A7D8A5}"/>
    <cellStyle name="20% - Accent5 2 2 7 3" xfId="10818" xr:uid="{7B06F3F1-DC4C-47E9-9CEA-7B349E00E44C}"/>
    <cellStyle name="20% - Accent5 2 2 8" xfId="4541" xr:uid="{00000000-0005-0000-0000-0000AA020000}"/>
    <cellStyle name="20% - Accent5 2 2 8 2" xfId="12970" xr:uid="{19F966CC-19DF-4F7F-9FDD-DDD4CBE1DF84}"/>
    <cellStyle name="20% - Accent5 2 2 9" xfId="8752" xr:uid="{FD2CB18B-48CF-46B7-8BDB-D84488AF3CE1}"/>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2 2 2" xfId="15531" xr:uid="{11F66F78-3139-41A7-A51D-81B25698E49D}"/>
    <cellStyle name="20% - Accent5 2 3 2 2 3" xfId="11313" xr:uid="{843D9BE4-8FA9-4B6D-B060-116DDD42C8A3}"/>
    <cellStyle name="20% - Accent5 2 3 2 3" xfId="4957" xr:uid="{00000000-0005-0000-0000-0000AF020000}"/>
    <cellStyle name="20% - Accent5 2 3 2 3 2" xfId="13386" xr:uid="{F0F307E8-32F1-47A6-B37B-5C04971938CF}"/>
    <cellStyle name="20% - Accent5 2 3 2 4" xfId="9168" xr:uid="{DD7996CF-6C48-4513-94C2-FEEDF0F57CFB}"/>
    <cellStyle name="20% - Accent5 2 3 3" xfId="1060" xr:uid="{00000000-0005-0000-0000-0000B0020000}"/>
    <cellStyle name="20% - Accent5 2 3 3 2" xfId="3291" xr:uid="{00000000-0005-0000-0000-0000B1020000}"/>
    <cellStyle name="20% - Accent5 2 3 3 2 2" xfId="7515" xr:uid="{00000000-0005-0000-0000-0000B2020000}"/>
    <cellStyle name="20% - Accent5 2 3 3 2 2 2" xfId="15944" xr:uid="{3F0E2E22-5B9D-437B-A134-924C8F8B5E94}"/>
    <cellStyle name="20% - Accent5 2 3 3 2 3" xfId="11726" xr:uid="{EE4FA1BB-9F3E-4568-A5EB-F785AEF85647}"/>
    <cellStyle name="20% - Accent5 2 3 3 3" xfId="5370" xr:uid="{00000000-0005-0000-0000-0000B3020000}"/>
    <cellStyle name="20% - Accent5 2 3 3 3 2" xfId="13799" xr:uid="{30FEEB4F-8230-46D9-AEE9-DECA9C80F5ED}"/>
    <cellStyle name="20% - Accent5 2 3 3 4" xfId="9581" xr:uid="{B115EC6C-5BF5-4FD5-B7A5-4905B2A39A55}"/>
    <cellStyle name="20% - Accent5 2 3 4" xfId="1474" xr:uid="{00000000-0005-0000-0000-0000B4020000}"/>
    <cellStyle name="20% - Accent5 2 3 4 2" xfId="3704" xr:uid="{00000000-0005-0000-0000-0000B5020000}"/>
    <cellStyle name="20% - Accent5 2 3 4 2 2" xfId="7928" xr:uid="{00000000-0005-0000-0000-0000B6020000}"/>
    <cellStyle name="20% - Accent5 2 3 4 2 2 2" xfId="16357" xr:uid="{238AEEB7-E48F-4EA0-8E3D-8ACC9C3FF59E}"/>
    <cellStyle name="20% - Accent5 2 3 4 2 3" xfId="12139" xr:uid="{01C1E5A8-2665-4D22-9A93-CA617D93D5CD}"/>
    <cellStyle name="20% - Accent5 2 3 4 3" xfId="5783" xr:uid="{00000000-0005-0000-0000-0000B7020000}"/>
    <cellStyle name="20% - Accent5 2 3 4 3 2" xfId="14212" xr:uid="{A7382345-A17C-44E3-8205-4A6DE072F64A}"/>
    <cellStyle name="20% - Accent5 2 3 4 4" xfId="9994" xr:uid="{8A10DE88-2FB9-4B48-9B30-D473CDD7DB5B}"/>
    <cellStyle name="20% - Accent5 2 3 5" xfId="1888" xr:uid="{00000000-0005-0000-0000-0000B8020000}"/>
    <cellStyle name="20% - Accent5 2 3 5 2" xfId="4117" xr:uid="{00000000-0005-0000-0000-0000B9020000}"/>
    <cellStyle name="20% - Accent5 2 3 5 2 2" xfId="8341" xr:uid="{00000000-0005-0000-0000-0000BA020000}"/>
    <cellStyle name="20% - Accent5 2 3 5 2 2 2" xfId="16770" xr:uid="{545B97CE-828B-459F-9E58-46450628875F}"/>
    <cellStyle name="20% - Accent5 2 3 5 2 3" xfId="12552" xr:uid="{A5FFA260-126A-4DEC-87EE-7668A83CF57A}"/>
    <cellStyle name="20% - Accent5 2 3 5 3" xfId="6196" xr:uid="{00000000-0005-0000-0000-0000BB020000}"/>
    <cellStyle name="20% - Accent5 2 3 5 3 2" xfId="14625" xr:uid="{AB622344-1AAE-41F0-8DA5-A15110272BC1}"/>
    <cellStyle name="20% - Accent5 2 3 5 4" xfId="10407" xr:uid="{B1D46FF2-438A-48FD-AA54-234D0838D9A8}"/>
    <cellStyle name="20% - Accent5 2 3 6" xfId="2301" xr:uid="{00000000-0005-0000-0000-0000BC020000}"/>
    <cellStyle name="20% - Accent5 2 3 6 2" xfId="6609" xr:uid="{00000000-0005-0000-0000-0000BD020000}"/>
    <cellStyle name="20% - Accent5 2 3 6 2 2" xfId="15038" xr:uid="{5CF43F44-76BF-4957-937D-183E859598D1}"/>
    <cellStyle name="20% - Accent5 2 3 6 3" xfId="10820" xr:uid="{5172AAE1-87FF-4BAD-B21C-2A53003C0EB3}"/>
    <cellStyle name="20% - Accent5 2 3 7" xfId="4543" xr:uid="{00000000-0005-0000-0000-0000BE020000}"/>
    <cellStyle name="20% - Accent5 2 3 7 2" xfId="12972" xr:uid="{BC999421-AE74-40EA-BC80-6281DEF70C82}"/>
    <cellStyle name="20% - Accent5 2 3 8" xfId="8754" xr:uid="{5E405E5A-B3C5-43B6-AF72-4B679046EA93}"/>
    <cellStyle name="20% - Accent5 2 4" xfId="604" xr:uid="{00000000-0005-0000-0000-0000BF020000}"/>
    <cellStyle name="20% - Accent5 2 4 2" xfId="2875" xr:uid="{00000000-0005-0000-0000-0000C0020000}"/>
    <cellStyle name="20% - Accent5 2 4 2 2" xfId="7099" xr:uid="{00000000-0005-0000-0000-0000C1020000}"/>
    <cellStyle name="20% - Accent5 2 4 2 2 2" xfId="15528" xr:uid="{9DA5989F-EF3C-47D8-85B3-3D945019DA8F}"/>
    <cellStyle name="20% - Accent5 2 4 2 3" xfId="11310" xr:uid="{FF647A67-6B28-4750-B31C-3543888F1643}"/>
    <cellStyle name="20% - Accent5 2 4 3" xfId="4954" xr:uid="{00000000-0005-0000-0000-0000C2020000}"/>
    <cellStyle name="20% - Accent5 2 4 3 2" xfId="13383" xr:uid="{E580756F-8496-4EC9-BFE5-6196C4BD6FA7}"/>
    <cellStyle name="20% - Accent5 2 4 4" xfId="9165" xr:uid="{BE15F220-0514-467D-9C8E-54B7E46C7786}"/>
    <cellStyle name="20% - Accent5 2 5" xfId="1057" xr:uid="{00000000-0005-0000-0000-0000C3020000}"/>
    <cellStyle name="20% - Accent5 2 5 2" xfId="3288" xr:uid="{00000000-0005-0000-0000-0000C4020000}"/>
    <cellStyle name="20% - Accent5 2 5 2 2" xfId="7512" xr:uid="{00000000-0005-0000-0000-0000C5020000}"/>
    <cellStyle name="20% - Accent5 2 5 2 2 2" xfId="15941" xr:uid="{CDF48E98-A649-40E6-B799-484CCEEA726F}"/>
    <cellStyle name="20% - Accent5 2 5 2 3" xfId="11723" xr:uid="{1E15B815-A5E2-40CA-95E0-17D3537D82FE}"/>
    <cellStyle name="20% - Accent5 2 5 3" xfId="5367" xr:uid="{00000000-0005-0000-0000-0000C6020000}"/>
    <cellStyle name="20% - Accent5 2 5 3 2" xfId="13796" xr:uid="{DF8237F0-BC56-47FB-BA03-BC04C6A5CD0C}"/>
    <cellStyle name="20% - Accent5 2 5 4" xfId="9578" xr:uid="{05FC3404-153E-44D2-8C00-A7C44D1F7BB9}"/>
    <cellStyle name="20% - Accent5 2 6" xfId="1471" xr:uid="{00000000-0005-0000-0000-0000C7020000}"/>
    <cellStyle name="20% - Accent5 2 6 2" xfId="3701" xr:uid="{00000000-0005-0000-0000-0000C8020000}"/>
    <cellStyle name="20% - Accent5 2 6 2 2" xfId="7925" xr:uid="{00000000-0005-0000-0000-0000C9020000}"/>
    <cellStyle name="20% - Accent5 2 6 2 2 2" xfId="16354" xr:uid="{971C2B43-4995-4272-9AB7-9F97C0FDD82A}"/>
    <cellStyle name="20% - Accent5 2 6 2 3" xfId="12136" xr:uid="{A4C4D559-4B20-4D77-8686-46C1E95A30D5}"/>
    <cellStyle name="20% - Accent5 2 6 3" xfId="5780" xr:uid="{00000000-0005-0000-0000-0000CA020000}"/>
    <cellStyle name="20% - Accent5 2 6 3 2" xfId="14209" xr:uid="{3B5715BF-DFFE-412D-9C08-B4AFAA47860E}"/>
    <cellStyle name="20% - Accent5 2 6 4" xfId="9991" xr:uid="{1A438B7D-741F-4124-8543-209454149B64}"/>
    <cellStyle name="20% - Accent5 2 7" xfId="1885" xr:uid="{00000000-0005-0000-0000-0000CB020000}"/>
    <cellStyle name="20% - Accent5 2 7 2" xfId="4114" xr:uid="{00000000-0005-0000-0000-0000CC020000}"/>
    <cellStyle name="20% - Accent5 2 7 2 2" xfId="8338" xr:uid="{00000000-0005-0000-0000-0000CD020000}"/>
    <cellStyle name="20% - Accent5 2 7 2 2 2" xfId="16767" xr:uid="{50284A12-5503-4F4F-9851-393F3C1BE5B0}"/>
    <cellStyle name="20% - Accent5 2 7 2 3" xfId="12549" xr:uid="{55622C5E-9C57-40F9-B256-B1A95AB49A42}"/>
    <cellStyle name="20% - Accent5 2 7 3" xfId="6193" xr:uid="{00000000-0005-0000-0000-0000CE020000}"/>
    <cellStyle name="20% - Accent5 2 7 3 2" xfId="14622" xr:uid="{2AC25C1F-6A4B-41CE-A380-1860B1E42CF1}"/>
    <cellStyle name="20% - Accent5 2 7 4" xfId="10404" xr:uid="{182F78AD-CAD2-4ED4-A6D1-CDB2A631D896}"/>
    <cellStyle name="20% - Accent5 2 8" xfId="2298" xr:uid="{00000000-0005-0000-0000-0000CF020000}"/>
    <cellStyle name="20% - Accent5 2 8 2" xfId="6606" xr:uid="{00000000-0005-0000-0000-0000D0020000}"/>
    <cellStyle name="20% - Accent5 2 8 2 2" xfId="15035" xr:uid="{6360C39C-E440-4434-B878-3C32A578E086}"/>
    <cellStyle name="20% - Accent5 2 8 3" xfId="10817" xr:uid="{46000D95-8111-480A-A9DA-1C5B93AB4C05}"/>
    <cellStyle name="20% - Accent5 2 9" xfId="4540" xr:uid="{00000000-0005-0000-0000-0000D1020000}"/>
    <cellStyle name="20% - Accent5 2 9 2" xfId="12969" xr:uid="{6F74DEE4-9371-4F80-BE50-B7A4A2C9728E}"/>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2 2 2" xfId="15533" xr:uid="{8B7B89E8-C8DD-48AD-B814-2BA640BA9529}"/>
    <cellStyle name="20% - Accent5 3 2 2 2 3" xfId="11315" xr:uid="{8014F668-5D95-43CE-9F03-41959CBB911D}"/>
    <cellStyle name="20% - Accent5 3 2 2 3" xfId="4959" xr:uid="{00000000-0005-0000-0000-0000D7020000}"/>
    <cellStyle name="20% - Accent5 3 2 2 3 2" xfId="13388" xr:uid="{87F92EA0-4437-4B2F-98A1-E4FBE7748C4A}"/>
    <cellStyle name="20% - Accent5 3 2 2 4" xfId="9170" xr:uid="{6F251B44-FC9F-40A7-9CB9-9368896C6831}"/>
    <cellStyle name="20% - Accent5 3 2 3" xfId="1062" xr:uid="{00000000-0005-0000-0000-0000D8020000}"/>
    <cellStyle name="20% - Accent5 3 2 3 2" xfId="3293" xr:uid="{00000000-0005-0000-0000-0000D9020000}"/>
    <cellStyle name="20% - Accent5 3 2 3 2 2" xfId="7517" xr:uid="{00000000-0005-0000-0000-0000DA020000}"/>
    <cellStyle name="20% - Accent5 3 2 3 2 2 2" xfId="15946" xr:uid="{FFBC604D-EA40-43EC-B2F2-BA2CD702E854}"/>
    <cellStyle name="20% - Accent5 3 2 3 2 3" xfId="11728" xr:uid="{923A58EB-777E-4EF4-AF05-25E2ADF7CF6A}"/>
    <cellStyle name="20% - Accent5 3 2 3 3" xfId="5372" xr:uid="{00000000-0005-0000-0000-0000DB020000}"/>
    <cellStyle name="20% - Accent5 3 2 3 3 2" xfId="13801" xr:uid="{360F7F74-40BE-4684-BEE3-41F80D355C25}"/>
    <cellStyle name="20% - Accent5 3 2 3 4" xfId="9583" xr:uid="{BE7FF645-CE29-4AC8-B8FF-1D79BD7F242E}"/>
    <cellStyle name="20% - Accent5 3 2 4" xfId="1476" xr:uid="{00000000-0005-0000-0000-0000DC020000}"/>
    <cellStyle name="20% - Accent5 3 2 4 2" xfId="3706" xr:uid="{00000000-0005-0000-0000-0000DD020000}"/>
    <cellStyle name="20% - Accent5 3 2 4 2 2" xfId="7930" xr:uid="{00000000-0005-0000-0000-0000DE020000}"/>
    <cellStyle name="20% - Accent5 3 2 4 2 2 2" xfId="16359" xr:uid="{666FC498-36E9-4500-B8F7-49E2971A63D4}"/>
    <cellStyle name="20% - Accent5 3 2 4 2 3" xfId="12141" xr:uid="{D34D80C4-3409-4892-935A-530BDE9D5D7A}"/>
    <cellStyle name="20% - Accent5 3 2 4 3" xfId="5785" xr:uid="{00000000-0005-0000-0000-0000DF020000}"/>
    <cellStyle name="20% - Accent5 3 2 4 3 2" xfId="14214" xr:uid="{9A4F311E-BDDB-434B-BC2E-3417F67B1971}"/>
    <cellStyle name="20% - Accent5 3 2 4 4" xfId="9996" xr:uid="{4406CE5C-4AE8-4B67-AD58-EE76FCF1E6CD}"/>
    <cellStyle name="20% - Accent5 3 2 5" xfId="1890" xr:uid="{00000000-0005-0000-0000-0000E0020000}"/>
    <cellStyle name="20% - Accent5 3 2 5 2" xfId="4119" xr:uid="{00000000-0005-0000-0000-0000E1020000}"/>
    <cellStyle name="20% - Accent5 3 2 5 2 2" xfId="8343" xr:uid="{00000000-0005-0000-0000-0000E2020000}"/>
    <cellStyle name="20% - Accent5 3 2 5 2 2 2" xfId="16772" xr:uid="{89F3338A-5FB7-4FB6-862C-FACE7862B39C}"/>
    <cellStyle name="20% - Accent5 3 2 5 2 3" xfId="12554" xr:uid="{A6FBEFAB-9F34-440D-B92F-58B3EF080449}"/>
    <cellStyle name="20% - Accent5 3 2 5 3" xfId="6198" xr:uid="{00000000-0005-0000-0000-0000E3020000}"/>
    <cellStyle name="20% - Accent5 3 2 5 3 2" xfId="14627" xr:uid="{A760B71F-B3E1-4849-B3F6-6A3CD33C3E18}"/>
    <cellStyle name="20% - Accent5 3 2 5 4" xfId="10409" xr:uid="{C573ABB3-F26F-4001-A865-5A98DFE351C6}"/>
    <cellStyle name="20% - Accent5 3 2 6" xfId="2303" xr:uid="{00000000-0005-0000-0000-0000E4020000}"/>
    <cellStyle name="20% - Accent5 3 2 6 2" xfId="6611" xr:uid="{00000000-0005-0000-0000-0000E5020000}"/>
    <cellStyle name="20% - Accent5 3 2 6 2 2" xfId="15040" xr:uid="{62FD72DD-C2AE-4F49-9CC9-4BC7727C57FD}"/>
    <cellStyle name="20% - Accent5 3 2 6 3" xfId="10822" xr:uid="{F19DA0D9-CFD8-4519-9EA5-554A994EF18D}"/>
    <cellStyle name="20% - Accent5 3 2 7" xfId="4545" xr:uid="{00000000-0005-0000-0000-0000E6020000}"/>
    <cellStyle name="20% - Accent5 3 2 7 2" xfId="12974" xr:uid="{7B85A0E9-B8A3-412B-A80D-8DDCD359311A}"/>
    <cellStyle name="20% - Accent5 3 2 8" xfId="8756" xr:uid="{B57A4280-C9B3-406F-87A5-5FB3ABCF381C}"/>
    <cellStyle name="20% - Accent5 3 3" xfId="608" xr:uid="{00000000-0005-0000-0000-0000E7020000}"/>
    <cellStyle name="20% - Accent5 3 3 2" xfId="2879" xr:uid="{00000000-0005-0000-0000-0000E8020000}"/>
    <cellStyle name="20% - Accent5 3 3 2 2" xfId="7103" xr:uid="{00000000-0005-0000-0000-0000E9020000}"/>
    <cellStyle name="20% - Accent5 3 3 2 2 2" xfId="15532" xr:uid="{1601FAC1-D8FB-45BB-8D01-C45C4220D18C}"/>
    <cellStyle name="20% - Accent5 3 3 2 3" xfId="11314" xr:uid="{E5834DF8-50E2-41AA-9ACF-6E530A6ACAA7}"/>
    <cellStyle name="20% - Accent5 3 3 3" xfId="4958" xr:uid="{00000000-0005-0000-0000-0000EA020000}"/>
    <cellStyle name="20% - Accent5 3 3 3 2" xfId="13387" xr:uid="{F09178AD-13EC-4B1A-B8B2-C0956DDD699B}"/>
    <cellStyle name="20% - Accent5 3 3 4" xfId="9169" xr:uid="{6389D2F1-B368-49F4-8008-73EC2CEF83EB}"/>
    <cellStyle name="20% - Accent5 3 4" xfId="1061" xr:uid="{00000000-0005-0000-0000-0000EB020000}"/>
    <cellStyle name="20% - Accent5 3 4 2" xfId="3292" xr:uid="{00000000-0005-0000-0000-0000EC020000}"/>
    <cellStyle name="20% - Accent5 3 4 2 2" xfId="7516" xr:uid="{00000000-0005-0000-0000-0000ED020000}"/>
    <cellStyle name="20% - Accent5 3 4 2 2 2" xfId="15945" xr:uid="{36223A96-837D-4AB6-A3ED-FCDBBAFB7285}"/>
    <cellStyle name="20% - Accent5 3 4 2 3" xfId="11727" xr:uid="{A375D5B4-28AB-4566-B8D2-50C7648A50AA}"/>
    <cellStyle name="20% - Accent5 3 4 3" xfId="5371" xr:uid="{00000000-0005-0000-0000-0000EE020000}"/>
    <cellStyle name="20% - Accent5 3 4 3 2" xfId="13800" xr:uid="{B8AD0BFC-D0BD-47BD-BFC0-78A095178113}"/>
    <cellStyle name="20% - Accent5 3 4 4" xfId="9582" xr:uid="{34B33766-A3F8-45BC-A07C-FF870107F5AF}"/>
    <cellStyle name="20% - Accent5 3 5" xfId="1475" xr:uid="{00000000-0005-0000-0000-0000EF020000}"/>
    <cellStyle name="20% - Accent5 3 5 2" xfId="3705" xr:uid="{00000000-0005-0000-0000-0000F0020000}"/>
    <cellStyle name="20% - Accent5 3 5 2 2" xfId="7929" xr:uid="{00000000-0005-0000-0000-0000F1020000}"/>
    <cellStyle name="20% - Accent5 3 5 2 2 2" xfId="16358" xr:uid="{52F9166D-EA9A-4F32-B0CD-B5C3E0AC70B3}"/>
    <cellStyle name="20% - Accent5 3 5 2 3" xfId="12140" xr:uid="{31E96DA2-11EA-4FBF-AA13-6C36525AA440}"/>
    <cellStyle name="20% - Accent5 3 5 3" xfId="5784" xr:uid="{00000000-0005-0000-0000-0000F2020000}"/>
    <cellStyle name="20% - Accent5 3 5 3 2" xfId="14213" xr:uid="{A6DB51EE-5360-4C71-BBAE-E0D93DB1E327}"/>
    <cellStyle name="20% - Accent5 3 5 4" xfId="9995" xr:uid="{B6B9B7D5-E9F4-40D2-982A-85C551EC11A7}"/>
    <cellStyle name="20% - Accent5 3 6" xfId="1889" xr:uid="{00000000-0005-0000-0000-0000F3020000}"/>
    <cellStyle name="20% - Accent5 3 6 2" xfId="4118" xr:uid="{00000000-0005-0000-0000-0000F4020000}"/>
    <cellStyle name="20% - Accent5 3 6 2 2" xfId="8342" xr:uid="{00000000-0005-0000-0000-0000F5020000}"/>
    <cellStyle name="20% - Accent5 3 6 2 2 2" xfId="16771" xr:uid="{78E70202-9252-4945-A5C3-BC111452921A}"/>
    <cellStyle name="20% - Accent5 3 6 2 3" xfId="12553" xr:uid="{A0175CA1-0F3D-4C32-A399-E837AA35B963}"/>
    <cellStyle name="20% - Accent5 3 6 3" xfId="6197" xr:uid="{00000000-0005-0000-0000-0000F6020000}"/>
    <cellStyle name="20% - Accent5 3 6 3 2" xfId="14626" xr:uid="{4447913F-7F59-4828-874A-3E13D907C2A0}"/>
    <cellStyle name="20% - Accent5 3 6 4" xfId="10408" xr:uid="{551DD134-CE21-40FD-BB94-ABFFB6D7224E}"/>
    <cellStyle name="20% - Accent5 3 7" xfId="2302" xr:uid="{00000000-0005-0000-0000-0000F7020000}"/>
    <cellStyle name="20% - Accent5 3 7 2" xfId="6610" xr:uid="{00000000-0005-0000-0000-0000F8020000}"/>
    <cellStyle name="20% - Accent5 3 7 2 2" xfId="15039" xr:uid="{290C574B-87A0-4E64-A3B3-98557E66D335}"/>
    <cellStyle name="20% - Accent5 3 7 3" xfId="10821" xr:uid="{A68F98C3-7D77-443D-9831-A36FDFA69344}"/>
    <cellStyle name="20% - Accent5 3 8" xfId="4544" xr:uid="{00000000-0005-0000-0000-0000F9020000}"/>
    <cellStyle name="20% - Accent5 3 8 2" xfId="12973" xr:uid="{E6F07C1A-FFBD-4BA7-8BCA-CE62070627EC}"/>
    <cellStyle name="20% - Accent5 3 9" xfId="8755" xr:uid="{E259DE48-BA40-4F73-9487-BC05726D38B7}"/>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2 2 2" xfId="15534" xr:uid="{6026E3E3-DABE-451A-ABA0-B1A16FB05309}"/>
    <cellStyle name="20% - Accent5 4 2 2 3" xfId="11316" xr:uid="{3ED99D48-7166-4543-88ED-5AF7884E2823}"/>
    <cellStyle name="20% - Accent5 4 2 3" xfId="4960" xr:uid="{00000000-0005-0000-0000-0000FE020000}"/>
    <cellStyle name="20% - Accent5 4 2 3 2" xfId="13389" xr:uid="{0D94B34F-DCFE-4BA1-BF64-ED4607A95961}"/>
    <cellStyle name="20% - Accent5 4 2 4" xfId="9171" xr:uid="{51EBAB0E-0BAC-4F4D-A5CA-92C9F41AB71F}"/>
    <cellStyle name="20% - Accent5 4 3" xfId="1063" xr:uid="{00000000-0005-0000-0000-0000FF020000}"/>
    <cellStyle name="20% - Accent5 4 3 2" xfId="3294" xr:uid="{00000000-0005-0000-0000-000000030000}"/>
    <cellStyle name="20% - Accent5 4 3 2 2" xfId="7518" xr:uid="{00000000-0005-0000-0000-000001030000}"/>
    <cellStyle name="20% - Accent5 4 3 2 2 2" xfId="15947" xr:uid="{F94D7E01-035E-45F9-AA5B-B2C17F8629AC}"/>
    <cellStyle name="20% - Accent5 4 3 2 3" xfId="11729" xr:uid="{9563E4FC-ACEC-40DB-8014-7207D46C078B}"/>
    <cellStyle name="20% - Accent5 4 3 3" xfId="5373" xr:uid="{00000000-0005-0000-0000-000002030000}"/>
    <cellStyle name="20% - Accent5 4 3 3 2" xfId="13802" xr:uid="{ACFD8277-D155-469A-B3F4-5BF82ADE46A1}"/>
    <cellStyle name="20% - Accent5 4 3 4" xfId="9584" xr:uid="{A527C35E-C5FB-48D7-99CD-400B5A3F5796}"/>
    <cellStyle name="20% - Accent5 4 4" xfId="1477" xr:uid="{00000000-0005-0000-0000-000003030000}"/>
    <cellStyle name="20% - Accent5 4 4 2" xfId="3707" xr:uid="{00000000-0005-0000-0000-000004030000}"/>
    <cellStyle name="20% - Accent5 4 4 2 2" xfId="7931" xr:uid="{00000000-0005-0000-0000-000005030000}"/>
    <cellStyle name="20% - Accent5 4 4 2 2 2" xfId="16360" xr:uid="{4A1A8E07-19EC-4CE4-983B-35974DBDBFC3}"/>
    <cellStyle name="20% - Accent5 4 4 2 3" xfId="12142" xr:uid="{7F5F93C3-0CA3-4543-A393-349EB55131E5}"/>
    <cellStyle name="20% - Accent5 4 4 3" xfId="5786" xr:uid="{00000000-0005-0000-0000-000006030000}"/>
    <cellStyle name="20% - Accent5 4 4 3 2" xfId="14215" xr:uid="{DE6BDC41-92E1-44D2-B803-390065B4CFAA}"/>
    <cellStyle name="20% - Accent5 4 4 4" xfId="9997" xr:uid="{FF847D55-071F-42B6-8DB2-0CC46A190726}"/>
    <cellStyle name="20% - Accent5 4 5" xfId="1891" xr:uid="{00000000-0005-0000-0000-000007030000}"/>
    <cellStyle name="20% - Accent5 4 5 2" xfId="4120" xr:uid="{00000000-0005-0000-0000-000008030000}"/>
    <cellStyle name="20% - Accent5 4 5 2 2" xfId="8344" xr:uid="{00000000-0005-0000-0000-000009030000}"/>
    <cellStyle name="20% - Accent5 4 5 2 2 2" xfId="16773" xr:uid="{04B850C5-A1C2-4239-8123-6A7C0D9FAC75}"/>
    <cellStyle name="20% - Accent5 4 5 2 3" xfId="12555" xr:uid="{D6F20010-5CA4-44CA-B199-81A4FAC10461}"/>
    <cellStyle name="20% - Accent5 4 5 3" xfId="6199" xr:uid="{00000000-0005-0000-0000-00000A030000}"/>
    <cellStyle name="20% - Accent5 4 5 3 2" xfId="14628" xr:uid="{45478D6B-B66A-485C-98B1-3FE38326759A}"/>
    <cellStyle name="20% - Accent5 4 5 4" xfId="10410" xr:uid="{FA8E6D4B-3CBF-4A8A-AC67-E0D350E98E88}"/>
    <cellStyle name="20% - Accent5 4 6" xfId="2304" xr:uid="{00000000-0005-0000-0000-00000B030000}"/>
    <cellStyle name="20% - Accent5 4 6 2" xfId="6612" xr:uid="{00000000-0005-0000-0000-00000C030000}"/>
    <cellStyle name="20% - Accent5 4 6 2 2" xfId="15041" xr:uid="{789EF0DB-0ED8-42B8-A4BF-81206499FEC5}"/>
    <cellStyle name="20% - Accent5 4 6 3" xfId="10823" xr:uid="{F5EC5D3F-5C9C-46F6-AA1E-27D38E7702E5}"/>
    <cellStyle name="20% - Accent5 4 7" xfId="4546" xr:uid="{00000000-0005-0000-0000-00000D030000}"/>
    <cellStyle name="20% - Accent5 4 7 2" xfId="12975" xr:uid="{199A8A26-FB19-44E5-A48B-3135428619D5}"/>
    <cellStyle name="20% - Accent5 4 8" xfId="8757" xr:uid="{247B5F98-3DAF-418A-86D9-497F136A2000}"/>
    <cellStyle name="20% - Accent5 5" xfId="603" xr:uid="{00000000-0005-0000-0000-00000E030000}"/>
    <cellStyle name="20% - Accent5 5 2" xfId="2874" xr:uid="{00000000-0005-0000-0000-00000F030000}"/>
    <cellStyle name="20% - Accent5 5 2 2" xfId="7098" xr:uid="{00000000-0005-0000-0000-000010030000}"/>
    <cellStyle name="20% - Accent5 5 2 2 2" xfId="15527" xr:uid="{8837B574-8449-4752-AAAA-593D81CEA712}"/>
    <cellStyle name="20% - Accent5 5 2 3" xfId="11309" xr:uid="{EEE07218-7511-4A86-BA57-974BD38DCDF9}"/>
    <cellStyle name="20% - Accent5 5 3" xfId="4953" xr:uid="{00000000-0005-0000-0000-000011030000}"/>
    <cellStyle name="20% - Accent5 5 3 2" xfId="13382" xr:uid="{1CEE381C-D3C2-4719-815E-DD8F51DBE231}"/>
    <cellStyle name="20% - Accent5 5 4" xfId="9164" xr:uid="{A0236080-0A88-4755-9AE4-B5682625A6A8}"/>
    <cellStyle name="20% - Accent5 6" xfId="1056" xr:uid="{00000000-0005-0000-0000-000012030000}"/>
    <cellStyle name="20% - Accent5 6 2" xfId="3287" xr:uid="{00000000-0005-0000-0000-000013030000}"/>
    <cellStyle name="20% - Accent5 6 2 2" xfId="7511" xr:uid="{00000000-0005-0000-0000-000014030000}"/>
    <cellStyle name="20% - Accent5 6 2 2 2" xfId="15940" xr:uid="{17BD5114-E83B-49D8-B7B9-8DE210156809}"/>
    <cellStyle name="20% - Accent5 6 2 3" xfId="11722" xr:uid="{DA519A65-3E16-40A5-89F8-AC8E7D22F6D0}"/>
    <cellStyle name="20% - Accent5 6 3" xfId="5366" xr:uid="{00000000-0005-0000-0000-000015030000}"/>
    <cellStyle name="20% - Accent5 6 3 2" xfId="13795" xr:uid="{8938C2C3-DDCB-4601-A0A1-054099BF85B2}"/>
    <cellStyle name="20% - Accent5 6 4" xfId="9577" xr:uid="{9F94E45C-0E2B-4FC5-9F90-33F9DD2DCE05}"/>
    <cellStyle name="20% - Accent5 7" xfId="1470" xr:uid="{00000000-0005-0000-0000-000016030000}"/>
    <cellStyle name="20% - Accent5 7 2" xfId="3700" xr:uid="{00000000-0005-0000-0000-000017030000}"/>
    <cellStyle name="20% - Accent5 7 2 2" xfId="7924" xr:uid="{00000000-0005-0000-0000-000018030000}"/>
    <cellStyle name="20% - Accent5 7 2 2 2" xfId="16353" xr:uid="{3EB81979-383D-412C-848C-B34F5A4BAFB9}"/>
    <cellStyle name="20% - Accent5 7 2 3" xfId="12135" xr:uid="{F29FB315-3BD3-4BFA-B2AA-9EBFE712892D}"/>
    <cellStyle name="20% - Accent5 7 3" xfId="5779" xr:uid="{00000000-0005-0000-0000-000019030000}"/>
    <cellStyle name="20% - Accent5 7 3 2" xfId="14208" xr:uid="{ECE53A1F-5184-4344-AEF8-934B312F7F6B}"/>
    <cellStyle name="20% - Accent5 7 4" xfId="9990" xr:uid="{0B188DBE-EB41-4D84-8123-440F73F33AF7}"/>
    <cellStyle name="20% - Accent5 8" xfId="1884" xr:uid="{00000000-0005-0000-0000-00001A030000}"/>
    <cellStyle name="20% - Accent5 8 2" xfId="4113" xr:uid="{00000000-0005-0000-0000-00001B030000}"/>
    <cellStyle name="20% - Accent5 8 2 2" xfId="8337" xr:uid="{00000000-0005-0000-0000-00001C030000}"/>
    <cellStyle name="20% - Accent5 8 2 2 2" xfId="16766" xr:uid="{AF6502A1-DFAD-4423-9C01-4445A6ADFF0F}"/>
    <cellStyle name="20% - Accent5 8 2 3" xfId="12548" xr:uid="{F5204E7C-6056-4D99-A92B-98C97D72B19E}"/>
    <cellStyle name="20% - Accent5 8 3" xfId="6192" xr:uid="{00000000-0005-0000-0000-00001D030000}"/>
    <cellStyle name="20% - Accent5 8 3 2" xfId="14621" xr:uid="{B92E80CA-6AE8-4429-BAD5-663E694AB1A0}"/>
    <cellStyle name="20% - Accent5 8 4" xfId="10403" xr:uid="{7B2B8841-7249-4F93-8D25-33B8FE8713F2}"/>
    <cellStyle name="20% - Accent5 9" xfId="2297" xr:uid="{00000000-0005-0000-0000-00001E030000}"/>
    <cellStyle name="20% - Accent5 9 2" xfId="6605" xr:uid="{00000000-0005-0000-0000-00001F030000}"/>
    <cellStyle name="20% - Accent5 9 2 2" xfId="15034" xr:uid="{71DB30E0-1F1B-4977-863F-C582764550C5}"/>
    <cellStyle name="20% - Accent5 9 3" xfId="10816" xr:uid="{CBC921E4-490F-42DB-B6FE-B8F5DBA7AFC4}"/>
    <cellStyle name="20% - Accent6" xfId="41" builtinId="50" customBuiltin="1"/>
    <cellStyle name="20% - Accent6 10" xfId="4547" xr:uid="{00000000-0005-0000-0000-000021030000}"/>
    <cellStyle name="20% - Accent6 10 2" xfId="12976" xr:uid="{3B219B32-2640-44FE-84BC-AEC88BF45AEE}"/>
    <cellStyle name="20% - Accent6 11" xfId="8758" xr:uid="{7D1FDB5D-C85C-4138-AD9B-333A093939D6}"/>
    <cellStyle name="20% - Accent6 2" xfId="42" xr:uid="{00000000-0005-0000-0000-000022030000}"/>
    <cellStyle name="20% - Accent6 2 10" xfId="8759" xr:uid="{F5FDF1F1-930D-4BD8-B6F9-B6CDB59A4915}"/>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2 2 2" xfId="15538" xr:uid="{2ACC5AD7-3015-4BC3-BE90-841E3CE09B70}"/>
    <cellStyle name="20% - Accent6 2 2 2 2 2 3" xfId="11320" xr:uid="{81248AF0-A103-4538-8C06-706125C3C70D}"/>
    <cellStyle name="20% - Accent6 2 2 2 2 3" xfId="4964" xr:uid="{00000000-0005-0000-0000-000028030000}"/>
    <cellStyle name="20% - Accent6 2 2 2 2 3 2" xfId="13393" xr:uid="{85BBBE08-D29C-4536-A9C9-FDE0CD0E18F8}"/>
    <cellStyle name="20% - Accent6 2 2 2 2 4" xfId="9175" xr:uid="{774F0FD7-301E-4622-8429-60D12074F1ED}"/>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2 2 2" xfId="15951" xr:uid="{D622EBD9-2024-4645-86A2-DFBE38164606}"/>
    <cellStyle name="20% - Accent6 2 2 2 3 2 3" xfId="11733" xr:uid="{49A7BEE4-C996-45B4-81B5-5D705730F1B2}"/>
    <cellStyle name="20% - Accent6 2 2 2 3 3" xfId="5377" xr:uid="{00000000-0005-0000-0000-00002C030000}"/>
    <cellStyle name="20% - Accent6 2 2 2 3 3 2" xfId="13806" xr:uid="{D00FE9F5-4CD8-4AF2-B5CC-F8EAF1EF125A}"/>
    <cellStyle name="20% - Accent6 2 2 2 3 4" xfId="9588" xr:uid="{9F26F4B6-855B-493E-985F-A64C6B713DCD}"/>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2 2 2" xfId="16364" xr:uid="{D769DBA1-77EE-4838-9964-7C86D38CE76C}"/>
    <cellStyle name="20% - Accent6 2 2 2 4 2 3" xfId="12146" xr:uid="{4F743315-7456-4863-8332-7B081596EE9A}"/>
    <cellStyle name="20% - Accent6 2 2 2 4 3" xfId="5790" xr:uid="{00000000-0005-0000-0000-000030030000}"/>
    <cellStyle name="20% - Accent6 2 2 2 4 3 2" xfId="14219" xr:uid="{506013DD-5A23-4A29-B066-CB0D8AAE1F41}"/>
    <cellStyle name="20% - Accent6 2 2 2 4 4" xfId="10001" xr:uid="{1FB78482-D157-432A-9C04-6A9BB638162E}"/>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2 2 2" xfId="16777" xr:uid="{526EF5AF-A6A8-4F34-BE12-C313DEFCF9B0}"/>
    <cellStyle name="20% - Accent6 2 2 2 5 2 3" xfId="12559" xr:uid="{33D17162-2D7C-4812-8CE0-E84522CFDDF5}"/>
    <cellStyle name="20% - Accent6 2 2 2 5 3" xfId="6203" xr:uid="{00000000-0005-0000-0000-000034030000}"/>
    <cellStyle name="20% - Accent6 2 2 2 5 3 2" xfId="14632" xr:uid="{9D9BE7F4-3AEF-402F-8841-9A11D9740737}"/>
    <cellStyle name="20% - Accent6 2 2 2 5 4" xfId="10414" xr:uid="{6FA16685-2861-46F3-87CD-403E2574A302}"/>
    <cellStyle name="20% - Accent6 2 2 2 6" xfId="2308" xr:uid="{00000000-0005-0000-0000-000035030000}"/>
    <cellStyle name="20% - Accent6 2 2 2 6 2" xfId="6616" xr:uid="{00000000-0005-0000-0000-000036030000}"/>
    <cellStyle name="20% - Accent6 2 2 2 6 2 2" xfId="15045" xr:uid="{46056A60-4214-4BAE-87C6-05535FC2B281}"/>
    <cellStyle name="20% - Accent6 2 2 2 6 3" xfId="10827" xr:uid="{10F4E118-6F69-4430-B969-7D7B5CCBDFC3}"/>
    <cellStyle name="20% - Accent6 2 2 2 7" xfId="4550" xr:uid="{00000000-0005-0000-0000-000037030000}"/>
    <cellStyle name="20% - Accent6 2 2 2 7 2" xfId="12979" xr:uid="{AAE06599-EDDF-4A26-B41C-5A0815D9B130}"/>
    <cellStyle name="20% - Accent6 2 2 2 8" xfId="8761" xr:uid="{84FF182F-D3BC-4766-AD9D-A2031485ABE0}"/>
    <cellStyle name="20% - Accent6 2 2 3" xfId="613" xr:uid="{00000000-0005-0000-0000-000038030000}"/>
    <cellStyle name="20% - Accent6 2 2 3 2" xfId="2884" xr:uid="{00000000-0005-0000-0000-000039030000}"/>
    <cellStyle name="20% - Accent6 2 2 3 2 2" xfId="7108" xr:uid="{00000000-0005-0000-0000-00003A030000}"/>
    <cellStyle name="20% - Accent6 2 2 3 2 2 2" xfId="15537" xr:uid="{D05A1655-5D88-48B0-9592-75A4FE88522A}"/>
    <cellStyle name="20% - Accent6 2 2 3 2 3" xfId="11319" xr:uid="{71462833-E7CB-42E4-A8FB-5DF42CDAE0A6}"/>
    <cellStyle name="20% - Accent6 2 2 3 3" xfId="4963" xr:uid="{00000000-0005-0000-0000-00003B030000}"/>
    <cellStyle name="20% - Accent6 2 2 3 3 2" xfId="13392" xr:uid="{6D18F3F7-C9CE-4D2C-9C22-EB25ABFBD05C}"/>
    <cellStyle name="20% - Accent6 2 2 3 4" xfId="9174" xr:uid="{0E75D8DE-4CB8-497D-89C9-FD788072C080}"/>
    <cellStyle name="20% - Accent6 2 2 4" xfId="1066" xr:uid="{00000000-0005-0000-0000-00003C030000}"/>
    <cellStyle name="20% - Accent6 2 2 4 2" xfId="3297" xr:uid="{00000000-0005-0000-0000-00003D030000}"/>
    <cellStyle name="20% - Accent6 2 2 4 2 2" xfId="7521" xr:uid="{00000000-0005-0000-0000-00003E030000}"/>
    <cellStyle name="20% - Accent6 2 2 4 2 2 2" xfId="15950" xr:uid="{B8510D06-C32E-4C14-B53E-24A49B9B7241}"/>
    <cellStyle name="20% - Accent6 2 2 4 2 3" xfId="11732" xr:uid="{87144811-D087-4228-9DCF-DA08B7992AD4}"/>
    <cellStyle name="20% - Accent6 2 2 4 3" xfId="5376" xr:uid="{00000000-0005-0000-0000-00003F030000}"/>
    <cellStyle name="20% - Accent6 2 2 4 3 2" xfId="13805" xr:uid="{8591286A-C1AD-40D6-AEBA-50DC4A48F81C}"/>
    <cellStyle name="20% - Accent6 2 2 4 4" xfId="9587" xr:uid="{1932FC6A-A696-4FB7-9241-35D8C7038620}"/>
    <cellStyle name="20% - Accent6 2 2 5" xfId="1480" xr:uid="{00000000-0005-0000-0000-000040030000}"/>
    <cellStyle name="20% - Accent6 2 2 5 2" xfId="3710" xr:uid="{00000000-0005-0000-0000-000041030000}"/>
    <cellStyle name="20% - Accent6 2 2 5 2 2" xfId="7934" xr:uid="{00000000-0005-0000-0000-000042030000}"/>
    <cellStyle name="20% - Accent6 2 2 5 2 2 2" xfId="16363" xr:uid="{A635FDE3-D2E5-41B4-8FE8-E0BDB16ADE35}"/>
    <cellStyle name="20% - Accent6 2 2 5 2 3" xfId="12145" xr:uid="{9441F239-4C90-44BE-88CA-E4F482EDB2E9}"/>
    <cellStyle name="20% - Accent6 2 2 5 3" xfId="5789" xr:uid="{00000000-0005-0000-0000-000043030000}"/>
    <cellStyle name="20% - Accent6 2 2 5 3 2" xfId="14218" xr:uid="{00F495B8-68C1-4084-9BD5-65D204CE8E40}"/>
    <cellStyle name="20% - Accent6 2 2 5 4" xfId="10000" xr:uid="{E0A3DE49-C945-4DFA-94F4-15DD935F336D}"/>
    <cellStyle name="20% - Accent6 2 2 6" xfId="1894" xr:uid="{00000000-0005-0000-0000-000044030000}"/>
    <cellStyle name="20% - Accent6 2 2 6 2" xfId="4123" xr:uid="{00000000-0005-0000-0000-000045030000}"/>
    <cellStyle name="20% - Accent6 2 2 6 2 2" xfId="8347" xr:uid="{00000000-0005-0000-0000-000046030000}"/>
    <cellStyle name="20% - Accent6 2 2 6 2 2 2" xfId="16776" xr:uid="{B9380C33-212F-4FF5-AFF6-22622C4D2152}"/>
    <cellStyle name="20% - Accent6 2 2 6 2 3" xfId="12558" xr:uid="{F99893D6-3305-42B9-8548-D1D01662C623}"/>
    <cellStyle name="20% - Accent6 2 2 6 3" xfId="6202" xr:uid="{00000000-0005-0000-0000-000047030000}"/>
    <cellStyle name="20% - Accent6 2 2 6 3 2" xfId="14631" xr:uid="{24ACD333-5E12-4487-9ACF-2898B0A0ED6B}"/>
    <cellStyle name="20% - Accent6 2 2 6 4" xfId="10413" xr:uid="{BECF18F6-A902-4AEC-9E3E-8D2B56CE9086}"/>
    <cellStyle name="20% - Accent6 2 2 7" xfId="2307" xr:uid="{00000000-0005-0000-0000-000048030000}"/>
    <cellStyle name="20% - Accent6 2 2 7 2" xfId="6615" xr:uid="{00000000-0005-0000-0000-000049030000}"/>
    <cellStyle name="20% - Accent6 2 2 7 2 2" xfId="15044" xr:uid="{5568EFF4-80BF-4C42-BE44-FAA611285B85}"/>
    <cellStyle name="20% - Accent6 2 2 7 3" xfId="10826" xr:uid="{D956BAD4-240E-46B0-ABCA-331BBF08DA1A}"/>
    <cellStyle name="20% - Accent6 2 2 8" xfId="4549" xr:uid="{00000000-0005-0000-0000-00004A030000}"/>
    <cellStyle name="20% - Accent6 2 2 8 2" xfId="12978" xr:uid="{A1570BAF-51E5-4FD8-9C0D-525EE9030183}"/>
    <cellStyle name="20% - Accent6 2 2 9" xfId="8760" xr:uid="{CDD72E32-CE07-4E07-9401-BA23C2A537E1}"/>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2 2 2" xfId="15539" xr:uid="{FCAB5C5C-7C68-4D3F-9AF5-0879374F9F24}"/>
    <cellStyle name="20% - Accent6 2 3 2 2 3" xfId="11321" xr:uid="{6C90E0EF-B0C6-4609-83FF-9EF044EFB2A2}"/>
    <cellStyle name="20% - Accent6 2 3 2 3" xfId="4965" xr:uid="{00000000-0005-0000-0000-00004F030000}"/>
    <cellStyle name="20% - Accent6 2 3 2 3 2" xfId="13394" xr:uid="{74FC80FD-3C32-4709-8FFE-3EADAE681BC9}"/>
    <cellStyle name="20% - Accent6 2 3 2 4" xfId="9176" xr:uid="{0A748D59-8CB3-4A99-99BE-41A111631F8B}"/>
    <cellStyle name="20% - Accent6 2 3 3" xfId="1068" xr:uid="{00000000-0005-0000-0000-000050030000}"/>
    <cellStyle name="20% - Accent6 2 3 3 2" xfId="3299" xr:uid="{00000000-0005-0000-0000-000051030000}"/>
    <cellStyle name="20% - Accent6 2 3 3 2 2" xfId="7523" xr:uid="{00000000-0005-0000-0000-000052030000}"/>
    <cellStyle name="20% - Accent6 2 3 3 2 2 2" xfId="15952" xr:uid="{FA8EBDF6-986C-4026-9FA3-54906AF539A8}"/>
    <cellStyle name="20% - Accent6 2 3 3 2 3" xfId="11734" xr:uid="{CB7885C2-4D00-4224-AE54-058E9421CB72}"/>
    <cellStyle name="20% - Accent6 2 3 3 3" xfId="5378" xr:uid="{00000000-0005-0000-0000-000053030000}"/>
    <cellStyle name="20% - Accent6 2 3 3 3 2" xfId="13807" xr:uid="{CA98FC48-9F45-4C56-B34A-C2B9EE392A85}"/>
    <cellStyle name="20% - Accent6 2 3 3 4" xfId="9589" xr:uid="{499CF159-8704-458A-B536-F5F8DA01392A}"/>
    <cellStyle name="20% - Accent6 2 3 4" xfId="1482" xr:uid="{00000000-0005-0000-0000-000054030000}"/>
    <cellStyle name="20% - Accent6 2 3 4 2" xfId="3712" xr:uid="{00000000-0005-0000-0000-000055030000}"/>
    <cellStyle name="20% - Accent6 2 3 4 2 2" xfId="7936" xr:uid="{00000000-0005-0000-0000-000056030000}"/>
    <cellStyle name="20% - Accent6 2 3 4 2 2 2" xfId="16365" xr:uid="{F5E63FD4-18CA-44D5-85AE-CEF5758FC5E2}"/>
    <cellStyle name="20% - Accent6 2 3 4 2 3" xfId="12147" xr:uid="{0F11AE98-154F-4741-977D-7175CDF55617}"/>
    <cellStyle name="20% - Accent6 2 3 4 3" xfId="5791" xr:uid="{00000000-0005-0000-0000-000057030000}"/>
    <cellStyle name="20% - Accent6 2 3 4 3 2" xfId="14220" xr:uid="{2B32B49B-5E3D-49A6-A0F8-013D2E5A835D}"/>
    <cellStyle name="20% - Accent6 2 3 4 4" xfId="10002" xr:uid="{9180D5B7-4E21-456D-B5A6-82BAB510843C}"/>
    <cellStyle name="20% - Accent6 2 3 5" xfId="1896" xr:uid="{00000000-0005-0000-0000-000058030000}"/>
    <cellStyle name="20% - Accent6 2 3 5 2" xfId="4125" xr:uid="{00000000-0005-0000-0000-000059030000}"/>
    <cellStyle name="20% - Accent6 2 3 5 2 2" xfId="8349" xr:uid="{00000000-0005-0000-0000-00005A030000}"/>
    <cellStyle name="20% - Accent6 2 3 5 2 2 2" xfId="16778" xr:uid="{9FB7E3A4-ED90-4012-BE36-509B7C2AF62A}"/>
    <cellStyle name="20% - Accent6 2 3 5 2 3" xfId="12560" xr:uid="{A9E30D2E-E425-4BA1-837D-04E8502A7601}"/>
    <cellStyle name="20% - Accent6 2 3 5 3" xfId="6204" xr:uid="{00000000-0005-0000-0000-00005B030000}"/>
    <cellStyle name="20% - Accent6 2 3 5 3 2" xfId="14633" xr:uid="{E0582005-AD62-495A-9785-CE7CD5778E06}"/>
    <cellStyle name="20% - Accent6 2 3 5 4" xfId="10415" xr:uid="{59E7870E-0AE0-4726-9417-C27513B59B5E}"/>
    <cellStyle name="20% - Accent6 2 3 6" xfId="2309" xr:uid="{00000000-0005-0000-0000-00005C030000}"/>
    <cellStyle name="20% - Accent6 2 3 6 2" xfId="6617" xr:uid="{00000000-0005-0000-0000-00005D030000}"/>
    <cellStyle name="20% - Accent6 2 3 6 2 2" xfId="15046" xr:uid="{117F8B8F-01D9-44A2-B99E-2C997C67E1EA}"/>
    <cellStyle name="20% - Accent6 2 3 6 3" xfId="10828" xr:uid="{6359DFB8-AA7B-4534-BA4B-D8E22C395B0C}"/>
    <cellStyle name="20% - Accent6 2 3 7" xfId="4551" xr:uid="{00000000-0005-0000-0000-00005E030000}"/>
    <cellStyle name="20% - Accent6 2 3 7 2" xfId="12980" xr:uid="{83651C6A-3EAE-4A37-B07E-C879681F5855}"/>
    <cellStyle name="20% - Accent6 2 3 8" xfId="8762" xr:uid="{D1F830F9-CB2B-4FD9-8CF8-2743641FFB0E}"/>
    <cellStyle name="20% - Accent6 2 4" xfId="612" xr:uid="{00000000-0005-0000-0000-00005F030000}"/>
    <cellStyle name="20% - Accent6 2 4 2" xfId="2883" xr:uid="{00000000-0005-0000-0000-000060030000}"/>
    <cellStyle name="20% - Accent6 2 4 2 2" xfId="7107" xr:uid="{00000000-0005-0000-0000-000061030000}"/>
    <cellStyle name="20% - Accent6 2 4 2 2 2" xfId="15536" xr:uid="{D36CD25D-B8C2-4D61-8AF0-8B409374ED4A}"/>
    <cellStyle name="20% - Accent6 2 4 2 3" xfId="11318" xr:uid="{74DAC2D9-5447-4A10-B931-C9FA27BCA89D}"/>
    <cellStyle name="20% - Accent6 2 4 3" xfId="4962" xr:uid="{00000000-0005-0000-0000-000062030000}"/>
    <cellStyle name="20% - Accent6 2 4 3 2" xfId="13391" xr:uid="{6BB79788-268C-43E5-9E8C-9428DC2ED9A0}"/>
    <cellStyle name="20% - Accent6 2 4 4" xfId="9173" xr:uid="{827761C8-8CF7-4E22-8BAF-347232E3EA81}"/>
    <cellStyle name="20% - Accent6 2 5" xfId="1065" xr:uid="{00000000-0005-0000-0000-000063030000}"/>
    <cellStyle name="20% - Accent6 2 5 2" xfId="3296" xr:uid="{00000000-0005-0000-0000-000064030000}"/>
    <cellStyle name="20% - Accent6 2 5 2 2" xfId="7520" xr:uid="{00000000-0005-0000-0000-000065030000}"/>
    <cellStyle name="20% - Accent6 2 5 2 2 2" xfId="15949" xr:uid="{374E0132-2FD6-4F5D-AA23-A5E745014164}"/>
    <cellStyle name="20% - Accent6 2 5 2 3" xfId="11731" xr:uid="{E82965CE-0BBF-43E9-9DA6-42F3319B4150}"/>
    <cellStyle name="20% - Accent6 2 5 3" xfId="5375" xr:uid="{00000000-0005-0000-0000-000066030000}"/>
    <cellStyle name="20% - Accent6 2 5 3 2" xfId="13804" xr:uid="{E36A6458-D385-4F2F-AC89-29C45987C8F1}"/>
    <cellStyle name="20% - Accent6 2 5 4" xfId="9586" xr:uid="{B8E0C072-4EEF-40A7-AFFF-A4079545366C}"/>
    <cellStyle name="20% - Accent6 2 6" xfId="1479" xr:uid="{00000000-0005-0000-0000-000067030000}"/>
    <cellStyle name="20% - Accent6 2 6 2" xfId="3709" xr:uid="{00000000-0005-0000-0000-000068030000}"/>
    <cellStyle name="20% - Accent6 2 6 2 2" xfId="7933" xr:uid="{00000000-0005-0000-0000-000069030000}"/>
    <cellStyle name="20% - Accent6 2 6 2 2 2" xfId="16362" xr:uid="{554D010D-604F-4A6A-9CDE-1C5A4410C6F2}"/>
    <cellStyle name="20% - Accent6 2 6 2 3" xfId="12144" xr:uid="{351031B3-7356-4231-A86F-204D032D328D}"/>
    <cellStyle name="20% - Accent6 2 6 3" xfId="5788" xr:uid="{00000000-0005-0000-0000-00006A030000}"/>
    <cellStyle name="20% - Accent6 2 6 3 2" xfId="14217" xr:uid="{9AFC4366-8042-4B07-94C2-13349ABF8A51}"/>
    <cellStyle name="20% - Accent6 2 6 4" xfId="9999" xr:uid="{D440BCEE-2E5B-4A3C-978F-D897928B342F}"/>
    <cellStyle name="20% - Accent6 2 7" xfId="1893" xr:uid="{00000000-0005-0000-0000-00006B030000}"/>
    <cellStyle name="20% - Accent6 2 7 2" xfId="4122" xr:uid="{00000000-0005-0000-0000-00006C030000}"/>
    <cellStyle name="20% - Accent6 2 7 2 2" xfId="8346" xr:uid="{00000000-0005-0000-0000-00006D030000}"/>
    <cellStyle name="20% - Accent6 2 7 2 2 2" xfId="16775" xr:uid="{24ED08A6-DAAE-47E1-8F81-77EADD4C7FB7}"/>
    <cellStyle name="20% - Accent6 2 7 2 3" xfId="12557" xr:uid="{95F809C3-FBC6-4045-87CE-432B61806039}"/>
    <cellStyle name="20% - Accent6 2 7 3" xfId="6201" xr:uid="{00000000-0005-0000-0000-00006E030000}"/>
    <cellStyle name="20% - Accent6 2 7 3 2" xfId="14630" xr:uid="{1AE80309-8492-40CE-A4C1-16477370822E}"/>
    <cellStyle name="20% - Accent6 2 7 4" xfId="10412" xr:uid="{A2A05F88-BA58-4CFD-AD77-C289F087D4B8}"/>
    <cellStyle name="20% - Accent6 2 8" xfId="2306" xr:uid="{00000000-0005-0000-0000-00006F030000}"/>
    <cellStyle name="20% - Accent6 2 8 2" xfId="6614" xr:uid="{00000000-0005-0000-0000-000070030000}"/>
    <cellStyle name="20% - Accent6 2 8 2 2" xfId="15043" xr:uid="{9E6323A8-DC07-4F4F-9108-989BB1A5979D}"/>
    <cellStyle name="20% - Accent6 2 8 3" xfId="10825" xr:uid="{793349FF-BCDE-4705-8F2C-69F158B84C2F}"/>
    <cellStyle name="20% - Accent6 2 9" xfId="4548" xr:uid="{00000000-0005-0000-0000-000071030000}"/>
    <cellStyle name="20% - Accent6 2 9 2" xfId="12977" xr:uid="{7FA6435F-09A7-49B0-8C8F-BF58E629AB4E}"/>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2 2 2" xfId="15541" xr:uid="{486C4399-BA0B-4978-8F98-79D3B4642A96}"/>
    <cellStyle name="20% - Accent6 3 2 2 2 3" xfId="11323" xr:uid="{FC588886-C581-4253-89A3-D5F5E38424F7}"/>
    <cellStyle name="20% - Accent6 3 2 2 3" xfId="4967" xr:uid="{00000000-0005-0000-0000-000077030000}"/>
    <cellStyle name="20% - Accent6 3 2 2 3 2" xfId="13396" xr:uid="{9F9EBDFF-04FF-4840-A8F4-24C622E455A6}"/>
    <cellStyle name="20% - Accent6 3 2 2 4" xfId="9178" xr:uid="{3D5F0C65-8F62-4D50-A466-0DF742E1896A}"/>
    <cellStyle name="20% - Accent6 3 2 3" xfId="1070" xr:uid="{00000000-0005-0000-0000-000078030000}"/>
    <cellStyle name="20% - Accent6 3 2 3 2" xfId="3301" xr:uid="{00000000-0005-0000-0000-000079030000}"/>
    <cellStyle name="20% - Accent6 3 2 3 2 2" xfId="7525" xr:uid="{00000000-0005-0000-0000-00007A030000}"/>
    <cellStyle name="20% - Accent6 3 2 3 2 2 2" xfId="15954" xr:uid="{C806994F-FEAF-4225-8076-C0D4172E68CC}"/>
    <cellStyle name="20% - Accent6 3 2 3 2 3" xfId="11736" xr:uid="{9BE6BC38-D5A7-4FE2-9F66-445F57D13444}"/>
    <cellStyle name="20% - Accent6 3 2 3 3" xfId="5380" xr:uid="{00000000-0005-0000-0000-00007B030000}"/>
    <cellStyle name="20% - Accent6 3 2 3 3 2" xfId="13809" xr:uid="{45AEF361-7D3C-481F-8C89-11A6C8753358}"/>
    <cellStyle name="20% - Accent6 3 2 3 4" xfId="9591" xr:uid="{8D598493-3550-497B-8848-10B85748BF4E}"/>
    <cellStyle name="20% - Accent6 3 2 4" xfId="1484" xr:uid="{00000000-0005-0000-0000-00007C030000}"/>
    <cellStyle name="20% - Accent6 3 2 4 2" xfId="3714" xr:uid="{00000000-0005-0000-0000-00007D030000}"/>
    <cellStyle name="20% - Accent6 3 2 4 2 2" xfId="7938" xr:uid="{00000000-0005-0000-0000-00007E030000}"/>
    <cellStyle name="20% - Accent6 3 2 4 2 2 2" xfId="16367" xr:uid="{357D1D65-3C19-4F31-82CA-6F5D36781D22}"/>
    <cellStyle name="20% - Accent6 3 2 4 2 3" xfId="12149" xr:uid="{E719EB11-35A4-4F65-8708-E636A8ECAB0B}"/>
    <cellStyle name="20% - Accent6 3 2 4 3" xfId="5793" xr:uid="{00000000-0005-0000-0000-00007F030000}"/>
    <cellStyle name="20% - Accent6 3 2 4 3 2" xfId="14222" xr:uid="{6C28A698-F3EB-413F-A1F8-6C972E77ED18}"/>
    <cellStyle name="20% - Accent6 3 2 4 4" xfId="10004" xr:uid="{F8D435D8-004F-4117-8553-4B39CFB4D673}"/>
    <cellStyle name="20% - Accent6 3 2 5" xfId="1898" xr:uid="{00000000-0005-0000-0000-000080030000}"/>
    <cellStyle name="20% - Accent6 3 2 5 2" xfId="4127" xr:uid="{00000000-0005-0000-0000-000081030000}"/>
    <cellStyle name="20% - Accent6 3 2 5 2 2" xfId="8351" xr:uid="{00000000-0005-0000-0000-000082030000}"/>
    <cellStyle name="20% - Accent6 3 2 5 2 2 2" xfId="16780" xr:uid="{58CBC74D-27A8-482C-A3D0-E8E690BFF9AE}"/>
    <cellStyle name="20% - Accent6 3 2 5 2 3" xfId="12562" xr:uid="{03C1D90A-7472-4A5D-AEF0-C8D8D27D02F4}"/>
    <cellStyle name="20% - Accent6 3 2 5 3" xfId="6206" xr:uid="{00000000-0005-0000-0000-000083030000}"/>
    <cellStyle name="20% - Accent6 3 2 5 3 2" xfId="14635" xr:uid="{D968F1D4-40C2-4CD4-A627-DF14F8877B7C}"/>
    <cellStyle name="20% - Accent6 3 2 5 4" xfId="10417" xr:uid="{62A158F6-42AD-475F-A777-FA3CA7079B9D}"/>
    <cellStyle name="20% - Accent6 3 2 6" xfId="2311" xr:uid="{00000000-0005-0000-0000-000084030000}"/>
    <cellStyle name="20% - Accent6 3 2 6 2" xfId="6619" xr:uid="{00000000-0005-0000-0000-000085030000}"/>
    <cellStyle name="20% - Accent6 3 2 6 2 2" xfId="15048" xr:uid="{57F33B60-592E-4BEE-80EC-8444AD48B3F4}"/>
    <cellStyle name="20% - Accent6 3 2 6 3" xfId="10830" xr:uid="{4B857BDF-3A76-4F3D-8A33-60031A5D24FF}"/>
    <cellStyle name="20% - Accent6 3 2 7" xfId="4553" xr:uid="{00000000-0005-0000-0000-000086030000}"/>
    <cellStyle name="20% - Accent6 3 2 7 2" xfId="12982" xr:uid="{04FBF3D3-72C1-4541-82DB-93C22DE54E6F}"/>
    <cellStyle name="20% - Accent6 3 2 8" xfId="8764" xr:uid="{642066D5-0A8B-459A-8FFB-2EE8A9745A78}"/>
    <cellStyle name="20% - Accent6 3 3" xfId="616" xr:uid="{00000000-0005-0000-0000-000087030000}"/>
    <cellStyle name="20% - Accent6 3 3 2" xfId="2887" xr:uid="{00000000-0005-0000-0000-000088030000}"/>
    <cellStyle name="20% - Accent6 3 3 2 2" xfId="7111" xr:uid="{00000000-0005-0000-0000-000089030000}"/>
    <cellStyle name="20% - Accent6 3 3 2 2 2" xfId="15540" xr:uid="{C1747E39-E427-4E48-AFA8-30C8635ECAF5}"/>
    <cellStyle name="20% - Accent6 3 3 2 3" xfId="11322" xr:uid="{DB2A0FB4-ACF1-4788-9FFE-6EC41C2FF033}"/>
    <cellStyle name="20% - Accent6 3 3 3" xfId="4966" xr:uid="{00000000-0005-0000-0000-00008A030000}"/>
    <cellStyle name="20% - Accent6 3 3 3 2" xfId="13395" xr:uid="{1844DDAE-CFCF-4B31-ABA0-F93155B7C1D2}"/>
    <cellStyle name="20% - Accent6 3 3 4" xfId="9177" xr:uid="{144045E5-B8BF-47FE-964D-0E8EEED5EF1E}"/>
    <cellStyle name="20% - Accent6 3 4" xfId="1069" xr:uid="{00000000-0005-0000-0000-00008B030000}"/>
    <cellStyle name="20% - Accent6 3 4 2" xfId="3300" xr:uid="{00000000-0005-0000-0000-00008C030000}"/>
    <cellStyle name="20% - Accent6 3 4 2 2" xfId="7524" xr:uid="{00000000-0005-0000-0000-00008D030000}"/>
    <cellStyle name="20% - Accent6 3 4 2 2 2" xfId="15953" xr:uid="{7731A034-0A50-402D-989D-C7AD2951D6AA}"/>
    <cellStyle name="20% - Accent6 3 4 2 3" xfId="11735" xr:uid="{4D5A740C-59F6-4E36-BDD3-0CCEA125BEB0}"/>
    <cellStyle name="20% - Accent6 3 4 3" xfId="5379" xr:uid="{00000000-0005-0000-0000-00008E030000}"/>
    <cellStyle name="20% - Accent6 3 4 3 2" xfId="13808" xr:uid="{8E7CD11F-CFCA-4EF5-9BA3-E1B0DFD8369E}"/>
    <cellStyle name="20% - Accent6 3 4 4" xfId="9590" xr:uid="{4D08A9A1-60BE-4C94-A25E-AE26E0AE3E25}"/>
    <cellStyle name="20% - Accent6 3 5" xfId="1483" xr:uid="{00000000-0005-0000-0000-00008F030000}"/>
    <cellStyle name="20% - Accent6 3 5 2" xfId="3713" xr:uid="{00000000-0005-0000-0000-000090030000}"/>
    <cellStyle name="20% - Accent6 3 5 2 2" xfId="7937" xr:uid="{00000000-0005-0000-0000-000091030000}"/>
    <cellStyle name="20% - Accent6 3 5 2 2 2" xfId="16366" xr:uid="{A1676A0B-5E4B-4250-B6CB-26556A1FABC2}"/>
    <cellStyle name="20% - Accent6 3 5 2 3" xfId="12148" xr:uid="{636DD544-B156-4FC3-AABD-A14147CCA012}"/>
    <cellStyle name="20% - Accent6 3 5 3" xfId="5792" xr:uid="{00000000-0005-0000-0000-000092030000}"/>
    <cellStyle name="20% - Accent6 3 5 3 2" xfId="14221" xr:uid="{913AF71F-5D25-43C7-813F-252E628A7877}"/>
    <cellStyle name="20% - Accent6 3 5 4" xfId="10003" xr:uid="{536BC5A2-0795-4AE3-A764-441078B09010}"/>
    <cellStyle name="20% - Accent6 3 6" xfId="1897" xr:uid="{00000000-0005-0000-0000-000093030000}"/>
    <cellStyle name="20% - Accent6 3 6 2" xfId="4126" xr:uid="{00000000-0005-0000-0000-000094030000}"/>
    <cellStyle name="20% - Accent6 3 6 2 2" xfId="8350" xr:uid="{00000000-0005-0000-0000-000095030000}"/>
    <cellStyle name="20% - Accent6 3 6 2 2 2" xfId="16779" xr:uid="{CED6E992-F56F-45FA-916D-6DD791719F26}"/>
    <cellStyle name="20% - Accent6 3 6 2 3" xfId="12561" xr:uid="{CEE8CCC4-1140-4AB5-89CF-2657FC16962A}"/>
    <cellStyle name="20% - Accent6 3 6 3" xfId="6205" xr:uid="{00000000-0005-0000-0000-000096030000}"/>
    <cellStyle name="20% - Accent6 3 6 3 2" xfId="14634" xr:uid="{AFBBC51A-9D2E-479E-B9B8-1C3E2E3C9637}"/>
    <cellStyle name="20% - Accent6 3 6 4" xfId="10416" xr:uid="{365BACB9-AAFD-4F7D-8E4F-339DF46E96BA}"/>
    <cellStyle name="20% - Accent6 3 7" xfId="2310" xr:uid="{00000000-0005-0000-0000-000097030000}"/>
    <cellStyle name="20% - Accent6 3 7 2" xfId="6618" xr:uid="{00000000-0005-0000-0000-000098030000}"/>
    <cellStyle name="20% - Accent6 3 7 2 2" xfId="15047" xr:uid="{D66070BB-CE9E-4A30-9B50-5E575A0E5A9D}"/>
    <cellStyle name="20% - Accent6 3 7 3" xfId="10829" xr:uid="{9B429E43-AFF4-459E-8729-4DAF4B2C15C0}"/>
    <cellStyle name="20% - Accent6 3 8" xfId="4552" xr:uid="{00000000-0005-0000-0000-000099030000}"/>
    <cellStyle name="20% - Accent6 3 8 2" xfId="12981" xr:uid="{20A383A9-E3B5-43B5-AE52-9252DC4C6533}"/>
    <cellStyle name="20% - Accent6 3 9" xfId="8763" xr:uid="{E6079965-E24B-4FC1-BF31-BFC46753384D}"/>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2 2 2" xfId="15542" xr:uid="{7A045DE9-CACF-4A08-9947-91DBD00DEEAB}"/>
    <cellStyle name="20% - Accent6 4 2 2 3" xfId="11324" xr:uid="{1F51A803-7ED4-4EF4-828E-EDCB8FDA34F0}"/>
    <cellStyle name="20% - Accent6 4 2 3" xfId="4968" xr:uid="{00000000-0005-0000-0000-00009E030000}"/>
    <cellStyle name="20% - Accent6 4 2 3 2" xfId="13397" xr:uid="{971B115E-E400-4444-9DBA-D4E73A3FA28A}"/>
    <cellStyle name="20% - Accent6 4 2 4" xfId="9179" xr:uid="{ED522504-7B3E-4EBB-906F-5B75C0F3A65A}"/>
    <cellStyle name="20% - Accent6 4 3" xfId="1071" xr:uid="{00000000-0005-0000-0000-00009F030000}"/>
    <cellStyle name="20% - Accent6 4 3 2" xfId="3302" xr:uid="{00000000-0005-0000-0000-0000A0030000}"/>
    <cellStyle name="20% - Accent6 4 3 2 2" xfId="7526" xr:uid="{00000000-0005-0000-0000-0000A1030000}"/>
    <cellStyle name="20% - Accent6 4 3 2 2 2" xfId="15955" xr:uid="{B5D8FF51-C8FA-4D22-A492-0937E3C395C0}"/>
    <cellStyle name="20% - Accent6 4 3 2 3" xfId="11737" xr:uid="{DBA9F1B1-4959-4DB7-A383-C607C49D28BA}"/>
    <cellStyle name="20% - Accent6 4 3 3" xfId="5381" xr:uid="{00000000-0005-0000-0000-0000A2030000}"/>
    <cellStyle name="20% - Accent6 4 3 3 2" xfId="13810" xr:uid="{1CDD9381-3940-4FD8-BDBA-561400F9E547}"/>
    <cellStyle name="20% - Accent6 4 3 4" xfId="9592" xr:uid="{CAAC6C25-8013-4964-91D2-00D82A0F1897}"/>
    <cellStyle name="20% - Accent6 4 4" xfId="1485" xr:uid="{00000000-0005-0000-0000-0000A3030000}"/>
    <cellStyle name="20% - Accent6 4 4 2" xfId="3715" xr:uid="{00000000-0005-0000-0000-0000A4030000}"/>
    <cellStyle name="20% - Accent6 4 4 2 2" xfId="7939" xr:uid="{00000000-0005-0000-0000-0000A5030000}"/>
    <cellStyle name="20% - Accent6 4 4 2 2 2" xfId="16368" xr:uid="{F1BC416E-B90A-4109-9967-E990F105A28E}"/>
    <cellStyle name="20% - Accent6 4 4 2 3" xfId="12150" xr:uid="{4EBB9993-F344-464D-8B0D-ECC14E63E585}"/>
    <cellStyle name="20% - Accent6 4 4 3" xfId="5794" xr:uid="{00000000-0005-0000-0000-0000A6030000}"/>
    <cellStyle name="20% - Accent6 4 4 3 2" xfId="14223" xr:uid="{A8B191DF-D5B3-4A8C-90C0-C931214F8700}"/>
    <cellStyle name="20% - Accent6 4 4 4" xfId="10005" xr:uid="{74638B53-CDDF-4C79-8D75-01F239FED897}"/>
    <cellStyle name="20% - Accent6 4 5" xfId="1899" xr:uid="{00000000-0005-0000-0000-0000A7030000}"/>
    <cellStyle name="20% - Accent6 4 5 2" xfId="4128" xr:uid="{00000000-0005-0000-0000-0000A8030000}"/>
    <cellStyle name="20% - Accent6 4 5 2 2" xfId="8352" xr:uid="{00000000-0005-0000-0000-0000A9030000}"/>
    <cellStyle name="20% - Accent6 4 5 2 2 2" xfId="16781" xr:uid="{D097799D-BCF1-4591-BE65-8EBF1FBB6B52}"/>
    <cellStyle name="20% - Accent6 4 5 2 3" xfId="12563" xr:uid="{BAF881D8-6A69-4266-84AD-2B1C094073B7}"/>
    <cellStyle name="20% - Accent6 4 5 3" xfId="6207" xr:uid="{00000000-0005-0000-0000-0000AA030000}"/>
    <cellStyle name="20% - Accent6 4 5 3 2" xfId="14636" xr:uid="{A81424BB-08B3-4F30-B1F2-CF3D111040D0}"/>
    <cellStyle name="20% - Accent6 4 5 4" xfId="10418" xr:uid="{73DEDE3E-5029-4F6E-A3AC-B708554E0354}"/>
    <cellStyle name="20% - Accent6 4 6" xfId="2312" xr:uid="{00000000-0005-0000-0000-0000AB030000}"/>
    <cellStyle name="20% - Accent6 4 6 2" xfId="6620" xr:uid="{00000000-0005-0000-0000-0000AC030000}"/>
    <cellStyle name="20% - Accent6 4 6 2 2" xfId="15049" xr:uid="{8B5CDC04-8244-470C-B494-FA0439D05962}"/>
    <cellStyle name="20% - Accent6 4 6 3" xfId="10831" xr:uid="{A2E3B3BB-790D-4B29-8E5A-8308D136707A}"/>
    <cellStyle name="20% - Accent6 4 7" xfId="4554" xr:uid="{00000000-0005-0000-0000-0000AD030000}"/>
    <cellStyle name="20% - Accent6 4 7 2" xfId="12983" xr:uid="{05B86306-8371-48C1-A9C6-A849504020A4}"/>
    <cellStyle name="20% - Accent6 4 8" xfId="8765" xr:uid="{5733F4D0-4687-4065-9167-AAA566E7D1AC}"/>
    <cellStyle name="20% - Accent6 5" xfId="611" xr:uid="{00000000-0005-0000-0000-0000AE030000}"/>
    <cellStyle name="20% - Accent6 5 2" xfId="2882" xr:uid="{00000000-0005-0000-0000-0000AF030000}"/>
    <cellStyle name="20% - Accent6 5 2 2" xfId="7106" xr:uid="{00000000-0005-0000-0000-0000B0030000}"/>
    <cellStyle name="20% - Accent6 5 2 2 2" xfId="15535" xr:uid="{2C36E488-E09B-47A1-B2F4-599B93E28ADA}"/>
    <cellStyle name="20% - Accent6 5 2 3" xfId="11317" xr:uid="{CE4A74FF-1107-474C-A99A-2921E24FCD8F}"/>
    <cellStyle name="20% - Accent6 5 3" xfId="4961" xr:uid="{00000000-0005-0000-0000-0000B1030000}"/>
    <cellStyle name="20% - Accent6 5 3 2" xfId="13390" xr:uid="{68738230-AD6F-4EF9-8B57-03867BE66E7C}"/>
    <cellStyle name="20% - Accent6 5 4" xfId="9172" xr:uid="{D0FF1FE1-0BAF-452D-B544-3E39958CCF60}"/>
    <cellStyle name="20% - Accent6 6" xfId="1064" xr:uid="{00000000-0005-0000-0000-0000B2030000}"/>
    <cellStyle name="20% - Accent6 6 2" xfId="3295" xr:uid="{00000000-0005-0000-0000-0000B3030000}"/>
    <cellStyle name="20% - Accent6 6 2 2" xfId="7519" xr:uid="{00000000-0005-0000-0000-0000B4030000}"/>
    <cellStyle name="20% - Accent6 6 2 2 2" xfId="15948" xr:uid="{1B184790-0117-4F70-8E22-D9C2E08B247A}"/>
    <cellStyle name="20% - Accent6 6 2 3" xfId="11730" xr:uid="{C2BF0C3B-9A93-42E5-AAA5-876A15F9ADD9}"/>
    <cellStyle name="20% - Accent6 6 3" xfId="5374" xr:uid="{00000000-0005-0000-0000-0000B5030000}"/>
    <cellStyle name="20% - Accent6 6 3 2" xfId="13803" xr:uid="{0AC92DB2-B9E8-40A4-8BCB-A3A452E272FF}"/>
    <cellStyle name="20% - Accent6 6 4" xfId="9585" xr:uid="{0739C917-E6C5-45E5-B88E-85AFC96A7928}"/>
    <cellStyle name="20% - Accent6 7" xfId="1478" xr:uid="{00000000-0005-0000-0000-0000B6030000}"/>
    <cellStyle name="20% - Accent6 7 2" xfId="3708" xr:uid="{00000000-0005-0000-0000-0000B7030000}"/>
    <cellStyle name="20% - Accent6 7 2 2" xfId="7932" xr:uid="{00000000-0005-0000-0000-0000B8030000}"/>
    <cellStyle name="20% - Accent6 7 2 2 2" xfId="16361" xr:uid="{13EC28EA-A764-425E-9EA0-4402BE0AAA16}"/>
    <cellStyle name="20% - Accent6 7 2 3" xfId="12143" xr:uid="{67E4B499-F441-45B3-BD0B-62B6AB8B9E9B}"/>
    <cellStyle name="20% - Accent6 7 3" xfId="5787" xr:uid="{00000000-0005-0000-0000-0000B9030000}"/>
    <cellStyle name="20% - Accent6 7 3 2" xfId="14216" xr:uid="{18AB4464-E808-4E72-9DFC-59E67A4E8322}"/>
    <cellStyle name="20% - Accent6 7 4" xfId="9998" xr:uid="{B041A57E-2D09-411F-B8F2-E56BA9EFA08B}"/>
    <cellStyle name="20% - Accent6 8" xfId="1892" xr:uid="{00000000-0005-0000-0000-0000BA030000}"/>
    <cellStyle name="20% - Accent6 8 2" xfId="4121" xr:uid="{00000000-0005-0000-0000-0000BB030000}"/>
    <cellStyle name="20% - Accent6 8 2 2" xfId="8345" xr:uid="{00000000-0005-0000-0000-0000BC030000}"/>
    <cellStyle name="20% - Accent6 8 2 2 2" xfId="16774" xr:uid="{9A0B6D64-E09A-4FC0-82E6-1999A64CC2CE}"/>
    <cellStyle name="20% - Accent6 8 2 3" xfId="12556" xr:uid="{AF9BD11C-6E7D-46A8-ADC0-0C298180430E}"/>
    <cellStyle name="20% - Accent6 8 3" xfId="6200" xr:uid="{00000000-0005-0000-0000-0000BD030000}"/>
    <cellStyle name="20% - Accent6 8 3 2" xfId="14629" xr:uid="{139C3748-D275-4D45-A74C-E431F07F08CC}"/>
    <cellStyle name="20% - Accent6 8 4" xfId="10411" xr:uid="{C7796910-34ED-45BC-A340-BF0832FFB129}"/>
    <cellStyle name="20% - Accent6 9" xfId="2305" xr:uid="{00000000-0005-0000-0000-0000BE030000}"/>
    <cellStyle name="20% - Accent6 9 2" xfId="6613" xr:uid="{00000000-0005-0000-0000-0000BF030000}"/>
    <cellStyle name="20% - Accent6 9 2 2" xfId="15042" xr:uid="{9EB46C42-219F-4F7A-9108-5E52AFD3FD8B}"/>
    <cellStyle name="20% - Accent6 9 3" xfId="10824" xr:uid="{8F8B3DF6-2419-47BE-B519-27E1840AD825}"/>
    <cellStyle name="40% - Accent1" xfId="49" builtinId="31" customBuiltin="1"/>
    <cellStyle name="40% - Accent1 10" xfId="4555" xr:uid="{00000000-0005-0000-0000-0000C1030000}"/>
    <cellStyle name="40% - Accent1 10 2" xfId="12984" xr:uid="{BA705FDB-37C8-4E10-A9B4-41D5E5852B0F}"/>
    <cellStyle name="40% - Accent1 11" xfId="8766" xr:uid="{3DDA9977-9EC1-4BD8-BA73-5294E2A935E8}"/>
    <cellStyle name="40% - Accent1 2" xfId="50" xr:uid="{00000000-0005-0000-0000-0000C2030000}"/>
    <cellStyle name="40% - Accent1 2 10" xfId="8767" xr:uid="{11881516-3596-4366-A0FE-08E5B7F83D26}"/>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2 2 2" xfId="15546" xr:uid="{5CB0EF1C-4FE5-4874-AA52-DE0FAC7C4A74}"/>
    <cellStyle name="40% - Accent1 2 2 2 2 2 3" xfId="11328" xr:uid="{D0B3749F-9F3E-45BD-BFFB-02990AC0717E}"/>
    <cellStyle name="40% - Accent1 2 2 2 2 3" xfId="4972" xr:uid="{00000000-0005-0000-0000-0000C8030000}"/>
    <cellStyle name="40% - Accent1 2 2 2 2 3 2" xfId="13401" xr:uid="{8E2DE19F-A5E1-450A-A596-F4AB9635E9C8}"/>
    <cellStyle name="40% - Accent1 2 2 2 2 4" xfId="9183" xr:uid="{2748B4F7-37C3-4778-8B17-F0B91C7EE015}"/>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2 2 2" xfId="15959" xr:uid="{791D3B2B-B406-4905-AB46-948D123F4126}"/>
    <cellStyle name="40% - Accent1 2 2 2 3 2 3" xfId="11741" xr:uid="{94B38B19-01A9-467E-AAF9-D4CF6D9BE16D}"/>
    <cellStyle name="40% - Accent1 2 2 2 3 3" xfId="5385" xr:uid="{00000000-0005-0000-0000-0000CC030000}"/>
    <cellStyle name="40% - Accent1 2 2 2 3 3 2" xfId="13814" xr:uid="{ED861329-E1E7-4FFD-A08D-14CB11345425}"/>
    <cellStyle name="40% - Accent1 2 2 2 3 4" xfId="9596" xr:uid="{638309BE-B6B4-4407-8392-E8DC8D0982B2}"/>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2 2 2" xfId="16372" xr:uid="{A825B178-279B-47B0-A405-004116906324}"/>
    <cellStyle name="40% - Accent1 2 2 2 4 2 3" xfId="12154" xr:uid="{5F6CE8A1-B6F5-402A-92B5-B8CD120F3753}"/>
    <cellStyle name="40% - Accent1 2 2 2 4 3" xfId="5798" xr:uid="{00000000-0005-0000-0000-0000D0030000}"/>
    <cellStyle name="40% - Accent1 2 2 2 4 3 2" xfId="14227" xr:uid="{24AD1700-A04E-46A1-A63E-27A66F815EA0}"/>
    <cellStyle name="40% - Accent1 2 2 2 4 4" xfId="10009" xr:uid="{75E13105-B5E1-4483-98B8-9FE22C837D81}"/>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2 2 2" xfId="16785" xr:uid="{3E611E87-6F3A-48A3-84AE-5641C3E55133}"/>
    <cellStyle name="40% - Accent1 2 2 2 5 2 3" xfId="12567" xr:uid="{7FE87874-F534-47B6-BEDE-2D284E68F07F}"/>
    <cellStyle name="40% - Accent1 2 2 2 5 3" xfId="6211" xr:uid="{00000000-0005-0000-0000-0000D4030000}"/>
    <cellStyle name="40% - Accent1 2 2 2 5 3 2" xfId="14640" xr:uid="{71FD474F-D6D2-40C9-A120-5B37839DFC04}"/>
    <cellStyle name="40% - Accent1 2 2 2 5 4" xfId="10422" xr:uid="{9F884FD0-186F-4779-BB70-5C0772757BEE}"/>
    <cellStyle name="40% - Accent1 2 2 2 6" xfId="2316" xr:uid="{00000000-0005-0000-0000-0000D5030000}"/>
    <cellStyle name="40% - Accent1 2 2 2 6 2" xfId="6624" xr:uid="{00000000-0005-0000-0000-0000D6030000}"/>
    <cellStyle name="40% - Accent1 2 2 2 6 2 2" xfId="15053" xr:uid="{F94AC5C6-163F-4EC3-B2ED-85E79631DF73}"/>
    <cellStyle name="40% - Accent1 2 2 2 6 3" xfId="10835" xr:uid="{510C78D8-0290-470E-B03B-0985949D3A60}"/>
    <cellStyle name="40% - Accent1 2 2 2 7" xfId="4558" xr:uid="{00000000-0005-0000-0000-0000D7030000}"/>
    <cellStyle name="40% - Accent1 2 2 2 7 2" xfId="12987" xr:uid="{08290869-D2B3-4603-929E-1812655DA1A4}"/>
    <cellStyle name="40% - Accent1 2 2 2 8" xfId="8769" xr:uid="{F645B6CE-FD76-4CDC-B972-9229EE5193B0}"/>
    <cellStyle name="40% - Accent1 2 2 3" xfId="621" xr:uid="{00000000-0005-0000-0000-0000D8030000}"/>
    <cellStyle name="40% - Accent1 2 2 3 2" xfId="2892" xr:uid="{00000000-0005-0000-0000-0000D9030000}"/>
    <cellStyle name="40% - Accent1 2 2 3 2 2" xfId="7116" xr:uid="{00000000-0005-0000-0000-0000DA030000}"/>
    <cellStyle name="40% - Accent1 2 2 3 2 2 2" xfId="15545" xr:uid="{0CCDC5A0-5B04-4DEC-A56E-C6074EB2F650}"/>
    <cellStyle name="40% - Accent1 2 2 3 2 3" xfId="11327" xr:uid="{3939E4FB-081B-4961-A053-1E0C3BCA0F3C}"/>
    <cellStyle name="40% - Accent1 2 2 3 3" xfId="4971" xr:uid="{00000000-0005-0000-0000-0000DB030000}"/>
    <cellStyle name="40% - Accent1 2 2 3 3 2" xfId="13400" xr:uid="{215A82B1-567A-4BEA-81BF-13D07809C1F0}"/>
    <cellStyle name="40% - Accent1 2 2 3 4" xfId="9182" xr:uid="{401C585F-889A-415E-9281-A795C40F4A94}"/>
    <cellStyle name="40% - Accent1 2 2 4" xfId="1074" xr:uid="{00000000-0005-0000-0000-0000DC030000}"/>
    <cellStyle name="40% - Accent1 2 2 4 2" xfId="3305" xr:uid="{00000000-0005-0000-0000-0000DD030000}"/>
    <cellStyle name="40% - Accent1 2 2 4 2 2" xfId="7529" xr:uid="{00000000-0005-0000-0000-0000DE030000}"/>
    <cellStyle name="40% - Accent1 2 2 4 2 2 2" xfId="15958" xr:uid="{A46D3710-FFA9-413A-8080-274C973A8CA7}"/>
    <cellStyle name="40% - Accent1 2 2 4 2 3" xfId="11740" xr:uid="{4DBC144F-1273-462D-A2E1-CF534A81BA98}"/>
    <cellStyle name="40% - Accent1 2 2 4 3" xfId="5384" xr:uid="{00000000-0005-0000-0000-0000DF030000}"/>
    <cellStyle name="40% - Accent1 2 2 4 3 2" xfId="13813" xr:uid="{F9B72BA1-4EF3-44E0-AF75-93D5F09966B5}"/>
    <cellStyle name="40% - Accent1 2 2 4 4" xfId="9595" xr:uid="{35EB0923-6B7E-48DB-A249-393511611E4D}"/>
    <cellStyle name="40% - Accent1 2 2 5" xfId="1488" xr:uid="{00000000-0005-0000-0000-0000E0030000}"/>
    <cellStyle name="40% - Accent1 2 2 5 2" xfId="3718" xr:uid="{00000000-0005-0000-0000-0000E1030000}"/>
    <cellStyle name="40% - Accent1 2 2 5 2 2" xfId="7942" xr:uid="{00000000-0005-0000-0000-0000E2030000}"/>
    <cellStyle name="40% - Accent1 2 2 5 2 2 2" xfId="16371" xr:uid="{2B97526F-9301-4427-BB0E-1B1BB91A5250}"/>
    <cellStyle name="40% - Accent1 2 2 5 2 3" xfId="12153" xr:uid="{15EDBE89-2CC0-454C-B131-A371A3323C3A}"/>
    <cellStyle name="40% - Accent1 2 2 5 3" xfId="5797" xr:uid="{00000000-0005-0000-0000-0000E3030000}"/>
    <cellStyle name="40% - Accent1 2 2 5 3 2" xfId="14226" xr:uid="{9EBD4D2A-32AD-4A53-9A2A-A7F0BA906501}"/>
    <cellStyle name="40% - Accent1 2 2 5 4" xfId="10008" xr:uid="{84F37CAA-C1A2-483B-A10A-9503AD390A7A}"/>
    <cellStyle name="40% - Accent1 2 2 6" xfId="1902" xr:uid="{00000000-0005-0000-0000-0000E4030000}"/>
    <cellStyle name="40% - Accent1 2 2 6 2" xfId="4131" xr:uid="{00000000-0005-0000-0000-0000E5030000}"/>
    <cellStyle name="40% - Accent1 2 2 6 2 2" xfId="8355" xr:uid="{00000000-0005-0000-0000-0000E6030000}"/>
    <cellStyle name="40% - Accent1 2 2 6 2 2 2" xfId="16784" xr:uid="{E9BF6347-5895-4660-8CA4-FC40FD3F4431}"/>
    <cellStyle name="40% - Accent1 2 2 6 2 3" xfId="12566" xr:uid="{6A93A74D-4191-4867-8800-569008742B22}"/>
    <cellStyle name="40% - Accent1 2 2 6 3" xfId="6210" xr:uid="{00000000-0005-0000-0000-0000E7030000}"/>
    <cellStyle name="40% - Accent1 2 2 6 3 2" xfId="14639" xr:uid="{8D69E3F4-7600-452E-98B7-BCE3EE834F41}"/>
    <cellStyle name="40% - Accent1 2 2 6 4" xfId="10421" xr:uid="{72767805-5E3F-4DD7-BEC5-EB21A2BE83D9}"/>
    <cellStyle name="40% - Accent1 2 2 7" xfId="2315" xr:uid="{00000000-0005-0000-0000-0000E8030000}"/>
    <cellStyle name="40% - Accent1 2 2 7 2" xfId="6623" xr:uid="{00000000-0005-0000-0000-0000E9030000}"/>
    <cellStyle name="40% - Accent1 2 2 7 2 2" xfId="15052" xr:uid="{63EA096D-B263-4ABD-8048-F1C344CC8128}"/>
    <cellStyle name="40% - Accent1 2 2 7 3" xfId="10834" xr:uid="{2589E83F-9982-43A5-BA7B-D767F3E5693E}"/>
    <cellStyle name="40% - Accent1 2 2 8" xfId="4557" xr:uid="{00000000-0005-0000-0000-0000EA030000}"/>
    <cellStyle name="40% - Accent1 2 2 8 2" xfId="12986" xr:uid="{016F4122-945E-43AF-A62D-9A147BA2EA79}"/>
    <cellStyle name="40% - Accent1 2 2 9" xfId="8768" xr:uid="{B8E035B3-3631-422A-92F1-F7C2E3CAB603}"/>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2 2 2" xfId="15547" xr:uid="{0E72E337-695A-47DF-9C86-CEE2DC339B45}"/>
    <cellStyle name="40% - Accent1 2 3 2 2 3" xfId="11329" xr:uid="{C889256B-E5FB-4B5B-942D-4482BD91250E}"/>
    <cellStyle name="40% - Accent1 2 3 2 3" xfId="4973" xr:uid="{00000000-0005-0000-0000-0000EF030000}"/>
    <cellStyle name="40% - Accent1 2 3 2 3 2" xfId="13402" xr:uid="{3FFB3AFA-BEAB-4410-9C62-6FC4A9966500}"/>
    <cellStyle name="40% - Accent1 2 3 2 4" xfId="9184" xr:uid="{E02413C7-86D5-4ACB-BB8D-D72D1E5A3C33}"/>
    <cellStyle name="40% - Accent1 2 3 3" xfId="1076" xr:uid="{00000000-0005-0000-0000-0000F0030000}"/>
    <cellStyle name="40% - Accent1 2 3 3 2" xfId="3307" xr:uid="{00000000-0005-0000-0000-0000F1030000}"/>
    <cellStyle name="40% - Accent1 2 3 3 2 2" xfId="7531" xr:uid="{00000000-0005-0000-0000-0000F2030000}"/>
    <cellStyle name="40% - Accent1 2 3 3 2 2 2" xfId="15960" xr:uid="{A132DE63-FB61-4BFC-B90B-254C36AF502B}"/>
    <cellStyle name="40% - Accent1 2 3 3 2 3" xfId="11742" xr:uid="{55CE898B-5819-4A13-8A17-499E31F4E5C3}"/>
    <cellStyle name="40% - Accent1 2 3 3 3" xfId="5386" xr:uid="{00000000-0005-0000-0000-0000F3030000}"/>
    <cellStyle name="40% - Accent1 2 3 3 3 2" xfId="13815" xr:uid="{47EF4768-0643-4CD4-BF3B-C666C7C907A4}"/>
    <cellStyle name="40% - Accent1 2 3 3 4" xfId="9597" xr:uid="{F0314AF3-C17A-418F-B001-5BE9FC97C4E9}"/>
    <cellStyle name="40% - Accent1 2 3 4" xfId="1490" xr:uid="{00000000-0005-0000-0000-0000F4030000}"/>
    <cellStyle name="40% - Accent1 2 3 4 2" xfId="3720" xr:uid="{00000000-0005-0000-0000-0000F5030000}"/>
    <cellStyle name="40% - Accent1 2 3 4 2 2" xfId="7944" xr:uid="{00000000-0005-0000-0000-0000F6030000}"/>
    <cellStyle name="40% - Accent1 2 3 4 2 2 2" xfId="16373" xr:uid="{4368B4E1-2BC4-4102-B9D6-D63BAD4E1D30}"/>
    <cellStyle name="40% - Accent1 2 3 4 2 3" xfId="12155" xr:uid="{01EB81CD-01D5-435F-B1C7-9D01CAB79A61}"/>
    <cellStyle name="40% - Accent1 2 3 4 3" xfId="5799" xr:uid="{00000000-0005-0000-0000-0000F7030000}"/>
    <cellStyle name="40% - Accent1 2 3 4 3 2" xfId="14228" xr:uid="{EDE6EF97-8A51-4E02-8794-08EBD9C76A17}"/>
    <cellStyle name="40% - Accent1 2 3 4 4" xfId="10010" xr:uid="{8E24E1E8-5832-4CD7-BACF-F41600AC8DCA}"/>
    <cellStyle name="40% - Accent1 2 3 5" xfId="1904" xr:uid="{00000000-0005-0000-0000-0000F8030000}"/>
    <cellStyle name="40% - Accent1 2 3 5 2" xfId="4133" xr:uid="{00000000-0005-0000-0000-0000F9030000}"/>
    <cellStyle name="40% - Accent1 2 3 5 2 2" xfId="8357" xr:uid="{00000000-0005-0000-0000-0000FA030000}"/>
    <cellStyle name="40% - Accent1 2 3 5 2 2 2" xfId="16786" xr:uid="{0D45BDC9-6972-4BEC-A4F9-726E9A8EB96B}"/>
    <cellStyle name="40% - Accent1 2 3 5 2 3" xfId="12568" xr:uid="{BA34B432-9A8B-46FB-BF09-DC4AB633A82B}"/>
    <cellStyle name="40% - Accent1 2 3 5 3" xfId="6212" xr:uid="{00000000-0005-0000-0000-0000FB030000}"/>
    <cellStyle name="40% - Accent1 2 3 5 3 2" xfId="14641" xr:uid="{56BEE416-2011-4661-8F8D-7E9D14905B83}"/>
    <cellStyle name="40% - Accent1 2 3 5 4" xfId="10423" xr:uid="{1F6D9D89-8411-4DA0-9691-EB0A873FF8C5}"/>
    <cellStyle name="40% - Accent1 2 3 6" xfId="2317" xr:uid="{00000000-0005-0000-0000-0000FC030000}"/>
    <cellStyle name="40% - Accent1 2 3 6 2" xfId="6625" xr:uid="{00000000-0005-0000-0000-0000FD030000}"/>
    <cellStyle name="40% - Accent1 2 3 6 2 2" xfId="15054" xr:uid="{ADC0C5FE-D7AA-49E5-B25C-CDE24C259BBD}"/>
    <cellStyle name="40% - Accent1 2 3 6 3" xfId="10836" xr:uid="{6F60CBE0-469C-4473-808F-1DA060E6CB94}"/>
    <cellStyle name="40% - Accent1 2 3 7" xfId="4559" xr:uid="{00000000-0005-0000-0000-0000FE030000}"/>
    <cellStyle name="40% - Accent1 2 3 7 2" xfId="12988" xr:uid="{8EFDFB25-928C-471E-AA53-CF4A9459FBDE}"/>
    <cellStyle name="40% - Accent1 2 3 8" xfId="8770" xr:uid="{6CB4DB97-0C54-4B05-8396-E59151E1FF53}"/>
    <cellStyle name="40% - Accent1 2 4" xfId="620" xr:uid="{00000000-0005-0000-0000-0000FF030000}"/>
    <cellStyle name="40% - Accent1 2 4 2" xfId="2891" xr:uid="{00000000-0005-0000-0000-000000040000}"/>
    <cellStyle name="40% - Accent1 2 4 2 2" xfId="7115" xr:uid="{00000000-0005-0000-0000-000001040000}"/>
    <cellStyle name="40% - Accent1 2 4 2 2 2" xfId="15544" xr:uid="{C37887A0-D455-448E-B02D-E3CA1103B3D0}"/>
    <cellStyle name="40% - Accent1 2 4 2 3" xfId="11326" xr:uid="{9D86F632-CA85-4F68-81EB-16BE1A6A20EB}"/>
    <cellStyle name="40% - Accent1 2 4 3" xfId="4970" xr:uid="{00000000-0005-0000-0000-000002040000}"/>
    <cellStyle name="40% - Accent1 2 4 3 2" xfId="13399" xr:uid="{A2DEF1D3-D2C1-45C8-AE1C-91A380D8077B}"/>
    <cellStyle name="40% - Accent1 2 4 4" xfId="9181" xr:uid="{787CF343-BD9A-4FEB-8ACF-D08FBEF1113B}"/>
    <cellStyle name="40% - Accent1 2 5" xfId="1073" xr:uid="{00000000-0005-0000-0000-000003040000}"/>
    <cellStyle name="40% - Accent1 2 5 2" xfId="3304" xr:uid="{00000000-0005-0000-0000-000004040000}"/>
    <cellStyle name="40% - Accent1 2 5 2 2" xfId="7528" xr:uid="{00000000-0005-0000-0000-000005040000}"/>
    <cellStyle name="40% - Accent1 2 5 2 2 2" xfId="15957" xr:uid="{EB85AB74-D43B-433F-B55F-0EED81012C14}"/>
    <cellStyle name="40% - Accent1 2 5 2 3" xfId="11739" xr:uid="{3B2ACEF5-4537-4547-A48B-51E187CE39BF}"/>
    <cellStyle name="40% - Accent1 2 5 3" xfId="5383" xr:uid="{00000000-0005-0000-0000-000006040000}"/>
    <cellStyle name="40% - Accent1 2 5 3 2" xfId="13812" xr:uid="{1E2DE85D-313F-4F2A-8A4C-A7DD7600C5BE}"/>
    <cellStyle name="40% - Accent1 2 5 4" xfId="9594" xr:uid="{E7934DE8-98FA-487C-AE3C-01834CEDDB42}"/>
    <cellStyle name="40% - Accent1 2 6" xfId="1487" xr:uid="{00000000-0005-0000-0000-000007040000}"/>
    <cellStyle name="40% - Accent1 2 6 2" xfId="3717" xr:uid="{00000000-0005-0000-0000-000008040000}"/>
    <cellStyle name="40% - Accent1 2 6 2 2" xfId="7941" xr:uid="{00000000-0005-0000-0000-000009040000}"/>
    <cellStyle name="40% - Accent1 2 6 2 2 2" xfId="16370" xr:uid="{E4F10E20-01BA-44BD-ADD8-22FC6134E7B2}"/>
    <cellStyle name="40% - Accent1 2 6 2 3" xfId="12152" xr:uid="{0B371C77-6C1E-40A5-A7E6-03A02C4834EC}"/>
    <cellStyle name="40% - Accent1 2 6 3" xfId="5796" xr:uid="{00000000-0005-0000-0000-00000A040000}"/>
    <cellStyle name="40% - Accent1 2 6 3 2" xfId="14225" xr:uid="{97351BDD-27B7-452A-BE6E-8E998DCA4801}"/>
    <cellStyle name="40% - Accent1 2 6 4" xfId="10007" xr:uid="{A572FF97-203C-4EE7-98F1-8E18FBEB078A}"/>
    <cellStyle name="40% - Accent1 2 7" xfId="1901" xr:uid="{00000000-0005-0000-0000-00000B040000}"/>
    <cellStyle name="40% - Accent1 2 7 2" xfId="4130" xr:uid="{00000000-0005-0000-0000-00000C040000}"/>
    <cellStyle name="40% - Accent1 2 7 2 2" xfId="8354" xr:uid="{00000000-0005-0000-0000-00000D040000}"/>
    <cellStyle name="40% - Accent1 2 7 2 2 2" xfId="16783" xr:uid="{5B444146-66C9-4C7A-B15D-3E1648CCD5CA}"/>
    <cellStyle name="40% - Accent1 2 7 2 3" xfId="12565" xr:uid="{548EEB5A-BC9D-44C0-8421-37BD26A007E5}"/>
    <cellStyle name="40% - Accent1 2 7 3" xfId="6209" xr:uid="{00000000-0005-0000-0000-00000E040000}"/>
    <cellStyle name="40% - Accent1 2 7 3 2" xfId="14638" xr:uid="{03D2C3DB-DA97-4544-9A16-C8F1FAAEAEB9}"/>
    <cellStyle name="40% - Accent1 2 7 4" xfId="10420" xr:uid="{BE7F08F9-D1EC-486C-A17F-1755F2EB01E6}"/>
    <cellStyle name="40% - Accent1 2 8" xfId="2314" xr:uid="{00000000-0005-0000-0000-00000F040000}"/>
    <cellStyle name="40% - Accent1 2 8 2" xfId="6622" xr:uid="{00000000-0005-0000-0000-000010040000}"/>
    <cellStyle name="40% - Accent1 2 8 2 2" xfId="15051" xr:uid="{4CAA78EF-EB41-449E-968F-2D69EEEC69FA}"/>
    <cellStyle name="40% - Accent1 2 8 3" xfId="10833" xr:uid="{FC2A17F3-63E7-4B70-BB22-E913BB327362}"/>
    <cellStyle name="40% - Accent1 2 9" xfId="4556" xr:uid="{00000000-0005-0000-0000-000011040000}"/>
    <cellStyle name="40% - Accent1 2 9 2" xfId="12985" xr:uid="{B2324FC9-89B0-458A-B9E1-DD00748A4C0B}"/>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2 2 2" xfId="15549" xr:uid="{B04A9570-2B3F-4C70-9D9C-AE13A83B450E}"/>
    <cellStyle name="40% - Accent1 3 2 2 2 3" xfId="11331" xr:uid="{242AE03D-D6C6-4F9B-8FE4-C22B2986382D}"/>
    <cellStyle name="40% - Accent1 3 2 2 3" xfId="4975" xr:uid="{00000000-0005-0000-0000-000017040000}"/>
    <cellStyle name="40% - Accent1 3 2 2 3 2" xfId="13404" xr:uid="{3ECC22C6-D275-48E7-83D2-01806C63EF31}"/>
    <cellStyle name="40% - Accent1 3 2 2 4" xfId="9186" xr:uid="{232D0F22-6D0D-428C-8BAC-39B099D0AFC3}"/>
    <cellStyle name="40% - Accent1 3 2 3" xfId="1078" xr:uid="{00000000-0005-0000-0000-000018040000}"/>
    <cellStyle name="40% - Accent1 3 2 3 2" xfId="3309" xr:uid="{00000000-0005-0000-0000-000019040000}"/>
    <cellStyle name="40% - Accent1 3 2 3 2 2" xfId="7533" xr:uid="{00000000-0005-0000-0000-00001A040000}"/>
    <cellStyle name="40% - Accent1 3 2 3 2 2 2" xfId="15962" xr:uid="{34457DDF-646D-4B55-8798-FA636D207373}"/>
    <cellStyle name="40% - Accent1 3 2 3 2 3" xfId="11744" xr:uid="{AD9A4636-4DF4-4282-8255-67CA1FCCF30C}"/>
    <cellStyle name="40% - Accent1 3 2 3 3" xfId="5388" xr:uid="{00000000-0005-0000-0000-00001B040000}"/>
    <cellStyle name="40% - Accent1 3 2 3 3 2" xfId="13817" xr:uid="{CEF5D82B-5936-4DBA-BC04-27785033FE31}"/>
    <cellStyle name="40% - Accent1 3 2 3 4" xfId="9599" xr:uid="{F38EF3B2-9AE9-4FEF-8C45-1893E840893C}"/>
    <cellStyle name="40% - Accent1 3 2 4" xfId="1492" xr:uid="{00000000-0005-0000-0000-00001C040000}"/>
    <cellStyle name="40% - Accent1 3 2 4 2" xfId="3722" xr:uid="{00000000-0005-0000-0000-00001D040000}"/>
    <cellStyle name="40% - Accent1 3 2 4 2 2" xfId="7946" xr:uid="{00000000-0005-0000-0000-00001E040000}"/>
    <cellStyle name="40% - Accent1 3 2 4 2 2 2" xfId="16375" xr:uid="{C7BF9998-CA22-4A6C-A7A7-7FEEE8239287}"/>
    <cellStyle name="40% - Accent1 3 2 4 2 3" xfId="12157" xr:uid="{2D09A56B-3844-414A-B969-CFEB684DDC51}"/>
    <cellStyle name="40% - Accent1 3 2 4 3" xfId="5801" xr:uid="{00000000-0005-0000-0000-00001F040000}"/>
    <cellStyle name="40% - Accent1 3 2 4 3 2" xfId="14230" xr:uid="{D51A131A-059E-4460-9EBA-B916A2BA1298}"/>
    <cellStyle name="40% - Accent1 3 2 4 4" xfId="10012" xr:uid="{ACF0EF72-0FA9-47A9-9C78-B15F7F3E2CDD}"/>
    <cellStyle name="40% - Accent1 3 2 5" xfId="1906" xr:uid="{00000000-0005-0000-0000-000020040000}"/>
    <cellStyle name="40% - Accent1 3 2 5 2" xfId="4135" xr:uid="{00000000-0005-0000-0000-000021040000}"/>
    <cellStyle name="40% - Accent1 3 2 5 2 2" xfId="8359" xr:uid="{00000000-0005-0000-0000-000022040000}"/>
    <cellStyle name="40% - Accent1 3 2 5 2 2 2" xfId="16788" xr:uid="{8ADD1B85-6392-4B59-9D5F-A20D1BF28A43}"/>
    <cellStyle name="40% - Accent1 3 2 5 2 3" xfId="12570" xr:uid="{19C9FB31-2510-4E94-BAC7-E40D1E01FD97}"/>
    <cellStyle name="40% - Accent1 3 2 5 3" xfId="6214" xr:uid="{00000000-0005-0000-0000-000023040000}"/>
    <cellStyle name="40% - Accent1 3 2 5 3 2" xfId="14643" xr:uid="{001A7036-6903-4029-90E4-403C39BD51E9}"/>
    <cellStyle name="40% - Accent1 3 2 5 4" xfId="10425" xr:uid="{BA4CF710-74E7-423F-A84D-957C110A83D3}"/>
    <cellStyle name="40% - Accent1 3 2 6" xfId="2319" xr:uid="{00000000-0005-0000-0000-000024040000}"/>
    <cellStyle name="40% - Accent1 3 2 6 2" xfId="6627" xr:uid="{00000000-0005-0000-0000-000025040000}"/>
    <cellStyle name="40% - Accent1 3 2 6 2 2" xfId="15056" xr:uid="{E174F606-0BC1-4B09-95F2-DDA4B4315EF6}"/>
    <cellStyle name="40% - Accent1 3 2 6 3" xfId="10838" xr:uid="{C317BF14-97A4-4CE3-8D53-D83462507629}"/>
    <cellStyle name="40% - Accent1 3 2 7" xfId="4561" xr:uid="{00000000-0005-0000-0000-000026040000}"/>
    <cellStyle name="40% - Accent1 3 2 7 2" xfId="12990" xr:uid="{133F9260-D4DE-4899-A30D-F86374F74778}"/>
    <cellStyle name="40% - Accent1 3 2 8" xfId="8772" xr:uid="{98F7F8D2-5E75-48AF-AFFA-A175CBF4EEAA}"/>
    <cellStyle name="40% - Accent1 3 3" xfId="624" xr:uid="{00000000-0005-0000-0000-000027040000}"/>
    <cellStyle name="40% - Accent1 3 3 2" xfId="2895" xr:uid="{00000000-0005-0000-0000-000028040000}"/>
    <cellStyle name="40% - Accent1 3 3 2 2" xfId="7119" xr:uid="{00000000-0005-0000-0000-000029040000}"/>
    <cellStyle name="40% - Accent1 3 3 2 2 2" xfId="15548" xr:uid="{5925B0F5-D536-4C1C-8514-408BFB12066D}"/>
    <cellStyle name="40% - Accent1 3 3 2 3" xfId="11330" xr:uid="{0CBF719C-F12A-4814-BF91-A581FAD4A634}"/>
    <cellStyle name="40% - Accent1 3 3 3" xfId="4974" xr:uid="{00000000-0005-0000-0000-00002A040000}"/>
    <cellStyle name="40% - Accent1 3 3 3 2" xfId="13403" xr:uid="{30474182-9634-4726-A88A-99C512CF6F62}"/>
    <cellStyle name="40% - Accent1 3 3 4" xfId="9185" xr:uid="{0DE6180B-F012-43AB-9968-627D6CDED022}"/>
    <cellStyle name="40% - Accent1 3 4" xfId="1077" xr:uid="{00000000-0005-0000-0000-00002B040000}"/>
    <cellStyle name="40% - Accent1 3 4 2" xfId="3308" xr:uid="{00000000-0005-0000-0000-00002C040000}"/>
    <cellStyle name="40% - Accent1 3 4 2 2" xfId="7532" xr:uid="{00000000-0005-0000-0000-00002D040000}"/>
    <cellStyle name="40% - Accent1 3 4 2 2 2" xfId="15961" xr:uid="{CC6CDDFB-251E-44A2-94C7-107019AFC8EA}"/>
    <cellStyle name="40% - Accent1 3 4 2 3" xfId="11743" xr:uid="{5DAEC410-AA01-4015-9B4D-9453E96A0F46}"/>
    <cellStyle name="40% - Accent1 3 4 3" xfId="5387" xr:uid="{00000000-0005-0000-0000-00002E040000}"/>
    <cellStyle name="40% - Accent1 3 4 3 2" xfId="13816" xr:uid="{C017A837-BC9D-41E1-8148-FA6F20DF5FB5}"/>
    <cellStyle name="40% - Accent1 3 4 4" xfId="9598" xr:uid="{619C906D-C088-4B12-974A-4DE4B8A4422A}"/>
    <cellStyle name="40% - Accent1 3 5" xfId="1491" xr:uid="{00000000-0005-0000-0000-00002F040000}"/>
    <cellStyle name="40% - Accent1 3 5 2" xfId="3721" xr:uid="{00000000-0005-0000-0000-000030040000}"/>
    <cellStyle name="40% - Accent1 3 5 2 2" xfId="7945" xr:uid="{00000000-0005-0000-0000-000031040000}"/>
    <cellStyle name="40% - Accent1 3 5 2 2 2" xfId="16374" xr:uid="{15412BCE-78F5-478C-BFA6-DA40AFEAA078}"/>
    <cellStyle name="40% - Accent1 3 5 2 3" xfId="12156" xr:uid="{B3D15C44-FF2B-4388-A324-8C3D29151DCE}"/>
    <cellStyle name="40% - Accent1 3 5 3" xfId="5800" xr:uid="{00000000-0005-0000-0000-000032040000}"/>
    <cellStyle name="40% - Accent1 3 5 3 2" xfId="14229" xr:uid="{4F415B9F-22A1-46FA-A758-0D026A929CC4}"/>
    <cellStyle name="40% - Accent1 3 5 4" xfId="10011" xr:uid="{54E172D3-F036-482A-B423-26F99A763DC1}"/>
    <cellStyle name="40% - Accent1 3 6" xfId="1905" xr:uid="{00000000-0005-0000-0000-000033040000}"/>
    <cellStyle name="40% - Accent1 3 6 2" xfId="4134" xr:uid="{00000000-0005-0000-0000-000034040000}"/>
    <cellStyle name="40% - Accent1 3 6 2 2" xfId="8358" xr:uid="{00000000-0005-0000-0000-000035040000}"/>
    <cellStyle name="40% - Accent1 3 6 2 2 2" xfId="16787" xr:uid="{71D8B778-FC12-4F26-9B64-78FD06A0D21E}"/>
    <cellStyle name="40% - Accent1 3 6 2 3" xfId="12569" xr:uid="{E8305CD5-B0EF-4726-9AC5-5648BAC877AE}"/>
    <cellStyle name="40% - Accent1 3 6 3" xfId="6213" xr:uid="{00000000-0005-0000-0000-000036040000}"/>
    <cellStyle name="40% - Accent1 3 6 3 2" xfId="14642" xr:uid="{907A3631-E709-41D1-88FD-588D8EA2E869}"/>
    <cellStyle name="40% - Accent1 3 6 4" xfId="10424" xr:uid="{862C80B2-FD02-4A65-8F66-CEBBBE1E1810}"/>
    <cellStyle name="40% - Accent1 3 7" xfId="2318" xr:uid="{00000000-0005-0000-0000-000037040000}"/>
    <cellStyle name="40% - Accent1 3 7 2" xfId="6626" xr:uid="{00000000-0005-0000-0000-000038040000}"/>
    <cellStyle name="40% - Accent1 3 7 2 2" xfId="15055" xr:uid="{2EC2D3F7-0578-48FD-A093-FD897CC92F92}"/>
    <cellStyle name="40% - Accent1 3 7 3" xfId="10837" xr:uid="{A24632F3-0B6A-4720-B5C7-2C9854A1605A}"/>
    <cellStyle name="40% - Accent1 3 8" xfId="4560" xr:uid="{00000000-0005-0000-0000-000039040000}"/>
    <cellStyle name="40% - Accent1 3 8 2" xfId="12989" xr:uid="{3E78E191-0481-4128-AA3B-4D49CD1BA0EA}"/>
    <cellStyle name="40% - Accent1 3 9" xfId="8771" xr:uid="{357D4F5E-0DFA-4843-BE58-C57680FE6F0E}"/>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2 2 2" xfId="15550" xr:uid="{F16AF937-D6B5-4426-A053-F92CEB814EB3}"/>
    <cellStyle name="40% - Accent1 4 2 2 3" xfId="11332" xr:uid="{67430B78-26B7-4A57-8BD0-3D2755DCA63C}"/>
    <cellStyle name="40% - Accent1 4 2 3" xfId="4976" xr:uid="{00000000-0005-0000-0000-00003E040000}"/>
    <cellStyle name="40% - Accent1 4 2 3 2" xfId="13405" xr:uid="{FA5B50B2-B776-4FF2-9F08-FE49F34FFC15}"/>
    <cellStyle name="40% - Accent1 4 2 4" xfId="9187" xr:uid="{2E6D2840-7059-444E-B353-5B573640E8D7}"/>
    <cellStyle name="40% - Accent1 4 3" xfId="1079" xr:uid="{00000000-0005-0000-0000-00003F040000}"/>
    <cellStyle name="40% - Accent1 4 3 2" xfId="3310" xr:uid="{00000000-0005-0000-0000-000040040000}"/>
    <cellStyle name="40% - Accent1 4 3 2 2" xfId="7534" xr:uid="{00000000-0005-0000-0000-000041040000}"/>
    <cellStyle name="40% - Accent1 4 3 2 2 2" xfId="15963" xr:uid="{753F76F5-7520-4869-9640-F0AB22F5D760}"/>
    <cellStyle name="40% - Accent1 4 3 2 3" xfId="11745" xr:uid="{FB1EA403-32AA-4197-BF5D-E947A704F642}"/>
    <cellStyle name="40% - Accent1 4 3 3" xfId="5389" xr:uid="{00000000-0005-0000-0000-000042040000}"/>
    <cellStyle name="40% - Accent1 4 3 3 2" xfId="13818" xr:uid="{A5BEBCA8-D19C-41C1-B82D-7E967AF805DE}"/>
    <cellStyle name="40% - Accent1 4 3 4" xfId="9600" xr:uid="{9A8DE9F4-7448-456A-86FD-2B86E8539E98}"/>
    <cellStyle name="40% - Accent1 4 4" xfId="1493" xr:uid="{00000000-0005-0000-0000-000043040000}"/>
    <cellStyle name="40% - Accent1 4 4 2" xfId="3723" xr:uid="{00000000-0005-0000-0000-000044040000}"/>
    <cellStyle name="40% - Accent1 4 4 2 2" xfId="7947" xr:uid="{00000000-0005-0000-0000-000045040000}"/>
    <cellStyle name="40% - Accent1 4 4 2 2 2" xfId="16376" xr:uid="{E9AA31E9-1C64-4DFA-9653-DF2321814EA9}"/>
    <cellStyle name="40% - Accent1 4 4 2 3" xfId="12158" xr:uid="{C26289C0-1B35-48B4-85ED-9908E0BD1CDC}"/>
    <cellStyle name="40% - Accent1 4 4 3" xfId="5802" xr:uid="{00000000-0005-0000-0000-000046040000}"/>
    <cellStyle name="40% - Accent1 4 4 3 2" xfId="14231" xr:uid="{DFFA69EE-5369-437F-A5AE-F68B1EA7EB00}"/>
    <cellStyle name="40% - Accent1 4 4 4" xfId="10013" xr:uid="{C00C38B6-633E-42B3-AC26-5534986DF2B7}"/>
    <cellStyle name="40% - Accent1 4 5" xfId="1907" xr:uid="{00000000-0005-0000-0000-000047040000}"/>
    <cellStyle name="40% - Accent1 4 5 2" xfId="4136" xr:uid="{00000000-0005-0000-0000-000048040000}"/>
    <cellStyle name="40% - Accent1 4 5 2 2" xfId="8360" xr:uid="{00000000-0005-0000-0000-000049040000}"/>
    <cellStyle name="40% - Accent1 4 5 2 2 2" xfId="16789" xr:uid="{F0FD2D77-C38A-4EBB-AAA1-E44ABBEFF458}"/>
    <cellStyle name="40% - Accent1 4 5 2 3" xfId="12571" xr:uid="{F808A16A-59BE-4B3E-93F1-5B64C05546D6}"/>
    <cellStyle name="40% - Accent1 4 5 3" xfId="6215" xr:uid="{00000000-0005-0000-0000-00004A040000}"/>
    <cellStyle name="40% - Accent1 4 5 3 2" xfId="14644" xr:uid="{A8F22961-5A02-45EA-BAC1-3BE594823D1A}"/>
    <cellStyle name="40% - Accent1 4 5 4" xfId="10426" xr:uid="{F16EABC6-0E7E-4F52-A1C1-15BE0168FCF4}"/>
    <cellStyle name="40% - Accent1 4 6" xfId="2320" xr:uid="{00000000-0005-0000-0000-00004B040000}"/>
    <cellStyle name="40% - Accent1 4 6 2" xfId="6628" xr:uid="{00000000-0005-0000-0000-00004C040000}"/>
    <cellStyle name="40% - Accent1 4 6 2 2" xfId="15057" xr:uid="{D5DB2738-8817-4A62-A651-CA96B16DAE3C}"/>
    <cellStyle name="40% - Accent1 4 6 3" xfId="10839" xr:uid="{3296BF18-FAB0-45C8-A36D-ACB004A6AFDB}"/>
    <cellStyle name="40% - Accent1 4 7" xfId="4562" xr:uid="{00000000-0005-0000-0000-00004D040000}"/>
    <cellStyle name="40% - Accent1 4 7 2" xfId="12991" xr:uid="{9F510C9C-C54C-4099-B830-274DF3F2E5A9}"/>
    <cellStyle name="40% - Accent1 4 8" xfId="8773" xr:uid="{AC6DAA5A-3778-4D9D-A6F0-D29B506FA448}"/>
    <cellStyle name="40% - Accent1 5" xfId="619" xr:uid="{00000000-0005-0000-0000-00004E040000}"/>
    <cellStyle name="40% - Accent1 5 2" xfId="2890" xr:uid="{00000000-0005-0000-0000-00004F040000}"/>
    <cellStyle name="40% - Accent1 5 2 2" xfId="7114" xr:uid="{00000000-0005-0000-0000-000050040000}"/>
    <cellStyle name="40% - Accent1 5 2 2 2" xfId="15543" xr:uid="{F4B080CB-F7A3-4A9E-BD5B-6F2935C6A634}"/>
    <cellStyle name="40% - Accent1 5 2 3" xfId="11325" xr:uid="{1FCB66CD-75A0-47AC-8326-954B9A7471B5}"/>
    <cellStyle name="40% - Accent1 5 3" xfId="4969" xr:uid="{00000000-0005-0000-0000-000051040000}"/>
    <cellStyle name="40% - Accent1 5 3 2" xfId="13398" xr:uid="{1C70D08C-F90F-49A8-8DCE-8DCF626650A3}"/>
    <cellStyle name="40% - Accent1 5 4" xfId="9180" xr:uid="{A4CBD17B-5A63-4F73-B921-52434E9F02FE}"/>
    <cellStyle name="40% - Accent1 6" xfId="1072" xr:uid="{00000000-0005-0000-0000-000052040000}"/>
    <cellStyle name="40% - Accent1 6 2" xfId="3303" xr:uid="{00000000-0005-0000-0000-000053040000}"/>
    <cellStyle name="40% - Accent1 6 2 2" xfId="7527" xr:uid="{00000000-0005-0000-0000-000054040000}"/>
    <cellStyle name="40% - Accent1 6 2 2 2" xfId="15956" xr:uid="{6AE72F67-27CE-4B54-B2F3-9109009B545C}"/>
    <cellStyle name="40% - Accent1 6 2 3" xfId="11738" xr:uid="{A661CD97-DE92-4F51-AED5-AC51575F585C}"/>
    <cellStyle name="40% - Accent1 6 3" xfId="5382" xr:uid="{00000000-0005-0000-0000-000055040000}"/>
    <cellStyle name="40% - Accent1 6 3 2" xfId="13811" xr:uid="{C636394D-069B-465C-8AE1-C26D75BEDB7A}"/>
    <cellStyle name="40% - Accent1 6 4" xfId="9593" xr:uid="{C82A8E07-7587-4C62-92B8-A3E1A65A8711}"/>
    <cellStyle name="40% - Accent1 7" xfId="1486" xr:uid="{00000000-0005-0000-0000-000056040000}"/>
    <cellStyle name="40% - Accent1 7 2" xfId="3716" xr:uid="{00000000-0005-0000-0000-000057040000}"/>
    <cellStyle name="40% - Accent1 7 2 2" xfId="7940" xr:uid="{00000000-0005-0000-0000-000058040000}"/>
    <cellStyle name="40% - Accent1 7 2 2 2" xfId="16369" xr:uid="{C0041538-3918-4A80-8028-CB76949DEBE5}"/>
    <cellStyle name="40% - Accent1 7 2 3" xfId="12151" xr:uid="{7751C8EB-8F7F-4825-884F-9D86E8E35603}"/>
    <cellStyle name="40% - Accent1 7 3" xfId="5795" xr:uid="{00000000-0005-0000-0000-000059040000}"/>
    <cellStyle name="40% - Accent1 7 3 2" xfId="14224" xr:uid="{33B06820-7A3B-4382-BA0B-A8D9E42804D5}"/>
    <cellStyle name="40% - Accent1 7 4" xfId="10006" xr:uid="{CD651610-BAC7-4A5F-94C4-9CED8351E3E8}"/>
    <cellStyle name="40% - Accent1 8" xfId="1900" xr:uid="{00000000-0005-0000-0000-00005A040000}"/>
    <cellStyle name="40% - Accent1 8 2" xfId="4129" xr:uid="{00000000-0005-0000-0000-00005B040000}"/>
    <cellStyle name="40% - Accent1 8 2 2" xfId="8353" xr:uid="{00000000-0005-0000-0000-00005C040000}"/>
    <cellStyle name="40% - Accent1 8 2 2 2" xfId="16782" xr:uid="{F2B98D28-4CEB-4E5E-82DA-EC12F6BE339D}"/>
    <cellStyle name="40% - Accent1 8 2 3" xfId="12564" xr:uid="{5518BB46-DBFE-47C7-A62D-985CD3380387}"/>
    <cellStyle name="40% - Accent1 8 3" xfId="6208" xr:uid="{00000000-0005-0000-0000-00005D040000}"/>
    <cellStyle name="40% - Accent1 8 3 2" xfId="14637" xr:uid="{3491F6D9-1BF7-4A2B-A8F6-2415DF86C3F7}"/>
    <cellStyle name="40% - Accent1 8 4" xfId="10419" xr:uid="{B5D95342-C3E4-4C64-B8E6-0A0B11170F24}"/>
    <cellStyle name="40% - Accent1 9" xfId="2313" xr:uid="{00000000-0005-0000-0000-00005E040000}"/>
    <cellStyle name="40% - Accent1 9 2" xfId="6621" xr:uid="{00000000-0005-0000-0000-00005F040000}"/>
    <cellStyle name="40% - Accent1 9 2 2" xfId="15050" xr:uid="{7D46A154-4E68-4F6F-A072-8389F5BCB112}"/>
    <cellStyle name="40% - Accent1 9 3" xfId="10832" xr:uid="{0E3C231D-E8CE-4935-965E-E55E24187C3F}"/>
    <cellStyle name="40% - Accent2" xfId="57" builtinId="35" customBuiltin="1"/>
    <cellStyle name="40% - Accent2 10" xfId="4563" xr:uid="{00000000-0005-0000-0000-000061040000}"/>
    <cellStyle name="40% - Accent2 10 2" xfId="12992" xr:uid="{6A27C735-E9EF-4D31-A903-8B9B6706717B}"/>
    <cellStyle name="40% - Accent2 11" xfId="8774" xr:uid="{B77F7609-20EA-4E31-9128-5F456DA5223D}"/>
    <cellStyle name="40% - Accent2 2" xfId="58" xr:uid="{00000000-0005-0000-0000-000062040000}"/>
    <cellStyle name="40% - Accent2 2 10" xfId="8775" xr:uid="{84D0B442-643D-4315-A481-60A61EA68B5D}"/>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2 2 2" xfId="15554" xr:uid="{830DF114-54BB-497D-90B8-B443BB53DE05}"/>
    <cellStyle name="40% - Accent2 2 2 2 2 2 3" xfId="11336" xr:uid="{4A2B8D05-FEF5-48F1-A46E-1B06DEFAAA74}"/>
    <cellStyle name="40% - Accent2 2 2 2 2 3" xfId="4980" xr:uid="{00000000-0005-0000-0000-000068040000}"/>
    <cellStyle name="40% - Accent2 2 2 2 2 3 2" xfId="13409" xr:uid="{39148F5E-1EEF-4719-B913-FF5C1BC8C856}"/>
    <cellStyle name="40% - Accent2 2 2 2 2 4" xfId="9191" xr:uid="{3E16C640-4B4F-4C25-8D6D-C1A09ACB4BBB}"/>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2 2 2" xfId="15967" xr:uid="{D5437363-DF5F-464E-8885-83EA66D31EA0}"/>
    <cellStyle name="40% - Accent2 2 2 2 3 2 3" xfId="11749" xr:uid="{F7E6AECF-3C9D-4D9E-8ECA-5A8B3865EA77}"/>
    <cellStyle name="40% - Accent2 2 2 2 3 3" xfId="5393" xr:uid="{00000000-0005-0000-0000-00006C040000}"/>
    <cellStyle name="40% - Accent2 2 2 2 3 3 2" xfId="13822" xr:uid="{F8DF53DC-09B0-407E-A4EE-2F148C784E78}"/>
    <cellStyle name="40% - Accent2 2 2 2 3 4" xfId="9604" xr:uid="{40345C92-DCCF-451C-B64D-A694550E114D}"/>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2 2 2" xfId="16380" xr:uid="{5A6789F9-B181-4565-B9BE-47C9FC76F472}"/>
    <cellStyle name="40% - Accent2 2 2 2 4 2 3" xfId="12162" xr:uid="{0AD94A60-8BE6-4DDA-85B4-EC1B1512411C}"/>
    <cellStyle name="40% - Accent2 2 2 2 4 3" xfId="5806" xr:uid="{00000000-0005-0000-0000-000070040000}"/>
    <cellStyle name="40% - Accent2 2 2 2 4 3 2" xfId="14235" xr:uid="{A93B82C1-9589-4D49-A5DA-991728055902}"/>
    <cellStyle name="40% - Accent2 2 2 2 4 4" xfId="10017" xr:uid="{8C8F46D7-A3C8-4708-BAC5-931835880A0E}"/>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2 2 2" xfId="16793" xr:uid="{685C54FB-D4C1-4759-BC28-28232DBC70A1}"/>
    <cellStyle name="40% - Accent2 2 2 2 5 2 3" xfId="12575" xr:uid="{8593ACCA-F17E-4C30-8188-CE7289580406}"/>
    <cellStyle name="40% - Accent2 2 2 2 5 3" xfId="6219" xr:uid="{00000000-0005-0000-0000-000074040000}"/>
    <cellStyle name="40% - Accent2 2 2 2 5 3 2" xfId="14648" xr:uid="{DAF8686F-877A-4EA2-BDEB-98CB04C869D4}"/>
    <cellStyle name="40% - Accent2 2 2 2 5 4" xfId="10430" xr:uid="{321F486A-611B-41DB-A671-3AE2E3520E3D}"/>
    <cellStyle name="40% - Accent2 2 2 2 6" xfId="2324" xr:uid="{00000000-0005-0000-0000-000075040000}"/>
    <cellStyle name="40% - Accent2 2 2 2 6 2" xfId="6632" xr:uid="{00000000-0005-0000-0000-000076040000}"/>
    <cellStyle name="40% - Accent2 2 2 2 6 2 2" xfId="15061" xr:uid="{3CD35B10-B063-49E9-8BED-65A940552A1F}"/>
    <cellStyle name="40% - Accent2 2 2 2 6 3" xfId="10843" xr:uid="{4F791447-0B20-4195-8DF6-2A9DE5B97E8B}"/>
    <cellStyle name="40% - Accent2 2 2 2 7" xfId="4566" xr:uid="{00000000-0005-0000-0000-000077040000}"/>
    <cellStyle name="40% - Accent2 2 2 2 7 2" xfId="12995" xr:uid="{16E4D4B3-D0CB-4D04-8705-477001C95774}"/>
    <cellStyle name="40% - Accent2 2 2 2 8" xfId="8777" xr:uid="{3DEA51E5-1700-4F24-A129-0D4FC2148BBA}"/>
    <cellStyle name="40% - Accent2 2 2 3" xfId="629" xr:uid="{00000000-0005-0000-0000-000078040000}"/>
    <cellStyle name="40% - Accent2 2 2 3 2" xfId="2900" xr:uid="{00000000-0005-0000-0000-000079040000}"/>
    <cellStyle name="40% - Accent2 2 2 3 2 2" xfId="7124" xr:uid="{00000000-0005-0000-0000-00007A040000}"/>
    <cellStyle name="40% - Accent2 2 2 3 2 2 2" xfId="15553" xr:uid="{D7C3AC99-07A0-4BC1-BCCB-C705F093BB92}"/>
    <cellStyle name="40% - Accent2 2 2 3 2 3" xfId="11335" xr:uid="{92213023-7919-4D49-93B6-DFA53E21A6FC}"/>
    <cellStyle name="40% - Accent2 2 2 3 3" xfId="4979" xr:uid="{00000000-0005-0000-0000-00007B040000}"/>
    <cellStyle name="40% - Accent2 2 2 3 3 2" xfId="13408" xr:uid="{3C7490A3-564D-435E-81AB-8FEAFD61E42D}"/>
    <cellStyle name="40% - Accent2 2 2 3 4" xfId="9190" xr:uid="{7C791476-B7B3-444F-B05D-42E380A0AB24}"/>
    <cellStyle name="40% - Accent2 2 2 4" xfId="1082" xr:uid="{00000000-0005-0000-0000-00007C040000}"/>
    <cellStyle name="40% - Accent2 2 2 4 2" xfId="3313" xr:uid="{00000000-0005-0000-0000-00007D040000}"/>
    <cellStyle name="40% - Accent2 2 2 4 2 2" xfId="7537" xr:uid="{00000000-0005-0000-0000-00007E040000}"/>
    <cellStyle name="40% - Accent2 2 2 4 2 2 2" xfId="15966" xr:uid="{20914430-F580-4A8B-940A-E11D38B4B9FC}"/>
    <cellStyle name="40% - Accent2 2 2 4 2 3" xfId="11748" xr:uid="{D65A8BB1-2681-4F25-BFE2-EFBF596A57BB}"/>
    <cellStyle name="40% - Accent2 2 2 4 3" xfId="5392" xr:uid="{00000000-0005-0000-0000-00007F040000}"/>
    <cellStyle name="40% - Accent2 2 2 4 3 2" xfId="13821" xr:uid="{2A558C57-6B00-4026-B653-68B2EC2164CB}"/>
    <cellStyle name="40% - Accent2 2 2 4 4" xfId="9603" xr:uid="{C23B99A6-F47F-4050-8D15-E2EC3565C400}"/>
    <cellStyle name="40% - Accent2 2 2 5" xfId="1496" xr:uid="{00000000-0005-0000-0000-000080040000}"/>
    <cellStyle name="40% - Accent2 2 2 5 2" xfId="3726" xr:uid="{00000000-0005-0000-0000-000081040000}"/>
    <cellStyle name="40% - Accent2 2 2 5 2 2" xfId="7950" xr:uid="{00000000-0005-0000-0000-000082040000}"/>
    <cellStyle name="40% - Accent2 2 2 5 2 2 2" xfId="16379" xr:uid="{F3C0701E-015D-43EF-BF8F-6F279D45120D}"/>
    <cellStyle name="40% - Accent2 2 2 5 2 3" xfId="12161" xr:uid="{7E879FF5-B6B5-47C0-8023-A6BB8450573F}"/>
    <cellStyle name="40% - Accent2 2 2 5 3" xfId="5805" xr:uid="{00000000-0005-0000-0000-000083040000}"/>
    <cellStyle name="40% - Accent2 2 2 5 3 2" xfId="14234" xr:uid="{B4E9DB68-028D-45AF-8457-F3F12E7AA342}"/>
    <cellStyle name="40% - Accent2 2 2 5 4" xfId="10016" xr:uid="{FE3EE957-ADAC-47D0-9815-3C740F038366}"/>
    <cellStyle name="40% - Accent2 2 2 6" xfId="1910" xr:uid="{00000000-0005-0000-0000-000084040000}"/>
    <cellStyle name="40% - Accent2 2 2 6 2" xfId="4139" xr:uid="{00000000-0005-0000-0000-000085040000}"/>
    <cellStyle name="40% - Accent2 2 2 6 2 2" xfId="8363" xr:uid="{00000000-0005-0000-0000-000086040000}"/>
    <cellStyle name="40% - Accent2 2 2 6 2 2 2" xfId="16792" xr:uid="{2E16E9D9-FF6C-4027-9FC3-A2318166127A}"/>
    <cellStyle name="40% - Accent2 2 2 6 2 3" xfId="12574" xr:uid="{B69FE00D-4C77-435A-B184-B3948DA75CAD}"/>
    <cellStyle name="40% - Accent2 2 2 6 3" xfId="6218" xr:uid="{00000000-0005-0000-0000-000087040000}"/>
    <cellStyle name="40% - Accent2 2 2 6 3 2" xfId="14647" xr:uid="{A3A2EC52-7205-4F1B-A99C-B418919E9152}"/>
    <cellStyle name="40% - Accent2 2 2 6 4" xfId="10429" xr:uid="{00928A55-E7A9-4F7C-977C-EA543EE7A3BB}"/>
    <cellStyle name="40% - Accent2 2 2 7" xfId="2323" xr:uid="{00000000-0005-0000-0000-000088040000}"/>
    <cellStyle name="40% - Accent2 2 2 7 2" xfId="6631" xr:uid="{00000000-0005-0000-0000-000089040000}"/>
    <cellStyle name="40% - Accent2 2 2 7 2 2" xfId="15060" xr:uid="{8B11DCF3-7CED-4F0E-B25A-4C5520C88BB9}"/>
    <cellStyle name="40% - Accent2 2 2 7 3" xfId="10842" xr:uid="{2DA4E466-555B-4107-94F0-75C75D0A7573}"/>
    <cellStyle name="40% - Accent2 2 2 8" xfId="4565" xr:uid="{00000000-0005-0000-0000-00008A040000}"/>
    <cellStyle name="40% - Accent2 2 2 8 2" xfId="12994" xr:uid="{7466CD81-CFFC-4E93-B543-63B05129A023}"/>
    <cellStyle name="40% - Accent2 2 2 9" xfId="8776" xr:uid="{262F9434-4962-4A30-A3C5-C538E3728B9B}"/>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2 2 2" xfId="15555" xr:uid="{60E7DBA1-FD41-4789-8A08-EFDB2F5756B1}"/>
    <cellStyle name="40% - Accent2 2 3 2 2 3" xfId="11337" xr:uid="{8EB15B14-6691-4707-9988-F8D7D5866A16}"/>
    <cellStyle name="40% - Accent2 2 3 2 3" xfId="4981" xr:uid="{00000000-0005-0000-0000-00008F040000}"/>
    <cellStyle name="40% - Accent2 2 3 2 3 2" xfId="13410" xr:uid="{377C1B60-0F32-4FA7-9259-4B5C0C51F080}"/>
    <cellStyle name="40% - Accent2 2 3 2 4" xfId="9192" xr:uid="{14BEDECF-B7A8-40CF-876C-5A8DD09174DA}"/>
    <cellStyle name="40% - Accent2 2 3 3" xfId="1084" xr:uid="{00000000-0005-0000-0000-000090040000}"/>
    <cellStyle name="40% - Accent2 2 3 3 2" xfId="3315" xr:uid="{00000000-0005-0000-0000-000091040000}"/>
    <cellStyle name="40% - Accent2 2 3 3 2 2" xfId="7539" xr:uid="{00000000-0005-0000-0000-000092040000}"/>
    <cellStyle name="40% - Accent2 2 3 3 2 2 2" xfId="15968" xr:uid="{9263AC2D-36F7-4916-8B2C-AE1D65A96EC2}"/>
    <cellStyle name="40% - Accent2 2 3 3 2 3" xfId="11750" xr:uid="{7427D966-3519-40E1-A8AF-07399B8E8E6F}"/>
    <cellStyle name="40% - Accent2 2 3 3 3" xfId="5394" xr:uid="{00000000-0005-0000-0000-000093040000}"/>
    <cellStyle name="40% - Accent2 2 3 3 3 2" xfId="13823" xr:uid="{892FEC31-54E0-4E2D-95BC-935FCF99C5EA}"/>
    <cellStyle name="40% - Accent2 2 3 3 4" xfId="9605" xr:uid="{F1C355EC-3255-4B21-A323-C4E00F131B02}"/>
    <cellStyle name="40% - Accent2 2 3 4" xfId="1498" xr:uid="{00000000-0005-0000-0000-000094040000}"/>
    <cellStyle name="40% - Accent2 2 3 4 2" xfId="3728" xr:uid="{00000000-0005-0000-0000-000095040000}"/>
    <cellStyle name="40% - Accent2 2 3 4 2 2" xfId="7952" xr:uid="{00000000-0005-0000-0000-000096040000}"/>
    <cellStyle name="40% - Accent2 2 3 4 2 2 2" xfId="16381" xr:uid="{EBA7ACC0-A268-43B5-B10A-A1CA2E4263DB}"/>
    <cellStyle name="40% - Accent2 2 3 4 2 3" xfId="12163" xr:uid="{AE893B68-4A0E-43A5-9ACD-A01A46286D40}"/>
    <cellStyle name="40% - Accent2 2 3 4 3" xfId="5807" xr:uid="{00000000-0005-0000-0000-000097040000}"/>
    <cellStyle name="40% - Accent2 2 3 4 3 2" xfId="14236" xr:uid="{EFD5C9B2-1F3F-400F-BF98-7DD7462138AC}"/>
    <cellStyle name="40% - Accent2 2 3 4 4" xfId="10018" xr:uid="{D194B0D2-1ACB-4E64-82A6-5619C886E3CA}"/>
    <cellStyle name="40% - Accent2 2 3 5" xfId="1912" xr:uid="{00000000-0005-0000-0000-000098040000}"/>
    <cellStyle name="40% - Accent2 2 3 5 2" xfId="4141" xr:uid="{00000000-0005-0000-0000-000099040000}"/>
    <cellStyle name="40% - Accent2 2 3 5 2 2" xfId="8365" xr:uid="{00000000-0005-0000-0000-00009A040000}"/>
    <cellStyle name="40% - Accent2 2 3 5 2 2 2" xfId="16794" xr:uid="{4D888197-7BCA-461B-A380-F5D0EA41DEBC}"/>
    <cellStyle name="40% - Accent2 2 3 5 2 3" xfId="12576" xr:uid="{AB746026-7109-4136-ACE3-AB237F2AC9EE}"/>
    <cellStyle name="40% - Accent2 2 3 5 3" xfId="6220" xr:uid="{00000000-0005-0000-0000-00009B040000}"/>
    <cellStyle name="40% - Accent2 2 3 5 3 2" xfId="14649" xr:uid="{0627BAAF-8FBE-48B0-BB62-0EC907741852}"/>
    <cellStyle name="40% - Accent2 2 3 5 4" xfId="10431" xr:uid="{B3A5FF66-0CD6-42CA-90DA-3D7972827739}"/>
    <cellStyle name="40% - Accent2 2 3 6" xfId="2325" xr:uid="{00000000-0005-0000-0000-00009C040000}"/>
    <cellStyle name="40% - Accent2 2 3 6 2" xfId="6633" xr:uid="{00000000-0005-0000-0000-00009D040000}"/>
    <cellStyle name="40% - Accent2 2 3 6 2 2" xfId="15062" xr:uid="{F3225622-AAD3-4C81-B451-AC786EB1EE27}"/>
    <cellStyle name="40% - Accent2 2 3 6 3" xfId="10844" xr:uid="{086E2E2B-9C7F-4929-A865-B9CF4E7E74F7}"/>
    <cellStyle name="40% - Accent2 2 3 7" xfId="4567" xr:uid="{00000000-0005-0000-0000-00009E040000}"/>
    <cellStyle name="40% - Accent2 2 3 7 2" xfId="12996" xr:uid="{AF2AA53E-512A-42B4-B8F3-4D54329E61F3}"/>
    <cellStyle name="40% - Accent2 2 3 8" xfId="8778" xr:uid="{D9A1B502-D8F3-4116-8054-1D5CF3C665AD}"/>
    <cellStyle name="40% - Accent2 2 4" xfId="628" xr:uid="{00000000-0005-0000-0000-00009F040000}"/>
    <cellStyle name="40% - Accent2 2 4 2" xfId="2899" xr:uid="{00000000-0005-0000-0000-0000A0040000}"/>
    <cellStyle name="40% - Accent2 2 4 2 2" xfId="7123" xr:uid="{00000000-0005-0000-0000-0000A1040000}"/>
    <cellStyle name="40% - Accent2 2 4 2 2 2" xfId="15552" xr:uid="{790E8690-F2C3-4DB3-9523-0A14804062E2}"/>
    <cellStyle name="40% - Accent2 2 4 2 3" xfId="11334" xr:uid="{95CCCCA2-C098-4B9A-B678-4523067D1FC6}"/>
    <cellStyle name="40% - Accent2 2 4 3" xfId="4978" xr:uid="{00000000-0005-0000-0000-0000A2040000}"/>
    <cellStyle name="40% - Accent2 2 4 3 2" xfId="13407" xr:uid="{FDBDEA09-4E9E-4F33-A60A-2C61F179EA5C}"/>
    <cellStyle name="40% - Accent2 2 4 4" xfId="9189" xr:uid="{B860E41B-4DD0-448E-91F5-FC0FC651BAE8}"/>
    <cellStyle name="40% - Accent2 2 5" xfId="1081" xr:uid="{00000000-0005-0000-0000-0000A3040000}"/>
    <cellStyle name="40% - Accent2 2 5 2" xfId="3312" xr:uid="{00000000-0005-0000-0000-0000A4040000}"/>
    <cellStyle name="40% - Accent2 2 5 2 2" xfId="7536" xr:uid="{00000000-0005-0000-0000-0000A5040000}"/>
    <cellStyle name="40% - Accent2 2 5 2 2 2" xfId="15965" xr:uid="{DDE37D78-2E9D-4BF1-9693-A6416362A040}"/>
    <cellStyle name="40% - Accent2 2 5 2 3" xfId="11747" xr:uid="{E66151D4-CBF7-472E-B9B8-36DE627332F1}"/>
    <cellStyle name="40% - Accent2 2 5 3" xfId="5391" xr:uid="{00000000-0005-0000-0000-0000A6040000}"/>
    <cellStyle name="40% - Accent2 2 5 3 2" xfId="13820" xr:uid="{DF949A3D-9146-4983-9730-B8F44359B6A6}"/>
    <cellStyle name="40% - Accent2 2 5 4" xfId="9602" xr:uid="{FEBBCD04-5C9F-4DDB-9711-4B5D393FFF3D}"/>
    <cellStyle name="40% - Accent2 2 6" xfId="1495" xr:uid="{00000000-0005-0000-0000-0000A7040000}"/>
    <cellStyle name="40% - Accent2 2 6 2" xfId="3725" xr:uid="{00000000-0005-0000-0000-0000A8040000}"/>
    <cellStyle name="40% - Accent2 2 6 2 2" xfId="7949" xr:uid="{00000000-0005-0000-0000-0000A9040000}"/>
    <cellStyle name="40% - Accent2 2 6 2 2 2" xfId="16378" xr:uid="{3E065CA9-739D-4BF6-B2E7-19B6D8F08E2F}"/>
    <cellStyle name="40% - Accent2 2 6 2 3" xfId="12160" xr:uid="{A8A13616-3038-4F71-9DB1-8D4FA727EF57}"/>
    <cellStyle name="40% - Accent2 2 6 3" xfId="5804" xr:uid="{00000000-0005-0000-0000-0000AA040000}"/>
    <cellStyle name="40% - Accent2 2 6 3 2" xfId="14233" xr:uid="{4929AD3F-4324-43A7-8CC2-DA7EA4BD4483}"/>
    <cellStyle name="40% - Accent2 2 6 4" xfId="10015" xr:uid="{AA3A65BE-3A86-482F-8C2D-E1F951B54A4D}"/>
    <cellStyle name="40% - Accent2 2 7" xfId="1909" xr:uid="{00000000-0005-0000-0000-0000AB040000}"/>
    <cellStyle name="40% - Accent2 2 7 2" xfId="4138" xr:uid="{00000000-0005-0000-0000-0000AC040000}"/>
    <cellStyle name="40% - Accent2 2 7 2 2" xfId="8362" xr:uid="{00000000-0005-0000-0000-0000AD040000}"/>
    <cellStyle name="40% - Accent2 2 7 2 2 2" xfId="16791" xr:uid="{0FA0CC10-C932-4ABB-813A-4D3B7899C7DC}"/>
    <cellStyle name="40% - Accent2 2 7 2 3" xfId="12573" xr:uid="{A5C70A72-E8B6-4A49-8E9C-C76D4D287218}"/>
    <cellStyle name="40% - Accent2 2 7 3" xfId="6217" xr:uid="{00000000-0005-0000-0000-0000AE040000}"/>
    <cellStyle name="40% - Accent2 2 7 3 2" xfId="14646" xr:uid="{ECCD69CA-D5C8-414C-A001-C4433A2C930B}"/>
    <cellStyle name="40% - Accent2 2 7 4" xfId="10428" xr:uid="{2A6AAA0D-CCF0-4E2F-960A-4E958BA41456}"/>
    <cellStyle name="40% - Accent2 2 8" xfId="2322" xr:uid="{00000000-0005-0000-0000-0000AF040000}"/>
    <cellStyle name="40% - Accent2 2 8 2" xfId="6630" xr:uid="{00000000-0005-0000-0000-0000B0040000}"/>
    <cellStyle name="40% - Accent2 2 8 2 2" xfId="15059" xr:uid="{29AF6C84-E48C-4818-A4EF-3040CCFE9ECA}"/>
    <cellStyle name="40% - Accent2 2 8 3" xfId="10841" xr:uid="{59CD1FC0-9D15-4DBA-A769-376C56EDAB63}"/>
    <cellStyle name="40% - Accent2 2 9" xfId="4564" xr:uid="{00000000-0005-0000-0000-0000B1040000}"/>
    <cellStyle name="40% - Accent2 2 9 2" xfId="12993" xr:uid="{1100AC69-4971-4F2B-8B18-C69C6D9A77A6}"/>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2 2 2" xfId="15557" xr:uid="{831D87E0-CD3E-4C45-9E6A-DC579725D54C}"/>
    <cellStyle name="40% - Accent2 3 2 2 2 3" xfId="11339" xr:uid="{1854F236-E51E-42AF-996C-AEF1B61F2924}"/>
    <cellStyle name="40% - Accent2 3 2 2 3" xfId="4983" xr:uid="{00000000-0005-0000-0000-0000B7040000}"/>
    <cellStyle name="40% - Accent2 3 2 2 3 2" xfId="13412" xr:uid="{5A123AC3-551B-4B9B-AB11-6C686EE0B5C4}"/>
    <cellStyle name="40% - Accent2 3 2 2 4" xfId="9194" xr:uid="{ED71B192-B032-4C88-A252-8B86073F253C}"/>
    <cellStyle name="40% - Accent2 3 2 3" xfId="1086" xr:uid="{00000000-0005-0000-0000-0000B8040000}"/>
    <cellStyle name="40% - Accent2 3 2 3 2" xfId="3317" xr:uid="{00000000-0005-0000-0000-0000B9040000}"/>
    <cellStyle name="40% - Accent2 3 2 3 2 2" xfId="7541" xr:uid="{00000000-0005-0000-0000-0000BA040000}"/>
    <cellStyle name="40% - Accent2 3 2 3 2 2 2" xfId="15970" xr:uid="{5AA403F5-6BB0-4972-A747-CCFCEED34EB4}"/>
    <cellStyle name="40% - Accent2 3 2 3 2 3" xfId="11752" xr:uid="{70B3E4B5-60C8-43FA-9F55-43219C3504BB}"/>
    <cellStyle name="40% - Accent2 3 2 3 3" xfId="5396" xr:uid="{00000000-0005-0000-0000-0000BB040000}"/>
    <cellStyle name="40% - Accent2 3 2 3 3 2" xfId="13825" xr:uid="{FF56FD91-624A-45E4-B25A-203A9D790FAE}"/>
    <cellStyle name="40% - Accent2 3 2 3 4" xfId="9607" xr:uid="{68EA5F57-A70D-45AF-B658-487C3FBBA26F}"/>
    <cellStyle name="40% - Accent2 3 2 4" xfId="1500" xr:uid="{00000000-0005-0000-0000-0000BC040000}"/>
    <cellStyle name="40% - Accent2 3 2 4 2" xfId="3730" xr:uid="{00000000-0005-0000-0000-0000BD040000}"/>
    <cellStyle name="40% - Accent2 3 2 4 2 2" xfId="7954" xr:uid="{00000000-0005-0000-0000-0000BE040000}"/>
    <cellStyle name="40% - Accent2 3 2 4 2 2 2" xfId="16383" xr:uid="{5E910AFF-0779-4BC8-A7B5-FBD6C666019E}"/>
    <cellStyle name="40% - Accent2 3 2 4 2 3" xfId="12165" xr:uid="{EF056572-717B-4F1C-A243-3B067CE5F8D0}"/>
    <cellStyle name="40% - Accent2 3 2 4 3" xfId="5809" xr:uid="{00000000-0005-0000-0000-0000BF040000}"/>
    <cellStyle name="40% - Accent2 3 2 4 3 2" xfId="14238" xr:uid="{965B5421-4B16-4902-802E-3F38D7D29EF9}"/>
    <cellStyle name="40% - Accent2 3 2 4 4" xfId="10020" xr:uid="{2B84A1D7-F8DC-421A-B13E-95351CE7E6ED}"/>
    <cellStyle name="40% - Accent2 3 2 5" xfId="1914" xr:uid="{00000000-0005-0000-0000-0000C0040000}"/>
    <cellStyle name="40% - Accent2 3 2 5 2" xfId="4143" xr:uid="{00000000-0005-0000-0000-0000C1040000}"/>
    <cellStyle name="40% - Accent2 3 2 5 2 2" xfId="8367" xr:uid="{00000000-0005-0000-0000-0000C2040000}"/>
    <cellStyle name="40% - Accent2 3 2 5 2 2 2" xfId="16796" xr:uid="{B5C8F452-6AA0-4F98-9BEF-68294A8C1815}"/>
    <cellStyle name="40% - Accent2 3 2 5 2 3" xfId="12578" xr:uid="{316D776A-DA7D-44F6-95D5-AEAB0FC90D0B}"/>
    <cellStyle name="40% - Accent2 3 2 5 3" xfId="6222" xr:uid="{00000000-0005-0000-0000-0000C3040000}"/>
    <cellStyle name="40% - Accent2 3 2 5 3 2" xfId="14651" xr:uid="{CEB518A4-8EF4-4383-80ED-299420CA07C6}"/>
    <cellStyle name="40% - Accent2 3 2 5 4" xfId="10433" xr:uid="{3B8825E5-A890-4998-9628-23E2339506AD}"/>
    <cellStyle name="40% - Accent2 3 2 6" xfId="2327" xr:uid="{00000000-0005-0000-0000-0000C4040000}"/>
    <cellStyle name="40% - Accent2 3 2 6 2" xfId="6635" xr:uid="{00000000-0005-0000-0000-0000C5040000}"/>
    <cellStyle name="40% - Accent2 3 2 6 2 2" xfId="15064" xr:uid="{F4A01409-62E7-4C10-91A2-DA7DE2DDE122}"/>
    <cellStyle name="40% - Accent2 3 2 6 3" xfId="10846" xr:uid="{3FAB1FF3-0C40-4E76-B522-F30B614588F4}"/>
    <cellStyle name="40% - Accent2 3 2 7" xfId="4569" xr:uid="{00000000-0005-0000-0000-0000C6040000}"/>
    <cellStyle name="40% - Accent2 3 2 7 2" xfId="12998" xr:uid="{4E7E35C1-5A93-4CB4-A710-3E5E63FC5EF5}"/>
    <cellStyle name="40% - Accent2 3 2 8" xfId="8780" xr:uid="{2218CFE9-2EE1-4C1A-8722-C1BBDA5F7DEB}"/>
    <cellStyle name="40% - Accent2 3 3" xfId="632" xr:uid="{00000000-0005-0000-0000-0000C7040000}"/>
    <cellStyle name="40% - Accent2 3 3 2" xfId="2903" xr:uid="{00000000-0005-0000-0000-0000C8040000}"/>
    <cellStyle name="40% - Accent2 3 3 2 2" xfId="7127" xr:uid="{00000000-0005-0000-0000-0000C9040000}"/>
    <cellStyle name="40% - Accent2 3 3 2 2 2" xfId="15556" xr:uid="{992057F6-AB74-4468-A577-C60A7DEC484F}"/>
    <cellStyle name="40% - Accent2 3 3 2 3" xfId="11338" xr:uid="{249DDD9A-50F6-48C6-A4A4-CCB1DB9FB6D7}"/>
    <cellStyle name="40% - Accent2 3 3 3" xfId="4982" xr:uid="{00000000-0005-0000-0000-0000CA040000}"/>
    <cellStyle name="40% - Accent2 3 3 3 2" xfId="13411" xr:uid="{3D69EE86-4CEB-463A-B586-4D1EDC2695D0}"/>
    <cellStyle name="40% - Accent2 3 3 4" xfId="9193" xr:uid="{73358318-9FA2-4961-948B-C1BD696C538B}"/>
    <cellStyle name="40% - Accent2 3 4" xfId="1085" xr:uid="{00000000-0005-0000-0000-0000CB040000}"/>
    <cellStyle name="40% - Accent2 3 4 2" xfId="3316" xr:uid="{00000000-0005-0000-0000-0000CC040000}"/>
    <cellStyle name="40% - Accent2 3 4 2 2" xfId="7540" xr:uid="{00000000-0005-0000-0000-0000CD040000}"/>
    <cellStyle name="40% - Accent2 3 4 2 2 2" xfId="15969" xr:uid="{8136493A-A2B4-401C-B1EF-796DD010F1DF}"/>
    <cellStyle name="40% - Accent2 3 4 2 3" xfId="11751" xr:uid="{C38EA65F-48AB-42A4-9342-35FDBDE338D5}"/>
    <cellStyle name="40% - Accent2 3 4 3" xfId="5395" xr:uid="{00000000-0005-0000-0000-0000CE040000}"/>
    <cellStyle name="40% - Accent2 3 4 3 2" xfId="13824" xr:uid="{65B6D75C-2E3F-4821-A7A4-346DD45B87D0}"/>
    <cellStyle name="40% - Accent2 3 4 4" xfId="9606" xr:uid="{D7A3FF1F-E120-4A4B-9946-D47825213B1B}"/>
    <cellStyle name="40% - Accent2 3 5" xfId="1499" xr:uid="{00000000-0005-0000-0000-0000CF040000}"/>
    <cellStyle name="40% - Accent2 3 5 2" xfId="3729" xr:uid="{00000000-0005-0000-0000-0000D0040000}"/>
    <cellStyle name="40% - Accent2 3 5 2 2" xfId="7953" xr:uid="{00000000-0005-0000-0000-0000D1040000}"/>
    <cellStyle name="40% - Accent2 3 5 2 2 2" xfId="16382" xr:uid="{D6020713-267D-406B-A743-3A90CA6EAF0C}"/>
    <cellStyle name="40% - Accent2 3 5 2 3" xfId="12164" xr:uid="{09DF5BCF-C295-49C4-953B-52A180C313AE}"/>
    <cellStyle name="40% - Accent2 3 5 3" xfId="5808" xr:uid="{00000000-0005-0000-0000-0000D2040000}"/>
    <cellStyle name="40% - Accent2 3 5 3 2" xfId="14237" xr:uid="{A90BCE66-68F4-40CB-BCF6-9D2827604203}"/>
    <cellStyle name="40% - Accent2 3 5 4" xfId="10019" xr:uid="{72B2EAE6-53A9-435F-AF71-9C9D85AACD2C}"/>
    <cellStyle name="40% - Accent2 3 6" xfId="1913" xr:uid="{00000000-0005-0000-0000-0000D3040000}"/>
    <cellStyle name="40% - Accent2 3 6 2" xfId="4142" xr:uid="{00000000-0005-0000-0000-0000D4040000}"/>
    <cellStyle name="40% - Accent2 3 6 2 2" xfId="8366" xr:uid="{00000000-0005-0000-0000-0000D5040000}"/>
    <cellStyle name="40% - Accent2 3 6 2 2 2" xfId="16795" xr:uid="{4237C45A-0E3F-4DAD-9560-25F83EDBB904}"/>
    <cellStyle name="40% - Accent2 3 6 2 3" xfId="12577" xr:uid="{5F16A721-FCE5-470F-B342-56C6D19DCD17}"/>
    <cellStyle name="40% - Accent2 3 6 3" xfId="6221" xr:uid="{00000000-0005-0000-0000-0000D6040000}"/>
    <cellStyle name="40% - Accent2 3 6 3 2" xfId="14650" xr:uid="{4369C1F3-12B5-4A40-8C09-0668298BB521}"/>
    <cellStyle name="40% - Accent2 3 6 4" xfId="10432" xr:uid="{DD6322FF-0704-45EE-A4C5-1E6D87DD807B}"/>
    <cellStyle name="40% - Accent2 3 7" xfId="2326" xr:uid="{00000000-0005-0000-0000-0000D7040000}"/>
    <cellStyle name="40% - Accent2 3 7 2" xfId="6634" xr:uid="{00000000-0005-0000-0000-0000D8040000}"/>
    <cellStyle name="40% - Accent2 3 7 2 2" xfId="15063" xr:uid="{19489041-38E0-4D33-AB33-640CF5C30197}"/>
    <cellStyle name="40% - Accent2 3 7 3" xfId="10845" xr:uid="{08DB091E-9A0B-4EE2-A5DA-CA58A664B8D5}"/>
    <cellStyle name="40% - Accent2 3 8" xfId="4568" xr:uid="{00000000-0005-0000-0000-0000D9040000}"/>
    <cellStyle name="40% - Accent2 3 8 2" xfId="12997" xr:uid="{08C560AA-4ADF-47C2-8F7C-42D90B3F7A06}"/>
    <cellStyle name="40% - Accent2 3 9" xfId="8779" xr:uid="{23AD5096-38F1-44EE-9385-A1AF667C2EA7}"/>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2 2 2" xfId="15558" xr:uid="{65F5CC79-A500-42B7-B606-8F51FA8D2A3F}"/>
    <cellStyle name="40% - Accent2 4 2 2 3" xfId="11340" xr:uid="{4ACB5BE0-26BE-497F-A964-B42BB3AC9DFB}"/>
    <cellStyle name="40% - Accent2 4 2 3" xfId="4984" xr:uid="{00000000-0005-0000-0000-0000DE040000}"/>
    <cellStyle name="40% - Accent2 4 2 3 2" xfId="13413" xr:uid="{D3D911E9-7012-4B40-8AF7-EE998EADF68A}"/>
    <cellStyle name="40% - Accent2 4 2 4" xfId="9195" xr:uid="{D3EA1D5F-6BA3-4916-8542-8C7135055363}"/>
    <cellStyle name="40% - Accent2 4 3" xfId="1087" xr:uid="{00000000-0005-0000-0000-0000DF040000}"/>
    <cellStyle name="40% - Accent2 4 3 2" xfId="3318" xr:uid="{00000000-0005-0000-0000-0000E0040000}"/>
    <cellStyle name="40% - Accent2 4 3 2 2" xfId="7542" xr:uid="{00000000-0005-0000-0000-0000E1040000}"/>
    <cellStyle name="40% - Accent2 4 3 2 2 2" xfId="15971" xr:uid="{F40E413E-250B-4A7C-A89C-CB483E7F19EB}"/>
    <cellStyle name="40% - Accent2 4 3 2 3" xfId="11753" xr:uid="{EACB1193-606E-43C7-AA0A-CEE9428DCF6F}"/>
    <cellStyle name="40% - Accent2 4 3 3" xfId="5397" xr:uid="{00000000-0005-0000-0000-0000E2040000}"/>
    <cellStyle name="40% - Accent2 4 3 3 2" xfId="13826" xr:uid="{0A54CDE5-03E0-4D04-B89C-666D3E593FCE}"/>
    <cellStyle name="40% - Accent2 4 3 4" xfId="9608" xr:uid="{E9C6F9E0-2C06-4F51-81EF-8A33C7250388}"/>
    <cellStyle name="40% - Accent2 4 4" xfId="1501" xr:uid="{00000000-0005-0000-0000-0000E3040000}"/>
    <cellStyle name="40% - Accent2 4 4 2" xfId="3731" xr:uid="{00000000-0005-0000-0000-0000E4040000}"/>
    <cellStyle name="40% - Accent2 4 4 2 2" xfId="7955" xr:uid="{00000000-0005-0000-0000-0000E5040000}"/>
    <cellStyle name="40% - Accent2 4 4 2 2 2" xfId="16384" xr:uid="{D4C6B24A-1449-4B24-818F-CD9CE2F7D349}"/>
    <cellStyle name="40% - Accent2 4 4 2 3" xfId="12166" xr:uid="{3341AB15-1814-4F1B-9A39-0EA6A3239F01}"/>
    <cellStyle name="40% - Accent2 4 4 3" xfId="5810" xr:uid="{00000000-0005-0000-0000-0000E6040000}"/>
    <cellStyle name="40% - Accent2 4 4 3 2" xfId="14239" xr:uid="{5C2E34C6-4F8B-4D2E-B036-AA6CC58D9D40}"/>
    <cellStyle name="40% - Accent2 4 4 4" xfId="10021" xr:uid="{2597D9DA-5527-4653-B9DD-B9254ED080AE}"/>
    <cellStyle name="40% - Accent2 4 5" xfId="1915" xr:uid="{00000000-0005-0000-0000-0000E7040000}"/>
    <cellStyle name="40% - Accent2 4 5 2" xfId="4144" xr:uid="{00000000-0005-0000-0000-0000E8040000}"/>
    <cellStyle name="40% - Accent2 4 5 2 2" xfId="8368" xr:uid="{00000000-0005-0000-0000-0000E9040000}"/>
    <cellStyle name="40% - Accent2 4 5 2 2 2" xfId="16797" xr:uid="{BB6DD989-1EFC-4BF5-8E78-127FE1AD6027}"/>
    <cellStyle name="40% - Accent2 4 5 2 3" xfId="12579" xr:uid="{71F23B1D-D389-4C76-86EF-2A205A5D635B}"/>
    <cellStyle name="40% - Accent2 4 5 3" xfId="6223" xr:uid="{00000000-0005-0000-0000-0000EA040000}"/>
    <cellStyle name="40% - Accent2 4 5 3 2" xfId="14652" xr:uid="{B6581A43-47F0-4FA5-B841-ED2E25C39E88}"/>
    <cellStyle name="40% - Accent2 4 5 4" xfId="10434" xr:uid="{D3A53768-99AA-4043-AFF4-B31075D03FB9}"/>
    <cellStyle name="40% - Accent2 4 6" xfId="2328" xr:uid="{00000000-0005-0000-0000-0000EB040000}"/>
    <cellStyle name="40% - Accent2 4 6 2" xfId="6636" xr:uid="{00000000-0005-0000-0000-0000EC040000}"/>
    <cellStyle name="40% - Accent2 4 6 2 2" xfId="15065" xr:uid="{A91650DC-6CDF-48BA-97E0-4D86A397A7B9}"/>
    <cellStyle name="40% - Accent2 4 6 3" xfId="10847" xr:uid="{5A6A4BF0-D010-411E-A779-5281CA5D7925}"/>
    <cellStyle name="40% - Accent2 4 7" xfId="4570" xr:uid="{00000000-0005-0000-0000-0000ED040000}"/>
    <cellStyle name="40% - Accent2 4 7 2" xfId="12999" xr:uid="{859F2015-77AE-42CE-954C-938EFCD92D85}"/>
    <cellStyle name="40% - Accent2 4 8" xfId="8781" xr:uid="{AF67906A-77F1-42A5-93C8-14E8E5E8AE3B}"/>
    <cellStyle name="40% - Accent2 5" xfId="627" xr:uid="{00000000-0005-0000-0000-0000EE040000}"/>
    <cellStyle name="40% - Accent2 5 2" xfId="2898" xr:uid="{00000000-0005-0000-0000-0000EF040000}"/>
    <cellStyle name="40% - Accent2 5 2 2" xfId="7122" xr:uid="{00000000-0005-0000-0000-0000F0040000}"/>
    <cellStyle name="40% - Accent2 5 2 2 2" xfId="15551" xr:uid="{AE83CDFF-EAE9-46CE-ABFF-68AC2CECA291}"/>
    <cellStyle name="40% - Accent2 5 2 3" xfId="11333" xr:uid="{1F6510DA-53F2-443C-9B4A-C507EA393B95}"/>
    <cellStyle name="40% - Accent2 5 3" xfId="4977" xr:uid="{00000000-0005-0000-0000-0000F1040000}"/>
    <cellStyle name="40% - Accent2 5 3 2" xfId="13406" xr:uid="{48F00333-C310-44F3-87CA-FA1A366F6662}"/>
    <cellStyle name="40% - Accent2 5 4" xfId="9188" xr:uid="{94F41307-9F43-421E-91AF-17C08E54808B}"/>
    <cellStyle name="40% - Accent2 6" xfId="1080" xr:uid="{00000000-0005-0000-0000-0000F2040000}"/>
    <cellStyle name="40% - Accent2 6 2" xfId="3311" xr:uid="{00000000-0005-0000-0000-0000F3040000}"/>
    <cellStyle name="40% - Accent2 6 2 2" xfId="7535" xr:uid="{00000000-0005-0000-0000-0000F4040000}"/>
    <cellStyle name="40% - Accent2 6 2 2 2" xfId="15964" xr:uid="{E8423FDC-B9EB-4A6E-94F4-B618BC81F1C7}"/>
    <cellStyle name="40% - Accent2 6 2 3" xfId="11746" xr:uid="{725E1127-B3C6-4B61-AE37-09EB3A67C932}"/>
    <cellStyle name="40% - Accent2 6 3" xfId="5390" xr:uid="{00000000-0005-0000-0000-0000F5040000}"/>
    <cellStyle name="40% - Accent2 6 3 2" xfId="13819" xr:uid="{639E6C6C-4802-4505-AC7A-CEF2F6C83A6C}"/>
    <cellStyle name="40% - Accent2 6 4" xfId="9601" xr:uid="{A95DC57E-B563-4BC5-8339-5C33AF6EB2E4}"/>
    <cellStyle name="40% - Accent2 7" xfId="1494" xr:uid="{00000000-0005-0000-0000-0000F6040000}"/>
    <cellStyle name="40% - Accent2 7 2" xfId="3724" xr:uid="{00000000-0005-0000-0000-0000F7040000}"/>
    <cellStyle name="40% - Accent2 7 2 2" xfId="7948" xr:uid="{00000000-0005-0000-0000-0000F8040000}"/>
    <cellStyle name="40% - Accent2 7 2 2 2" xfId="16377" xr:uid="{CB05167D-8038-4E8D-BC0D-1FB523940638}"/>
    <cellStyle name="40% - Accent2 7 2 3" xfId="12159" xr:uid="{0D41B505-C75D-43B3-8E63-CAB5923E5D40}"/>
    <cellStyle name="40% - Accent2 7 3" xfId="5803" xr:uid="{00000000-0005-0000-0000-0000F9040000}"/>
    <cellStyle name="40% - Accent2 7 3 2" xfId="14232" xr:uid="{CCBC418B-B18D-4EFB-846B-A8C7FF7F69B3}"/>
    <cellStyle name="40% - Accent2 7 4" xfId="10014" xr:uid="{FB68CFC6-C19C-4EBC-A5A7-ACF691CE9703}"/>
    <cellStyle name="40% - Accent2 8" xfId="1908" xr:uid="{00000000-0005-0000-0000-0000FA040000}"/>
    <cellStyle name="40% - Accent2 8 2" xfId="4137" xr:uid="{00000000-0005-0000-0000-0000FB040000}"/>
    <cellStyle name="40% - Accent2 8 2 2" xfId="8361" xr:uid="{00000000-0005-0000-0000-0000FC040000}"/>
    <cellStyle name="40% - Accent2 8 2 2 2" xfId="16790" xr:uid="{331AAAAF-9F82-4F2B-88C0-5CDBF095F2B3}"/>
    <cellStyle name="40% - Accent2 8 2 3" xfId="12572" xr:uid="{18CBBB03-3E5F-46AC-948E-EC7BA521C227}"/>
    <cellStyle name="40% - Accent2 8 3" xfId="6216" xr:uid="{00000000-0005-0000-0000-0000FD040000}"/>
    <cellStyle name="40% - Accent2 8 3 2" xfId="14645" xr:uid="{BBFA3275-E502-4895-9FC5-BEB7F4E07CA6}"/>
    <cellStyle name="40% - Accent2 8 4" xfId="10427" xr:uid="{579BDA93-52E4-4B6B-914D-26FC257E205D}"/>
    <cellStyle name="40% - Accent2 9" xfId="2321" xr:uid="{00000000-0005-0000-0000-0000FE040000}"/>
    <cellStyle name="40% - Accent2 9 2" xfId="6629" xr:uid="{00000000-0005-0000-0000-0000FF040000}"/>
    <cellStyle name="40% - Accent2 9 2 2" xfId="15058" xr:uid="{CDD67CE8-928F-4A70-BEB4-2BAA230B239E}"/>
    <cellStyle name="40% - Accent2 9 3" xfId="10840" xr:uid="{9B45341D-5926-4BC6-8345-9ECC7BFE4A8E}"/>
    <cellStyle name="40% - Accent3" xfId="65" builtinId="39" customBuiltin="1"/>
    <cellStyle name="40% - Accent3 10" xfId="4571" xr:uid="{00000000-0005-0000-0000-000001050000}"/>
    <cellStyle name="40% - Accent3 10 2" xfId="13000" xr:uid="{E7787909-F883-4D7A-8874-0F6AA5AB3BF6}"/>
    <cellStyle name="40% - Accent3 11" xfId="8782" xr:uid="{9EBF3330-36C3-48CE-BE5C-669C7995379D}"/>
    <cellStyle name="40% - Accent3 2" xfId="66" xr:uid="{00000000-0005-0000-0000-000002050000}"/>
    <cellStyle name="40% - Accent3 2 10" xfId="8783" xr:uid="{56B22DA0-06D0-4DE1-918A-1DF931411E65}"/>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2 2 2" xfId="15562" xr:uid="{F28D8365-2705-4D6E-B04D-C91771FBAC23}"/>
    <cellStyle name="40% - Accent3 2 2 2 2 2 3" xfId="11344" xr:uid="{B48FA8E6-F91B-447C-9AAF-2BF91109F3F7}"/>
    <cellStyle name="40% - Accent3 2 2 2 2 3" xfId="4988" xr:uid="{00000000-0005-0000-0000-000008050000}"/>
    <cellStyle name="40% - Accent3 2 2 2 2 3 2" xfId="13417" xr:uid="{4F02F860-1723-47CD-BFAD-DF3B4C5A55D4}"/>
    <cellStyle name="40% - Accent3 2 2 2 2 4" xfId="9199" xr:uid="{CFC0E6C6-876A-4AD2-BFCC-AD18E0684271}"/>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2 2 2" xfId="15975" xr:uid="{D981B814-0EBC-48C1-8817-B06BB63B2C98}"/>
    <cellStyle name="40% - Accent3 2 2 2 3 2 3" xfId="11757" xr:uid="{DA456925-71F3-4779-B92E-882EA74C9EAB}"/>
    <cellStyle name="40% - Accent3 2 2 2 3 3" xfId="5401" xr:uid="{00000000-0005-0000-0000-00000C050000}"/>
    <cellStyle name="40% - Accent3 2 2 2 3 3 2" xfId="13830" xr:uid="{DD221A95-B849-48FA-9D89-06867C7E8D2E}"/>
    <cellStyle name="40% - Accent3 2 2 2 3 4" xfId="9612" xr:uid="{615F449C-9A9D-4F07-B1E4-DAB4D6DB49FF}"/>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2 2 2" xfId="16388" xr:uid="{FDD9EB58-C2AF-4C79-958E-7B9054636618}"/>
    <cellStyle name="40% - Accent3 2 2 2 4 2 3" xfId="12170" xr:uid="{BE932072-29B9-45A7-A5D5-5E025042C149}"/>
    <cellStyle name="40% - Accent3 2 2 2 4 3" xfId="5814" xr:uid="{00000000-0005-0000-0000-000010050000}"/>
    <cellStyle name="40% - Accent3 2 2 2 4 3 2" xfId="14243" xr:uid="{BFCE8C0F-811C-4299-B7B1-A5EF0899D2B4}"/>
    <cellStyle name="40% - Accent3 2 2 2 4 4" xfId="10025" xr:uid="{400EB8F9-6D1D-4265-BA9F-C1FFA8B92BD2}"/>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2 2 2" xfId="16801" xr:uid="{AFD80A81-A57F-4B50-832B-4C9AA88F737A}"/>
    <cellStyle name="40% - Accent3 2 2 2 5 2 3" xfId="12583" xr:uid="{2A742631-B1DD-424C-87AC-98031DDA9842}"/>
    <cellStyle name="40% - Accent3 2 2 2 5 3" xfId="6227" xr:uid="{00000000-0005-0000-0000-000014050000}"/>
    <cellStyle name="40% - Accent3 2 2 2 5 3 2" xfId="14656" xr:uid="{C863EBDE-F726-4E5B-B791-EBF7019B3525}"/>
    <cellStyle name="40% - Accent3 2 2 2 5 4" xfId="10438" xr:uid="{395A85F1-329B-4A14-A6F0-9B730F0B331B}"/>
    <cellStyle name="40% - Accent3 2 2 2 6" xfId="2332" xr:uid="{00000000-0005-0000-0000-000015050000}"/>
    <cellStyle name="40% - Accent3 2 2 2 6 2" xfId="6640" xr:uid="{00000000-0005-0000-0000-000016050000}"/>
    <cellStyle name="40% - Accent3 2 2 2 6 2 2" xfId="15069" xr:uid="{52997AE9-B35E-4F51-8F6B-E310E87C3FA5}"/>
    <cellStyle name="40% - Accent3 2 2 2 6 3" xfId="10851" xr:uid="{F44673A6-7A70-4C60-9D80-BB80B0450BE0}"/>
    <cellStyle name="40% - Accent3 2 2 2 7" xfId="4574" xr:uid="{00000000-0005-0000-0000-000017050000}"/>
    <cellStyle name="40% - Accent3 2 2 2 7 2" xfId="13003" xr:uid="{08B05E87-E15F-44F2-9982-481B72EDDA45}"/>
    <cellStyle name="40% - Accent3 2 2 2 8" xfId="8785" xr:uid="{D7BD4107-5A18-4849-A864-3A006FED78A7}"/>
    <cellStyle name="40% - Accent3 2 2 3" xfId="637" xr:uid="{00000000-0005-0000-0000-000018050000}"/>
    <cellStyle name="40% - Accent3 2 2 3 2" xfId="2908" xr:uid="{00000000-0005-0000-0000-000019050000}"/>
    <cellStyle name="40% - Accent3 2 2 3 2 2" xfId="7132" xr:uid="{00000000-0005-0000-0000-00001A050000}"/>
    <cellStyle name="40% - Accent3 2 2 3 2 2 2" xfId="15561" xr:uid="{F44D71D7-1850-4718-A94D-CDE67B124CA4}"/>
    <cellStyle name="40% - Accent3 2 2 3 2 3" xfId="11343" xr:uid="{B40F0B37-0A3A-4A65-B3FE-4406D5376467}"/>
    <cellStyle name="40% - Accent3 2 2 3 3" xfId="4987" xr:uid="{00000000-0005-0000-0000-00001B050000}"/>
    <cellStyle name="40% - Accent3 2 2 3 3 2" xfId="13416" xr:uid="{FF0C6216-7B36-47FA-95A2-80CED6B2683B}"/>
    <cellStyle name="40% - Accent3 2 2 3 4" xfId="9198" xr:uid="{E56F61E3-837E-4AB1-975D-BBD87A51681D}"/>
    <cellStyle name="40% - Accent3 2 2 4" xfId="1090" xr:uid="{00000000-0005-0000-0000-00001C050000}"/>
    <cellStyle name="40% - Accent3 2 2 4 2" xfId="3321" xr:uid="{00000000-0005-0000-0000-00001D050000}"/>
    <cellStyle name="40% - Accent3 2 2 4 2 2" xfId="7545" xr:uid="{00000000-0005-0000-0000-00001E050000}"/>
    <cellStyle name="40% - Accent3 2 2 4 2 2 2" xfId="15974" xr:uid="{784BE545-4015-4F18-8255-6066C3D8C55D}"/>
    <cellStyle name="40% - Accent3 2 2 4 2 3" xfId="11756" xr:uid="{14EA43A7-8F14-4BD9-89E3-1D21B917117E}"/>
    <cellStyle name="40% - Accent3 2 2 4 3" xfId="5400" xr:uid="{00000000-0005-0000-0000-00001F050000}"/>
    <cellStyle name="40% - Accent3 2 2 4 3 2" xfId="13829" xr:uid="{FBB85277-EBE2-4820-9889-7A0AB119D35E}"/>
    <cellStyle name="40% - Accent3 2 2 4 4" xfId="9611" xr:uid="{1EE3A331-3130-47D6-AA71-E369B0CFCE94}"/>
    <cellStyle name="40% - Accent3 2 2 5" xfId="1504" xr:uid="{00000000-0005-0000-0000-000020050000}"/>
    <cellStyle name="40% - Accent3 2 2 5 2" xfId="3734" xr:uid="{00000000-0005-0000-0000-000021050000}"/>
    <cellStyle name="40% - Accent3 2 2 5 2 2" xfId="7958" xr:uid="{00000000-0005-0000-0000-000022050000}"/>
    <cellStyle name="40% - Accent3 2 2 5 2 2 2" xfId="16387" xr:uid="{3C4C6D78-5BE0-4E49-9D20-98F2174252D9}"/>
    <cellStyle name="40% - Accent3 2 2 5 2 3" xfId="12169" xr:uid="{BB8D4822-9289-4434-916E-3778F37BD495}"/>
    <cellStyle name="40% - Accent3 2 2 5 3" xfId="5813" xr:uid="{00000000-0005-0000-0000-000023050000}"/>
    <cellStyle name="40% - Accent3 2 2 5 3 2" xfId="14242" xr:uid="{F92426B2-70D8-4828-B51C-86E141F92DCA}"/>
    <cellStyle name="40% - Accent3 2 2 5 4" xfId="10024" xr:uid="{8990A66D-D049-4F00-B32D-6C500A964340}"/>
    <cellStyle name="40% - Accent3 2 2 6" xfId="1918" xr:uid="{00000000-0005-0000-0000-000024050000}"/>
    <cellStyle name="40% - Accent3 2 2 6 2" xfId="4147" xr:uid="{00000000-0005-0000-0000-000025050000}"/>
    <cellStyle name="40% - Accent3 2 2 6 2 2" xfId="8371" xr:uid="{00000000-0005-0000-0000-000026050000}"/>
    <cellStyle name="40% - Accent3 2 2 6 2 2 2" xfId="16800" xr:uid="{CB80E94F-909A-4CD5-AAC5-8CA258BE46A4}"/>
    <cellStyle name="40% - Accent3 2 2 6 2 3" xfId="12582" xr:uid="{48E358A4-07FE-4769-B06F-C1E1336C2A42}"/>
    <cellStyle name="40% - Accent3 2 2 6 3" xfId="6226" xr:uid="{00000000-0005-0000-0000-000027050000}"/>
    <cellStyle name="40% - Accent3 2 2 6 3 2" xfId="14655" xr:uid="{17FFAE52-8F96-460B-B956-87CBEB1B345F}"/>
    <cellStyle name="40% - Accent3 2 2 6 4" xfId="10437" xr:uid="{92E6CF4F-6BE3-479E-8CCA-337AAC6AB339}"/>
    <cellStyle name="40% - Accent3 2 2 7" xfId="2331" xr:uid="{00000000-0005-0000-0000-000028050000}"/>
    <cellStyle name="40% - Accent3 2 2 7 2" xfId="6639" xr:uid="{00000000-0005-0000-0000-000029050000}"/>
    <cellStyle name="40% - Accent3 2 2 7 2 2" xfId="15068" xr:uid="{4223DF7A-855E-46DA-92DF-8830B9E4477B}"/>
    <cellStyle name="40% - Accent3 2 2 7 3" xfId="10850" xr:uid="{95453968-A67A-4739-9B46-735C581E12BC}"/>
    <cellStyle name="40% - Accent3 2 2 8" xfId="4573" xr:uid="{00000000-0005-0000-0000-00002A050000}"/>
    <cellStyle name="40% - Accent3 2 2 8 2" xfId="13002" xr:uid="{72B12BF9-615A-4556-A80D-3E1B9117A6E5}"/>
    <cellStyle name="40% - Accent3 2 2 9" xfId="8784" xr:uid="{E29A08B4-8C58-4BFF-BE59-D812A82E9A16}"/>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2 2 2" xfId="15563" xr:uid="{DF98288E-5F94-47C5-8B9C-6BBA7E29990F}"/>
    <cellStyle name="40% - Accent3 2 3 2 2 3" xfId="11345" xr:uid="{59FE81C9-E846-449D-9BBA-E42C9C6D543D}"/>
    <cellStyle name="40% - Accent3 2 3 2 3" xfId="4989" xr:uid="{00000000-0005-0000-0000-00002F050000}"/>
    <cellStyle name="40% - Accent3 2 3 2 3 2" xfId="13418" xr:uid="{32324832-ECEB-467A-99BC-F4C0CDE80DFB}"/>
    <cellStyle name="40% - Accent3 2 3 2 4" xfId="9200" xr:uid="{1E73969A-265D-4FA3-A49F-5C99DCB45623}"/>
    <cellStyle name="40% - Accent3 2 3 3" xfId="1092" xr:uid="{00000000-0005-0000-0000-000030050000}"/>
    <cellStyle name="40% - Accent3 2 3 3 2" xfId="3323" xr:uid="{00000000-0005-0000-0000-000031050000}"/>
    <cellStyle name="40% - Accent3 2 3 3 2 2" xfId="7547" xr:uid="{00000000-0005-0000-0000-000032050000}"/>
    <cellStyle name="40% - Accent3 2 3 3 2 2 2" xfId="15976" xr:uid="{7224DA60-F2E2-430D-A332-B512CEC30423}"/>
    <cellStyle name="40% - Accent3 2 3 3 2 3" xfId="11758" xr:uid="{3E857054-20AD-4625-9D46-5AF37E708D8D}"/>
    <cellStyle name="40% - Accent3 2 3 3 3" xfId="5402" xr:uid="{00000000-0005-0000-0000-000033050000}"/>
    <cellStyle name="40% - Accent3 2 3 3 3 2" xfId="13831" xr:uid="{ADEE5684-0EFB-4542-BDAD-3A6B0F2D1B14}"/>
    <cellStyle name="40% - Accent3 2 3 3 4" xfId="9613" xr:uid="{017672F2-D8F0-486C-A879-CE58A05CE12A}"/>
    <cellStyle name="40% - Accent3 2 3 4" xfId="1506" xr:uid="{00000000-0005-0000-0000-000034050000}"/>
    <cellStyle name="40% - Accent3 2 3 4 2" xfId="3736" xr:uid="{00000000-0005-0000-0000-000035050000}"/>
    <cellStyle name="40% - Accent3 2 3 4 2 2" xfId="7960" xr:uid="{00000000-0005-0000-0000-000036050000}"/>
    <cellStyle name="40% - Accent3 2 3 4 2 2 2" xfId="16389" xr:uid="{77CB9F2D-DBF2-4735-A5E8-BA8C555C6CC1}"/>
    <cellStyle name="40% - Accent3 2 3 4 2 3" xfId="12171" xr:uid="{71F7B43D-7362-4E32-8AF8-5E2E96FF75D1}"/>
    <cellStyle name="40% - Accent3 2 3 4 3" xfId="5815" xr:uid="{00000000-0005-0000-0000-000037050000}"/>
    <cellStyle name="40% - Accent3 2 3 4 3 2" xfId="14244" xr:uid="{95706431-0DEA-40A5-8844-062A13E1EAC6}"/>
    <cellStyle name="40% - Accent3 2 3 4 4" xfId="10026" xr:uid="{7BA8E0C5-3EAD-48FB-A898-0F0E7B96D909}"/>
    <cellStyle name="40% - Accent3 2 3 5" xfId="1920" xr:uid="{00000000-0005-0000-0000-000038050000}"/>
    <cellStyle name="40% - Accent3 2 3 5 2" xfId="4149" xr:uid="{00000000-0005-0000-0000-000039050000}"/>
    <cellStyle name="40% - Accent3 2 3 5 2 2" xfId="8373" xr:uid="{00000000-0005-0000-0000-00003A050000}"/>
    <cellStyle name="40% - Accent3 2 3 5 2 2 2" xfId="16802" xr:uid="{02218795-8163-4A2C-9D54-E36414A4E1DB}"/>
    <cellStyle name="40% - Accent3 2 3 5 2 3" xfId="12584" xr:uid="{AE886A9B-C036-4C54-ABDB-D36B70E02838}"/>
    <cellStyle name="40% - Accent3 2 3 5 3" xfId="6228" xr:uid="{00000000-0005-0000-0000-00003B050000}"/>
    <cellStyle name="40% - Accent3 2 3 5 3 2" xfId="14657" xr:uid="{6A14AC4E-AA48-48B5-A4E0-F04327CA392F}"/>
    <cellStyle name="40% - Accent3 2 3 5 4" xfId="10439" xr:uid="{42820F94-28D0-4552-9FDE-E3264A613805}"/>
    <cellStyle name="40% - Accent3 2 3 6" xfId="2333" xr:uid="{00000000-0005-0000-0000-00003C050000}"/>
    <cellStyle name="40% - Accent3 2 3 6 2" xfId="6641" xr:uid="{00000000-0005-0000-0000-00003D050000}"/>
    <cellStyle name="40% - Accent3 2 3 6 2 2" xfId="15070" xr:uid="{00D8E87C-2842-4CC7-B87C-C4B46D91A8AB}"/>
    <cellStyle name="40% - Accent3 2 3 6 3" xfId="10852" xr:uid="{AD9B5E71-03BE-4AA1-AF36-4FFB455DE8CD}"/>
    <cellStyle name="40% - Accent3 2 3 7" xfId="4575" xr:uid="{00000000-0005-0000-0000-00003E050000}"/>
    <cellStyle name="40% - Accent3 2 3 7 2" xfId="13004" xr:uid="{DB137905-5B05-4018-9EFF-53E4D9DFA9FD}"/>
    <cellStyle name="40% - Accent3 2 3 8" xfId="8786" xr:uid="{17E73D59-E64D-4651-A0CA-E6A7EF5C039D}"/>
    <cellStyle name="40% - Accent3 2 4" xfId="636" xr:uid="{00000000-0005-0000-0000-00003F050000}"/>
    <cellStyle name="40% - Accent3 2 4 2" xfId="2907" xr:uid="{00000000-0005-0000-0000-000040050000}"/>
    <cellStyle name="40% - Accent3 2 4 2 2" xfId="7131" xr:uid="{00000000-0005-0000-0000-000041050000}"/>
    <cellStyle name="40% - Accent3 2 4 2 2 2" xfId="15560" xr:uid="{B08F4BC3-E681-4ABF-9DE9-7DA4F1036B49}"/>
    <cellStyle name="40% - Accent3 2 4 2 3" xfId="11342" xr:uid="{50064C32-A27F-427D-B13E-8BB5F14A6D71}"/>
    <cellStyle name="40% - Accent3 2 4 3" xfId="4986" xr:uid="{00000000-0005-0000-0000-000042050000}"/>
    <cellStyle name="40% - Accent3 2 4 3 2" xfId="13415" xr:uid="{E6649562-5468-4C2D-8418-68C0418BD2EA}"/>
    <cellStyle name="40% - Accent3 2 4 4" xfId="9197" xr:uid="{F00C2623-A50B-40C3-BB46-106DF55F6ADC}"/>
    <cellStyle name="40% - Accent3 2 5" xfId="1089" xr:uid="{00000000-0005-0000-0000-000043050000}"/>
    <cellStyle name="40% - Accent3 2 5 2" xfId="3320" xr:uid="{00000000-0005-0000-0000-000044050000}"/>
    <cellStyle name="40% - Accent3 2 5 2 2" xfId="7544" xr:uid="{00000000-0005-0000-0000-000045050000}"/>
    <cellStyle name="40% - Accent3 2 5 2 2 2" xfId="15973" xr:uid="{89D6C8ED-B8A1-4685-BCE5-A1A1AB5436A7}"/>
    <cellStyle name="40% - Accent3 2 5 2 3" xfId="11755" xr:uid="{E01202B0-1251-49B4-A718-F8940148A2AC}"/>
    <cellStyle name="40% - Accent3 2 5 3" xfId="5399" xr:uid="{00000000-0005-0000-0000-000046050000}"/>
    <cellStyle name="40% - Accent3 2 5 3 2" xfId="13828" xr:uid="{B2873DCA-A5AC-47C1-A6C6-B3B554991613}"/>
    <cellStyle name="40% - Accent3 2 5 4" xfId="9610" xr:uid="{4DAD03C4-8148-494C-8A74-B64AA11C37F0}"/>
    <cellStyle name="40% - Accent3 2 6" xfId="1503" xr:uid="{00000000-0005-0000-0000-000047050000}"/>
    <cellStyle name="40% - Accent3 2 6 2" xfId="3733" xr:uid="{00000000-0005-0000-0000-000048050000}"/>
    <cellStyle name="40% - Accent3 2 6 2 2" xfId="7957" xr:uid="{00000000-0005-0000-0000-000049050000}"/>
    <cellStyle name="40% - Accent3 2 6 2 2 2" xfId="16386" xr:uid="{D9E7A770-3175-417C-9B0C-CFC819F5ED39}"/>
    <cellStyle name="40% - Accent3 2 6 2 3" xfId="12168" xr:uid="{FBD95165-F3BB-4159-83CA-0CEE97064D6B}"/>
    <cellStyle name="40% - Accent3 2 6 3" xfId="5812" xr:uid="{00000000-0005-0000-0000-00004A050000}"/>
    <cellStyle name="40% - Accent3 2 6 3 2" xfId="14241" xr:uid="{510AF8E0-46A4-42CE-9219-B000658AB30D}"/>
    <cellStyle name="40% - Accent3 2 6 4" xfId="10023" xr:uid="{A8E447E9-6F39-45C3-9DAF-07A54C336EFA}"/>
    <cellStyle name="40% - Accent3 2 7" xfId="1917" xr:uid="{00000000-0005-0000-0000-00004B050000}"/>
    <cellStyle name="40% - Accent3 2 7 2" xfId="4146" xr:uid="{00000000-0005-0000-0000-00004C050000}"/>
    <cellStyle name="40% - Accent3 2 7 2 2" xfId="8370" xr:uid="{00000000-0005-0000-0000-00004D050000}"/>
    <cellStyle name="40% - Accent3 2 7 2 2 2" xfId="16799" xr:uid="{241DE2A0-4872-4F42-A090-B31207980240}"/>
    <cellStyle name="40% - Accent3 2 7 2 3" xfId="12581" xr:uid="{0DACC3B8-2FCD-4387-A1A0-4AA5CA534F41}"/>
    <cellStyle name="40% - Accent3 2 7 3" xfId="6225" xr:uid="{00000000-0005-0000-0000-00004E050000}"/>
    <cellStyle name="40% - Accent3 2 7 3 2" xfId="14654" xr:uid="{2EF852D3-D1AF-4C1F-9D55-8763B0F5493C}"/>
    <cellStyle name="40% - Accent3 2 7 4" xfId="10436" xr:uid="{20FF0A8B-4E6A-4AD3-9775-644D9641A5EC}"/>
    <cellStyle name="40% - Accent3 2 8" xfId="2330" xr:uid="{00000000-0005-0000-0000-00004F050000}"/>
    <cellStyle name="40% - Accent3 2 8 2" xfId="6638" xr:uid="{00000000-0005-0000-0000-000050050000}"/>
    <cellStyle name="40% - Accent3 2 8 2 2" xfId="15067" xr:uid="{6713D5A4-C0DC-4769-873A-D86D1EF2609E}"/>
    <cellStyle name="40% - Accent3 2 8 3" xfId="10849" xr:uid="{2A68CC24-81CE-460A-842C-4E831174657B}"/>
    <cellStyle name="40% - Accent3 2 9" xfId="4572" xr:uid="{00000000-0005-0000-0000-000051050000}"/>
    <cellStyle name="40% - Accent3 2 9 2" xfId="13001" xr:uid="{77ACC14C-C87D-4EB1-AC8C-6EBBE8F2A17A}"/>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2 2 2" xfId="15565" xr:uid="{7E68C15F-2029-4881-A585-020C7BBB32B0}"/>
    <cellStyle name="40% - Accent3 3 2 2 2 3" xfId="11347" xr:uid="{22FAA8DC-70A7-4788-ACDF-B7E385C5FDE6}"/>
    <cellStyle name="40% - Accent3 3 2 2 3" xfId="4991" xr:uid="{00000000-0005-0000-0000-000057050000}"/>
    <cellStyle name="40% - Accent3 3 2 2 3 2" xfId="13420" xr:uid="{775911EC-DCB6-4788-838B-731F89A6AC61}"/>
    <cellStyle name="40% - Accent3 3 2 2 4" xfId="9202" xr:uid="{12D553F2-1AF3-470A-838A-75FFC05EA321}"/>
    <cellStyle name="40% - Accent3 3 2 3" xfId="1094" xr:uid="{00000000-0005-0000-0000-000058050000}"/>
    <cellStyle name="40% - Accent3 3 2 3 2" xfId="3325" xr:uid="{00000000-0005-0000-0000-000059050000}"/>
    <cellStyle name="40% - Accent3 3 2 3 2 2" xfId="7549" xr:uid="{00000000-0005-0000-0000-00005A050000}"/>
    <cellStyle name="40% - Accent3 3 2 3 2 2 2" xfId="15978" xr:uid="{8A2DFB1D-D262-44BC-9490-C9D73123A671}"/>
    <cellStyle name="40% - Accent3 3 2 3 2 3" xfId="11760" xr:uid="{C616C85D-C19F-4132-BC5D-C971AD9AADF3}"/>
    <cellStyle name="40% - Accent3 3 2 3 3" xfId="5404" xr:uid="{00000000-0005-0000-0000-00005B050000}"/>
    <cellStyle name="40% - Accent3 3 2 3 3 2" xfId="13833" xr:uid="{19D5942A-2828-41F7-B982-9554C3C4E668}"/>
    <cellStyle name="40% - Accent3 3 2 3 4" xfId="9615" xr:uid="{A23B96B6-D576-458B-9756-36E1E06D837A}"/>
    <cellStyle name="40% - Accent3 3 2 4" xfId="1508" xr:uid="{00000000-0005-0000-0000-00005C050000}"/>
    <cellStyle name="40% - Accent3 3 2 4 2" xfId="3738" xr:uid="{00000000-0005-0000-0000-00005D050000}"/>
    <cellStyle name="40% - Accent3 3 2 4 2 2" xfId="7962" xr:uid="{00000000-0005-0000-0000-00005E050000}"/>
    <cellStyle name="40% - Accent3 3 2 4 2 2 2" xfId="16391" xr:uid="{0215C26F-515C-40B1-8672-DEA9A6197C45}"/>
    <cellStyle name="40% - Accent3 3 2 4 2 3" xfId="12173" xr:uid="{71CA6056-024C-4CF4-8DEB-26FE315F4565}"/>
    <cellStyle name="40% - Accent3 3 2 4 3" xfId="5817" xr:uid="{00000000-0005-0000-0000-00005F050000}"/>
    <cellStyle name="40% - Accent3 3 2 4 3 2" xfId="14246" xr:uid="{3D418F82-E5BF-494F-BB2E-372B234A8E05}"/>
    <cellStyle name="40% - Accent3 3 2 4 4" xfId="10028" xr:uid="{C36F8992-E214-4C93-B383-5539F0709774}"/>
    <cellStyle name="40% - Accent3 3 2 5" xfId="1922" xr:uid="{00000000-0005-0000-0000-000060050000}"/>
    <cellStyle name="40% - Accent3 3 2 5 2" xfId="4151" xr:uid="{00000000-0005-0000-0000-000061050000}"/>
    <cellStyle name="40% - Accent3 3 2 5 2 2" xfId="8375" xr:uid="{00000000-0005-0000-0000-000062050000}"/>
    <cellStyle name="40% - Accent3 3 2 5 2 2 2" xfId="16804" xr:uid="{642BA36A-4256-4764-BBAE-2AC85E014BE0}"/>
    <cellStyle name="40% - Accent3 3 2 5 2 3" xfId="12586" xr:uid="{2B6F0A0E-66A1-4FC6-8A6D-CA93B359C0CF}"/>
    <cellStyle name="40% - Accent3 3 2 5 3" xfId="6230" xr:uid="{00000000-0005-0000-0000-000063050000}"/>
    <cellStyle name="40% - Accent3 3 2 5 3 2" xfId="14659" xr:uid="{8416301C-85B4-4FE1-ADD0-BB6688F415BD}"/>
    <cellStyle name="40% - Accent3 3 2 5 4" xfId="10441" xr:uid="{85FCE7EE-2549-4CDC-B723-100485431427}"/>
    <cellStyle name="40% - Accent3 3 2 6" xfId="2335" xr:uid="{00000000-0005-0000-0000-000064050000}"/>
    <cellStyle name="40% - Accent3 3 2 6 2" xfId="6643" xr:uid="{00000000-0005-0000-0000-000065050000}"/>
    <cellStyle name="40% - Accent3 3 2 6 2 2" xfId="15072" xr:uid="{D7D94C0A-1C9A-4ECB-873E-E05A57CC37FA}"/>
    <cellStyle name="40% - Accent3 3 2 6 3" xfId="10854" xr:uid="{7BAC7330-BD07-4217-83CE-6E2E3F86A8E7}"/>
    <cellStyle name="40% - Accent3 3 2 7" xfId="4577" xr:uid="{00000000-0005-0000-0000-000066050000}"/>
    <cellStyle name="40% - Accent3 3 2 7 2" xfId="13006" xr:uid="{65369773-534F-45F8-A130-02FFB8E14041}"/>
    <cellStyle name="40% - Accent3 3 2 8" xfId="8788" xr:uid="{CB8B44C1-73CA-432C-848D-C5F5D2AE6AC2}"/>
    <cellStyle name="40% - Accent3 3 3" xfId="640" xr:uid="{00000000-0005-0000-0000-000067050000}"/>
    <cellStyle name="40% - Accent3 3 3 2" xfId="2911" xr:uid="{00000000-0005-0000-0000-000068050000}"/>
    <cellStyle name="40% - Accent3 3 3 2 2" xfId="7135" xr:uid="{00000000-0005-0000-0000-000069050000}"/>
    <cellStyle name="40% - Accent3 3 3 2 2 2" xfId="15564" xr:uid="{E7DCB670-3AB6-4CF6-85F1-EDEDC63D8F27}"/>
    <cellStyle name="40% - Accent3 3 3 2 3" xfId="11346" xr:uid="{2C2E8E6C-6B13-4A01-8B4D-7EFF7BFD64C8}"/>
    <cellStyle name="40% - Accent3 3 3 3" xfId="4990" xr:uid="{00000000-0005-0000-0000-00006A050000}"/>
    <cellStyle name="40% - Accent3 3 3 3 2" xfId="13419" xr:uid="{C4A3C068-3A17-463C-B2F3-5EAD841019C8}"/>
    <cellStyle name="40% - Accent3 3 3 4" xfId="9201" xr:uid="{3D0D4070-BEF9-4FE7-B4C3-C6AC7C592D97}"/>
    <cellStyle name="40% - Accent3 3 4" xfId="1093" xr:uid="{00000000-0005-0000-0000-00006B050000}"/>
    <cellStyle name="40% - Accent3 3 4 2" xfId="3324" xr:uid="{00000000-0005-0000-0000-00006C050000}"/>
    <cellStyle name="40% - Accent3 3 4 2 2" xfId="7548" xr:uid="{00000000-0005-0000-0000-00006D050000}"/>
    <cellStyle name="40% - Accent3 3 4 2 2 2" xfId="15977" xr:uid="{D69E8EF7-D4BF-4F7C-B4F5-1DA5124B0169}"/>
    <cellStyle name="40% - Accent3 3 4 2 3" xfId="11759" xr:uid="{AE278E2C-0A54-4BF7-AD2B-61A425C0D0BC}"/>
    <cellStyle name="40% - Accent3 3 4 3" xfId="5403" xr:uid="{00000000-0005-0000-0000-00006E050000}"/>
    <cellStyle name="40% - Accent3 3 4 3 2" xfId="13832" xr:uid="{C9AC1C4E-908A-4E94-9F2B-CD44E97E2B05}"/>
    <cellStyle name="40% - Accent3 3 4 4" xfId="9614" xr:uid="{53EB3B01-71DB-421F-BFAD-45EA3EBAADA7}"/>
    <cellStyle name="40% - Accent3 3 5" xfId="1507" xr:uid="{00000000-0005-0000-0000-00006F050000}"/>
    <cellStyle name="40% - Accent3 3 5 2" xfId="3737" xr:uid="{00000000-0005-0000-0000-000070050000}"/>
    <cellStyle name="40% - Accent3 3 5 2 2" xfId="7961" xr:uid="{00000000-0005-0000-0000-000071050000}"/>
    <cellStyle name="40% - Accent3 3 5 2 2 2" xfId="16390" xr:uid="{1F64916B-58C6-4C26-8356-B1CC609C7268}"/>
    <cellStyle name="40% - Accent3 3 5 2 3" xfId="12172" xr:uid="{514FC7FC-D75D-4D38-B472-EA579748956A}"/>
    <cellStyle name="40% - Accent3 3 5 3" xfId="5816" xr:uid="{00000000-0005-0000-0000-000072050000}"/>
    <cellStyle name="40% - Accent3 3 5 3 2" xfId="14245" xr:uid="{6D0E3839-2D22-4B8D-BDC9-865F18B81FCA}"/>
    <cellStyle name="40% - Accent3 3 5 4" xfId="10027" xr:uid="{68B543A8-BA3C-490D-9362-BD14675146F9}"/>
    <cellStyle name="40% - Accent3 3 6" xfId="1921" xr:uid="{00000000-0005-0000-0000-000073050000}"/>
    <cellStyle name="40% - Accent3 3 6 2" xfId="4150" xr:uid="{00000000-0005-0000-0000-000074050000}"/>
    <cellStyle name="40% - Accent3 3 6 2 2" xfId="8374" xr:uid="{00000000-0005-0000-0000-000075050000}"/>
    <cellStyle name="40% - Accent3 3 6 2 2 2" xfId="16803" xr:uid="{70116F6E-4C42-4A2F-A89F-F38CBE03635C}"/>
    <cellStyle name="40% - Accent3 3 6 2 3" xfId="12585" xr:uid="{910F5488-5641-459E-9A9C-8CCDA0C1F82B}"/>
    <cellStyle name="40% - Accent3 3 6 3" xfId="6229" xr:uid="{00000000-0005-0000-0000-000076050000}"/>
    <cellStyle name="40% - Accent3 3 6 3 2" xfId="14658" xr:uid="{A9245F2B-7CA9-446F-94C7-65461F8424B2}"/>
    <cellStyle name="40% - Accent3 3 6 4" xfId="10440" xr:uid="{9055AECF-C4FD-4AFB-80B6-E5080DDE5BC5}"/>
    <cellStyle name="40% - Accent3 3 7" xfId="2334" xr:uid="{00000000-0005-0000-0000-000077050000}"/>
    <cellStyle name="40% - Accent3 3 7 2" xfId="6642" xr:uid="{00000000-0005-0000-0000-000078050000}"/>
    <cellStyle name="40% - Accent3 3 7 2 2" xfId="15071" xr:uid="{EA09FC86-94FF-4425-B9FF-21AE5EA046A6}"/>
    <cellStyle name="40% - Accent3 3 7 3" xfId="10853" xr:uid="{61B8AB57-8BF6-406B-A401-7D7BBE335A19}"/>
    <cellStyle name="40% - Accent3 3 8" xfId="4576" xr:uid="{00000000-0005-0000-0000-000079050000}"/>
    <cellStyle name="40% - Accent3 3 8 2" xfId="13005" xr:uid="{1E792835-C682-4C36-9801-A3F2632F2732}"/>
    <cellStyle name="40% - Accent3 3 9" xfId="8787" xr:uid="{EF5283D8-EABD-4C07-B25C-2DA9438C96A1}"/>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2 2 2" xfId="15566" xr:uid="{1F45B8D0-030F-4BAF-9C6C-35E37D93B709}"/>
    <cellStyle name="40% - Accent3 4 2 2 3" xfId="11348" xr:uid="{E16635F8-4BFC-4155-8C2A-A382B0690967}"/>
    <cellStyle name="40% - Accent3 4 2 3" xfId="4992" xr:uid="{00000000-0005-0000-0000-00007E050000}"/>
    <cellStyle name="40% - Accent3 4 2 3 2" xfId="13421" xr:uid="{2058DF83-FF09-4438-89F7-89E08E642B01}"/>
    <cellStyle name="40% - Accent3 4 2 4" xfId="9203" xr:uid="{87715539-BCCF-4A1D-A9D9-E27452C8F855}"/>
    <cellStyle name="40% - Accent3 4 3" xfId="1095" xr:uid="{00000000-0005-0000-0000-00007F050000}"/>
    <cellStyle name="40% - Accent3 4 3 2" xfId="3326" xr:uid="{00000000-0005-0000-0000-000080050000}"/>
    <cellStyle name="40% - Accent3 4 3 2 2" xfId="7550" xr:uid="{00000000-0005-0000-0000-000081050000}"/>
    <cellStyle name="40% - Accent3 4 3 2 2 2" xfId="15979" xr:uid="{2BC63711-BAB9-45E4-B3A4-46A645053E93}"/>
    <cellStyle name="40% - Accent3 4 3 2 3" xfId="11761" xr:uid="{7049CA4F-CDF6-4101-B35A-CC3F2622F2E4}"/>
    <cellStyle name="40% - Accent3 4 3 3" xfId="5405" xr:uid="{00000000-0005-0000-0000-000082050000}"/>
    <cellStyle name="40% - Accent3 4 3 3 2" xfId="13834" xr:uid="{3CF28D5B-F36B-47C9-A01A-8A2E240434DA}"/>
    <cellStyle name="40% - Accent3 4 3 4" xfId="9616" xr:uid="{82E85B3A-6C65-4A39-917F-C39D000D6413}"/>
    <cellStyle name="40% - Accent3 4 4" xfId="1509" xr:uid="{00000000-0005-0000-0000-000083050000}"/>
    <cellStyle name="40% - Accent3 4 4 2" xfId="3739" xr:uid="{00000000-0005-0000-0000-000084050000}"/>
    <cellStyle name="40% - Accent3 4 4 2 2" xfId="7963" xr:uid="{00000000-0005-0000-0000-000085050000}"/>
    <cellStyle name="40% - Accent3 4 4 2 2 2" xfId="16392" xr:uid="{5A59C234-5D61-43B1-876E-DCCC3F5BA7DE}"/>
    <cellStyle name="40% - Accent3 4 4 2 3" xfId="12174" xr:uid="{04ED268B-3F8A-4BC2-8356-D21DE5421485}"/>
    <cellStyle name="40% - Accent3 4 4 3" xfId="5818" xr:uid="{00000000-0005-0000-0000-000086050000}"/>
    <cellStyle name="40% - Accent3 4 4 3 2" xfId="14247" xr:uid="{0C5CB2D0-639B-499C-9598-658D83FB885F}"/>
    <cellStyle name="40% - Accent3 4 4 4" xfId="10029" xr:uid="{C1BA5EC8-ECE9-4167-9DF9-B8822C1BAFCC}"/>
    <cellStyle name="40% - Accent3 4 5" xfId="1923" xr:uid="{00000000-0005-0000-0000-000087050000}"/>
    <cellStyle name="40% - Accent3 4 5 2" xfId="4152" xr:uid="{00000000-0005-0000-0000-000088050000}"/>
    <cellStyle name="40% - Accent3 4 5 2 2" xfId="8376" xr:uid="{00000000-0005-0000-0000-000089050000}"/>
    <cellStyle name="40% - Accent3 4 5 2 2 2" xfId="16805" xr:uid="{7B0FD22D-8880-4892-8453-61AF387F4F9F}"/>
    <cellStyle name="40% - Accent3 4 5 2 3" xfId="12587" xr:uid="{14DDD483-BE49-48A9-996C-8BA30163D0D7}"/>
    <cellStyle name="40% - Accent3 4 5 3" xfId="6231" xr:uid="{00000000-0005-0000-0000-00008A050000}"/>
    <cellStyle name="40% - Accent3 4 5 3 2" xfId="14660" xr:uid="{FA6F7967-869D-4C0E-8CCD-E2538C2040EF}"/>
    <cellStyle name="40% - Accent3 4 5 4" xfId="10442" xr:uid="{5F2E7262-AF5D-4A6E-9758-F158BC62D205}"/>
    <cellStyle name="40% - Accent3 4 6" xfId="2336" xr:uid="{00000000-0005-0000-0000-00008B050000}"/>
    <cellStyle name="40% - Accent3 4 6 2" xfId="6644" xr:uid="{00000000-0005-0000-0000-00008C050000}"/>
    <cellStyle name="40% - Accent3 4 6 2 2" xfId="15073" xr:uid="{33C284A9-1719-437D-9098-DEFC0F95F178}"/>
    <cellStyle name="40% - Accent3 4 6 3" xfId="10855" xr:uid="{327D3389-BE5A-4876-9334-6A97FEFC23CC}"/>
    <cellStyle name="40% - Accent3 4 7" xfId="4578" xr:uid="{00000000-0005-0000-0000-00008D050000}"/>
    <cellStyle name="40% - Accent3 4 7 2" xfId="13007" xr:uid="{E57D8015-2F6D-43FF-BCDA-03E5581529E3}"/>
    <cellStyle name="40% - Accent3 4 8" xfId="8789" xr:uid="{E2D26599-0D69-4F46-91D4-FE1DEB48E60E}"/>
    <cellStyle name="40% - Accent3 5" xfId="635" xr:uid="{00000000-0005-0000-0000-00008E050000}"/>
    <cellStyle name="40% - Accent3 5 2" xfId="2906" xr:uid="{00000000-0005-0000-0000-00008F050000}"/>
    <cellStyle name="40% - Accent3 5 2 2" xfId="7130" xr:uid="{00000000-0005-0000-0000-000090050000}"/>
    <cellStyle name="40% - Accent3 5 2 2 2" xfId="15559" xr:uid="{5DE666E6-3EE9-4CFC-84DE-9B81E547A7E3}"/>
    <cellStyle name="40% - Accent3 5 2 3" xfId="11341" xr:uid="{94BF8ECB-0DCC-46B7-8BF4-CDC5E5A377CA}"/>
    <cellStyle name="40% - Accent3 5 3" xfId="4985" xr:uid="{00000000-0005-0000-0000-000091050000}"/>
    <cellStyle name="40% - Accent3 5 3 2" xfId="13414" xr:uid="{A657469B-D837-41AE-8331-B9D042A0FECB}"/>
    <cellStyle name="40% - Accent3 5 4" xfId="9196" xr:uid="{3B9F5B49-1595-4AF1-BDA9-4F0421F97CC9}"/>
    <cellStyle name="40% - Accent3 6" xfId="1088" xr:uid="{00000000-0005-0000-0000-000092050000}"/>
    <cellStyle name="40% - Accent3 6 2" xfId="3319" xr:uid="{00000000-0005-0000-0000-000093050000}"/>
    <cellStyle name="40% - Accent3 6 2 2" xfId="7543" xr:uid="{00000000-0005-0000-0000-000094050000}"/>
    <cellStyle name="40% - Accent3 6 2 2 2" xfId="15972" xr:uid="{25C235E4-503E-4A52-8691-86ECFD617ECF}"/>
    <cellStyle name="40% - Accent3 6 2 3" xfId="11754" xr:uid="{B152448F-1981-48AB-AC17-8D0B876BCE3B}"/>
    <cellStyle name="40% - Accent3 6 3" xfId="5398" xr:uid="{00000000-0005-0000-0000-000095050000}"/>
    <cellStyle name="40% - Accent3 6 3 2" xfId="13827" xr:uid="{9F4DBD9E-64A9-47F4-A1C3-1CF8CE246DDD}"/>
    <cellStyle name="40% - Accent3 6 4" xfId="9609" xr:uid="{97194DE9-23A6-43F8-8083-24B8434AF96F}"/>
    <cellStyle name="40% - Accent3 7" xfId="1502" xr:uid="{00000000-0005-0000-0000-000096050000}"/>
    <cellStyle name="40% - Accent3 7 2" xfId="3732" xr:uid="{00000000-0005-0000-0000-000097050000}"/>
    <cellStyle name="40% - Accent3 7 2 2" xfId="7956" xr:uid="{00000000-0005-0000-0000-000098050000}"/>
    <cellStyle name="40% - Accent3 7 2 2 2" xfId="16385" xr:uid="{307CDC9D-4BE2-484E-96C9-CF0BD8A55C3D}"/>
    <cellStyle name="40% - Accent3 7 2 3" xfId="12167" xr:uid="{18C46F87-0DA8-4348-A67C-C0C0D63033F9}"/>
    <cellStyle name="40% - Accent3 7 3" xfId="5811" xr:uid="{00000000-0005-0000-0000-000099050000}"/>
    <cellStyle name="40% - Accent3 7 3 2" xfId="14240" xr:uid="{07E876EC-7EA1-4C7F-A961-FC9348D2A1B7}"/>
    <cellStyle name="40% - Accent3 7 4" xfId="10022" xr:uid="{C6CF06B1-CB0D-4B5F-B58A-0F6152D46915}"/>
    <cellStyle name="40% - Accent3 8" xfId="1916" xr:uid="{00000000-0005-0000-0000-00009A050000}"/>
    <cellStyle name="40% - Accent3 8 2" xfId="4145" xr:uid="{00000000-0005-0000-0000-00009B050000}"/>
    <cellStyle name="40% - Accent3 8 2 2" xfId="8369" xr:uid="{00000000-0005-0000-0000-00009C050000}"/>
    <cellStyle name="40% - Accent3 8 2 2 2" xfId="16798" xr:uid="{0E3A5077-47F1-4AE9-8A0A-3A6A9CFFA45A}"/>
    <cellStyle name="40% - Accent3 8 2 3" xfId="12580" xr:uid="{9854B6B6-56BD-4928-90CF-506A7F84930A}"/>
    <cellStyle name="40% - Accent3 8 3" xfId="6224" xr:uid="{00000000-0005-0000-0000-00009D050000}"/>
    <cellStyle name="40% - Accent3 8 3 2" xfId="14653" xr:uid="{A4D3B461-8C7A-42FF-B000-839C43B2A4B1}"/>
    <cellStyle name="40% - Accent3 8 4" xfId="10435" xr:uid="{BC0D288E-2EDF-442C-8853-9EBDFBB1138C}"/>
    <cellStyle name="40% - Accent3 9" xfId="2329" xr:uid="{00000000-0005-0000-0000-00009E050000}"/>
    <cellStyle name="40% - Accent3 9 2" xfId="6637" xr:uid="{00000000-0005-0000-0000-00009F050000}"/>
    <cellStyle name="40% - Accent3 9 2 2" xfId="15066" xr:uid="{2E523183-49FE-4308-91F6-195BC263E5EE}"/>
    <cellStyle name="40% - Accent3 9 3" xfId="10848" xr:uid="{5BD93ADA-6D0D-4D6C-859E-D0D89A79FC81}"/>
    <cellStyle name="40% - Accent4" xfId="73" builtinId="43" customBuiltin="1"/>
    <cellStyle name="40% - Accent4 10" xfId="4579" xr:uid="{00000000-0005-0000-0000-0000A1050000}"/>
    <cellStyle name="40% - Accent4 10 2" xfId="13008" xr:uid="{05B5565A-18A1-42E5-838A-CFA656E83AD2}"/>
    <cellStyle name="40% - Accent4 11" xfId="8790" xr:uid="{E77A7A39-D1B4-4938-9D70-64D0F3B38BA3}"/>
    <cellStyle name="40% - Accent4 2" xfId="74" xr:uid="{00000000-0005-0000-0000-0000A2050000}"/>
    <cellStyle name="40% - Accent4 2 10" xfId="8791" xr:uid="{39372462-F1F2-4FE1-88D8-465E4E7FC6EA}"/>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2 2 2" xfId="15570" xr:uid="{DE56191B-CA3E-40B6-B193-C84518E20FAE}"/>
    <cellStyle name="40% - Accent4 2 2 2 2 2 3" xfId="11352" xr:uid="{4C0F28E6-3888-4D8A-9FF5-E1C1A1EF2A08}"/>
    <cellStyle name="40% - Accent4 2 2 2 2 3" xfId="4996" xr:uid="{00000000-0005-0000-0000-0000A8050000}"/>
    <cellStyle name="40% - Accent4 2 2 2 2 3 2" xfId="13425" xr:uid="{F44BA555-669A-4606-974C-9FAF2287D473}"/>
    <cellStyle name="40% - Accent4 2 2 2 2 4" xfId="9207" xr:uid="{08BDCE3D-1659-433E-B727-AA547775878A}"/>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2 2 2" xfId="15983" xr:uid="{C7437AD4-ACC7-445D-A242-E0203F5C2C44}"/>
    <cellStyle name="40% - Accent4 2 2 2 3 2 3" xfId="11765" xr:uid="{D9442C73-C29E-4076-91D3-2288017E8D86}"/>
    <cellStyle name="40% - Accent4 2 2 2 3 3" xfId="5409" xr:uid="{00000000-0005-0000-0000-0000AC050000}"/>
    <cellStyle name="40% - Accent4 2 2 2 3 3 2" xfId="13838" xr:uid="{29049C61-C73A-440D-9498-CC2AF49E51DC}"/>
    <cellStyle name="40% - Accent4 2 2 2 3 4" xfId="9620" xr:uid="{27D733D5-9C50-439A-A2FF-C8D4908FD2CD}"/>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2 2 2" xfId="16396" xr:uid="{8DAE03E2-B09B-4756-AD42-B87B91916C4B}"/>
    <cellStyle name="40% - Accent4 2 2 2 4 2 3" xfId="12178" xr:uid="{DB410E54-139A-4269-A7EA-EA848EB84E3A}"/>
    <cellStyle name="40% - Accent4 2 2 2 4 3" xfId="5822" xr:uid="{00000000-0005-0000-0000-0000B0050000}"/>
    <cellStyle name="40% - Accent4 2 2 2 4 3 2" xfId="14251" xr:uid="{AD6D450C-98CF-40F7-9A3C-187B2741575D}"/>
    <cellStyle name="40% - Accent4 2 2 2 4 4" xfId="10033" xr:uid="{E655A6F0-9404-480A-9A94-888299C21DB4}"/>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2 2 2" xfId="16809" xr:uid="{E158222D-FA5A-433A-B4EA-4BF99547A5FC}"/>
    <cellStyle name="40% - Accent4 2 2 2 5 2 3" xfId="12591" xr:uid="{F2BCC1D5-704C-44FD-BC84-518B3A34BDBF}"/>
    <cellStyle name="40% - Accent4 2 2 2 5 3" xfId="6235" xr:uid="{00000000-0005-0000-0000-0000B4050000}"/>
    <cellStyle name="40% - Accent4 2 2 2 5 3 2" xfId="14664" xr:uid="{CC74DD79-7B60-455F-B79A-44FDFF5C00B7}"/>
    <cellStyle name="40% - Accent4 2 2 2 5 4" xfId="10446" xr:uid="{E60DA6B5-1256-4A4E-AEE9-892D1DDAF16B}"/>
    <cellStyle name="40% - Accent4 2 2 2 6" xfId="2340" xr:uid="{00000000-0005-0000-0000-0000B5050000}"/>
    <cellStyle name="40% - Accent4 2 2 2 6 2" xfId="6648" xr:uid="{00000000-0005-0000-0000-0000B6050000}"/>
    <cellStyle name="40% - Accent4 2 2 2 6 2 2" xfId="15077" xr:uid="{8908D950-E285-4168-BC26-F07713724E7A}"/>
    <cellStyle name="40% - Accent4 2 2 2 6 3" xfId="10859" xr:uid="{805B5945-DDCF-4568-B9B1-5C74557A26ED}"/>
    <cellStyle name="40% - Accent4 2 2 2 7" xfId="4582" xr:uid="{00000000-0005-0000-0000-0000B7050000}"/>
    <cellStyle name="40% - Accent4 2 2 2 7 2" xfId="13011" xr:uid="{EE0B7616-94D8-49A8-B73E-42D749900E13}"/>
    <cellStyle name="40% - Accent4 2 2 2 8" xfId="8793" xr:uid="{084AFD48-F75C-4538-B123-95AC492C35C2}"/>
    <cellStyle name="40% - Accent4 2 2 3" xfId="645" xr:uid="{00000000-0005-0000-0000-0000B8050000}"/>
    <cellStyle name="40% - Accent4 2 2 3 2" xfId="2916" xr:uid="{00000000-0005-0000-0000-0000B9050000}"/>
    <cellStyle name="40% - Accent4 2 2 3 2 2" xfId="7140" xr:uid="{00000000-0005-0000-0000-0000BA050000}"/>
    <cellStyle name="40% - Accent4 2 2 3 2 2 2" xfId="15569" xr:uid="{00349C56-457C-45F1-837D-825D6158614C}"/>
    <cellStyle name="40% - Accent4 2 2 3 2 3" xfId="11351" xr:uid="{C5BE7CA8-9EF9-49A0-BE71-060CEC1C6397}"/>
    <cellStyle name="40% - Accent4 2 2 3 3" xfId="4995" xr:uid="{00000000-0005-0000-0000-0000BB050000}"/>
    <cellStyle name="40% - Accent4 2 2 3 3 2" xfId="13424" xr:uid="{BE6405C0-1A6A-4BD2-B299-E8043EA2F260}"/>
    <cellStyle name="40% - Accent4 2 2 3 4" xfId="9206" xr:uid="{B150689C-819C-4089-B1DF-F8AE6D1FA6A8}"/>
    <cellStyle name="40% - Accent4 2 2 4" xfId="1098" xr:uid="{00000000-0005-0000-0000-0000BC050000}"/>
    <cellStyle name="40% - Accent4 2 2 4 2" xfId="3329" xr:uid="{00000000-0005-0000-0000-0000BD050000}"/>
    <cellStyle name="40% - Accent4 2 2 4 2 2" xfId="7553" xr:uid="{00000000-0005-0000-0000-0000BE050000}"/>
    <cellStyle name="40% - Accent4 2 2 4 2 2 2" xfId="15982" xr:uid="{A9B9C949-FB20-4082-AEA4-8ABB37C82A72}"/>
    <cellStyle name="40% - Accent4 2 2 4 2 3" xfId="11764" xr:uid="{499E3F5E-7625-4CDD-9410-609781EA5795}"/>
    <cellStyle name="40% - Accent4 2 2 4 3" xfId="5408" xr:uid="{00000000-0005-0000-0000-0000BF050000}"/>
    <cellStyle name="40% - Accent4 2 2 4 3 2" xfId="13837" xr:uid="{2A1A1795-6DD4-4016-979E-C94E6B908B87}"/>
    <cellStyle name="40% - Accent4 2 2 4 4" xfId="9619" xr:uid="{A7F089BB-2AA5-4C58-A5C5-EAC97707F5C7}"/>
    <cellStyle name="40% - Accent4 2 2 5" xfId="1512" xr:uid="{00000000-0005-0000-0000-0000C0050000}"/>
    <cellStyle name="40% - Accent4 2 2 5 2" xfId="3742" xr:uid="{00000000-0005-0000-0000-0000C1050000}"/>
    <cellStyle name="40% - Accent4 2 2 5 2 2" xfId="7966" xr:uid="{00000000-0005-0000-0000-0000C2050000}"/>
    <cellStyle name="40% - Accent4 2 2 5 2 2 2" xfId="16395" xr:uid="{A7F2052C-7454-4476-8221-D8CC2CF186C7}"/>
    <cellStyle name="40% - Accent4 2 2 5 2 3" xfId="12177" xr:uid="{248338E8-DC8F-48FB-BDB7-02EE11471D3A}"/>
    <cellStyle name="40% - Accent4 2 2 5 3" xfId="5821" xr:uid="{00000000-0005-0000-0000-0000C3050000}"/>
    <cellStyle name="40% - Accent4 2 2 5 3 2" xfId="14250" xr:uid="{EBB6C6CF-5C74-4301-9F53-AD03A1B1398F}"/>
    <cellStyle name="40% - Accent4 2 2 5 4" xfId="10032" xr:uid="{ADE19F5C-3AE0-4CA0-A4A5-F268CDCBC1A0}"/>
    <cellStyle name="40% - Accent4 2 2 6" xfId="1926" xr:uid="{00000000-0005-0000-0000-0000C4050000}"/>
    <cellStyle name="40% - Accent4 2 2 6 2" xfId="4155" xr:uid="{00000000-0005-0000-0000-0000C5050000}"/>
    <cellStyle name="40% - Accent4 2 2 6 2 2" xfId="8379" xr:uid="{00000000-0005-0000-0000-0000C6050000}"/>
    <cellStyle name="40% - Accent4 2 2 6 2 2 2" xfId="16808" xr:uid="{30FC990F-2339-41F3-A16C-702B8B2FAA9A}"/>
    <cellStyle name="40% - Accent4 2 2 6 2 3" xfId="12590" xr:uid="{08B123D7-1855-47DC-82B2-50DE75CA1F57}"/>
    <cellStyle name="40% - Accent4 2 2 6 3" xfId="6234" xr:uid="{00000000-0005-0000-0000-0000C7050000}"/>
    <cellStyle name="40% - Accent4 2 2 6 3 2" xfId="14663" xr:uid="{B819244F-FB9A-4A05-BF17-01E102B1D9DC}"/>
    <cellStyle name="40% - Accent4 2 2 6 4" xfId="10445" xr:uid="{DF782C1E-56D9-4CB6-A7EE-EC555B6AF2A1}"/>
    <cellStyle name="40% - Accent4 2 2 7" xfId="2339" xr:uid="{00000000-0005-0000-0000-0000C8050000}"/>
    <cellStyle name="40% - Accent4 2 2 7 2" xfId="6647" xr:uid="{00000000-0005-0000-0000-0000C9050000}"/>
    <cellStyle name="40% - Accent4 2 2 7 2 2" xfId="15076" xr:uid="{94BA275D-AE78-4E4C-B18A-350FB3C1B803}"/>
    <cellStyle name="40% - Accent4 2 2 7 3" xfId="10858" xr:uid="{D7A84ECF-EBBB-4101-8704-2FE4F93CAC3F}"/>
    <cellStyle name="40% - Accent4 2 2 8" xfId="4581" xr:uid="{00000000-0005-0000-0000-0000CA050000}"/>
    <cellStyle name="40% - Accent4 2 2 8 2" xfId="13010" xr:uid="{FAB14D82-9474-43FE-9B07-DA2E60889D4C}"/>
    <cellStyle name="40% - Accent4 2 2 9" xfId="8792" xr:uid="{6A0EEC8A-DF2F-414B-8C1B-095B5D8CFD17}"/>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2 2 2" xfId="15571" xr:uid="{68F76F49-8C00-4F02-92AA-EF8C0A1AAE82}"/>
    <cellStyle name="40% - Accent4 2 3 2 2 3" xfId="11353" xr:uid="{24DA594E-6AD4-463D-878F-F07846D7B0F8}"/>
    <cellStyle name="40% - Accent4 2 3 2 3" xfId="4997" xr:uid="{00000000-0005-0000-0000-0000CF050000}"/>
    <cellStyle name="40% - Accent4 2 3 2 3 2" xfId="13426" xr:uid="{EB71F498-9CA0-4994-A41C-D2B0A85D3984}"/>
    <cellStyle name="40% - Accent4 2 3 2 4" xfId="9208" xr:uid="{63C9ED0B-3537-4958-A5D7-146F6AC2DAAE}"/>
    <cellStyle name="40% - Accent4 2 3 3" xfId="1100" xr:uid="{00000000-0005-0000-0000-0000D0050000}"/>
    <cellStyle name="40% - Accent4 2 3 3 2" xfId="3331" xr:uid="{00000000-0005-0000-0000-0000D1050000}"/>
    <cellStyle name="40% - Accent4 2 3 3 2 2" xfId="7555" xr:uid="{00000000-0005-0000-0000-0000D2050000}"/>
    <cellStyle name="40% - Accent4 2 3 3 2 2 2" xfId="15984" xr:uid="{8D766C8F-C4DA-4133-879B-1827FA8EF96B}"/>
    <cellStyle name="40% - Accent4 2 3 3 2 3" xfId="11766" xr:uid="{AFC9BD49-04B6-4527-83B8-59815F6B4A2E}"/>
    <cellStyle name="40% - Accent4 2 3 3 3" xfId="5410" xr:uid="{00000000-0005-0000-0000-0000D3050000}"/>
    <cellStyle name="40% - Accent4 2 3 3 3 2" xfId="13839" xr:uid="{76180E65-D07E-4932-9FC2-BC383D507B81}"/>
    <cellStyle name="40% - Accent4 2 3 3 4" xfId="9621" xr:uid="{CE1C9DA9-5E9E-4043-A6FF-8B433DABAEF8}"/>
    <cellStyle name="40% - Accent4 2 3 4" xfId="1514" xr:uid="{00000000-0005-0000-0000-0000D4050000}"/>
    <cellStyle name="40% - Accent4 2 3 4 2" xfId="3744" xr:uid="{00000000-0005-0000-0000-0000D5050000}"/>
    <cellStyle name="40% - Accent4 2 3 4 2 2" xfId="7968" xr:uid="{00000000-0005-0000-0000-0000D6050000}"/>
    <cellStyle name="40% - Accent4 2 3 4 2 2 2" xfId="16397" xr:uid="{9336E6BA-C71D-474E-AF06-7751B86B6D93}"/>
    <cellStyle name="40% - Accent4 2 3 4 2 3" xfId="12179" xr:uid="{F4EE2340-535B-429F-84AA-10090BB28A87}"/>
    <cellStyle name="40% - Accent4 2 3 4 3" xfId="5823" xr:uid="{00000000-0005-0000-0000-0000D7050000}"/>
    <cellStyle name="40% - Accent4 2 3 4 3 2" xfId="14252" xr:uid="{17BD983B-AFC0-40FE-A264-E5681A9B0A4A}"/>
    <cellStyle name="40% - Accent4 2 3 4 4" xfId="10034" xr:uid="{B3164F56-C35D-404D-BBE5-24F4C00593D9}"/>
    <cellStyle name="40% - Accent4 2 3 5" xfId="1928" xr:uid="{00000000-0005-0000-0000-0000D8050000}"/>
    <cellStyle name="40% - Accent4 2 3 5 2" xfId="4157" xr:uid="{00000000-0005-0000-0000-0000D9050000}"/>
    <cellStyle name="40% - Accent4 2 3 5 2 2" xfId="8381" xr:uid="{00000000-0005-0000-0000-0000DA050000}"/>
    <cellStyle name="40% - Accent4 2 3 5 2 2 2" xfId="16810" xr:uid="{6D0B5CAB-E9FA-459E-8B0F-5FDF854E7EF6}"/>
    <cellStyle name="40% - Accent4 2 3 5 2 3" xfId="12592" xr:uid="{91A9EFD3-5012-4D52-8258-FE2768A5AD3C}"/>
    <cellStyle name="40% - Accent4 2 3 5 3" xfId="6236" xr:uid="{00000000-0005-0000-0000-0000DB050000}"/>
    <cellStyle name="40% - Accent4 2 3 5 3 2" xfId="14665" xr:uid="{841D7EA5-6242-4E47-B421-3035CFA55373}"/>
    <cellStyle name="40% - Accent4 2 3 5 4" xfId="10447" xr:uid="{E07FBF13-AC61-4778-86C0-B8B9F086C119}"/>
    <cellStyle name="40% - Accent4 2 3 6" xfId="2341" xr:uid="{00000000-0005-0000-0000-0000DC050000}"/>
    <cellStyle name="40% - Accent4 2 3 6 2" xfId="6649" xr:uid="{00000000-0005-0000-0000-0000DD050000}"/>
    <cellStyle name="40% - Accent4 2 3 6 2 2" xfId="15078" xr:uid="{D3F8D581-A892-4871-8611-50FC7014BBEC}"/>
    <cellStyle name="40% - Accent4 2 3 6 3" xfId="10860" xr:uid="{5E5C22C7-D378-405E-819B-2A0C6B87EAFE}"/>
    <cellStyle name="40% - Accent4 2 3 7" xfId="4583" xr:uid="{00000000-0005-0000-0000-0000DE050000}"/>
    <cellStyle name="40% - Accent4 2 3 7 2" xfId="13012" xr:uid="{ECC58A86-74E6-46E4-AD76-0475D5378EAB}"/>
    <cellStyle name="40% - Accent4 2 3 8" xfId="8794" xr:uid="{66C0CD9D-BD8D-49E3-A2A7-04057F3CDF13}"/>
    <cellStyle name="40% - Accent4 2 4" xfId="644" xr:uid="{00000000-0005-0000-0000-0000DF050000}"/>
    <cellStyle name="40% - Accent4 2 4 2" xfId="2915" xr:uid="{00000000-0005-0000-0000-0000E0050000}"/>
    <cellStyle name="40% - Accent4 2 4 2 2" xfId="7139" xr:uid="{00000000-0005-0000-0000-0000E1050000}"/>
    <cellStyle name="40% - Accent4 2 4 2 2 2" xfId="15568" xr:uid="{D63A8545-A228-46ED-A39F-1DF80942BFBB}"/>
    <cellStyle name="40% - Accent4 2 4 2 3" xfId="11350" xr:uid="{A2E10403-4EDF-4218-B057-5DD848C0613C}"/>
    <cellStyle name="40% - Accent4 2 4 3" xfId="4994" xr:uid="{00000000-0005-0000-0000-0000E2050000}"/>
    <cellStyle name="40% - Accent4 2 4 3 2" xfId="13423" xr:uid="{7AA21065-CAAC-4BDC-8E1E-98BDBDD89773}"/>
    <cellStyle name="40% - Accent4 2 4 4" xfId="9205" xr:uid="{D2E78082-73EE-48F4-9F98-243F353D476E}"/>
    <cellStyle name="40% - Accent4 2 5" xfId="1097" xr:uid="{00000000-0005-0000-0000-0000E3050000}"/>
    <cellStyle name="40% - Accent4 2 5 2" xfId="3328" xr:uid="{00000000-0005-0000-0000-0000E4050000}"/>
    <cellStyle name="40% - Accent4 2 5 2 2" xfId="7552" xr:uid="{00000000-0005-0000-0000-0000E5050000}"/>
    <cellStyle name="40% - Accent4 2 5 2 2 2" xfId="15981" xr:uid="{A2E0F276-06DA-49C5-9987-40560CBC8E97}"/>
    <cellStyle name="40% - Accent4 2 5 2 3" xfId="11763" xr:uid="{A520A60C-999B-49D7-97F0-ED77E234B8DA}"/>
    <cellStyle name="40% - Accent4 2 5 3" xfId="5407" xr:uid="{00000000-0005-0000-0000-0000E6050000}"/>
    <cellStyle name="40% - Accent4 2 5 3 2" xfId="13836" xr:uid="{DCE5F8BB-7D38-4041-A8C1-6822D2E22D88}"/>
    <cellStyle name="40% - Accent4 2 5 4" xfId="9618" xr:uid="{CF025FB6-8226-46B8-A2D1-D1DA4482A526}"/>
    <cellStyle name="40% - Accent4 2 6" xfId="1511" xr:uid="{00000000-0005-0000-0000-0000E7050000}"/>
    <cellStyle name="40% - Accent4 2 6 2" xfId="3741" xr:uid="{00000000-0005-0000-0000-0000E8050000}"/>
    <cellStyle name="40% - Accent4 2 6 2 2" xfId="7965" xr:uid="{00000000-0005-0000-0000-0000E9050000}"/>
    <cellStyle name="40% - Accent4 2 6 2 2 2" xfId="16394" xr:uid="{05D6DAA1-CC45-4DCA-AB73-17AD32361A0C}"/>
    <cellStyle name="40% - Accent4 2 6 2 3" xfId="12176" xr:uid="{56B17582-42F5-42DE-BF3F-DD6FB80B5483}"/>
    <cellStyle name="40% - Accent4 2 6 3" xfId="5820" xr:uid="{00000000-0005-0000-0000-0000EA050000}"/>
    <cellStyle name="40% - Accent4 2 6 3 2" xfId="14249" xr:uid="{5A8F17A5-A694-46FC-8682-86BC028C1511}"/>
    <cellStyle name="40% - Accent4 2 6 4" xfId="10031" xr:uid="{4C74BCAF-768B-4954-BBC6-98AE12563546}"/>
    <cellStyle name="40% - Accent4 2 7" xfId="1925" xr:uid="{00000000-0005-0000-0000-0000EB050000}"/>
    <cellStyle name="40% - Accent4 2 7 2" xfId="4154" xr:uid="{00000000-0005-0000-0000-0000EC050000}"/>
    <cellStyle name="40% - Accent4 2 7 2 2" xfId="8378" xr:uid="{00000000-0005-0000-0000-0000ED050000}"/>
    <cellStyle name="40% - Accent4 2 7 2 2 2" xfId="16807" xr:uid="{F95C1FF9-061D-4E22-9BD7-239FAA0A2D9B}"/>
    <cellStyle name="40% - Accent4 2 7 2 3" xfId="12589" xr:uid="{5ED0CC3B-9025-4323-9635-992A502D094D}"/>
    <cellStyle name="40% - Accent4 2 7 3" xfId="6233" xr:uid="{00000000-0005-0000-0000-0000EE050000}"/>
    <cellStyle name="40% - Accent4 2 7 3 2" xfId="14662" xr:uid="{998C5C0E-DE9D-42AE-BA6A-006A79171366}"/>
    <cellStyle name="40% - Accent4 2 7 4" xfId="10444" xr:uid="{60C01AB9-6FD3-483B-9BFA-2C373AFFC99C}"/>
    <cellStyle name="40% - Accent4 2 8" xfId="2338" xr:uid="{00000000-0005-0000-0000-0000EF050000}"/>
    <cellStyle name="40% - Accent4 2 8 2" xfId="6646" xr:uid="{00000000-0005-0000-0000-0000F0050000}"/>
    <cellStyle name="40% - Accent4 2 8 2 2" xfId="15075" xr:uid="{1B9858EE-C996-434B-829E-78FF05B03F98}"/>
    <cellStyle name="40% - Accent4 2 8 3" xfId="10857" xr:uid="{7F2C6C4A-AE86-43F0-A19E-25462B6510EB}"/>
    <cellStyle name="40% - Accent4 2 9" xfId="4580" xr:uid="{00000000-0005-0000-0000-0000F1050000}"/>
    <cellStyle name="40% - Accent4 2 9 2" xfId="13009" xr:uid="{1920C039-107B-41E0-BF0E-680BF50DD1CC}"/>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2 2 2" xfId="15573" xr:uid="{96F4DFC9-3694-491A-8FFC-CD2EF080C7A7}"/>
    <cellStyle name="40% - Accent4 3 2 2 2 3" xfId="11355" xr:uid="{FE1D1E34-E002-4627-85C2-7EC180273E85}"/>
    <cellStyle name="40% - Accent4 3 2 2 3" xfId="4999" xr:uid="{00000000-0005-0000-0000-0000F7050000}"/>
    <cellStyle name="40% - Accent4 3 2 2 3 2" xfId="13428" xr:uid="{CC00C4F8-D25B-4C48-AA6E-E5907C75A5BD}"/>
    <cellStyle name="40% - Accent4 3 2 2 4" xfId="9210" xr:uid="{D1D1B0BC-E25A-4915-A70C-0BFED3F81B88}"/>
    <cellStyle name="40% - Accent4 3 2 3" xfId="1102" xr:uid="{00000000-0005-0000-0000-0000F8050000}"/>
    <cellStyle name="40% - Accent4 3 2 3 2" xfId="3333" xr:uid="{00000000-0005-0000-0000-0000F9050000}"/>
    <cellStyle name="40% - Accent4 3 2 3 2 2" xfId="7557" xr:uid="{00000000-0005-0000-0000-0000FA050000}"/>
    <cellStyle name="40% - Accent4 3 2 3 2 2 2" xfId="15986" xr:uid="{59D83F87-BBD9-425E-8D2B-F9D16D7E3D6C}"/>
    <cellStyle name="40% - Accent4 3 2 3 2 3" xfId="11768" xr:uid="{D095A321-2E29-4542-9708-BAADDBA8FE55}"/>
    <cellStyle name="40% - Accent4 3 2 3 3" xfId="5412" xr:uid="{00000000-0005-0000-0000-0000FB050000}"/>
    <cellStyle name="40% - Accent4 3 2 3 3 2" xfId="13841" xr:uid="{877E0087-0193-45A3-BC4C-76A360F2EE76}"/>
    <cellStyle name="40% - Accent4 3 2 3 4" xfId="9623" xr:uid="{6977C6AC-C508-4C00-8FD5-544F939BD1FB}"/>
    <cellStyle name="40% - Accent4 3 2 4" xfId="1516" xr:uid="{00000000-0005-0000-0000-0000FC050000}"/>
    <cellStyle name="40% - Accent4 3 2 4 2" xfId="3746" xr:uid="{00000000-0005-0000-0000-0000FD050000}"/>
    <cellStyle name="40% - Accent4 3 2 4 2 2" xfId="7970" xr:uid="{00000000-0005-0000-0000-0000FE050000}"/>
    <cellStyle name="40% - Accent4 3 2 4 2 2 2" xfId="16399" xr:uid="{C49EF70D-D6A1-4E59-902A-32E6F0D8B418}"/>
    <cellStyle name="40% - Accent4 3 2 4 2 3" xfId="12181" xr:uid="{323A12EB-1109-422E-AB57-3985A3087552}"/>
    <cellStyle name="40% - Accent4 3 2 4 3" xfId="5825" xr:uid="{00000000-0005-0000-0000-0000FF050000}"/>
    <cellStyle name="40% - Accent4 3 2 4 3 2" xfId="14254" xr:uid="{7EEEC137-2C5B-4597-BD84-A01A39BCAAB8}"/>
    <cellStyle name="40% - Accent4 3 2 4 4" xfId="10036" xr:uid="{693D5A36-26D0-4325-9F5E-6224889ABE77}"/>
    <cellStyle name="40% - Accent4 3 2 5" xfId="1930" xr:uid="{00000000-0005-0000-0000-000000060000}"/>
    <cellStyle name="40% - Accent4 3 2 5 2" xfId="4159" xr:uid="{00000000-0005-0000-0000-000001060000}"/>
    <cellStyle name="40% - Accent4 3 2 5 2 2" xfId="8383" xr:uid="{00000000-0005-0000-0000-000002060000}"/>
    <cellStyle name="40% - Accent4 3 2 5 2 2 2" xfId="16812" xr:uid="{587A2427-9CA7-4FA8-BAC8-EDA83CC4C806}"/>
    <cellStyle name="40% - Accent4 3 2 5 2 3" xfId="12594" xr:uid="{EED7DA13-9E72-4815-B110-AEB0FB49BEB2}"/>
    <cellStyle name="40% - Accent4 3 2 5 3" xfId="6238" xr:uid="{00000000-0005-0000-0000-000003060000}"/>
    <cellStyle name="40% - Accent4 3 2 5 3 2" xfId="14667" xr:uid="{C8922741-46D8-4E48-9869-452720630DD2}"/>
    <cellStyle name="40% - Accent4 3 2 5 4" xfId="10449" xr:uid="{C9A96C71-6737-4BBD-8BF3-FD59AC592BD3}"/>
    <cellStyle name="40% - Accent4 3 2 6" xfId="2343" xr:uid="{00000000-0005-0000-0000-000004060000}"/>
    <cellStyle name="40% - Accent4 3 2 6 2" xfId="6651" xr:uid="{00000000-0005-0000-0000-000005060000}"/>
    <cellStyle name="40% - Accent4 3 2 6 2 2" xfId="15080" xr:uid="{64E58B5F-2B65-4A7B-AC86-8ABE587ACB6D}"/>
    <cellStyle name="40% - Accent4 3 2 6 3" xfId="10862" xr:uid="{EF9FCF3E-AA9A-40A4-9A99-BCF65FF1E40C}"/>
    <cellStyle name="40% - Accent4 3 2 7" xfId="4585" xr:uid="{00000000-0005-0000-0000-000006060000}"/>
    <cellStyle name="40% - Accent4 3 2 7 2" xfId="13014" xr:uid="{E73209B0-4052-41ED-8FD2-22D8B2FAF821}"/>
    <cellStyle name="40% - Accent4 3 2 8" xfId="8796" xr:uid="{B215A28E-6FF0-4F52-B3C8-803187FB0C24}"/>
    <cellStyle name="40% - Accent4 3 3" xfId="648" xr:uid="{00000000-0005-0000-0000-000007060000}"/>
    <cellStyle name="40% - Accent4 3 3 2" xfId="2919" xr:uid="{00000000-0005-0000-0000-000008060000}"/>
    <cellStyle name="40% - Accent4 3 3 2 2" xfId="7143" xr:uid="{00000000-0005-0000-0000-000009060000}"/>
    <cellStyle name="40% - Accent4 3 3 2 2 2" xfId="15572" xr:uid="{62A59C2E-B42D-429E-8946-AA0C6A6035FF}"/>
    <cellStyle name="40% - Accent4 3 3 2 3" xfId="11354" xr:uid="{D19FBD71-1563-4C30-B440-F6CE0F00F968}"/>
    <cellStyle name="40% - Accent4 3 3 3" xfId="4998" xr:uid="{00000000-0005-0000-0000-00000A060000}"/>
    <cellStyle name="40% - Accent4 3 3 3 2" xfId="13427" xr:uid="{E1F786DA-EAB8-4B93-9448-517623003546}"/>
    <cellStyle name="40% - Accent4 3 3 4" xfId="9209" xr:uid="{208F6A91-F501-4659-AF31-363B215A2F90}"/>
    <cellStyle name="40% - Accent4 3 4" xfId="1101" xr:uid="{00000000-0005-0000-0000-00000B060000}"/>
    <cellStyle name="40% - Accent4 3 4 2" xfId="3332" xr:uid="{00000000-0005-0000-0000-00000C060000}"/>
    <cellStyle name="40% - Accent4 3 4 2 2" xfId="7556" xr:uid="{00000000-0005-0000-0000-00000D060000}"/>
    <cellStyle name="40% - Accent4 3 4 2 2 2" xfId="15985" xr:uid="{F54AAE4B-6B79-46A0-8ACD-F0CE8DA10D7E}"/>
    <cellStyle name="40% - Accent4 3 4 2 3" xfId="11767" xr:uid="{E883C174-4F11-43F6-BBF1-5F364B6937C4}"/>
    <cellStyle name="40% - Accent4 3 4 3" xfId="5411" xr:uid="{00000000-0005-0000-0000-00000E060000}"/>
    <cellStyle name="40% - Accent4 3 4 3 2" xfId="13840" xr:uid="{5BFB49FC-0762-400C-BA83-8BA284D8FB1B}"/>
    <cellStyle name="40% - Accent4 3 4 4" xfId="9622" xr:uid="{662FC4C4-2717-4D22-AA29-A38C66F25CBB}"/>
    <cellStyle name="40% - Accent4 3 5" xfId="1515" xr:uid="{00000000-0005-0000-0000-00000F060000}"/>
    <cellStyle name="40% - Accent4 3 5 2" xfId="3745" xr:uid="{00000000-0005-0000-0000-000010060000}"/>
    <cellStyle name="40% - Accent4 3 5 2 2" xfId="7969" xr:uid="{00000000-0005-0000-0000-000011060000}"/>
    <cellStyle name="40% - Accent4 3 5 2 2 2" xfId="16398" xr:uid="{3233D8DA-CBFC-4469-9D1D-E5426B17BAA7}"/>
    <cellStyle name="40% - Accent4 3 5 2 3" xfId="12180" xr:uid="{B8C463F0-E585-4FE2-9BE0-2B59B82BA52D}"/>
    <cellStyle name="40% - Accent4 3 5 3" xfId="5824" xr:uid="{00000000-0005-0000-0000-000012060000}"/>
    <cellStyle name="40% - Accent4 3 5 3 2" xfId="14253" xr:uid="{57274738-4115-46C7-A513-84FBB5E4ACF1}"/>
    <cellStyle name="40% - Accent4 3 5 4" xfId="10035" xr:uid="{3F2980C5-F6C9-4206-A605-81B066CC60E6}"/>
    <cellStyle name="40% - Accent4 3 6" xfId="1929" xr:uid="{00000000-0005-0000-0000-000013060000}"/>
    <cellStyle name="40% - Accent4 3 6 2" xfId="4158" xr:uid="{00000000-0005-0000-0000-000014060000}"/>
    <cellStyle name="40% - Accent4 3 6 2 2" xfId="8382" xr:uid="{00000000-0005-0000-0000-000015060000}"/>
    <cellStyle name="40% - Accent4 3 6 2 2 2" xfId="16811" xr:uid="{772DA8D0-90EA-451B-88EA-66F7B061B946}"/>
    <cellStyle name="40% - Accent4 3 6 2 3" xfId="12593" xr:uid="{29FA9B21-13DC-4CC8-9D1A-CE3A7EBE1B04}"/>
    <cellStyle name="40% - Accent4 3 6 3" xfId="6237" xr:uid="{00000000-0005-0000-0000-000016060000}"/>
    <cellStyle name="40% - Accent4 3 6 3 2" xfId="14666" xr:uid="{5A7024D2-4881-4055-BC73-28F9A9F6CB7E}"/>
    <cellStyle name="40% - Accent4 3 6 4" xfId="10448" xr:uid="{B8AF70B4-1C69-4DF9-BD84-57CED2B77784}"/>
    <cellStyle name="40% - Accent4 3 7" xfId="2342" xr:uid="{00000000-0005-0000-0000-000017060000}"/>
    <cellStyle name="40% - Accent4 3 7 2" xfId="6650" xr:uid="{00000000-0005-0000-0000-000018060000}"/>
    <cellStyle name="40% - Accent4 3 7 2 2" xfId="15079" xr:uid="{2BE607B9-A494-4969-AC14-2E252477D906}"/>
    <cellStyle name="40% - Accent4 3 7 3" xfId="10861" xr:uid="{56E5716E-8AEF-49B4-8DF9-5B5513B68FE5}"/>
    <cellStyle name="40% - Accent4 3 8" xfId="4584" xr:uid="{00000000-0005-0000-0000-000019060000}"/>
    <cellStyle name="40% - Accent4 3 8 2" xfId="13013" xr:uid="{1C521A59-4AE6-4B5B-9204-B9D37723D56F}"/>
    <cellStyle name="40% - Accent4 3 9" xfId="8795" xr:uid="{07B8EAE9-659A-4A23-8327-F4C628B25782}"/>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2 2 2" xfId="15574" xr:uid="{F685017F-4D6D-43E1-907D-405A358976C2}"/>
    <cellStyle name="40% - Accent4 4 2 2 3" xfId="11356" xr:uid="{ECC7C0DB-7A39-4791-B012-B694435C997F}"/>
    <cellStyle name="40% - Accent4 4 2 3" xfId="5000" xr:uid="{00000000-0005-0000-0000-00001E060000}"/>
    <cellStyle name="40% - Accent4 4 2 3 2" xfId="13429" xr:uid="{FE3E9B63-F1AA-40D4-8219-0092955BAB5E}"/>
    <cellStyle name="40% - Accent4 4 2 4" xfId="9211" xr:uid="{CBC87578-5D8A-4432-8ECF-B4DF3475D781}"/>
    <cellStyle name="40% - Accent4 4 3" xfId="1103" xr:uid="{00000000-0005-0000-0000-00001F060000}"/>
    <cellStyle name="40% - Accent4 4 3 2" xfId="3334" xr:uid="{00000000-0005-0000-0000-000020060000}"/>
    <cellStyle name="40% - Accent4 4 3 2 2" xfId="7558" xr:uid="{00000000-0005-0000-0000-000021060000}"/>
    <cellStyle name="40% - Accent4 4 3 2 2 2" xfId="15987" xr:uid="{10BBDAE4-EF65-4E49-BCFA-8D63A0CDFE1F}"/>
    <cellStyle name="40% - Accent4 4 3 2 3" xfId="11769" xr:uid="{40451891-3700-40E5-906B-2EDE0F446E10}"/>
    <cellStyle name="40% - Accent4 4 3 3" xfId="5413" xr:uid="{00000000-0005-0000-0000-000022060000}"/>
    <cellStyle name="40% - Accent4 4 3 3 2" xfId="13842" xr:uid="{4584C5F1-CE17-457E-A48A-EE11BF3CB7E0}"/>
    <cellStyle name="40% - Accent4 4 3 4" xfId="9624" xr:uid="{B35A720E-0843-4E11-8E5E-5341C935AF84}"/>
    <cellStyle name="40% - Accent4 4 4" xfId="1517" xr:uid="{00000000-0005-0000-0000-000023060000}"/>
    <cellStyle name="40% - Accent4 4 4 2" xfId="3747" xr:uid="{00000000-0005-0000-0000-000024060000}"/>
    <cellStyle name="40% - Accent4 4 4 2 2" xfId="7971" xr:uid="{00000000-0005-0000-0000-000025060000}"/>
    <cellStyle name="40% - Accent4 4 4 2 2 2" xfId="16400" xr:uid="{40BDEE9D-0EF8-41CD-A356-70FEE7C3E2E0}"/>
    <cellStyle name="40% - Accent4 4 4 2 3" xfId="12182" xr:uid="{1DFA9DED-8C19-4197-8086-0D03B2B52802}"/>
    <cellStyle name="40% - Accent4 4 4 3" xfId="5826" xr:uid="{00000000-0005-0000-0000-000026060000}"/>
    <cellStyle name="40% - Accent4 4 4 3 2" xfId="14255" xr:uid="{A78B0AC3-3F20-4457-88B6-6DB551EC9F32}"/>
    <cellStyle name="40% - Accent4 4 4 4" xfId="10037" xr:uid="{E99C9ECE-6DB8-4C19-AD48-FB265FB1D5AB}"/>
    <cellStyle name="40% - Accent4 4 5" xfId="1931" xr:uid="{00000000-0005-0000-0000-000027060000}"/>
    <cellStyle name="40% - Accent4 4 5 2" xfId="4160" xr:uid="{00000000-0005-0000-0000-000028060000}"/>
    <cellStyle name="40% - Accent4 4 5 2 2" xfId="8384" xr:uid="{00000000-0005-0000-0000-000029060000}"/>
    <cellStyle name="40% - Accent4 4 5 2 2 2" xfId="16813" xr:uid="{79B6A40A-AB48-4EA0-8B06-133E0CD5DF0F}"/>
    <cellStyle name="40% - Accent4 4 5 2 3" xfId="12595" xr:uid="{A5871CE8-789A-4929-9B64-E25B05D69200}"/>
    <cellStyle name="40% - Accent4 4 5 3" xfId="6239" xr:uid="{00000000-0005-0000-0000-00002A060000}"/>
    <cellStyle name="40% - Accent4 4 5 3 2" xfId="14668" xr:uid="{9558EB97-7867-422F-97E8-4C4785277D98}"/>
    <cellStyle name="40% - Accent4 4 5 4" xfId="10450" xr:uid="{D414682C-682C-408C-BBD9-4E3103C9CCA2}"/>
    <cellStyle name="40% - Accent4 4 6" xfId="2344" xr:uid="{00000000-0005-0000-0000-00002B060000}"/>
    <cellStyle name="40% - Accent4 4 6 2" xfId="6652" xr:uid="{00000000-0005-0000-0000-00002C060000}"/>
    <cellStyle name="40% - Accent4 4 6 2 2" xfId="15081" xr:uid="{98E3F213-B516-496C-83E1-6A7414CBC749}"/>
    <cellStyle name="40% - Accent4 4 6 3" xfId="10863" xr:uid="{3956D0A3-0E37-44BC-89E6-06D8C2B1C08A}"/>
    <cellStyle name="40% - Accent4 4 7" xfId="4586" xr:uid="{00000000-0005-0000-0000-00002D060000}"/>
    <cellStyle name="40% - Accent4 4 7 2" xfId="13015" xr:uid="{0996F778-6279-405E-974E-5D35F5859D16}"/>
    <cellStyle name="40% - Accent4 4 8" xfId="8797" xr:uid="{C9434E76-81FB-4BA2-AB19-77E28E3A371F}"/>
    <cellStyle name="40% - Accent4 5" xfId="643" xr:uid="{00000000-0005-0000-0000-00002E060000}"/>
    <cellStyle name="40% - Accent4 5 2" xfId="2914" xr:uid="{00000000-0005-0000-0000-00002F060000}"/>
    <cellStyle name="40% - Accent4 5 2 2" xfId="7138" xr:uid="{00000000-0005-0000-0000-000030060000}"/>
    <cellStyle name="40% - Accent4 5 2 2 2" xfId="15567" xr:uid="{9BCB471F-48E4-403A-9EAD-FF4A380DD451}"/>
    <cellStyle name="40% - Accent4 5 2 3" xfId="11349" xr:uid="{61012D58-EE5C-45B1-82EB-7246CD76C26D}"/>
    <cellStyle name="40% - Accent4 5 3" xfId="4993" xr:uid="{00000000-0005-0000-0000-000031060000}"/>
    <cellStyle name="40% - Accent4 5 3 2" xfId="13422" xr:uid="{B62CAEB2-B7E8-43E3-8BD5-13FEB5EDA10E}"/>
    <cellStyle name="40% - Accent4 5 4" xfId="9204" xr:uid="{F25FCF16-092C-42F3-8476-0415B6FB3EEF}"/>
    <cellStyle name="40% - Accent4 6" xfId="1096" xr:uid="{00000000-0005-0000-0000-000032060000}"/>
    <cellStyle name="40% - Accent4 6 2" xfId="3327" xr:uid="{00000000-0005-0000-0000-000033060000}"/>
    <cellStyle name="40% - Accent4 6 2 2" xfId="7551" xr:uid="{00000000-0005-0000-0000-000034060000}"/>
    <cellStyle name="40% - Accent4 6 2 2 2" xfId="15980" xr:uid="{68BBEC3B-F67C-44DD-AFDC-83FE4CD2242A}"/>
    <cellStyle name="40% - Accent4 6 2 3" xfId="11762" xr:uid="{6EA4B016-1242-4984-8326-78FAB619E2CE}"/>
    <cellStyle name="40% - Accent4 6 3" xfId="5406" xr:uid="{00000000-0005-0000-0000-000035060000}"/>
    <cellStyle name="40% - Accent4 6 3 2" xfId="13835" xr:uid="{E68698B6-6341-42D8-9AE6-3E18B366F036}"/>
    <cellStyle name="40% - Accent4 6 4" xfId="9617" xr:uid="{A0973AFC-1E28-46ED-A812-1CE793F015AB}"/>
    <cellStyle name="40% - Accent4 7" xfId="1510" xr:uid="{00000000-0005-0000-0000-000036060000}"/>
    <cellStyle name="40% - Accent4 7 2" xfId="3740" xr:uid="{00000000-0005-0000-0000-000037060000}"/>
    <cellStyle name="40% - Accent4 7 2 2" xfId="7964" xr:uid="{00000000-0005-0000-0000-000038060000}"/>
    <cellStyle name="40% - Accent4 7 2 2 2" xfId="16393" xr:uid="{644C741E-C509-46BA-BBF1-7473BFFF0AC6}"/>
    <cellStyle name="40% - Accent4 7 2 3" xfId="12175" xr:uid="{181059E2-1A0B-4CE1-AF9F-E1234DE7FE0F}"/>
    <cellStyle name="40% - Accent4 7 3" xfId="5819" xr:uid="{00000000-0005-0000-0000-000039060000}"/>
    <cellStyle name="40% - Accent4 7 3 2" xfId="14248" xr:uid="{AAAFFEFA-3DC6-420E-AED6-699DA8B469AC}"/>
    <cellStyle name="40% - Accent4 7 4" xfId="10030" xr:uid="{37140D5E-A66E-4EB1-A463-A2884678B8CF}"/>
    <cellStyle name="40% - Accent4 8" xfId="1924" xr:uid="{00000000-0005-0000-0000-00003A060000}"/>
    <cellStyle name="40% - Accent4 8 2" xfId="4153" xr:uid="{00000000-0005-0000-0000-00003B060000}"/>
    <cellStyle name="40% - Accent4 8 2 2" xfId="8377" xr:uid="{00000000-0005-0000-0000-00003C060000}"/>
    <cellStyle name="40% - Accent4 8 2 2 2" xfId="16806" xr:uid="{E6EE932C-7A87-4029-9C73-D573F845BA39}"/>
    <cellStyle name="40% - Accent4 8 2 3" xfId="12588" xr:uid="{BBA62177-5B45-4D94-A8A5-0C8358632355}"/>
    <cellStyle name="40% - Accent4 8 3" xfId="6232" xr:uid="{00000000-0005-0000-0000-00003D060000}"/>
    <cellStyle name="40% - Accent4 8 3 2" xfId="14661" xr:uid="{83B0E437-F597-40A6-8490-13558236A2F5}"/>
    <cellStyle name="40% - Accent4 8 4" xfId="10443" xr:uid="{7EC45BBC-D17C-417D-998C-C7CE0CC26802}"/>
    <cellStyle name="40% - Accent4 9" xfId="2337" xr:uid="{00000000-0005-0000-0000-00003E060000}"/>
    <cellStyle name="40% - Accent4 9 2" xfId="6645" xr:uid="{00000000-0005-0000-0000-00003F060000}"/>
    <cellStyle name="40% - Accent4 9 2 2" xfId="15074" xr:uid="{70EBCE0F-0305-4444-B326-C6EA9C641537}"/>
    <cellStyle name="40% - Accent4 9 3" xfId="10856" xr:uid="{6FBFCEF7-1713-46D1-BD08-2BE2F4A7ED50}"/>
    <cellStyle name="40% - Accent5" xfId="81" builtinId="47" customBuiltin="1"/>
    <cellStyle name="40% - Accent5 10" xfId="4587" xr:uid="{00000000-0005-0000-0000-000041060000}"/>
    <cellStyle name="40% - Accent5 10 2" xfId="13016" xr:uid="{42549C02-111F-4874-962D-2691420472BA}"/>
    <cellStyle name="40% - Accent5 11" xfId="8798" xr:uid="{3B014847-3F73-4FEB-A05E-6DCD683EAF0E}"/>
    <cellStyle name="40% - Accent5 2" xfId="82" xr:uid="{00000000-0005-0000-0000-000042060000}"/>
    <cellStyle name="40% - Accent5 2 10" xfId="8799" xr:uid="{06876A5A-72F1-4022-8049-FD9499803C43}"/>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2 2 2" xfId="15578" xr:uid="{D90C03A6-D44C-4921-803B-20884BBFFA3A}"/>
    <cellStyle name="40% - Accent5 2 2 2 2 2 3" xfId="11360" xr:uid="{E0E74D4F-547E-481D-B0F2-426070A54646}"/>
    <cellStyle name="40% - Accent5 2 2 2 2 3" xfId="5004" xr:uid="{00000000-0005-0000-0000-000048060000}"/>
    <cellStyle name="40% - Accent5 2 2 2 2 3 2" xfId="13433" xr:uid="{0F82352C-154E-4261-AA66-3BD616C9BA70}"/>
    <cellStyle name="40% - Accent5 2 2 2 2 4" xfId="9215" xr:uid="{C9914B68-B617-4CF4-A511-B767952BBE57}"/>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2 2 2" xfId="15991" xr:uid="{78098168-5688-49E4-9DDD-D655B41EA158}"/>
    <cellStyle name="40% - Accent5 2 2 2 3 2 3" xfId="11773" xr:uid="{D71EAD76-3B3A-4216-81E0-DF5E6AAAA47B}"/>
    <cellStyle name="40% - Accent5 2 2 2 3 3" xfId="5417" xr:uid="{00000000-0005-0000-0000-00004C060000}"/>
    <cellStyle name="40% - Accent5 2 2 2 3 3 2" xfId="13846" xr:uid="{82749241-D40D-495B-B740-405C8A21F1B7}"/>
    <cellStyle name="40% - Accent5 2 2 2 3 4" xfId="9628" xr:uid="{CCBE61ED-AC51-48D3-B126-6C8B9FBCED9F}"/>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2 2 2" xfId="16404" xr:uid="{529E236A-F347-44E1-803F-06E2FD489985}"/>
    <cellStyle name="40% - Accent5 2 2 2 4 2 3" xfId="12186" xr:uid="{1970E324-EF4B-41C6-8948-54AD02EABF4C}"/>
    <cellStyle name="40% - Accent5 2 2 2 4 3" xfId="5830" xr:uid="{00000000-0005-0000-0000-000050060000}"/>
    <cellStyle name="40% - Accent5 2 2 2 4 3 2" xfId="14259" xr:uid="{F238CD53-C552-4BAF-83A8-BFE47DCB17D8}"/>
    <cellStyle name="40% - Accent5 2 2 2 4 4" xfId="10041" xr:uid="{A64EFF38-C233-4080-A31F-9BDB358A4AC7}"/>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2 2 2" xfId="16817" xr:uid="{4EA4F5B7-26C8-49B3-8D75-16366FF0EE73}"/>
    <cellStyle name="40% - Accent5 2 2 2 5 2 3" xfId="12599" xr:uid="{AD29D3D8-0393-4D61-BC1B-5BF12563472D}"/>
    <cellStyle name="40% - Accent5 2 2 2 5 3" xfId="6243" xr:uid="{00000000-0005-0000-0000-000054060000}"/>
    <cellStyle name="40% - Accent5 2 2 2 5 3 2" xfId="14672" xr:uid="{7EA4D592-1AAE-4966-8EAD-52025CEFE626}"/>
    <cellStyle name="40% - Accent5 2 2 2 5 4" xfId="10454" xr:uid="{2113DBA7-24B7-4667-A132-2C03412B39FB}"/>
    <cellStyle name="40% - Accent5 2 2 2 6" xfId="2348" xr:uid="{00000000-0005-0000-0000-000055060000}"/>
    <cellStyle name="40% - Accent5 2 2 2 6 2" xfId="6656" xr:uid="{00000000-0005-0000-0000-000056060000}"/>
    <cellStyle name="40% - Accent5 2 2 2 6 2 2" xfId="15085" xr:uid="{9DC49FB2-5968-4578-A3A9-FC820E3D301F}"/>
    <cellStyle name="40% - Accent5 2 2 2 6 3" xfId="10867" xr:uid="{3C676A66-BCBB-4A67-9351-37E00C2708F5}"/>
    <cellStyle name="40% - Accent5 2 2 2 7" xfId="4590" xr:uid="{00000000-0005-0000-0000-000057060000}"/>
    <cellStyle name="40% - Accent5 2 2 2 7 2" xfId="13019" xr:uid="{9D707DFF-7D64-449E-9B2F-CD9A3B4D0B5B}"/>
    <cellStyle name="40% - Accent5 2 2 2 8" xfId="8801" xr:uid="{0D15D3B4-1E95-4E68-8250-CA0952D9DCF1}"/>
    <cellStyle name="40% - Accent5 2 2 3" xfId="653" xr:uid="{00000000-0005-0000-0000-000058060000}"/>
    <cellStyle name="40% - Accent5 2 2 3 2" xfId="2924" xr:uid="{00000000-0005-0000-0000-000059060000}"/>
    <cellStyle name="40% - Accent5 2 2 3 2 2" xfId="7148" xr:uid="{00000000-0005-0000-0000-00005A060000}"/>
    <cellStyle name="40% - Accent5 2 2 3 2 2 2" xfId="15577" xr:uid="{2093D400-8447-471B-AFFC-FA458CDF8B46}"/>
    <cellStyle name="40% - Accent5 2 2 3 2 3" xfId="11359" xr:uid="{8D7CA4EA-6681-4115-9049-B032D9469E7F}"/>
    <cellStyle name="40% - Accent5 2 2 3 3" xfId="5003" xr:uid="{00000000-0005-0000-0000-00005B060000}"/>
    <cellStyle name="40% - Accent5 2 2 3 3 2" xfId="13432" xr:uid="{BEA4C488-7E59-4CFC-99C1-E9C6350633D1}"/>
    <cellStyle name="40% - Accent5 2 2 3 4" xfId="9214" xr:uid="{CDF9BAE3-F072-4E67-8BC3-1A9A8E71A386}"/>
    <cellStyle name="40% - Accent5 2 2 4" xfId="1106" xr:uid="{00000000-0005-0000-0000-00005C060000}"/>
    <cellStyle name="40% - Accent5 2 2 4 2" xfId="3337" xr:uid="{00000000-0005-0000-0000-00005D060000}"/>
    <cellStyle name="40% - Accent5 2 2 4 2 2" xfId="7561" xr:uid="{00000000-0005-0000-0000-00005E060000}"/>
    <cellStyle name="40% - Accent5 2 2 4 2 2 2" xfId="15990" xr:uid="{A5B8CD68-B703-4ADB-82A1-A535724112D7}"/>
    <cellStyle name="40% - Accent5 2 2 4 2 3" xfId="11772" xr:uid="{F0AFF035-04D6-4A0C-B5BA-F0BA1FC8F812}"/>
    <cellStyle name="40% - Accent5 2 2 4 3" xfId="5416" xr:uid="{00000000-0005-0000-0000-00005F060000}"/>
    <cellStyle name="40% - Accent5 2 2 4 3 2" xfId="13845" xr:uid="{A94FF7C4-015C-4D25-90E5-653347380DCD}"/>
    <cellStyle name="40% - Accent5 2 2 4 4" xfId="9627" xr:uid="{93D9DD34-6D42-43EA-BC75-B18140D3A96D}"/>
    <cellStyle name="40% - Accent5 2 2 5" xfId="1520" xr:uid="{00000000-0005-0000-0000-000060060000}"/>
    <cellStyle name="40% - Accent5 2 2 5 2" xfId="3750" xr:uid="{00000000-0005-0000-0000-000061060000}"/>
    <cellStyle name="40% - Accent5 2 2 5 2 2" xfId="7974" xr:uid="{00000000-0005-0000-0000-000062060000}"/>
    <cellStyle name="40% - Accent5 2 2 5 2 2 2" xfId="16403" xr:uid="{BDA9A66C-52DB-46ED-943B-AFDC117933C7}"/>
    <cellStyle name="40% - Accent5 2 2 5 2 3" xfId="12185" xr:uid="{80451860-710C-4E6E-BE44-4103D015D297}"/>
    <cellStyle name="40% - Accent5 2 2 5 3" xfId="5829" xr:uid="{00000000-0005-0000-0000-000063060000}"/>
    <cellStyle name="40% - Accent5 2 2 5 3 2" xfId="14258" xr:uid="{2EFD8AA5-E480-469A-8A2D-57255B171506}"/>
    <cellStyle name="40% - Accent5 2 2 5 4" xfId="10040" xr:uid="{4DE30C3F-37FB-40DC-8CA8-4C2F91D194B9}"/>
    <cellStyle name="40% - Accent5 2 2 6" xfId="1934" xr:uid="{00000000-0005-0000-0000-000064060000}"/>
    <cellStyle name="40% - Accent5 2 2 6 2" xfId="4163" xr:uid="{00000000-0005-0000-0000-000065060000}"/>
    <cellStyle name="40% - Accent5 2 2 6 2 2" xfId="8387" xr:uid="{00000000-0005-0000-0000-000066060000}"/>
    <cellStyle name="40% - Accent5 2 2 6 2 2 2" xfId="16816" xr:uid="{6CD82389-7718-4A80-9C75-42ABCE3A3727}"/>
    <cellStyle name="40% - Accent5 2 2 6 2 3" xfId="12598" xr:uid="{B61ADEB1-C91C-4270-962B-A6ADA71F3464}"/>
    <cellStyle name="40% - Accent5 2 2 6 3" xfId="6242" xr:uid="{00000000-0005-0000-0000-000067060000}"/>
    <cellStyle name="40% - Accent5 2 2 6 3 2" xfId="14671" xr:uid="{BF04BF45-723E-47CB-B9CE-4EDD10B82F16}"/>
    <cellStyle name="40% - Accent5 2 2 6 4" xfId="10453" xr:uid="{551FA576-20BA-44DC-9444-211FEDC37BAC}"/>
    <cellStyle name="40% - Accent5 2 2 7" xfId="2347" xr:uid="{00000000-0005-0000-0000-000068060000}"/>
    <cellStyle name="40% - Accent5 2 2 7 2" xfId="6655" xr:uid="{00000000-0005-0000-0000-000069060000}"/>
    <cellStyle name="40% - Accent5 2 2 7 2 2" xfId="15084" xr:uid="{BFE57258-F3E9-4350-AB52-2C22290D1A93}"/>
    <cellStyle name="40% - Accent5 2 2 7 3" xfId="10866" xr:uid="{93DCEC5F-44C6-4A4D-997D-231B301678C6}"/>
    <cellStyle name="40% - Accent5 2 2 8" xfId="4589" xr:uid="{00000000-0005-0000-0000-00006A060000}"/>
    <cellStyle name="40% - Accent5 2 2 8 2" xfId="13018" xr:uid="{DF8652AD-F23E-407E-975B-673F338D25AA}"/>
    <cellStyle name="40% - Accent5 2 2 9" xfId="8800" xr:uid="{D39F9831-725D-40EE-A0F2-13B12F48434C}"/>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2 2 2" xfId="15579" xr:uid="{B0CEDB2E-DD4E-4689-8065-BC59C210FF66}"/>
    <cellStyle name="40% - Accent5 2 3 2 2 3" xfId="11361" xr:uid="{76200D68-51A1-4D85-890B-AB306912292D}"/>
    <cellStyle name="40% - Accent5 2 3 2 3" xfId="5005" xr:uid="{00000000-0005-0000-0000-00006F060000}"/>
    <cellStyle name="40% - Accent5 2 3 2 3 2" xfId="13434" xr:uid="{6AD03D7D-E821-46EA-B5F0-76747E2646D7}"/>
    <cellStyle name="40% - Accent5 2 3 2 4" xfId="9216" xr:uid="{661FE90B-635F-46A0-8B51-9CF310C5040A}"/>
    <cellStyle name="40% - Accent5 2 3 3" xfId="1108" xr:uid="{00000000-0005-0000-0000-000070060000}"/>
    <cellStyle name="40% - Accent5 2 3 3 2" xfId="3339" xr:uid="{00000000-0005-0000-0000-000071060000}"/>
    <cellStyle name="40% - Accent5 2 3 3 2 2" xfId="7563" xr:uid="{00000000-0005-0000-0000-000072060000}"/>
    <cellStyle name="40% - Accent5 2 3 3 2 2 2" xfId="15992" xr:uid="{9DFC4FC4-C2F7-4A11-8103-FBD88D4A8EE0}"/>
    <cellStyle name="40% - Accent5 2 3 3 2 3" xfId="11774" xr:uid="{D0733CC9-4201-4894-BE1B-1B667A82C415}"/>
    <cellStyle name="40% - Accent5 2 3 3 3" xfId="5418" xr:uid="{00000000-0005-0000-0000-000073060000}"/>
    <cellStyle name="40% - Accent5 2 3 3 3 2" xfId="13847" xr:uid="{F174C0A6-8CF8-4B4B-B2D0-1364F1BD7169}"/>
    <cellStyle name="40% - Accent5 2 3 3 4" xfId="9629" xr:uid="{54C6B4C3-83C6-4643-AE4D-7159A54F4657}"/>
    <cellStyle name="40% - Accent5 2 3 4" xfId="1522" xr:uid="{00000000-0005-0000-0000-000074060000}"/>
    <cellStyle name="40% - Accent5 2 3 4 2" xfId="3752" xr:uid="{00000000-0005-0000-0000-000075060000}"/>
    <cellStyle name="40% - Accent5 2 3 4 2 2" xfId="7976" xr:uid="{00000000-0005-0000-0000-000076060000}"/>
    <cellStyle name="40% - Accent5 2 3 4 2 2 2" xfId="16405" xr:uid="{77D60576-B8A3-4863-8291-CCFC1C57BDD1}"/>
    <cellStyle name="40% - Accent5 2 3 4 2 3" xfId="12187" xr:uid="{B4B78F9C-8EAF-4BD5-A4B4-FD03BEDFC27A}"/>
    <cellStyle name="40% - Accent5 2 3 4 3" xfId="5831" xr:uid="{00000000-0005-0000-0000-000077060000}"/>
    <cellStyle name="40% - Accent5 2 3 4 3 2" xfId="14260" xr:uid="{CE4A70C6-F4E0-426C-BC25-8571DB814AA4}"/>
    <cellStyle name="40% - Accent5 2 3 4 4" xfId="10042" xr:uid="{ACADE0ED-7930-4A12-89BD-2CC97AB96598}"/>
    <cellStyle name="40% - Accent5 2 3 5" xfId="1936" xr:uid="{00000000-0005-0000-0000-000078060000}"/>
    <cellStyle name="40% - Accent5 2 3 5 2" xfId="4165" xr:uid="{00000000-0005-0000-0000-000079060000}"/>
    <cellStyle name="40% - Accent5 2 3 5 2 2" xfId="8389" xr:uid="{00000000-0005-0000-0000-00007A060000}"/>
    <cellStyle name="40% - Accent5 2 3 5 2 2 2" xfId="16818" xr:uid="{07A0D1E8-F549-48D0-933D-2DF2B82A1122}"/>
    <cellStyle name="40% - Accent5 2 3 5 2 3" xfId="12600" xr:uid="{D4B3A8C9-EBB1-48BA-8F08-F03785FC3934}"/>
    <cellStyle name="40% - Accent5 2 3 5 3" xfId="6244" xr:uid="{00000000-0005-0000-0000-00007B060000}"/>
    <cellStyle name="40% - Accent5 2 3 5 3 2" xfId="14673" xr:uid="{E495F3E5-C5E6-45AC-A735-A466EC2522E5}"/>
    <cellStyle name="40% - Accent5 2 3 5 4" xfId="10455" xr:uid="{5FCF3E28-9DB8-4BF9-8630-CEE41F6C6830}"/>
    <cellStyle name="40% - Accent5 2 3 6" xfId="2349" xr:uid="{00000000-0005-0000-0000-00007C060000}"/>
    <cellStyle name="40% - Accent5 2 3 6 2" xfId="6657" xr:uid="{00000000-0005-0000-0000-00007D060000}"/>
    <cellStyle name="40% - Accent5 2 3 6 2 2" xfId="15086" xr:uid="{66857189-EF18-4A07-822D-86B3968CF9F2}"/>
    <cellStyle name="40% - Accent5 2 3 6 3" xfId="10868" xr:uid="{5F6C66CA-11B3-4AC0-99C2-8409F2B0F75D}"/>
    <cellStyle name="40% - Accent5 2 3 7" xfId="4591" xr:uid="{00000000-0005-0000-0000-00007E060000}"/>
    <cellStyle name="40% - Accent5 2 3 7 2" xfId="13020" xr:uid="{0280DECD-5F28-49BF-81C8-04D0CE8988F0}"/>
    <cellStyle name="40% - Accent5 2 3 8" xfId="8802" xr:uid="{AF1AB033-3609-4DB1-A547-028BDF97BC4B}"/>
    <cellStyle name="40% - Accent5 2 4" xfId="652" xr:uid="{00000000-0005-0000-0000-00007F060000}"/>
    <cellStyle name="40% - Accent5 2 4 2" xfId="2923" xr:uid="{00000000-0005-0000-0000-000080060000}"/>
    <cellStyle name="40% - Accent5 2 4 2 2" xfId="7147" xr:uid="{00000000-0005-0000-0000-000081060000}"/>
    <cellStyle name="40% - Accent5 2 4 2 2 2" xfId="15576" xr:uid="{8A62FA9E-84DD-4E97-9149-C4FCDBF0604A}"/>
    <cellStyle name="40% - Accent5 2 4 2 3" xfId="11358" xr:uid="{E82768D1-B0FB-485B-B3BD-C6930FB68678}"/>
    <cellStyle name="40% - Accent5 2 4 3" xfId="5002" xr:uid="{00000000-0005-0000-0000-000082060000}"/>
    <cellStyle name="40% - Accent5 2 4 3 2" xfId="13431" xr:uid="{6AD115F6-8E4C-40C3-B99F-7036A67B13A9}"/>
    <cellStyle name="40% - Accent5 2 4 4" xfId="9213" xr:uid="{39B238CA-EE22-4175-86EA-685D489A7BF3}"/>
    <cellStyle name="40% - Accent5 2 5" xfId="1105" xr:uid="{00000000-0005-0000-0000-000083060000}"/>
    <cellStyle name="40% - Accent5 2 5 2" xfId="3336" xr:uid="{00000000-0005-0000-0000-000084060000}"/>
    <cellStyle name="40% - Accent5 2 5 2 2" xfId="7560" xr:uid="{00000000-0005-0000-0000-000085060000}"/>
    <cellStyle name="40% - Accent5 2 5 2 2 2" xfId="15989" xr:uid="{2E990619-98A2-46FB-B2A4-3F5D2ABDF05A}"/>
    <cellStyle name="40% - Accent5 2 5 2 3" xfId="11771" xr:uid="{E318373C-0CD1-45DF-B32E-3914BBE0799A}"/>
    <cellStyle name="40% - Accent5 2 5 3" xfId="5415" xr:uid="{00000000-0005-0000-0000-000086060000}"/>
    <cellStyle name="40% - Accent5 2 5 3 2" xfId="13844" xr:uid="{FC1209CD-9530-4ED4-8719-D39FDC376108}"/>
    <cellStyle name="40% - Accent5 2 5 4" xfId="9626" xr:uid="{FEBB7EB5-41D8-47D6-9212-E47770489298}"/>
    <cellStyle name="40% - Accent5 2 6" xfId="1519" xr:uid="{00000000-0005-0000-0000-000087060000}"/>
    <cellStyle name="40% - Accent5 2 6 2" xfId="3749" xr:uid="{00000000-0005-0000-0000-000088060000}"/>
    <cellStyle name="40% - Accent5 2 6 2 2" xfId="7973" xr:uid="{00000000-0005-0000-0000-000089060000}"/>
    <cellStyle name="40% - Accent5 2 6 2 2 2" xfId="16402" xr:uid="{5A49A680-89C1-450C-B714-9920FB4ED18C}"/>
    <cellStyle name="40% - Accent5 2 6 2 3" xfId="12184" xr:uid="{12F47FE3-0D8E-49AD-8C63-A744C45C249E}"/>
    <cellStyle name="40% - Accent5 2 6 3" xfId="5828" xr:uid="{00000000-0005-0000-0000-00008A060000}"/>
    <cellStyle name="40% - Accent5 2 6 3 2" xfId="14257" xr:uid="{634E2846-BD73-45E8-9C0B-EF98BF4C3D2A}"/>
    <cellStyle name="40% - Accent5 2 6 4" xfId="10039" xr:uid="{C5B74271-4F57-47B3-9175-DAB38C815EA9}"/>
    <cellStyle name="40% - Accent5 2 7" xfId="1933" xr:uid="{00000000-0005-0000-0000-00008B060000}"/>
    <cellStyle name="40% - Accent5 2 7 2" xfId="4162" xr:uid="{00000000-0005-0000-0000-00008C060000}"/>
    <cellStyle name="40% - Accent5 2 7 2 2" xfId="8386" xr:uid="{00000000-0005-0000-0000-00008D060000}"/>
    <cellStyle name="40% - Accent5 2 7 2 2 2" xfId="16815" xr:uid="{F10F4FE2-BCC0-47E9-B170-AB131081396E}"/>
    <cellStyle name="40% - Accent5 2 7 2 3" xfId="12597" xr:uid="{F3D29DD7-5959-402B-A333-4CA8D190CAC5}"/>
    <cellStyle name="40% - Accent5 2 7 3" xfId="6241" xr:uid="{00000000-0005-0000-0000-00008E060000}"/>
    <cellStyle name="40% - Accent5 2 7 3 2" xfId="14670" xr:uid="{733DDA92-644C-4385-9D15-A33761BA2AD4}"/>
    <cellStyle name="40% - Accent5 2 7 4" xfId="10452" xr:uid="{954EF87F-3887-4073-87FD-A83648668F4A}"/>
    <cellStyle name="40% - Accent5 2 8" xfId="2346" xr:uid="{00000000-0005-0000-0000-00008F060000}"/>
    <cellStyle name="40% - Accent5 2 8 2" xfId="6654" xr:uid="{00000000-0005-0000-0000-000090060000}"/>
    <cellStyle name="40% - Accent5 2 8 2 2" xfId="15083" xr:uid="{5EF491F3-FF51-48EA-B3BE-9AEB58658BC1}"/>
    <cellStyle name="40% - Accent5 2 8 3" xfId="10865" xr:uid="{1F53E4E8-51EB-42E5-BC21-2F448B91DE71}"/>
    <cellStyle name="40% - Accent5 2 9" xfId="4588" xr:uid="{00000000-0005-0000-0000-000091060000}"/>
    <cellStyle name="40% - Accent5 2 9 2" xfId="13017" xr:uid="{9264136F-CDDB-41AA-8BA6-2A814A745974}"/>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2 2 2" xfId="15581" xr:uid="{78F3CF52-337D-4475-AE64-AA03F01A4258}"/>
    <cellStyle name="40% - Accent5 3 2 2 2 3" xfId="11363" xr:uid="{D781EF81-0550-4352-AE63-E94D06799274}"/>
    <cellStyle name="40% - Accent5 3 2 2 3" xfId="5007" xr:uid="{00000000-0005-0000-0000-000097060000}"/>
    <cellStyle name="40% - Accent5 3 2 2 3 2" xfId="13436" xr:uid="{0D310A09-AF00-4AED-9C1F-E717D7537B68}"/>
    <cellStyle name="40% - Accent5 3 2 2 4" xfId="9218" xr:uid="{5D1C10AC-E375-4410-B2FF-2B8686413282}"/>
    <cellStyle name="40% - Accent5 3 2 3" xfId="1110" xr:uid="{00000000-0005-0000-0000-000098060000}"/>
    <cellStyle name="40% - Accent5 3 2 3 2" xfId="3341" xr:uid="{00000000-0005-0000-0000-000099060000}"/>
    <cellStyle name="40% - Accent5 3 2 3 2 2" xfId="7565" xr:uid="{00000000-0005-0000-0000-00009A060000}"/>
    <cellStyle name="40% - Accent5 3 2 3 2 2 2" xfId="15994" xr:uid="{6276D0D7-8404-42F9-804E-23BD8B526E0D}"/>
    <cellStyle name="40% - Accent5 3 2 3 2 3" xfId="11776" xr:uid="{9B6FDCDC-827D-4786-AE26-4FBE5EEE26BA}"/>
    <cellStyle name="40% - Accent5 3 2 3 3" xfId="5420" xr:uid="{00000000-0005-0000-0000-00009B060000}"/>
    <cellStyle name="40% - Accent5 3 2 3 3 2" xfId="13849" xr:uid="{089BFE56-98AA-480F-BB79-6289493842A4}"/>
    <cellStyle name="40% - Accent5 3 2 3 4" xfId="9631" xr:uid="{3FD6E838-5C92-4D5C-9C8E-3CD89AEBE735}"/>
    <cellStyle name="40% - Accent5 3 2 4" xfId="1524" xr:uid="{00000000-0005-0000-0000-00009C060000}"/>
    <cellStyle name="40% - Accent5 3 2 4 2" xfId="3754" xr:uid="{00000000-0005-0000-0000-00009D060000}"/>
    <cellStyle name="40% - Accent5 3 2 4 2 2" xfId="7978" xr:uid="{00000000-0005-0000-0000-00009E060000}"/>
    <cellStyle name="40% - Accent5 3 2 4 2 2 2" xfId="16407" xr:uid="{E6E82017-66A7-4A40-870C-6FF2D8F5D29A}"/>
    <cellStyle name="40% - Accent5 3 2 4 2 3" xfId="12189" xr:uid="{22A4A358-768C-42CD-B096-9427E4C740E1}"/>
    <cellStyle name="40% - Accent5 3 2 4 3" xfId="5833" xr:uid="{00000000-0005-0000-0000-00009F060000}"/>
    <cellStyle name="40% - Accent5 3 2 4 3 2" xfId="14262" xr:uid="{721BA8A4-5E84-4619-B15D-2952C22B7A80}"/>
    <cellStyle name="40% - Accent5 3 2 4 4" xfId="10044" xr:uid="{4977487A-5B8B-4D94-99E2-FDC54C861E1A}"/>
    <cellStyle name="40% - Accent5 3 2 5" xfId="1938" xr:uid="{00000000-0005-0000-0000-0000A0060000}"/>
    <cellStyle name="40% - Accent5 3 2 5 2" xfId="4167" xr:uid="{00000000-0005-0000-0000-0000A1060000}"/>
    <cellStyle name="40% - Accent5 3 2 5 2 2" xfId="8391" xr:uid="{00000000-0005-0000-0000-0000A2060000}"/>
    <cellStyle name="40% - Accent5 3 2 5 2 2 2" xfId="16820" xr:uid="{DCEEBEED-9102-448C-95A0-D9995F0DEF73}"/>
    <cellStyle name="40% - Accent5 3 2 5 2 3" xfId="12602" xr:uid="{F7855839-F019-4884-9C0C-257AF08EAFEC}"/>
    <cellStyle name="40% - Accent5 3 2 5 3" xfId="6246" xr:uid="{00000000-0005-0000-0000-0000A3060000}"/>
    <cellStyle name="40% - Accent5 3 2 5 3 2" xfId="14675" xr:uid="{DE4EFD8F-0FFE-4EB1-9335-E89D145C985F}"/>
    <cellStyle name="40% - Accent5 3 2 5 4" xfId="10457" xr:uid="{1FB5FC95-4139-4B78-A037-85C057C8213C}"/>
    <cellStyle name="40% - Accent5 3 2 6" xfId="2351" xr:uid="{00000000-0005-0000-0000-0000A4060000}"/>
    <cellStyle name="40% - Accent5 3 2 6 2" xfId="6659" xr:uid="{00000000-0005-0000-0000-0000A5060000}"/>
    <cellStyle name="40% - Accent5 3 2 6 2 2" xfId="15088" xr:uid="{9FB185E8-6B3D-44DC-AA2E-28F5DD130B44}"/>
    <cellStyle name="40% - Accent5 3 2 6 3" xfId="10870" xr:uid="{F44FD055-7C4C-4CD7-BAFD-35F08D07A012}"/>
    <cellStyle name="40% - Accent5 3 2 7" xfId="4593" xr:uid="{00000000-0005-0000-0000-0000A6060000}"/>
    <cellStyle name="40% - Accent5 3 2 7 2" xfId="13022" xr:uid="{781EED51-FB67-4656-8DC0-6A3615FBB7D8}"/>
    <cellStyle name="40% - Accent5 3 2 8" xfId="8804" xr:uid="{E7ED3951-446E-453D-9539-A898C4DB56EB}"/>
    <cellStyle name="40% - Accent5 3 3" xfId="656" xr:uid="{00000000-0005-0000-0000-0000A7060000}"/>
    <cellStyle name="40% - Accent5 3 3 2" xfId="2927" xr:uid="{00000000-0005-0000-0000-0000A8060000}"/>
    <cellStyle name="40% - Accent5 3 3 2 2" xfId="7151" xr:uid="{00000000-0005-0000-0000-0000A9060000}"/>
    <cellStyle name="40% - Accent5 3 3 2 2 2" xfId="15580" xr:uid="{5A3CE750-E701-42C7-B863-554517E54EF5}"/>
    <cellStyle name="40% - Accent5 3 3 2 3" xfId="11362" xr:uid="{58C1ACDC-1363-43AE-BD83-BF09949FE505}"/>
    <cellStyle name="40% - Accent5 3 3 3" xfId="5006" xr:uid="{00000000-0005-0000-0000-0000AA060000}"/>
    <cellStyle name="40% - Accent5 3 3 3 2" xfId="13435" xr:uid="{5B2F8046-DB41-455C-9FD4-F20FF959E521}"/>
    <cellStyle name="40% - Accent5 3 3 4" xfId="9217" xr:uid="{11C8714A-C699-4EAD-AD1F-5212F0CCA374}"/>
    <cellStyle name="40% - Accent5 3 4" xfId="1109" xr:uid="{00000000-0005-0000-0000-0000AB060000}"/>
    <cellStyle name="40% - Accent5 3 4 2" xfId="3340" xr:uid="{00000000-0005-0000-0000-0000AC060000}"/>
    <cellStyle name="40% - Accent5 3 4 2 2" xfId="7564" xr:uid="{00000000-0005-0000-0000-0000AD060000}"/>
    <cellStyle name="40% - Accent5 3 4 2 2 2" xfId="15993" xr:uid="{48D96498-654E-4A9C-BD5B-BE94D4D265BA}"/>
    <cellStyle name="40% - Accent5 3 4 2 3" xfId="11775" xr:uid="{D2171363-CB5B-4C1A-941D-DB5651C14911}"/>
    <cellStyle name="40% - Accent5 3 4 3" xfId="5419" xr:uid="{00000000-0005-0000-0000-0000AE060000}"/>
    <cellStyle name="40% - Accent5 3 4 3 2" xfId="13848" xr:uid="{3DF55CD7-E1DD-44C6-B40D-285112EA17E2}"/>
    <cellStyle name="40% - Accent5 3 4 4" xfId="9630" xr:uid="{76AAC6C6-008F-412F-A7FF-95E48CF623DE}"/>
    <cellStyle name="40% - Accent5 3 5" xfId="1523" xr:uid="{00000000-0005-0000-0000-0000AF060000}"/>
    <cellStyle name="40% - Accent5 3 5 2" xfId="3753" xr:uid="{00000000-0005-0000-0000-0000B0060000}"/>
    <cellStyle name="40% - Accent5 3 5 2 2" xfId="7977" xr:uid="{00000000-0005-0000-0000-0000B1060000}"/>
    <cellStyle name="40% - Accent5 3 5 2 2 2" xfId="16406" xr:uid="{2FF5B127-BCF4-429F-A291-1E814AE078FD}"/>
    <cellStyle name="40% - Accent5 3 5 2 3" xfId="12188" xr:uid="{4554A4D1-AA2B-4895-9FBC-3B1E754DBD8B}"/>
    <cellStyle name="40% - Accent5 3 5 3" xfId="5832" xr:uid="{00000000-0005-0000-0000-0000B2060000}"/>
    <cellStyle name="40% - Accent5 3 5 3 2" xfId="14261" xr:uid="{6F8F0CA4-9C6D-4128-8AC0-112663617E8B}"/>
    <cellStyle name="40% - Accent5 3 5 4" xfId="10043" xr:uid="{CBB09A3A-BB7F-4BCF-B690-0C8DF3CBF0E4}"/>
    <cellStyle name="40% - Accent5 3 6" xfId="1937" xr:uid="{00000000-0005-0000-0000-0000B3060000}"/>
    <cellStyle name="40% - Accent5 3 6 2" xfId="4166" xr:uid="{00000000-0005-0000-0000-0000B4060000}"/>
    <cellStyle name="40% - Accent5 3 6 2 2" xfId="8390" xr:uid="{00000000-0005-0000-0000-0000B5060000}"/>
    <cellStyle name="40% - Accent5 3 6 2 2 2" xfId="16819" xr:uid="{BBD5FAFD-8A91-4AF6-8BEE-A2F944E34D68}"/>
    <cellStyle name="40% - Accent5 3 6 2 3" xfId="12601" xr:uid="{535E59FB-D4CA-4262-A916-C7826F72CB78}"/>
    <cellStyle name="40% - Accent5 3 6 3" xfId="6245" xr:uid="{00000000-0005-0000-0000-0000B6060000}"/>
    <cellStyle name="40% - Accent5 3 6 3 2" xfId="14674" xr:uid="{A491F24C-943D-409E-B8ED-CB2AC38BEBDF}"/>
    <cellStyle name="40% - Accent5 3 6 4" xfId="10456" xr:uid="{2E54D94A-D8D5-4DA2-B356-9954BA43F1A9}"/>
    <cellStyle name="40% - Accent5 3 7" xfId="2350" xr:uid="{00000000-0005-0000-0000-0000B7060000}"/>
    <cellStyle name="40% - Accent5 3 7 2" xfId="6658" xr:uid="{00000000-0005-0000-0000-0000B8060000}"/>
    <cellStyle name="40% - Accent5 3 7 2 2" xfId="15087" xr:uid="{C7495E4D-8761-4E8E-BB54-95F003559B0D}"/>
    <cellStyle name="40% - Accent5 3 7 3" xfId="10869" xr:uid="{99568C8D-7392-4508-9460-74687446DB6B}"/>
    <cellStyle name="40% - Accent5 3 8" xfId="4592" xr:uid="{00000000-0005-0000-0000-0000B9060000}"/>
    <cellStyle name="40% - Accent5 3 8 2" xfId="13021" xr:uid="{29C1C6D8-3DED-4F25-9756-F72BC3FCF841}"/>
    <cellStyle name="40% - Accent5 3 9" xfId="8803" xr:uid="{AE2ECF85-6894-4625-B12E-5A3D184B4AE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2 2 2" xfId="15582" xr:uid="{06CA833E-C528-4DAE-AC47-D93414583D99}"/>
    <cellStyle name="40% - Accent5 4 2 2 3" xfId="11364" xr:uid="{304544D9-6BA2-48ED-A6F9-4A5D8B6C3D59}"/>
    <cellStyle name="40% - Accent5 4 2 3" xfId="5008" xr:uid="{00000000-0005-0000-0000-0000BE060000}"/>
    <cellStyle name="40% - Accent5 4 2 3 2" xfId="13437" xr:uid="{420E2423-76A4-49F1-A376-1C45D2E441B0}"/>
    <cellStyle name="40% - Accent5 4 2 4" xfId="9219" xr:uid="{B4E44619-8D10-4FC8-B558-51032CB28609}"/>
    <cellStyle name="40% - Accent5 4 3" xfId="1111" xr:uid="{00000000-0005-0000-0000-0000BF060000}"/>
    <cellStyle name="40% - Accent5 4 3 2" xfId="3342" xr:uid="{00000000-0005-0000-0000-0000C0060000}"/>
    <cellStyle name="40% - Accent5 4 3 2 2" xfId="7566" xr:uid="{00000000-0005-0000-0000-0000C1060000}"/>
    <cellStyle name="40% - Accent5 4 3 2 2 2" xfId="15995" xr:uid="{B3D13DA1-B658-4AAD-AE24-B6D565A4AD0D}"/>
    <cellStyle name="40% - Accent5 4 3 2 3" xfId="11777" xr:uid="{FE5768A1-CE57-49AE-BA12-07E0F69213B2}"/>
    <cellStyle name="40% - Accent5 4 3 3" xfId="5421" xr:uid="{00000000-0005-0000-0000-0000C2060000}"/>
    <cellStyle name="40% - Accent5 4 3 3 2" xfId="13850" xr:uid="{61129910-897A-4407-A891-DB8F66F53C41}"/>
    <cellStyle name="40% - Accent5 4 3 4" xfId="9632" xr:uid="{7D8A2B9D-FB4B-4A56-908E-AB7191EEF202}"/>
    <cellStyle name="40% - Accent5 4 4" xfId="1525" xr:uid="{00000000-0005-0000-0000-0000C3060000}"/>
    <cellStyle name="40% - Accent5 4 4 2" xfId="3755" xr:uid="{00000000-0005-0000-0000-0000C4060000}"/>
    <cellStyle name="40% - Accent5 4 4 2 2" xfId="7979" xr:uid="{00000000-0005-0000-0000-0000C5060000}"/>
    <cellStyle name="40% - Accent5 4 4 2 2 2" xfId="16408" xr:uid="{E67E532F-4C2F-4AB2-9416-B6AAD2FF16C3}"/>
    <cellStyle name="40% - Accent5 4 4 2 3" xfId="12190" xr:uid="{F5EEFF9A-701E-4CF7-A5AB-CDD74DBA4B42}"/>
    <cellStyle name="40% - Accent5 4 4 3" xfId="5834" xr:uid="{00000000-0005-0000-0000-0000C6060000}"/>
    <cellStyle name="40% - Accent5 4 4 3 2" xfId="14263" xr:uid="{647B7C5C-0D53-4D72-854B-B69ACCF0C14A}"/>
    <cellStyle name="40% - Accent5 4 4 4" xfId="10045" xr:uid="{8528F8C1-3BC3-4056-9B67-2704BCDA92DB}"/>
    <cellStyle name="40% - Accent5 4 5" xfId="1939" xr:uid="{00000000-0005-0000-0000-0000C7060000}"/>
    <cellStyle name="40% - Accent5 4 5 2" xfId="4168" xr:uid="{00000000-0005-0000-0000-0000C8060000}"/>
    <cellStyle name="40% - Accent5 4 5 2 2" xfId="8392" xr:uid="{00000000-0005-0000-0000-0000C9060000}"/>
    <cellStyle name="40% - Accent5 4 5 2 2 2" xfId="16821" xr:uid="{5F67F6C5-FA3F-452F-8FD1-9BA304C56840}"/>
    <cellStyle name="40% - Accent5 4 5 2 3" xfId="12603" xr:uid="{738C8678-21B2-42B9-B685-DFCDDDA0139F}"/>
    <cellStyle name="40% - Accent5 4 5 3" xfId="6247" xr:uid="{00000000-0005-0000-0000-0000CA060000}"/>
    <cellStyle name="40% - Accent5 4 5 3 2" xfId="14676" xr:uid="{02AD2051-7F62-45A2-861D-E610C6AE95FC}"/>
    <cellStyle name="40% - Accent5 4 5 4" xfId="10458" xr:uid="{3CABA193-D15B-4B0C-B879-271412B2838E}"/>
    <cellStyle name="40% - Accent5 4 6" xfId="2352" xr:uid="{00000000-0005-0000-0000-0000CB060000}"/>
    <cellStyle name="40% - Accent5 4 6 2" xfId="6660" xr:uid="{00000000-0005-0000-0000-0000CC060000}"/>
    <cellStyle name="40% - Accent5 4 6 2 2" xfId="15089" xr:uid="{1E9F0495-6B52-46B2-9B4B-C7187C7DD6C0}"/>
    <cellStyle name="40% - Accent5 4 6 3" xfId="10871" xr:uid="{6279D05C-177F-44C0-982C-0B624DE17DAF}"/>
    <cellStyle name="40% - Accent5 4 7" xfId="4594" xr:uid="{00000000-0005-0000-0000-0000CD060000}"/>
    <cellStyle name="40% - Accent5 4 7 2" xfId="13023" xr:uid="{530643AF-98AD-4EE3-8BE7-8008E8D64213}"/>
    <cellStyle name="40% - Accent5 4 8" xfId="8805" xr:uid="{2FA4B9A4-8677-417F-AC90-468FB1FD266F}"/>
    <cellStyle name="40% - Accent5 5" xfId="651" xr:uid="{00000000-0005-0000-0000-0000CE060000}"/>
    <cellStyle name="40% - Accent5 5 2" xfId="2922" xr:uid="{00000000-0005-0000-0000-0000CF060000}"/>
    <cellStyle name="40% - Accent5 5 2 2" xfId="7146" xr:uid="{00000000-0005-0000-0000-0000D0060000}"/>
    <cellStyle name="40% - Accent5 5 2 2 2" xfId="15575" xr:uid="{50B8779B-9858-4DA7-A75B-A56318E75916}"/>
    <cellStyle name="40% - Accent5 5 2 3" xfId="11357" xr:uid="{21FFA9C6-0481-4E27-A9E3-17ACA64E51D0}"/>
    <cellStyle name="40% - Accent5 5 3" xfId="5001" xr:uid="{00000000-0005-0000-0000-0000D1060000}"/>
    <cellStyle name="40% - Accent5 5 3 2" xfId="13430" xr:uid="{427E0978-6F14-4A6E-BDF1-595548969D30}"/>
    <cellStyle name="40% - Accent5 5 4" xfId="9212" xr:uid="{BF306D50-010B-4676-9A69-6D643331DA00}"/>
    <cellStyle name="40% - Accent5 6" xfId="1104" xr:uid="{00000000-0005-0000-0000-0000D2060000}"/>
    <cellStyle name="40% - Accent5 6 2" xfId="3335" xr:uid="{00000000-0005-0000-0000-0000D3060000}"/>
    <cellStyle name="40% - Accent5 6 2 2" xfId="7559" xr:uid="{00000000-0005-0000-0000-0000D4060000}"/>
    <cellStyle name="40% - Accent5 6 2 2 2" xfId="15988" xr:uid="{79BEBAC5-0A83-4E1F-A26A-EE0926165C71}"/>
    <cellStyle name="40% - Accent5 6 2 3" xfId="11770" xr:uid="{BE55F2AF-DFB2-4818-96BA-AFCDDDEE759D}"/>
    <cellStyle name="40% - Accent5 6 3" xfId="5414" xr:uid="{00000000-0005-0000-0000-0000D5060000}"/>
    <cellStyle name="40% - Accent5 6 3 2" xfId="13843" xr:uid="{E09427F1-FA14-47D5-9398-EEB60C613879}"/>
    <cellStyle name="40% - Accent5 6 4" xfId="9625" xr:uid="{95DD047F-114B-446C-B0A8-8F59EBDED993}"/>
    <cellStyle name="40% - Accent5 7" xfId="1518" xr:uid="{00000000-0005-0000-0000-0000D6060000}"/>
    <cellStyle name="40% - Accent5 7 2" xfId="3748" xr:uid="{00000000-0005-0000-0000-0000D7060000}"/>
    <cellStyle name="40% - Accent5 7 2 2" xfId="7972" xr:uid="{00000000-0005-0000-0000-0000D8060000}"/>
    <cellStyle name="40% - Accent5 7 2 2 2" xfId="16401" xr:uid="{923F32B1-C3BB-44C7-A2DA-AEF18CB49977}"/>
    <cellStyle name="40% - Accent5 7 2 3" xfId="12183" xr:uid="{1E4B6E65-94D7-47EF-AACE-8AF8B9B3CC02}"/>
    <cellStyle name="40% - Accent5 7 3" xfId="5827" xr:uid="{00000000-0005-0000-0000-0000D9060000}"/>
    <cellStyle name="40% - Accent5 7 3 2" xfId="14256" xr:uid="{C7363F60-6D84-43FE-8AB1-B062D6432F9F}"/>
    <cellStyle name="40% - Accent5 7 4" xfId="10038" xr:uid="{B1AA7CEE-5550-4FDF-A076-3EAE0926C9A7}"/>
    <cellStyle name="40% - Accent5 8" xfId="1932" xr:uid="{00000000-0005-0000-0000-0000DA060000}"/>
    <cellStyle name="40% - Accent5 8 2" xfId="4161" xr:uid="{00000000-0005-0000-0000-0000DB060000}"/>
    <cellStyle name="40% - Accent5 8 2 2" xfId="8385" xr:uid="{00000000-0005-0000-0000-0000DC060000}"/>
    <cellStyle name="40% - Accent5 8 2 2 2" xfId="16814" xr:uid="{9739653E-3365-4E11-9C0A-E641CD7D819B}"/>
    <cellStyle name="40% - Accent5 8 2 3" xfId="12596" xr:uid="{CE39AA4D-F72B-49FC-8101-C8784E26B187}"/>
    <cellStyle name="40% - Accent5 8 3" xfId="6240" xr:uid="{00000000-0005-0000-0000-0000DD060000}"/>
    <cellStyle name="40% - Accent5 8 3 2" xfId="14669" xr:uid="{F988044C-D503-4767-9C70-5BDF150F9940}"/>
    <cellStyle name="40% - Accent5 8 4" xfId="10451" xr:uid="{497C91EE-F49C-46D0-ABD5-02D290FE43BC}"/>
    <cellStyle name="40% - Accent5 9" xfId="2345" xr:uid="{00000000-0005-0000-0000-0000DE060000}"/>
    <cellStyle name="40% - Accent5 9 2" xfId="6653" xr:uid="{00000000-0005-0000-0000-0000DF060000}"/>
    <cellStyle name="40% - Accent5 9 2 2" xfId="15082" xr:uid="{59FDE464-BBC9-4710-B2BA-A397BBA64E30}"/>
    <cellStyle name="40% - Accent5 9 3" xfId="10864" xr:uid="{8243172A-AC4F-4564-AFEA-598D09117EB7}"/>
    <cellStyle name="40% - Accent6" xfId="89" builtinId="51" customBuiltin="1"/>
    <cellStyle name="40% - Accent6 10" xfId="4595" xr:uid="{00000000-0005-0000-0000-0000E1060000}"/>
    <cellStyle name="40% - Accent6 10 2" xfId="13024" xr:uid="{2D9BC556-931E-4067-B5CE-753F345BBF1D}"/>
    <cellStyle name="40% - Accent6 11" xfId="8806" xr:uid="{72DA4CC0-794C-4424-990D-502ADF7FAA8C}"/>
    <cellStyle name="40% - Accent6 2" xfId="90" xr:uid="{00000000-0005-0000-0000-0000E2060000}"/>
    <cellStyle name="40% - Accent6 2 10" xfId="8807" xr:uid="{95462E6E-8BF8-4337-82BD-CEBA8699F729}"/>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2 2 2" xfId="15586" xr:uid="{538C7761-C777-41A4-8305-493D0C03B6E9}"/>
    <cellStyle name="40% - Accent6 2 2 2 2 2 3" xfId="11368" xr:uid="{C3C5C177-C8E3-46E9-A254-63F7B3C20ED0}"/>
    <cellStyle name="40% - Accent6 2 2 2 2 3" xfId="5012" xr:uid="{00000000-0005-0000-0000-0000E8060000}"/>
    <cellStyle name="40% - Accent6 2 2 2 2 3 2" xfId="13441" xr:uid="{2B471A18-DC6B-461C-9669-A972E9DCDA35}"/>
    <cellStyle name="40% - Accent6 2 2 2 2 4" xfId="9223" xr:uid="{06CBEC06-A789-4680-B554-28976E42817E}"/>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2 2 2" xfId="15999" xr:uid="{E84C7625-BDAB-43AA-800B-18E015F8D6D5}"/>
    <cellStyle name="40% - Accent6 2 2 2 3 2 3" xfId="11781" xr:uid="{262993CF-3D53-4681-8923-FBA8A728D197}"/>
    <cellStyle name="40% - Accent6 2 2 2 3 3" xfId="5425" xr:uid="{00000000-0005-0000-0000-0000EC060000}"/>
    <cellStyle name="40% - Accent6 2 2 2 3 3 2" xfId="13854" xr:uid="{D0041587-D820-4378-97DA-D8869AF741F6}"/>
    <cellStyle name="40% - Accent6 2 2 2 3 4" xfId="9636" xr:uid="{E5E55A25-7161-4C87-9AFE-7B3DB7079293}"/>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2 2 2" xfId="16412" xr:uid="{A87E95F1-0745-44EE-9592-3758136283E6}"/>
    <cellStyle name="40% - Accent6 2 2 2 4 2 3" xfId="12194" xr:uid="{23DB8D6B-59A1-4ED6-8F54-FD8F8C5EE2C4}"/>
    <cellStyle name="40% - Accent6 2 2 2 4 3" xfId="5838" xr:uid="{00000000-0005-0000-0000-0000F0060000}"/>
    <cellStyle name="40% - Accent6 2 2 2 4 3 2" xfId="14267" xr:uid="{D3110FFF-1D18-4FB5-A510-B4CCE7DFB087}"/>
    <cellStyle name="40% - Accent6 2 2 2 4 4" xfId="10049" xr:uid="{9A38D407-37A2-49C6-8A8F-6ABA3B1A4177}"/>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2 2 2" xfId="16825" xr:uid="{EC2273D8-8793-4630-866F-3E41F8111CAD}"/>
    <cellStyle name="40% - Accent6 2 2 2 5 2 3" xfId="12607" xr:uid="{D577E65C-9DCA-43E4-ABB3-254888C907F3}"/>
    <cellStyle name="40% - Accent6 2 2 2 5 3" xfId="6251" xr:uid="{00000000-0005-0000-0000-0000F4060000}"/>
    <cellStyle name="40% - Accent6 2 2 2 5 3 2" xfId="14680" xr:uid="{8F67A18F-E476-49E5-B299-AA3B153C9DE6}"/>
    <cellStyle name="40% - Accent6 2 2 2 5 4" xfId="10462" xr:uid="{9219337E-E36F-498D-AD2E-F0E90694E30D}"/>
    <cellStyle name="40% - Accent6 2 2 2 6" xfId="2356" xr:uid="{00000000-0005-0000-0000-0000F5060000}"/>
    <cellStyle name="40% - Accent6 2 2 2 6 2" xfId="6664" xr:uid="{00000000-0005-0000-0000-0000F6060000}"/>
    <cellStyle name="40% - Accent6 2 2 2 6 2 2" xfId="15093" xr:uid="{E1848EED-8FD9-4A0D-BCEA-6AD60DC9D7C9}"/>
    <cellStyle name="40% - Accent6 2 2 2 6 3" xfId="10875" xr:uid="{DEA0379C-80BD-4E24-9B1A-90E58C2C3C0B}"/>
    <cellStyle name="40% - Accent6 2 2 2 7" xfId="4598" xr:uid="{00000000-0005-0000-0000-0000F7060000}"/>
    <cellStyle name="40% - Accent6 2 2 2 7 2" xfId="13027" xr:uid="{4FA7F70C-9AE1-40EA-8322-5BBB1B294A46}"/>
    <cellStyle name="40% - Accent6 2 2 2 8" xfId="8809" xr:uid="{5316BCA4-6FFC-4DF5-8A10-CAA01D878377}"/>
    <cellStyle name="40% - Accent6 2 2 3" xfId="661" xr:uid="{00000000-0005-0000-0000-0000F8060000}"/>
    <cellStyle name="40% - Accent6 2 2 3 2" xfId="2932" xr:uid="{00000000-0005-0000-0000-0000F9060000}"/>
    <cellStyle name="40% - Accent6 2 2 3 2 2" xfId="7156" xr:uid="{00000000-0005-0000-0000-0000FA060000}"/>
    <cellStyle name="40% - Accent6 2 2 3 2 2 2" xfId="15585" xr:uid="{B4B38E37-C5AC-4963-BDB9-242EF8411EFB}"/>
    <cellStyle name="40% - Accent6 2 2 3 2 3" xfId="11367" xr:uid="{23C2BEDC-163B-4DDA-B323-9A3CD217F1AF}"/>
    <cellStyle name="40% - Accent6 2 2 3 3" xfId="5011" xr:uid="{00000000-0005-0000-0000-0000FB060000}"/>
    <cellStyle name="40% - Accent6 2 2 3 3 2" xfId="13440" xr:uid="{D48A1E50-A73E-47FB-A04E-FA8D42FC8F8F}"/>
    <cellStyle name="40% - Accent6 2 2 3 4" xfId="9222" xr:uid="{B198161F-2CBB-4D49-B5D7-7F8FCCE6CCA1}"/>
    <cellStyle name="40% - Accent6 2 2 4" xfId="1114" xr:uid="{00000000-0005-0000-0000-0000FC060000}"/>
    <cellStyle name="40% - Accent6 2 2 4 2" xfId="3345" xr:uid="{00000000-0005-0000-0000-0000FD060000}"/>
    <cellStyle name="40% - Accent6 2 2 4 2 2" xfId="7569" xr:uid="{00000000-0005-0000-0000-0000FE060000}"/>
    <cellStyle name="40% - Accent6 2 2 4 2 2 2" xfId="15998" xr:uid="{5699BBE6-D697-4D82-AE5A-75A4F6745483}"/>
    <cellStyle name="40% - Accent6 2 2 4 2 3" xfId="11780" xr:uid="{7BDFA831-EF0C-40DF-A3A9-3F850D09321D}"/>
    <cellStyle name="40% - Accent6 2 2 4 3" xfId="5424" xr:uid="{00000000-0005-0000-0000-0000FF060000}"/>
    <cellStyle name="40% - Accent6 2 2 4 3 2" xfId="13853" xr:uid="{0D94165B-E771-4E55-A6E8-39310F0B941C}"/>
    <cellStyle name="40% - Accent6 2 2 4 4" xfId="9635" xr:uid="{154F22B3-F463-4303-8567-7DB250DAFCC8}"/>
    <cellStyle name="40% - Accent6 2 2 5" xfId="1528" xr:uid="{00000000-0005-0000-0000-000000070000}"/>
    <cellStyle name="40% - Accent6 2 2 5 2" xfId="3758" xr:uid="{00000000-0005-0000-0000-000001070000}"/>
    <cellStyle name="40% - Accent6 2 2 5 2 2" xfId="7982" xr:uid="{00000000-0005-0000-0000-000002070000}"/>
    <cellStyle name="40% - Accent6 2 2 5 2 2 2" xfId="16411" xr:uid="{48D7E6AE-3422-4C21-884D-3D4745498589}"/>
    <cellStyle name="40% - Accent6 2 2 5 2 3" xfId="12193" xr:uid="{8B8E71D5-23C6-4F94-96E0-3FDD3E627071}"/>
    <cellStyle name="40% - Accent6 2 2 5 3" xfId="5837" xr:uid="{00000000-0005-0000-0000-000003070000}"/>
    <cellStyle name="40% - Accent6 2 2 5 3 2" xfId="14266" xr:uid="{FC9528BF-17BA-46E4-9018-6C4E01FB5407}"/>
    <cellStyle name="40% - Accent6 2 2 5 4" xfId="10048" xr:uid="{69F0764C-F0D2-4476-B328-55EA7CD211E3}"/>
    <cellStyle name="40% - Accent6 2 2 6" xfId="1942" xr:uid="{00000000-0005-0000-0000-000004070000}"/>
    <cellStyle name="40% - Accent6 2 2 6 2" xfId="4171" xr:uid="{00000000-0005-0000-0000-000005070000}"/>
    <cellStyle name="40% - Accent6 2 2 6 2 2" xfId="8395" xr:uid="{00000000-0005-0000-0000-000006070000}"/>
    <cellStyle name="40% - Accent6 2 2 6 2 2 2" xfId="16824" xr:uid="{DCE5E2C8-8AC1-4A8A-968A-D056488857E5}"/>
    <cellStyle name="40% - Accent6 2 2 6 2 3" xfId="12606" xr:uid="{B68C8B2E-6877-4E7D-8400-DB721DB5CD88}"/>
    <cellStyle name="40% - Accent6 2 2 6 3" xfId="6250" xr:uid="{00000000-0005-0000-0000-000007070000}"/>
    <cellStyle name="40% - Accent6 2 2 6 3 2" xfId="14679" xr:uid="{724ACC01-5C35-4DE3-8EED-2EC644A4F5C2}"/>
    <cellStyle name="40% - Accent6 2 2 6 4" xfId="10461" xr:uid="{A6D16022-69B2-488D-9989-962F8AEBD25A}"/>
    <cellStyle name="40% - Accent6 2 2 7" xfId="2355" xr:uid="{00000000-0005-0000-0000-000008070000}"/>
    <cellStyle name="40% - Accent6 2 2 7 2" xfId="6663" xr:uid="{00000000-0005-0000-0000-000009070000}"/>
    <cellStyle name="40% - Accent6 2 2 7 2 2" xfId="15092" xr:uid="{D0A2243C-D998-43B1-8BB7-0C0D4B2787FB}"/>
    <cellStyle name="40% - Accent6 2 2 7 3" xfId="10874" xr:uid="{BA4055CB-71A6-44CC-92DF-EE8B3DAF04A6}"/>
    <cellStyle name="40% - Accent6 2 2 8" xfId="4597" xr:uid="{00000000-0005-0000-0000-00000A070000}"/>
    <cellStyle name="40% - Accent6 2 2 8 2" xfId="13026" xr:uid="{EC1B8992-2988-4FF9-BCC0-B04D7FB980CB}"/>
    <cellStyle name="40% - Accent6 2 2 9" xfId="8808" xr:uid="{4C25E5EC-666A-4918-A06B-43A09ED8912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2 2 2" xfId="15587" xr:uid="{1913D460-7EDD-4AAA-9D33-1A767AEFE1BC}"/>
    <cellStyle name="40% - Accent6 2 3 2 2 3" xfId="11369" xr:uid="{329BC370-3B0D-4FBB-8A5E-0BE2B29EE275}"/>
    <cellStyle name="40% - Accent6 2 3 2 3" xfId="5013" xr:uid="{00000000-0005-0000-0000-00000F070000}"/>
    <cellStyle name="40% - Accent6 2 3 2 3 2" xfId="13442" xr:uid="{D47C76CC-DCB2-44EF-ABA9-03A69B88437B}"/>
    <cellStyle name="40% - Accent6 2 3 2 4" xfId="9224" xr:uid="{A599E509-C5A8-4853-B45D-4EB6B5F0D4DD}"/>
    <cellStyle name="40% - Accent6 2 3 3" xfId="1116" xr:uid="{00000000-0005-0000-0000-000010070000}"/>
    <cellStyle name="40% - Accent6 2 3 3 2" xfId="3347" xr:uid="{00000000-0005-0000-0000-000011070000}"/>
    <cellStyle name="40% - Accent6 2 3 3 2 2" xfId="7571" xr:uid="{00000000-0005-0000-0000-000012070000}"/>
    <cellStyle name="40% - Accent6 2 3 3 2 2 2" xfId="16000" xr:uid="{C1DD720E-E3A3-4150-BF07-C158C02F15E1}"/>
    <cellStyle name="40% - Accent6 2 3 3 2 3" xfId="11782" xr:uid="{3B6902FC-05DD-4B43-8990-20623F22B2F9}"/>
    <cellStyle name="40% - Accent6 2 3 3 3" xfId="5426" xr:uid="{00000000-0005-0000-0000-000013070000}"/>
    <cellStyle name="40% - Accent6 2 3 3 3 2" xfId="13855" xr:uid="{CB0BEAB7-537E-423E-86D8-4CC23439DA17}"/>
    <cellStyle name="40% - Accent6 2 3 3 4" xfId="9637" xr:uid="{EC24731C-A9CB-4B35-9220-EA82EFD2E629}"/>
    <cellStyle name="40% - Accent6 2 3 4" xfId="1530" xr:uid="{00000000-0005-0000-0000-000014070000}"/>
    <cellStyle name="40% - Accent6 2 3 4 2" xfId="3760" xr:uid="{00000000-0005-0000-0000-000015070000}"/>
    <cellStyle name="40% - Accent6 2 3 4 2 2" xfId="7984" xr:uid="{00000000-0005-0000-0000-000016070000}"/>
    <cellStyle name="40% - Accent6 2 3 4 2 2 2" xfId="16413" xr:uid="{AA7D7C54-7407-433B-A183-F52202E4077A}"/>
    <cellStyle name="40% - Accent6 2 3 4 2 3" xfId="12195" xr:uid="{0007E97E-FC77-4FFD-857F-460DDA6F3E93}"/>
    <cellStyle name="40% - Accent6 2 3 4 3" xfId="5839" xr:uid="{00000000-0005-0000-0000-000017070000}"/>
    <cellStyle name="40% - Accent6 2 3 4 3 2" xfId="14268" xr:uid="{B7258BA9-6A80-4CE2-AAF7-8B7E6C438AA7}"/>
    <cellStyle name="40% - Accent6 2 3 4 4" xfId="10050" xr:uid="{7BFFE628-76CB-44B3-A28F-B35DD03FDDCF}"/>
    <cellStyle name="40% - Accent6 2 3 5" xfId="1944" xr:uid="{00000000-0005-0000-0000-000018070000}"/>
    <cellStyle name="40% - Accent6 2 3 5 2" xfId="4173" xr:uid="{00000000-0005-0000-0000-000019070000}"/>
    <cellStyle name="40% - Accent6 2 3 5 2 2" xfId="8397" xr:uid="{00000000-0005-0000-0000-00001A070000}"/>
    <cellStyle name="40% - Accent6 2 3 5 2 2 2" xfId="16826" xr:uid="{954368AA-D15A-4F74-81E0-E873CB27514B}"/>
    <cellStyle name="40% - Accent6 2 3 5 2 3" xfId="12608" xr:uid="{695247A6-DA51-4470-89B3-96FC7769C862}"/>
    <cellStyle name="40% - Accent6 2 3 5 3" xfId="6252" xr:uid="{00000000-0005-0000-0000-00001B070000}"/>
    <cellStyle name="40% - Accent6 2 3 5 3 2" xfId="14681" xr:uid="{728FD2F6-11D4-43CA-B129-6DA6DFCA6D65}"/>
    <cellStyle name="40% - Accent6 2 3 5 4" xfId="10463" xr:uid="{47F92685-094B-4F00-9446-2699BC9EBD9A}"/>
    <cellStyle name="40% - Accent6 2 3 6" xfId="2357" xr:uid="{00000000-0005-0000-0000-00001C070000}"/>
    <cellStyle name="40% - Accent6 2 3 6 2" xfId="6665" xr:uid="{00000000-0005-0000-0000-00001D070000}"/>
    <cellStyle name="40% - Accent6 2 3 6 2 2" xfId="15094" xr:uid="{AB015099-7917-4740-8EE5-21FB2EDEEA4F}"/>
    <cellStyle name="40% - Accent6 2 3 6 3" xfId="10876" xr:uid="{846F72A3-F84C-46B3-8CCA-3F5F94134274}"/>
    <cellStyle name="40% - Accent6 2 3 7" xfId="4599" xr:uid="{00000000-0005-0000-0000-00001E070000}"/>
    <cellStyle name="40% - Accent6 2 3 7 2" xfId="13028" xr:uid="{86A6857A-B09A-455A-9BED-309250368861}"/>
    <cellStyle name="40% - Accent6 2 3 8" xfId="8810" xr:uid="{394207C2-495F-4165-9D09-148F94157F51}"/>
    <cellStyle name="40% - Accent6 2 4" xfId="660" xr:uid="{00000000-0005-0000-0000-00001F070000}"/>
    <cellStyle name="40% - Accent6 2 4 2" xfId="2931" xr:uid="{00000000-0005-0000-0000-000020070000}"/>
    <cellStyle name="40% - Accent6 2 4 2 2" xfId="7155" xr:uid="{00000000-0005-0000-0000-000021070000}"/>
    <cellStyle name="40% - Accent6 2 4 2 2 2" xfId="15584" xr:uid="{17CFF974-F28F-4D67-A7C7-F513DE4943FA}"/>
    <cellStyle name="40% - Accent6 2 4 2 3" xfId="11366" xr:uid="{FF69310B-91E5-4E79-BD0D-E43907FB187C}"/>
    <cellStyle name="40% - Accent6 2 4 3" xfId="5010" xr:uid="{00000000-0005-0000-0000-000022070000}"/>
    <cellStyle name="40% - Accent6 2 4 3 2" xfId="13439" xr:uid="{7B32A127-E5A4-430D-AAD2-206C4037F3B9}"/>
    <cellStyle name="40% - Accent6 2 4 4" xfId="9221" xr:uid="{32285CD6-86F9-460E-A5D9-1DA8D6718D31}"/>
    <cellStyle name="40% - Accent6 2 5" xfId="1113" xr:uid="{00000000-0005-0000-0000-000023070000}"/>
    <cellStyle name="40% - Accent6 2 5 2" xfId="3344" xr:uid="{00000000-0005-0000-0000-000024070000}"/>
    <cellStyle name="40% - Accent6 2 5 2 2" xfId="7568" xr:uid="{00000000-0005-0000-0000-000025070000}"/>
    <cellStyle name="40% - Accent6 2 5 2 2 2" xfId="15997" xr:uid="{7F55BF9D-F906-4BE8-8594-FA680F9F7839}"/>
    <cellStyle name="40% - Accent6 2 5 2 3" xfId="11779" xr:uid="{6D2CB3E0-377D-42B9-867A-7C8F10AE79DC}"/>
    <cellStyle name="40% - Accent6 2 5 3" xfId="5423" xr:uid="{00000000-0005-0000-0000-000026070000}"/>
    <cellStyle name="40% - Accent6 2 5 3 2" xfId="13852" xr:uid="{A7049006-D2AE-40F6-9FB1-F90D34243155}"/>
    <cellStyle name="40% - Accent6 2 5 4" xfId="9634" xr:uid="{C61B44FA-2BDC-4706-8FB8-A727EC695834}"/>
    <cellStyle name="40% - Accent6 2 6" xfId="1527" xr:uid="{00000000-0005-0000-0000-000027070000}"/>
    <cellStyle name="40% - Accent6 2 6 2" xfId="3757" xr:uid="{00000000-0005-0000-0000-000028070000}"/>
    <cellStyle name="40% - Accent6 2 6 2 2" xfId="7981" xr:uid="{00000000-0005-0000-0000-000029070000}"/>
    <cellStyle name="40% - Accent6 2 6 2 2 2" xfId="16410" xr:uid="{46146026-8180-4080-B821-7D63E6E42CD9}"/>
    <cellStyle name="40% - Accent6 2 6 2 3" xfId="12192" xr:uid="{D97EC61F-A7CA-4B70-8BD9-26CFADAC4609}"/>
    <cellStyle name="40% - Accent6 2 6 3" xfId="5836" xr:uid="{00000000-0005-0000-0000-00002A070000}"/>
    <cellStyle name="40% - Accent6 2 6 3 2" xfId="14265" xr:uid="{03105E1A-5BF7-45D0-A821-A85DB92EA7B8}"/>
    <cellStyle name="40% - Accent6 2 6 4" xfId="10047" xr:uid="{9BB8B3AE-2170-420A-844C-60743063D64F}"/>
    <cellStyle name="40% - Accent6 2 7" xfId="1941" xr:uid="{00000000-0005-0000-0000-00002B070000}"/>
    <cellStyle name="40% - Accent6 2 7 2" xfId="4170" xr:uid="{00000000-0005-0000-0000-00002C070000}"/>
    <cellStyle name="40% - Accent6 2 7 2 2" xfId="8394" xr:uid="{00000000-0005-0000-0000-00002D070000}"/>
    <cellStyle name="40% - Accent6 2 7 2 2 2" xfId="16823" xr:uid="{0D92442C-BB9F-4C06-8F19-F92955ADB188}"/>
    <cellStyle name="40% - Accent6 2 7 2 3" xfId="12605" xr:uid="{477ACF4B-7D65-4B7C-9608-6B464B285F2A}"/>
    <cellStyle name="40% - Accent6 2 7 3" xfId="6249" xr:uid="{00000000-0005-0000-0000-00002E070000}"/>
    <cellStyle name="40% - Accent6 2 7 3 2" xfId="14678" xr:uid="{697568CB-BBB4-42ED-85DA-AA4F2BF64D63}"/>
    <cellStyle name="40% - Accent6 2 7 4" xfId="10460" xr:uid="{4C88FC67-CFF6-4A15-A838-384ECCD7550F}"/>
    <cellStyle name="40% - Accent6 2 8" xfId="2354" xr:uid="{00000000-0005-0000-0000-00002F070000}"/>
    <cellStyle name="40% - Accent6 2 8 2" xfId="6662" xr:uid="{00000000-0005-0000-0000-000030070000}"/>
    <cellStyle name="40% - Accent6 2 8 2 2" xfId="15091" xr:uid="{BE670E83-A76B-4827-B709-F24BFFDE1BA2}"/>
    <cellStyle name="40% - Accent6 2 8 3" xfId="10873" xr:uid="{221A883E-27CB-4EA0-83D4-A3695ED1ACB1}"/>
    <cellStyle name="40% - Accent6 2 9" xfId="4596" xr:uid="{00000000-0005-0000-0000-000031070000}"/>
    <cellStyle name="40% - Accent6 2 9 2" xfId="13025" xr:uid="{42AAC903-48AC-49AE-B120-F43B109B921D}"/>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2 2 2" xfId="15589" xr:uid="{3A72D407-94A4-4CDD-87FF-1592E4373DEE}"/>
    <cellStyle name="40% - Accent6 3 2 2 2 3" xfId="11371" xr:uid="{B324A172-71E2-4C81-9166-95E4D0FC5C44}"/>
    <cellStyle name="40% - Accent6 3 2 2 3" xfId="5015" xr:uid="{00000000-0005-0000-0000-000037070000}"/>
    <cellStyle name="40% - Accent6 3 2 2 3 2" xfId="13444" xr:uid="{008D0E2E-C60E-456B-95DC-F77CE4629F66}"/>
    <cellStyle name="40% - Accent6 3 2 2 4" xfId="9226" xr:uid="{47C82944-C3B3-4FED-90DC-CA3DA9F3DA9C}"/>
    <cellStyle name="40% - Accent6 3 2 3" xfId="1118" xr:uid="{00000000-0005-0000-0000-000038070000}"/>
    <cellStyle name="40% - Accent6 3 2 3 2" xfId="3349" xr:uid="{00000000-0005-0000-0000-000039070000}"/>
    <cellStyle name="40% - Accent6 3 2 3 2 2" xfId="7573" xr:uid="{00000000-0005-0000-0000-00003A070000}"/>
    <cellStyle name="40% - Accent6 3 2 3 2 2 2" xfId="16002" xr:uid="{998BFBE5-D290-4B59-999D-62FD6892E1B9}"/>
    <cellStyle name="40% - Accent6 3 2 3 2 3" xfId="11784" xr:uid="{B6B9E877-EF49-4153-8254-DEBFACEDB0CC}"/>
    <cellStyle name="40% - Accent6 3 2 3 3" xfId="5428" xr:uid="{00000000-0005-0000-0000-00003B070000}"/>
    <cellStyle name="40% - Accent6 3 2 3 3 2" xfId="13857" xr:uid="{7A33EAE9-4B44-4D78-B3C5-573865BD6203}"/>
    <cellStyle name="40% - Accent6 3 2 3 4" xfId="9639" xr:uid="{844FF467-D4B5-4D2E-B7B1-84BB13E2604F}"/>
    <cellStyle name="40% - Accent6 3 2 4" xfId="1532" xr:uid="{00000000-0005-0000-0000-00003C070000}"/>
    <cellStyle name="40% - Accent6 3 2 4 2" xfId="3762" xr:uid="{00000000-0005-0000-0000-00003D070000}"/>
    <cellStyle name="40% - Accent6 3 2 4 2 2" xfId="7986" xr:uid="{00000000-0005-0000-0000-00003E070000}"/>
    <cellStyle name="40% - Accent6 3 2 4 2 2 2" xfId="16415" xr:uid="{F6B25100-6973-4B3C-BB07-FEF6B1BFA926}"/>
    <cellStyle name="40% - Accent6 3 2 4 2 3" xfId="12197" xr:uid="{BEA9AB5D-A298-4C7E-8949-0F7EB941DE33}"/>
    <cellStyle name="40% - Accent6 3 2 4 3" xfId="5841" xr:uid="{00000000-0005-0000-0000-00003F070000}"/>
    <cellStyle name="40% - Accent6 3 2 4 3 2" xfId="14270" xr:uid="{2B60EBCC-0EB3-4169-AF69-7341188A41F1}"/>
    <cellStyle name="40% - Accent6 3 2 4 4" xfId="10052" xr:uid="{7B22FDF8-BAF4-4151-B57D-56A3E44D0232}"/>
    <cellStyle name="40% - Accent6 3 2 5" xfId="1946" xr:uid="{00000000-0005-0000-0000-000040070000}"/>
    <cellStyle name="40% - Accent6 3 2 5 2" xfId="4175" xr:uid="{00000000-0005-0000-0000-000041070000}"/>
    <cellStyle name="40% - Accent6 3 2 5 2 2" xfId="8399" xr:uid="{00000000-0005-0000-0000-000042070000}"/>
    <cellStyle name="40% - Accent6 3 2 5 2 2 2" xfId="16828" xr:uid="{6131763E-3DB4-4360-8682-B16673AEDE53}"/>
    <cellStyle name="40% - Accent6 3 2 5 2 3" xfId="12610" xr:uid="{16600462-BB97-4901-8D2C-E47B58C9D68F}"/>
    <cellStyle name="40% - Accent6 3 2 5 3" xfId="6254" xr:uid="{00000000-0005-0000-0000-000043070000}"/>
    <cellStyle name="40% - Accent6 3 2 5 3 2" xfId="14683" xr:uid="{9DC37E2B-0FE4-47F9-AA42-5E043692D8CD}"/>
    <cellStyle name="40% - Accent6 3 2 5 4" xfId="10465" xr:uid="{51956EEE-6F12-4965-BE21-F05FC59C9D4E}"/>
    <cellStyle name="40% - Accent6 3 2 6" xfId="2359" xr:uid="{00000000-0005-0000-0000-000044070000}"/>
    <cellStyle name="40% - Accent6 3 2 6 2" xfId="6667" xr:uid="{00000000-0005-0000-0000-000045070000}"/>
    <cellStyle name="40% - Accent6 3 2 6 2 2" xfId="15096" xr:uid="{6B0E1F49-ABB6-4ECB-9A5F-B166CF69007F}"/>
    <cellStyle name="40% - Accent6 3 2 6 3" xfId="10878" xr:uid="{7B6B0CEB-D717-4B69-9F04-E655497CB768}"/>
    <cellStyle name="40% - Accent6 3 2 7" xfId="4601" xr:uid="{00000000-0005-0000-0000-000046070000}"/>
    <cellStyle name="40% - Accent6 3 2 7 2" xfId="13030" xr:uid="{2F436777-EA33-4AEB-8E74-BA49174BA5A2}"/>
    <cellStyle name="40% - Accent6 3 2 8" xfId="8812" xr:uid="{BDC15A32-6D93-4B10-B7E2-F48D7DC671BE}"/>
    <cellStyle name="40% - Accent6 3 3" xfId="664" xr:uid="{00000000-0005-0000-0000-000047070000}"/>
    <cellStyle name="40% - Accent6 3 3 2" xfId="2935" xr:uid="{00000000-0005-0000-0000-000048070000}"/>
    <cellStyle name="40% - Accent6 3 3 2 2" xfId="7159" xr:uid="{00000000-0005-0000-0000-000049070000}"/>
    <cellStyle name="40% - Accent6 3 3 2 2 2" xfId="15588" xr:uid="{4FFE47B6-6232-4AB0-BFD3-B101AE7413AF}"/>
    <cellStyle name="40% - Accent6 3 3 2 3" xfId="11370" xr:uid="{E4FE5B5B-6194-4C89-9E8C-1405CE3B9583}"/>
    <cellStyle name="40% - Accent6 3 3 3" xfId="5014" xr:uid="{00000000-0005-0000-0000-00004A070000}"/>
    <cellStyle name="40% - Accent6 3 3 3 2" xfId="13443" xr:uid="{7A417397-4C00-45F6-966E-97D3DFB01FED}"/>
    <cellStyle name="40% - Accent6 3 3 4" xfId="9225" xr:uid="{CB83F609-56BB-402F-A7DF-2A447D134092}"/>
    <cellStyle name="40% - Accent6 3 4" xfId="1117" xr:uid="{00000000-0005-0000-0000-00004B070000}"/>
    <cellStyle name="40% - Accent6 3 4 2" xfId="3348" xr:uid="{00000000-0005-0000-0000-00004C070000}"/>
    <cellStyle name="40% - Accent6 3 4 2 2" xfId="7572" xr:uid="{00000000-0005-0000-0000-00004D070000}"/>
    <cellStyle name="40% - Accent6 3 4 2 2 2" xfId="16001" xr:uid="{3424287A-1B5D-40A8-8ABE-89CD69C7E6CE}"/>
    <cellStyle name="40% - Accent6 3 4 2 3" xfId="11783" xr:uid="{DA1838F0-823A-47D2-99D9-205A54B2B4DA}"/>
    <cellStyle name="40% - Accent6 3 4 3" xfId="5427" xr:uid="{00000000-0005-0000-0000-00004E070000}"/>
    <cellStyle name="40% - Accent6 3 4 3 2" xfId="13856" xr:uid="{8E17EEED-06DF-4D17-8654-F350F9AA671B}"/>
    <cellStyle name="40% - Accent6 3 4 4" xfId="9638" xr:uid="{B25C54EB-3A27-4E8A-BAB6-81D48C593D8A}"/>
    <cellStyle name="40% - Accent6 3 5" xfId="1531" xr:uid="{00000000-0005-0000-0000-00004F070000}"/>
    <cellStyle name="40% - Accent6 3 5 2" xfId="3761" xr:uid="{00000000-0005-0000-0000-000050070000}"/>
    <cellStyle name="40% - Accent6 3 5 2 2" xfId="7985" xr:uid="{00000000-0005-0000-0000-000051070000}"/>
    <cellStyle name="40% - Accent6 3 5 2 2 2" xfId="16414" xr:uid="{8DF4B5DD-BBA7-4395-8724-C70761886D6A}"/>
    <cellStyle name="40% - Accent6 3 5 2 3" xfId="12196" xr:uid="{2E8265D8-26DF-4F76-B306-AD0468DF3556}"/>
    <cellStyle name="40% - Accent6 3 5 3" xfId="5840" xr:uid="{00000000-0005-0000-0000-000052070000}"/>
    <cellStyle name="40% - Accent6 3 5 3 2" xfId="14269" xr:uid="{F5C1AB67-8EDA-4F97-AAC6-38FD4E4D1D68}"/>
    <cellStyle name="40% - Accent6 3 5 4" xfId="10051" xr:uid="{4283DC49-3332-4D4B-B586-C58887AEBED9}"/>
    <cellStyle name="40% - Accent6 3 6" xfId="1945" xr:uid="{00000000-0005-0000-0000-000053070000}"/>
    <cellStyle name="40% - Accent6 3 6 2" xfId="4174" xr:uid="{00000000-0005-0000-0000-000054070000}"/>
    <cellStyle name="40% - Accent6 3 6 2 2" xfId="8398" xr:uid="{00000000-0005-0000-0000-000055070000}"/>
    <cellStyle name="40% - Accent6 3 6 2 2 2" xfId="16827" xr:uid="{7BB3DFBA-2C78-4328-BC0B-D1B08C3741CB}"/>
    <cellStyle name="40% - Accent6 3 6 2 3" xfId="12609" xr:uid="{DE411F5F-1936-47D1-8A73-F5EACEE9CC26}"/>
    <cellStyle name="40% - Accent6 3 6 3" xfId="6253" xr:uid="{00000000-0005-0000-0000-000056070000}"/>
    <cellStyle name="40% - Accent6 3 6 3 2" xfId="14682" xr:uid="{1989B900-8A59-4DEC-9F5D-327FB3E89713}"/>
    <cellStyle name="40% - Accent6 3 6 4" xfId="10464" xr:uid="{542EE6B3-CFDA-414F-ACC9-76BB96A34CBA}"/>
    <cellStyle name="40% - Accent6 3 7" xfId="2358" xr:uid="{00000000-0005-0000-0000-000057070000}"/>
    <cellStyle name="40% - Accent6 3 7 2" xfId="6666" xr:uid="{00000000-0005-0000-0000-000058070000}"/>
    <cellStyle name="40% - Accent6 3 7 2 2" xfId="15095" xr:uid="{C98A6A67-56BF-4325-B48F-AAC3A158D6FB}"/>
    <cellStyle name="40% - Accent6 3 7 3" xfId="10877" xr:uid="{B9794A07-300A-4D9C-8D8D-7F338B07317A}"/>
    <cellStyle name="40% - Accent6 3 8" xfId="4600" xr:uid="{00000000-0005-0000-0000-000059070000}"/>
    <cellStyle name="40% - Accent6 3 8 2" xfId="13029" xr:uid="{6F2C1A9E-50CB-467E-AE06-757086940CD8}"/>
    <cellStyle name="40% - Accent6 3 9" xfId="8811" xr:uid="{AA55B51E-342B-4982-83D9-A9D19866D455}"/>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2 2 2" xfId="15590" xr:uid="{3E1E2B37-3B5F-4A40-B542-A967CB908802}"/>
    <cellStyle name="40% - Accent6 4 2 2 3" xfId="11372" xr:uid="{B5C10909-31DC-4734-BB70-ECB3C72D781A}"/>
    <cellStyle name="40% - Accent6 4 2 3" xfId="5016" xr:uid="{00000000-0005-0000-0000-00005E070000}"/>
    <cellStyle name="40% - Accent6 4 2 3 2" xfId="13445" xr:uid="{CF11B4EB-FC96-400B-B536-C33F851EB184}"/>
    <cellStyle name="40% - Accent6 4 2 4" xfId="9227" xr:uid="{AF3E3EFC-9E29-4366-B61D-7DDDCDB7F539}"/>
    <cellStyle name="40% - Accent6 4 3" xfId="1119" xr:uid="{00000000-0005-0000-0000-00005F070000}"/>
    <cellStyle name="40% - Accent6 4 3 2" xfId="3350" xr:uid="{00000000-0005-0000-0000-000060070000}"/>
    <cellStyle name="40% - Accent6 4 3 2 2" xfId="7574" xr:uid="{00000000-0005-0000-0000-000061070000}"/>
    <cellStyle name="40% - Accent6 4 3 2 2 2" xfId="16003" xr:uid="{5F6A0FF4-663D-41BD-9E82-577D976E1451}"/>
    <cellStyle name="40% - Accent6 4 3 2 3" xfId="11785" xr:uid="{36F0E1C1-14C9-4FAF-9CBF-9EE7EB23C735}"/>
    <cellStyle name="40% - Accent6 4 3 3" xfId="5429" xr:uid="{00000000-0005-0000-0000-000062070000}"/>
    <cellStyle name="40% - Accent6 4 3 3 2" xfId="13858" xr:uid="{50965B6D-70FA-4800-B97D-E9E1B6DDA111}"/>
    <cellStyle name="40% - Accent6 4 3 4" xfId="9640" xr:uid="{80E478DE-DCB5-429D-82C8-C99497CB9EB6}"/>
    <cellStyle name="40% - Accent6 4 4" xfId="1533" xr:uid="{00000000-0005-0000-0000-000063070000}"/>
    <cellStyle name="40% - Accent6 4 4 2" xfId="3763" xr:uid="{00000000-0005-0000-0000-000064070000}"/>
    <cellStyle name="40% - Accent6 4 4 2 2" xfId="7987" xr:uid="{00000000-0005-0000-0000-000065070000}"/>
    <cellStyle name="40% - Accent6 4 4 2 2 2" xfId="16416" xr:uid="{42A20083-7DA4-49D2-A0C4-9063EEECF413}"/>
    <cellStyle name="40% - Accent6 4 4 2 3" xfId="12198" xr:uid="{69DC3508-1322-4CE6-A201-1A04E362A754}"/>
    <cellStyle name="40% - Accent6 4 4 3" xfId="5842" xr:uid="{00000000-0005-0000-0000-000066070000}"/>
    <cellStyle name="40% - Accent6 4 4 3 2" xfId="14271" xr:uid="{5CA19EC7-5F0F-4222-A90D-DBEF5989F96F}"/>
    <cellStyle name="40% - Accent6 4 4 4" xfId="10053" xr:uid="{E7422E96-5B8C-460A-AB4F-2631178F579F}"/>
    <cellStyle name="40% - Accent6 4 5" xfId="1947" xr:uid="{00000000-0005-0000-0000-000067070000}"/>
    <cellStyle name="40% - Accent6 4 5 2" xfId="4176" xr:uid="{00000000-0005-0000-0000-000068070000}"/>
    <cellStyle name="40% - Accent6 4 5 2 2" xfId="8400" xr:uid="{00000000-0005-0000-0000-000069070000}"/>
    <cellStyle name="40% - Accent6 4 5 2 2 2" xfId="16829" xr:uid="{C79BF0AB-CABC-442F-BB5B-34C4E8AF8A14}"/>
    <cellStyle name="40% - Accent6 4 5 2 3" xfId="12611" xr:uid="{62A5CE3D-D7F2-4CFA-AA6F-B0B6A2269BFD}"/>
    <cellStyle name="40% - Accent6 4 5 3" xfId="6255" xr:uid="{00000000-0005-0000-0000-00006A070000}"/>
    <cellStyle name="40% - Accent6 4 5 3 2" xfId="14684" xr:uid="{87F51AB5-8916-4D0C-B265-F081A1DE03F3}"/>
    <cellStyle name="40% - Accent6 4 5 4" xfId="10466" xr:uid="{DAF0B450-FA62-4F4E-873D-2CCAC5B1BAE9}"/>
    <cellStyle name="40% - Accent6 4 6" xfId="2360" xr:uid="{00000000-0005-0000-0000-00006B070000}"/>
    <cellStyle name="40% - Accent6 4 6 2" xfId="6668" xr:uid="{00000000-0005-0000-0000-00006C070000}"/>
    <cellStyle name="40% - Accent6 4 6 2 2" xfId="15097" xr:uid="{19A3C48B-6E58-456B-A03D-DFC0BEC32A64}"/>
    <cellStyle name="40% - Accent6 4 6 3" xfId="10879" xr:uid="{00F7BE25-398D-4D1D-B2F5-A221B40D2274}"/>
    <cellStyle name="40% - Accent6 4 7" xfId="4602" xr:uid="{00000000-0005-0000-0000-00006D070000}"/>
    <cellStyle name="40% - Accent6 4 7 2" xfId="13031" xr:uid="{6F2498F6-7934-49BC-8AF3-59E60DC20C83}"/>
    <cellStyle name="40% - Accent6 4 8" xfId="8813" xr:uid="{87AE419A-D143-4485-B77F-E488286C1AC4}"/>
    <cellStyle name="40% - Accent6 5" xfId="659" xr:uid="{00000000-0005-0000-0000-00006E070000}"/>
    <cellStyle name="40% - Accent6 5 2" xfId="2930" xr:uid="{00000000-0005-0000-0000-00006F070000}"/>
    <cellStyle name="40% - Accent6 5 2 2" xfId="7154" xr:uid="{00000000-0005-0000-0000-000070070000}"/>
    <cellStyle name="40% - Accent6 5 2 2 2" xfId="15583" xr:uid="{1C753503-C3F6-48F9-91FC-0B5B244DF0F5}"/>
    <cellStyle name="40% - Accent6 5 2 3" xfId="11365" xr:uid="{71D3E64A-ADB2-49F0-9139-98F243D7307C}"/>
    <cellStyle name="40% - Accent6 5 3" xfId="5009" xr:uid="{00000000-0005-0000-0000-000071070000}"/>
    <cellStyle name="40% - Accent6 5 3 2" xfId="13438" xr:uid="{313B66C3-7B87-4683-9611-AD5C0579B887}"/>
    <cellStyle name="40% - Accent6 5 4" xfId="9220" xr:uid="{72C7B685-1A30-43CC-A2D2-BF3DC6429089}"/>
    <cellStyle name="40% - Accent6 6" xfId="1112" xr:uid="{00000000-0005-0000-0000-000072070000}"/>
    <cellStyle name="40% - Accent6 6 2" xfId="3343" xr:uid="{00000000-0005-0000-0000-000073070000}"/>
    <cellStyle name="40% - Accent6 6 2 2" xfId="7567" xr:uid="{00000000-0005-0000-0000-000074070000}"/>
    <cellStyle name="40% - Accent6 6 2 2 2" xfId="15996" xr:uid="{ED82325E-DEFE-4E9A-B91F-3FBFCCA25238}"/>
    <cellStyle name="40% - Accent6 6 2 3" xfId="11778" xr:uid="{BAA051A6-612F-49CC-A771-91BDF2019ABC}"/>
    <cellStyle name="40% - Accent6 6 3" xfId="5422" xr:uid="{00000000-0005-0000-0000-000075070000}"/>
    <cellStyle name="40% - Accent6 6 3 2" xfId="13851" xr:uid="{455B214E-3E4F-4ED7-ACD7-48CF8EBB3E04}"/>
    <cellStyle name="40% - Accent6 6 4" xfId="9633" xr:uid="{6F5B69D9-75FC-47BA-8DC6-1FA3815B3239}"/>
    <cellStyle name="40% - Accent6 7" xfId="1526" xr:uid="{00000000-0005-0000-0000-000076070000}"/>
    <cellStyle name="40% - Accent6 7 2" xfId="3756" xr:uid="{00000000-0005-0000-0000-000077070000}"/>
    <cellStyle name="40% - Accent6 7 2 2" xfId="7980" xr:uid="{00000000-0005-0000-0000-000078070000}"/>
    <cellStyle name="40% - Accent6 7 2 2 2" xfId="16409" xr:uid="{25119271-BA5C-41A9-BB65-86EEDBF6DE26}"/>
    <cellStyle name="40% - Accent6 7 2 3" xfId="12191" xr:uid="{27279381-D171-45EF-8E8E-83597594FD52}"/>
    <cellStyle name="40% - Accent6 7 3" xfId="5835" xr:uid="{00000000-0005-0000-0000-000079070000}"/>
    <cellStyle name="40% - Accent6 7 3 2" xfId="14264" xr:uid="{D0EDFA70-899B-4FFB-9D57-1C092D214533}"/>
    <cellStyle name="40% - Accent6 7 4" xfId="10046" xr:uid="{7C1078CA-20E1-43F1-A1E5-E32EFCDF6D23}"/>
    <cellStyle name="40% - Accent6 8" xfId="1940" xr:uid="{00000000-0005-0000-0000-00007A070000}"/>
    <cellStyle name="40% - Accent6 8 2" xfId="4169" xr:uid="{00000000-0005-0000-0000-00007B070000}"/>
    <cellStyle name="40% - Accent6 8 2 2" xfId="8393" xr:uid="{00000000-0005-0000-0000-00007C070000}"/>
    <cellStyle name="40% - Accent6 8 2 2 2" xfId="16822" xr:uid="{4259F881-D648-4A87-B4D1-A10E7127EE5B}"/>
    <cellStyle name="40% - Accent6 8 2 3" xfId="12604" xr:uid="{324A6C66-8BE7-4EC0-A674-F95234416E47}"/>
    <cellStyle name="40% - Accent6 8 3" xfId="6248" xr:uid="{00000000-0005-0000-0000-00007D070000}"/>
    <cellStyle name="40% - Accent6 8 3 2" xfId="14677" xr:uid="{DF105EC5-7C7F-49BD-9008-03E4D508B84F}"/>
    <cellStyle name="40% - Accent6 8 4" xfId="10459" xr:uid="{1A28C3F2-8BEE-4ED9-8D90-1040249AB229}"/>
    <cellStyle name="40% - Accent6 9" xfId="2353" xr:uid="{00000000-0005-0000-0000-00007E070000}"/>
    <cellStyle name="40% - Accent6 9 2" xfId="6661" xr:uid="{00000000-0005-0000-0000-00007F070000}"/>
    <cellStyle name="40% - Accent6 9 2 2" xfId="15090" xr:uid="{26D3C5FB-4F7F-43E5-8DF6-88F7DCB36053}"/>
    <cellStyle name="40% - Accent6 9 3" xfId="10872" xr:uid="{BCD8CC4A-D8C5-4E66-A418-FD474D2F9B97}"/>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0 2 2" xfId="15415" xr:uid="{8058A00D-E7E0-4E46-A001-442E8561B802}"/>
    <cellStyle name="Comma 4 2 2 2 10 3" xfId="11197" xr:uid="{F4CF6FE9-15DC-4B26-AFE5-1372EC0DB4C8}"/>
    <cellStyle name="Comma 4 2 2 2 11" xfId="4603" xr:uid="{00000000-0005-0000-0000-0000A3070000}"/>
    <cellStyle name="Comma 4 2 2 2 11 2" xfId="13032" xr:uid="{E5B8F84B-CC69-4A66-B372-DC64A280A1EE}"/>
    <cellStyle name="Comma 4 2 2 2 12" xfId="8814" xr:uid="{70296964-4535-4F75-B14D-B4FB92D366A1}"/>
    <cellStyle name="Comma 4 2 2 2 2" xfId="129" xr:uid="{00000000-0005-0000-0000-0000A4070000}"/>
    <cellStyle name="Comma 4 2 2 2 2 10" xfId="4604" xr:uid="{00000000-0005-0000-0000-0000A5070000}"/>
    <cellStyle name="Comma 4 2 2 2 2 10 2" xfId="13033" xr:uid="{4C025613-0BDF-46EA-9ECF-C9C76ED1A7C5}"/>
    <cellStyle name="Comma 4 2 2 2 2 11" xfId="8815" xr:uid="{CB491E6B-9AF9-434E-A6DE-B07C159E5D17}"/>
    <cellStyle name="Comma 4 2 2 2 2 2" xfId="130" xr:uid="{00000000-0005-0000-0000-0000A6070000}"/>
    <cellStyle name="Comma 4 2 2 2 2 2 10" xfId="8816" xr:uid="{E7315464-52F2-4B85-A3D7-719C18CE0279}"/>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2 2 2" xfId="15593" xr:uid="{AA2CA71A-1FB7-4E82-8224-8B93B2C1E81F}"/>
    <cellStyle name="Comma 4 2 2 2 2 2 2 2 3" xfId="11375" xr:uid="{711A6611-3CB3-4BBA-A7B1-251C53DDBDED}"/>
    <cellStyle name="Comma 4 2 2 2 2 2 2 3" xfId="5019" xr:uid="{00000000-0005-0000-0000-0000AA070000}"/>
    <cellStyle name="Comma 4 2 2 2 2 2 2 3 2" xfId="13448" xr:uid="{4C324306-7373-4A76-8814-B36389989061}"/>
    <cellStyle name="Comma 4 2 2 2 2 2 2 4" xfId="9230" xr:uid="{5A9286C7-FDA0-48E8-8DA1-F5E4D74B486D}"/>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2 2 2" xfId="16006" xr:uid="{40A77504-1B2B-4C68-9FE2-8B79E52F7FCF}"/>
    <cellStyle name="Comma 4 2 2 2 2 2 3 2 3" xfId="11788" xr:uid="{8FAF963D-2AD0-4CCD-AB28-640EEDAE9BB0}"/>
    <cellStyle name="Comma 4 2 2 2 2 2 3 3" xfId="5432" xr:uid="{00000000-0005-0000-0000-0000AE070000}"/>
    <cellStyle name="Comma 4 2 2 2 2 2 3 3 2" xfId="13861" xr:uid="{8991709C-A6FF-4E85-A000-DDA5DEF55A21}"/>
    <cellStyle name="Comma 4 2 2 2 2 2 3 4" xfId="9643" xr:uid="{B80723C0-ED98-4AAD-A707-A4B611C041DF}"/>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2 2 2" xfId="16419" xr:uid="{747410F7-3FAF-438C-AAC9-50F5B25A7576}"/>
    <cellStyle name="Comma 4 2 2 2 2 2 4 2 3" xfId="12201" xr:uid="{6EF5B319-E6DA-479E-AD87-8A07A01E28CF}"/>
    <cellStyle name="Comma 4 2 2 2 2 2 4 3" xfId="5845" xr:uid="{00000000-0005-0000-0000-0000B2070000}"/>
    <cellStyle name="Comma 4 2 2 2 2 2 4 3 2" xfId="14274" xr:uid="{783638EF-7306-435A-8A3B-DD7E9BA60326}"/>
    <cellStyle name="Comma 4 2 2 2 2 2 4 4" xfId="10056" xr:uid="{453DD8CA-D54F-4536-A4D0-28BDDE6C30F3}"/>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2 2 2" xfId="16832" xr:uid="{3A2FB2E9-4FB8-4748-BD26-1FC130761655}"/>
    <cellStyle name="Comma 4 2 2 2 2 2 5 2 3" xfId="12614" xr:uid="{EA33742A-5E76-4DF2-BC77-11377B5681EB}"/>
    <cellStyle name="Comma 4 2 2 2 2 2 5 3" xfId="6258" xr:uid="{00000000-0005-0000-0000-0000B6070000}"/>
    <cellStyle name="Comma 4 2 2 2 2 2 5 3 2" xfId="14687" xr:uid="{9C552E1E-8475-4289-A7EA-E05218100D7F}"/>
    <cellStyle name="Comma 4 2 2 2 2 2 5 4" xfId="10469" xr:uid="{5C7392E8-9BAB-4BB7-95D9-7677D1617832}"/>
    <cellStyle name="Comma 4 2 2 2 2 2 6" xfId="2385" xr:uid="{00000000-0005-0000-0000-0000B7070000}"/>
    <cellStyle name="Comma 4 2 2 2 2 2 6 2" xfId="6671" xr:uid="{00000000-0005-0000-0000-0000B8070000}"/>
    <cellStyle name="Comma 4 2 2 2 2 2 6 2 2" xfId="15100" xr:uid="{657555E9-D033-4AD9-BF14-348E2157547A}"/>
    <cellStyle name="Comma 4 2 2 2 2 2 6 3" xfId="10882" xr:uid="{4ABD2BA5-CA97-4F2E-A308-45651D497294}"/>
    <cellStyle name="Comma 4 2 2 2 2 2 7" xfId="2380" xr:uid="{00000000-0005-0000-0000-0000B9070000}"/>
    <cellStyle name="Comma 4 2 2 2 2 2 8" xfId="2763" xr:uid="{00000000-0005-0000-0000-0000BA070000}"/>
    <cellStyle name="Comma 4 2 2 2 2 2 8 2" xfId="6988" xr:uid="{00000000-0005-0000-0000-0000BB070000}"/>
    <cellStyle name="Comma 4 2 2 2 2 2 8 2 2" xfId="15417" xr:uid="{5AFFBC13-9453-4878-AFAB-0B19334765DC}"/>
    <cellStyle name="Comma 4 2 2 2 2 2 8 3" xfId="11199" xr:uid="{893DBAF3-37C1-4621-A63F-3345B700C669}"/>
    <cellStyle name="Comma 4 2 2 2 2 2 9" xfId="4605" xr:uid="{00000000-0005-0000-0000-0000BC070000}"/>
    <cellStyle name="Comma 4 2 2 2 2 2 9 2" xfId="13034" xr:uid="{E2DA7D14-96C0-497A-A46F-8AE7C8DBDCE5}"/>
    <cellStyle name="Comma 4 2 2 2 2 3" xfId="668" xr:uid="{00000000-0005-0000-0000-0000BD070000}"/>
    <cellStyle name="Comma 4 2 2 2 2 3 2" xfId="2939" xr:uid="{00000000-0005-0000-0000-0000BE070000}"/>
    <cellStyle name="Comma 4 2 2 2 2 3 2 2" xfId="7163" xr:uid="{00000000-0005-0000-0000-0000BF070000}"/>
    <cellStyle name="Comma 4 2 2 2 2 3 2 2 2" xfId="15592" xr:uid="{EEB68D37-693C-44B0-A0E7-49F7425A7DED}"/>
    <cellStyle name="Comma 4 2 2 2 2 3 2 3" xfId="11374" xr:uid="{EBFDF61A-B876-4ACD-B88D-19078ACCDEE2}"/>
    <cellStyle name="Comma 4 2 2 2 2 3 3" xfId="5018" xr:uid="{00000000-0005-0000-0000-0000C0070000}"/>
    <cellStyle name="Comma 4 2 2 2 2 3 3 2" xfId="13447" xr:uid="{56C8619E-CBB1-498E-8DCA-157A67FE1E65}"/>
    <cellStyle name="Comma 4 2 2 2 2 3 4" xfId="9229" xr:uid="{9FE22B2E-0B1D-45A7-A9CA-B472EC31AD04}"/>
    <cellStyle name="Comma 4 2 2 2 2 4" xfId="1121" xr:uid="{00000000-0005-0000-0000-0000C1070000}"/>
    <cellStyle name="Comma 4 2 2 2 2 4 2" xfId="3352" xr:uid="{00000000-0005-0000-0000-0000C2070000}"/>
    <cellStyle name="Comma 4 2 2 2 2 4 2 2" xfId="7576" xr:uid="{00000000-0005-0000-0000-0000C3070000}"/>
    <cellStyle name="Comma 4 2 2 2 2 4 2 2 2" xfId="16005" xr:uid="{5572928B-28B4-4C6E-91C4-BDB4D73F5632}"/>
    <cellStyle name="Comma 4 2 2 2 2 4 2 3" xfId="11787" xr:uid="{C9408732-E341-49BA-9833-4C32BCB987A7}"/>
    <cellStyle name="Comma 4 2 2 2 2 4 3" xfId="5431" xr:uid="{00000000-0005-0000-0000-0000C4070000}"/>
    <cellStyle name="Comma 4 2 2 2 2 4 3 2" xfId="13860" xr:uid="{88707C30-F4F9-4E1C-9E5D-68302AF5DF7C}"/>
    <cellStyle name="Comma 4 2 2 2 2 4 4" xfId="9642" xr:uid="{5BAD6D97-FAD7-453C-A800-67A882DA4A40}"/>
    <cellStyle name="Comma 4 2 2 2 2 5" xfId="1535" xr:uid="{00000000-0005-0000-0000-0000C5070000}"/>
    <cellStyle name="Comma 4 2 2 2 2 5 2" xfId="3765" xr:uid="{00000000-0005-0000-0000-0000C6070000}"/>
    <cellStyle name="Comma 4 2 2 2 2 5 2 2" xfId="7989" xr:uid="{00000000-0005-0000-0000-0000C7070000}"/>
    <cellStyle name="Comma 4 2 2 2 2 5 2 2 2" xfId="16418" xr:uid="{66D5E7A5-619F-40ED-A264-41CCC835DCC7}"/>
    <cellStyle name="Comma 4 2 2 2 2 5 2 3" xfId="12200" xr:uid="{4CBBBDED-F687-4A18-83DF-6FE921F6D64E}"/>
    <cellStyle name="Comma 4 2 2 2 2 5 3" xfId="5844" xr:uid="{00000000-0005-0000-0000-0000C8070000}"/>
    <cellStyle name="Comma 4 2 2 2 2 5 3 2" xfId="14273" xr:uid="{9CB05FF5-0059-4A4C-9F1F-CCCEB98983D7}"/>
    <cellStyle name="Comma 4 2 2 2 2 5 4" xfId="10055" xr:uid="{541F187A-DD68-4299-AD08-6E315672AE54}"/>
    <cellStyle name="Comma 4 2 2 2 2 6" xfId="1949" xr:uid="{00000000-0005-0000-0000-0000C9070000}"/>
    <cellStyle name="Comma 4 2 2 2 2 6 2" xfId="4178" xr:uid="{00000000-0005-0000-0000-0000CA070000}"/>
    <cellStyle name="Comma 4 2 2 2 2 6 2 2" xfId="8402" xr:uid="{00000000-0005-0000-0000-0000CB070000}"/>
    <cellStyle name="Comma 4 2 2 2 2 6 2 2 2" xfId="16831" xr:uid="{8A09C7B8-92F6-4C18-906B-FD9FD16E987F}"/>
    <cellStyle name="Comma 4 2 2 2 2 6 2 3" xfId="12613" xr:uid="{4F64508F-9F65-4D02-B2E3-E549083B6391}"/>
    <cellStyle name="Comma 4 2 2 2 2 6 3" xfId="6257" xr:uid="{00000000-0005-0000-0000-0000CC070000}"/>
    <cellStyle name="Comma 4 2 2 2 2 6 3 2" xfId="14686" xr:uid="{E84A7EE3-FC92-4FD0-9E51-482CB14BF50D}"/>
    <cellStyle name="Comma 4 2 2 2 2 6 4" xfId="10468" xr:uid="{23CA5670-2D72-4015-931B-64A0D3A1FDE6}"/>
    <cellStyle name="Comma 4 2 2 2 2 7" xfId="2384" xr:uid="{00000000-0005-0000-0000-0000CD070000}"/>
    <cellStyle name="Comma 4 2 2 2 2 7 2" xfId="6670" xr:uid="{00000000-0005-0000-0000-0000CE070000}"/>
    <cellStyle name="Comma 4 2 2 2 2 7 2 2" xfId="15099" xr:uid="{9B9F1E82-7424-45A6-84CD-21EF0BE4F6D8}"/>
    <cellStyle name="Comma 4 2 2 2 2 7 3" xfId="10881" xr:uid="{25F05A6C-486D-4744-B375-54EEC6D1637E}"/>
    <cellStyle name="Comma 4 2 2 2 2 8" xfId="2381" xr:uid="{00000000-0005-0000-0000-0000CF070000}"/>
    <cellStyle name="Comma 4 2 2 2 2 9" xfId="2762" xr:uid="{00000000-0005-0000-0000-0000D0070000}"/>
    <cellStyle name="Comma 4 2 2 2 2 9 2" xfId="6987" xr:uid="{00000000-0005-0000-0000-0000D1070000}"/>
    <cellStyle name="Comma 4 2 2 2 2 9 2 2" xfId="15416" xr:uid="{DF0360DF-0399-46C5-8520-FABE3EA3C4AE}"/>
    <cellStyle name="Comma 4 2 2 2 2 9 3" xfId="11198" xr:uid="{8F9ECC10-16EC-4B30-8232-10143A014E03}"/>
    <cellStyle name="Comma 4 2 2 2 3" xfId="131" xr:uid="{00000000-0005-0000-0000-0000D2070000}"/>
    <cellStyle name="Comma 4 2 2 2 3 10" xfId="8817" xr:uid="{8AE04978-AFBF-46D7-97DB-17CB43DC25A7}"/>
    <cellStyle name="Comma 4 2 2 2 3 2" xfId="670" xr:uid="{00000000-0005-0000-0000-0000D3070000}"/>
    <cellStyle name="Comma 4 2 2 2 3 2 2" xfId="2941" xr:uid="{00000000-0005-0000-0000-0000D4070000}"/>
    <cellStyle name="Comma 4 2 2 2 3 2 2 2" xfId="7165" xr:uid="{00000000-0005-0000-0000-0000D5070000}"/>
    <cellStyle name="Comma 4 2 2 2 3 2 2 2 2" xfId="15594" xr:uid="{88E78DA4-D0C5-4CD9-8BFA-388D3C3C6AFD}"/>
    <cellStyle name="Comma 4 2 2 2 3 2 2 3" xfId="11376" xr:uid="{FA4707C4-A492-4F25-AB79-6F59BC5AB477}"/>
    <cellStyle name="Comma 4 2 2 2 3 2 3" xfId="5020" xr:uid="{00000000-0005-0000-0000-0000D6070000}"/>
    <cellStyle name="Comma 4 2 2 2 3 2 3 2" xfId="13449" xr:uid="{14848499-059D-4464-820E-D35BF98EF944}"/>
    <cellStyle name="Comma 4 2 2 2 3 2 4" xfId="9231" xr:uid="{08206413-4207-4C0F-9048-D9DFBE32DC76}"/>
    <cellStyle name="Comma 4 2 2 2 3 3" xfId="1123" xr:uid="{00000000-0005-0000-0000-0000D7070000}"/>
    <cellStyle name="Comma 4 2 2 2 3 3 2" xfId="3354" xr:uid="{00000000-0005-0000-0000-0000D8070000}"/>
    <cellStyle name="Comma 4 2 2 2 3 3 2 2" xfId="7578" xr:uid="{00000000-0005-0000-0000-0000D9070000}"/>
    <cellStyle name="Comma 4 2 2 2 3 3 2 2 2" xfId="16007" xr:uid="{DC20DD5A-C3D6-4EBA-ACF8-DF2A98761086}"/>
    <cellStyle name="Comma 4 2 2 2 3 3 2 3" xfId="11789" xr:uid="{EB247139-3A72-4416-B17A-05DAD0607098}"/>
    <cellStyle name="Comma 4 2 2 2 3 3 3" xfId="5433" xr:uid="{00000000-0005-0000-0000-0000DA070000}"/>
    <cellStyle name="Comma 4 2 2 2 3 3 3 2" xfId="13862" xr:uid="{D22A95BF-3303-4516-B159-54849BDF6C76}"/>
    <cellStyle name="Comma 4 2 2 2 3 3 4" xfId="9644" xr:uid="{FDE7CC8B-0DE4-4909-97FC-D5565A481F0F}"/>
    <cellStyle name="Comma 4 2 2 2 3 4" xfId="1537" xr:uid="{00000000-0005-0000-0000-0000DB070000}"/>
    <cellStyle name="Comma 4 2 2 2 3 4 2" xfId="3767" xr:uid="{00000000-0005-0000-0000-0000DC070000}"/>
    <cellStyle name="Comma 4 2 2 2 3 4 2 2" xfId="7991" xr:uid="{00000000-0005-0000-0000-0000DD070000}"/>
    <cellStyle name="Comma 4 2 2 2 3 4 2 2 2" xfId="16420" xr:uid="{4F9587A3-C3DB-4810-80B0-9090E2B22DDB}"/>
    <cellStyle name="Comma 4 2 2 2 3 4 2 3" xfId="12202" xr:uid="{12F31728-7A98-4A6B-B925-AE7246474796}"/>
    <cellStyle name="Comma 4 2 2 2 3 4 3" xfId="5846" xr:uid="{00000000-0005-0000-0000-0000DE070000}"/>
    <cellStyle name="Comma 4 2 2 2 3 4 3 2" xfId="14275" xr:uid="{4C0BBD96-021B-4FAE-BE46-AEC165D4F2AF}"/>
    <cellStyle name="Comma 4 2 2 2 3 4 4" xfId="10057" xr:uid="{3E0D2136-C563-4D56-B5E1-9BFD13F5460C}"/>
    <cellStyle name="Comma 4 2 2 2 3 5" xfId="1951" xr:uid="{00000000-0005-0000-0000-0000DF070000}"/>
    <cellStyle name="Comma 4 2 2 2 3 5 2" xfId="4180" xr:uid="{00000000-0005-0000-0000-0000E0070000}"/>
    <cellStyle name="Comma 4 2 2 2 3 5 2 2" xfId="8404" xr:uid="{00000000-0005-0000-0000-0000E1070000}"/>
    <cellStyle name="Comma 4 2 2 2 3 5 2 2 2" xfId="16833" xr:uid="{0EB65304-4144-4BCE-8A81-861BBC503C52}"/>
    <cellStyle name="Comma 4 2 2 2 3 5 2 3" xfId="12615" xr:uid="{147136F2-BED5-428B-B781-09352D0E4667}"/>
    <cellStyle name="Comma 4 2 2 2 3 5 3" xfId="6259" xr:uid="{00000000-0005-0000-0000-0000E2070000}"/>
    <cellStyle name="Comma 4 2 2 2 3 5 3 2" xfId="14688" xr:uid="{22CF2C64-7AE4-4570-A4A2-1677477F4725}"/>
    <cellStyle name="Comma 4 2 2 2 3 5 4" xfId="10470" xr:uid="{E5C7FCEC-810C-4207-9E97-2AF0BF759218}"/>
    <cellStyle name="Comma 4 2 2 2 3 6" xfId="2386" xr:uid="{00000000-0005-0000-0000-0000E3070000}"/>
    <cellStyle name="Comma 4 2 2 2 3 6 2" xfId="6672" xr:uid="{00000000-0005-0000-0000-0000E4070000}"/>
    <cellStyle name="Comma 4 2 2 2 3 6 2 2" xfId="15101" xr:uid="{0A4ED6F6-C141-43F2-8434-6CA3BB61C9D4}"/>
    <cellStyle name="Comma 4 2 2 2 3 6 3" xfId="10883" xr:uid="{F4692AD3-D11D-4F6E-8670-FFA59E123A58}"/>
    <cellStyle name="Comma 4 2 2 2 3 7" xfId="2379" xr:uid="{00000000-0005-0000-0000-0000E5070000}"/>
    <cellStyle name="Comma 4 2 2 2 3 8" xfId="2764" xr:uid="{00000000-0005-0000-0000-0000E6070000}"/>
    <cellStyle name="Comma 4 2 2 2 3 8 2" xfId="6989" xr:uid="{00000000-0005-0000-0000-0000E7070000}"/>
    <cellStyle name="Comma 4 2 2 2 3 8 2 2" xfId="15418" xr:uid="{2E4137C0-017B-40C7-9ECE-8C5CDEB6CEBE}"/>
    <cellStyle name="Comma 4 2 2 2 3 8 3" xfId="11200" xr:uid="{3FD33360-E63E-44B0-9C33-BDACF7C3716C}"/>
    <cellStyle name="Comma 4 2 2 2 3 9" xfId="4606" xr:uid="{00000000-0005-0000-0000-0000E8070000}"/>
    <cellStyle name="Comma 4 2 2 2 3 9 2" xfId="13035" xr:uid="{E7DC6AB7-4513-4073-8BAB-DEC819A3FA1C}"/>
    <cellStyle name="Comma 4 2 2 2 4" xfId="667" xr:uid="{00000000-0005-0000-0000-0000E9070000}"/>
    <cellStyle name="Comma 4 2 2 2 4 2" xfId="2938" xr:uid="{00000000-0005-0000-0000-0000EA070000}"/>
    <cellStyle name="Comma 4 2 2 2 4 2 2" xfId="7162" xr:uid="{00000000-0005-0000-0000-0000EB070000}"/>
    <cellStyle name="Comma 4 2 2 2 4 2 2 2" xfId="15591" xr:uid="{05FA94EE-B1E7-47F6-AE1E-440DD2E44D72}"/>
    <cellStyle name="Comma 4 2 2 2 4 2 3" xfId="11373" xr:uid="{F9E1949C-7395-44ED-8EBB-714483BFD174}"/>
    <cellStyle name="Comma 4 2 2 2 4 3" xfId="5017" xr:uid="{00000000-0005-0000-0000-0000EC070000}"/>
    <cellStyle name="Comma 4 2 2 2 4 3 2" xfId="13446" xr:uid="{EBFB4472-0EDD-4F8C-9D2C-C7ECAB84BBFA}"/>
    <cellStyle name="Comma 4 2 2 2 4 4" xfId="9228" xr:uid="{F0C6A93B-84CB-4C4B-8986-692EE4F0A600}"/>
    <cellStyle name="Comma 4 2 2 2 5" xfId="1120" xr:uid="{00000000-0005-0000-0000-0000ED070000}"/>
    <cellStyle name="Comma 4 2 2 2 5 2" xfId="3351" xr:uid="{00000000-0005-0000-0000-0000EE070000}"/>
    <cellStyle name="Comma 4 2 2 2 5 2 2" xfId="7575" xr:uid="{00000000-0005-0000-0000-0000EF070000}"/>
    <cellStyle name="Comma 4 2 2 2 5 2 2 2" xfId="16004" xr:uid="{965E7AE7-1084-4626-B563-AD3D67B17B72}"/>
    <cellStyle name="Comma 4 2 2 2 5 2 3" xfId="11786" xr:uid="{689631B8-84DC-4BE5-A223-DC44CBC85DCD}"/>
    <cellStyle name="Comma 4 2 2 2 5 3" xfId="5430" xr:uid="{00000000-0005-0000-0000-0000F0070000}"/>
    <cellStyle name="Comma 4 2 2 2 5 3 2" xfId="13859" xr:uid="{6686CFF8-116E-4A56-8894-5406E1EDE464}"/>
    <cellStyle name="Comma 4 2 2 2 5 4" xfId="9641" xr:uid="{6F91C850-0FD6-47BA-B9B1-8E565E753A75}"/>
    <cellStyle name="Comma 4 2 2 2 6" xfId="1534" xr:uid="{00000000-0005-0000-0000-0000F1070000}"/>
    <cellStyle name="Comma 4 2 2 2 6 2" xfId="3764" xr:uid="{00000000-0005-0000-0000-0000F2070000}"/>
    <cellStyle name="Comma 4 2 2 2 6 2 2" xfId="7988" xr:uid="{00000000-0005-0000-0000-0000F3070000}"/>
    <cellStyle name="Comma 4 2 2 2 6 2 2 2" xfId="16417" xr:uid="{DDE51D0A-603F-457E-8D3A-C26F8A5C5519}"/>
    <cellStyle name="Comma 4 2 2 2 6 2 3" xfId="12199" xr:uid="{EB99C123-F8B6-4553-B367-33FB66A177B0}"/>
    <cellStyle name="Comma 4 2 2 2 6 3" xfId="5843" xr:uid="{00000000-0005-0000-0000-0000F4070000}"/>
    <cellStyle name="Comma 4 2 2 2 6 3 2" xfId="14272" xr:uid="{3A3DB86F-6A83-4B48-AF50-9ADA1AF701AD}"/>
    <cellStyle name="Comma 4 2 2 2 6 4" xfId="10054" xr:uid="{AE1A5FCB-9854-4B42-BC69-69522139FB48}"/>
    <cellStyle name="Comma 4 2 2 2 7" xfId="1948" xr:uid="{00000000-0005-0000-0000-0000F5070000}"/>
    <cellStyle name="Comma 4 2 2 2 7 2" xfId="4177" xr:uid="{00000000-0005-0000-0000-0000F6070000}"/>
    <cellStyle name="Comma 4 2 2 2 7 2 2" xfId="8401" xr:uid="{00000000-0005-0000-0000-0000F7070000}"/>
    <cellStyle name="Comma 4 2 2 2 7 2 2 2" xfId="16830" xr:uid="{B47033CE-C4EF-43D9-BA58-79870D02587C}"/>
    <cellStyle name="Comma 4 2 2 2 7 2 3" xfId="12612" xr:uid="{79F2ED77-87DE-4EF6-8916-17D173BF182E}"/>
    <cellStyle name="Comma 4 2 2 2 7 3" xfId="6256" xr:uid="{00000000-0005-0000-0000-0000F8070000}"/>
    <cellStyle name="Comma 4 2 2 2 7 3 2" xfId="14685" xr:uid="{E610BB9D-B043-49BF-A801-A243BC646A92}"/>
    <cellStyle name="Comma 4 2 2 2 7 4" xfId="10467" xr:uid="{85246386-BCBD-431E-A5F4-9166AC209157}"/>
    <cellStyle name="Comma 4 2 2 2 8" xfId="2383" xr:uid="{00000000-0005-0000-0000-0000F9070000}"/>
    <cellStyle name="Comma 4 2 2 2 8 2" xfId="6669" xr:uid="{00000000-0005-0000-0000-0000FA070000}"/>
    <cellStyle name="Comma 4 2 2 2 8 2 2" xfId="15098" xr:uid="{53F5705A-D1AF-46FC-9A79-809EFA77A64F}"/>
    <cellStyle name="Comma 4 2 2 2 8 3" xfId="10880" xr:uid="{BE96D153-B99E-4917-8693-0EE5401B83C2}"/>
    <cellStyle name="Comma 4 2 2 2 9" xfId="2382" xr:uid="{00000000-0005-0000-0000-0000FB070000}"/>
    <cellStyle name="Comma 4 2 2 3" xfId="132" xr:uid="{00000000-0005-0000-0000-0000FC070000}"/>
    <cellStyle name="Comma 4 2 2 3 10" xfId="4607" xr:uid="{00000000-0005-0000-0000-0000FD070000}"/>
    <cellStyle name="Comma 4 2 2 3 10 2" xfId="13036" xr:uid="{61409E56-58C0-440D-A11D-B06494AECD9C}"/>
    <cellStyle name="Comma 4 2 2 3 11" xfId="8818" xr:uid="{3DDC37A5-7A2B-42EE-B8CD-AF744883B050}"/>
    <cellStyle name="Comma 4 2 2 3 2" xfId="133" xr:uid="{00000000-0005-0000-0000-0000FE070000}"/>
    <cellStyle name="Comma 4 2 2 3 2 10" xfId="8819" xr:uid="{DB16EE3E-8116-40F1-853F-41C719155832}"/>
    <cellStyle name="Comma 4 2 2 3 2 2" xfId="672" xr:uid="{00000000-0005-0000-0000-0000FF070000}"/>
    <cellStyle name="Comma 4 2 2 3 2 2 2" xfId="2943" xr:uid="{00000000-0005-0000-0000-000000080000}"/>
    <cellStyle name="Comma 4 2 2 3 2 2 2 2" xfId="7167" xr:uid="{00000000-0005-0000-0000-000001080000}"/>
    <cellStyle name="Comma 4 2 2 3 2 2 2 2 2" xfId="15596" xr:uid="{99A41F49-AE3C-4B0E-A596-894F2198ACF2}"/>
    <cellStyle name="Comma 4 2 2 3 2 2 2 3" xfId="11378" xr:uid="{E6717FC1-165F-49B9-AF9B-8FF9B55903DA}"/>
    <cellStyle name="Comma 4 2 2 3 2 2 3" xfId="5022" xr:uid="{00000000-0005-0000-0000-000002080000}"/>
    <cellStyle name="Comma 4 2 2 3 2 2 3 2" xfId="13451" xr:uid="{21369702-8BF2-404C-83F9-47F25CC70292}"/>
    <cellStyle name="Comma 4 2 2 3 2 2 4" xfId="9233" xr:uid="{3935580F-65B4-40DF-BA6E-24CB914866F7}"/>
    <cellStyle name="Comma 4 2 2 3 2 3" xfId="1125" xr:uid="{00000000-0005-0000-0000-000003080000}"/>
    <cellStyle name="Comma 4 2 2 3 2 3 2" xfId="3356" xr:uid="{00000000-0005-0000-0000-000004080000}"/>
    <cellStyle name="Comma 4 2 2 3 2 3 2 2" xfId="7580" xr:uid="{00000000-0005-0000-0000-000005080000}"/>
    <cellStyle name="Comma 4 2 2 3 2 3 2 2 2" xfId="16009" xr:uid="{24D6E3F7-81C9-44DF-9BD3-B29BA111B824}"/>
    <cellStyle name="Comma 4 2 2 3 2 3 2 3" xfId="11791" xr:uid="{7FE18899-DAC4-4C47-844E-5ECF6A5FF893}"/>
    <cellStyle name="Comma 4 2 2 3 2 3 3" xfId="5435" xr:uid="{00000000-0005-0000-0000-000006080000}"/>
    <cellStyle name="Comma 4 2 2 3 2 3 3 2" xfId="13864" xr:uid="{4F82A5F0-04DE-4680-999C-8A1272B31B42}"/>
    <cellStyle name="Comma 4 2 2 3 2 3 4" xfId="9646" xr:uid="{FC65F1FE-6E1B-4C11-9403-F51863E5B3FA}"/>
    <cellStyle name="Comma 4 2 2 3 2 4" xfId="1539" xr:uid="{00000000-0005-0000-0000-000007080000}"/>
    <cellStyle name="Comma 4 2 2 3 2 4 2" xfId="3769" xr:uid="{00000000-0005-0000-0000-000008080000}"/>
    <cellStyle name="Comma 4 2 2 3 2 4 2 2" xfId="7993" xr:uid="{00000000-0005-0000-0000-000009080000}"/>
    <cellStyle name="Comma 4 2 2 3 2 4 2 2 2" xfId="16422" xr:uid="{08210615-F982-402B-8BA6-A4B606E0EA87}"/>
    <cellStyle name="Comma 4 2 2 3 2 4 2 3" xfId="12204" xr:uid="{C2EFC54D-0904-49CC-AE9E-6067346FF2CD}"/>
    <cellStyle name="Comma 4 2 2 3 2 4 3" xfId="5848" xr:uid="{00000000-0005-0000-0000-00000A080000}"/>
    <cellStyle name="Comma 4 2 2 3 2 4 3 2" xfId="14277" xr:uid="{D460B8FA-D110-43BB-A5F2-A396F2B6B48B}"/>
    <cellStyle name="Comma 4 2 2 3 2 4 4" xfId="10059" xr:uid="{D99A0680-7DBB-407A-9EDB-30F0AEF189B1}"/>
    <cellStyle name="Comma 4 2 2 3 2 5" xfId="1953" xr:uid="{00000000-0005-0000-0000-00000B080000}"/>
    <cellStyle name="Comma 4 2 2 3 2 5 2" xfId="4182" xr:uid="{00000000-0005-0000-0000-00000C080000}"/>
    <cellStyle name="Comma 4 2 2 3 2 5 2 2" xfId="8406" xr:uid="{00000000-0005-0000-0000-00000D080000}"/>
    <cellStyle name="Comma 4 2 2 3 2 5 2 2 2" xfId="16835" xr:uid="{3F27BCD2-E96E-46E3-ABE8-4317E08F44E9}"/>
    <cellStyle name="Comma 4 2 2 3 2 5 2 3" xfId="12617" xr:uid="{C7F43225-2FAC-4BED-86DD-8D1DE437744C}"/>
    <cellStyle name="Comma 4 2 2 3 2 5 3" xfId="6261" xr:uid="{00000000-0005-0000-0000-00000E080000}"/>
    <cellStyle name="Comma 4 2 2 3 2 5 3 2" xfId="14690" xr:uid="{1FAC0F17-CDCB-443B-B1B2-FC0E93C604DB}"/>
    <cellStyle name="Comma 4 2 2 3 2 5 4" xfId="10472" xr:uid="{73AC15D4-C9FF-4040-B886-D7837B3FC9E5}"/>
    <cellStyle name="Comma 4 2 2 3 2 6" xfId="2388" xr:uid="{00000000-0005-0000-0000-00000F080000}"/>
    <cellStyle name="Comma 4 2 2 3 2 6 2" xfId="6674" xr:uid="{00000000-0005-0000-0000-000010080000}"/>
    <cellStyle name="Comma 4 2 2 3 2 6 2 2" xfId="15103" xr:uid="{4CDD1B43-C542-44D2-8EFB-9213BF94A428}"/>
    <cellStyle name="Comma 4 2 2 3 2 6 3" xfId="10885" xr:uid="{A83DC327-8D1D-4308-B0A2-8693108269CF}"/>
    <cellStyle name="Comma 4 2 2 3 2 7" xfId="2377" xr:uid="{00000000-0005-0000-0000-000011080000}"/>
    <cellStyle name="Comma 4 2 2 3 2 8" xfId="2766" xr:uid="{00000000-0005-0000-0000-000012080000}"/>
    <cellStyle name="Comma 4 2 2 3 2 8 2" xfId="6991" xr:uid="{00000000-0005-0000-0000-000013080000}"/>
    <cellStyle name="Comma 4 2 2 3 2 8 2 2" xfId="15420" xr:uid="{D70E973B-638F-4D1D-A8B3-882F33BBDBEC}"/>
    <cellStyle name="Comma 4 2 2 3 2 8 3" xfId="11202" xr:uid="{5D848043-F986-43BA-B94D-F27D58E82865}"/>
    <cellStyle name="Comma 4 2 2 3 2 9" xfId="4608" xr:uid="{00000000-0005-0000-0000-000014080000}"/>
    <cellStyle name="Comma 4 2 2 3 2 9 2" xfId="13037" xr:uid="{3A8EB8DA-66E1-47D6-A72C-F068F0305183}"/>
    <cellStyle name="Comma 4 2 2 3 3" xfId="671" xr:uid="{00000000-0005-0000-0000-000015080000}"/>
    <cellStyle name="Comma 4 2 2 3 3 2" xfId="2942" xr:uid="{00000000-0005-0000-0000-000016080000}"/>
    <cellStyle name="Comma 4 2 2 3 3 2 2" xfId="7166" xr:uid="{00000000-0005-0000-0000-000017080000}"/>
    <cellStyle name="Comma 4 2 2 3 3 2 2 2" xfId="15595" xr:uid="{EACCE615-C16A-49B6-BAF7-FDFE47C017AB}"/>
    <cellStyle name="Comma 4 2 2 3 3 2 3" xfId="11377" xr:uid="{B1128856-D6BC-4EE1-AD04-4E46669B19A1}"/>
    <cellStyle name="Comma 4 2 2 3 3 3" xfId="5021" xr:uid="{00000000-0005-0000-0000-000018080000}"/>
    <cellStyle name="Comma 4 2 2 3 3 3 2" xfId="13450" xr:uid="{C347A7E2-9803-46E1-95E8-B6D32E0E761B}"/>
    <cellStyle name="Comma 4 2 2 3 3 4" xfId="9232" xr:uid="{4BE1894D-E1B1-4B56-AF1E-47FC9B9C5ACF}"/>
    <cellStyle name="Comma 4 2 2 3 4" xfId="1124" xr:uid="{00000000-0005-0000-0000-000019080000}"/>
    <cellStyle name="Comma 4 2 2 3 4 2" xfId="3355" xr:uid="{00000000-0005-0000-0000-00001A080000}"/>
    <cellStyle name="Comma 4 2 2 3 4 2 2" xfId="7579" xr:uid="{00000000-0005-0000-0000-00001B080000}"/>
    <cellStyle name="Comma 4 2 2 3 4 2 2 2" xfId="16008" xr:uid="{6FE4017B-7B69-4229-A38E-2D7A241CDF5D}"/>
    <cellStyle name="Comma 4 2 2 3 4 2 3" xfId="11790" xr:uid="{2FD6CD63-4B2C-47C1-88F2-5F832DB67C2E}"/>
    <cellStyle name="Comma 4 2 2 3 4 3" xfId="5434" xr:uid="{00000000-0005-0000-0000-00001C080000}"/>
    <cellStyle name="Comma 4 2 2 3 4 3 2" xfId="13863" xr:uid="{03EFC718-66D9-4B91-A695-6BDA3B3843B0}"/>
    <cellStyle name="Comma 4 2 2 3 4 4" xfId="9645" xr:uid="{1DEE29B1-048A-4197-BE41-3566E3C4E794}"/>
    <cellStyle name="Comma 4 2 2 3 5" xfId="1538" xr:uid="{00000000-0005-0000-0000-00001D080000}"/>
    <cellStyle name="Comma 4 2 2 3 5 2" xfId="3768" xr:uid="{00000000-0005-0000-0000-00001E080000}"/>
    <cellStyle name="Comma 4 2 2 3 5 2 2" xfId="7992" xr:uid="{00000000-0005-0000-0000-00001F080000}"/>
    <cellStyle name="Comma 4 2 2 3 5 2 2 2" xfId="16421" xr:uid="{0924CBD5-FA19-49BC-A168-2D0F8FF07E09}"/>
    <cellStyle name="Comma 4 2 2 3 5 2 3" xfId="12203" xr:uid="{1E8A7B2B-66C1-4D4D-9B05-30906FD755D7}"/>
    <cellStyle name="Comma 4 2 2 3 5 3" xfId="5847" xr:uid="{00000000-0005-0000-0000-000020080000}"/>
    <cellStyle name="Comma 4 2 2 3 5 3 2" xfId="14276" xr:uid="{6189352C-8A3F-4D8C-874A-87DDD6197349}"/>
    <cellStyle name="Comma 4 2 2 3 5 4" xfId="10058" xr:uid="{F5EF6216-7CDF-4CF6-8816-EDB6194CD57F}"/>
    <cellStyle name="Comma 4 2 2 3 6" xfId="1952" xr:uid="{00000000-0005-0000-0000-000021080000}"/>
    <cellStyle name="Comma 4 2 2 3 6 2" xfId="4181" xr:uid="{00000000-0005-0000-0000-000022080000}"/>
    <cellStyle name="Comma 4 2 2 3 6 2 2" xfId="8405" xr:uid="{00000000-0005-0000-0000-000023080000}"/>
    <cellStyle name="Comma 4 2 2 3 6 2 2 2" xfId="16834" xr:uid="{0450A859-DBE8-4E09-AABF-6CB06DF6A096}"/>
    <cellStyle name="Comma 4 2 2 3 6 2 3" xfId="12616" xr:uid="{CD3396CF-2E92-4AE0-8507-617516C52030}"/>
    <cellStyle name="Comma 4 2 2 3 6 3" xfId="6260" xr:uid="{00000000-0005-0000-0000-000024080000}"/>
    <cellStyle name="Comma 4 2 2 3 6 3 2" xfId="14689" xr:uid="{6DD20A4E-B6C0-4201-BFAC-91EBA8613F92}"/>
    <cellStyle name="Comma 4 2 2 3 6 4" xfId="10471" xr:uid="{E1D55BA1-3897-47C3-9B3C-0E64CD505A59}"/>
    <cellStyle name="Comma 4 2 2 3 7" xfId="2387" xr:uid="{00000000-0005-0000-0000-000025080000}"/>
    <cellStyle name="Comma 4 2 2 3 7 2" xfId="6673" xr:uid="{00000000-0005-0000-0000-000026080000}"/>
    <cellStyle name="Comma 4 2 2 3 7 2 2" xfId="15102" xr:uid="{92DC8D1B-83A5-414A-9F03-4676CC0FA43C}"/>
    <cellStyle name="Comma 4 2 2 3 7 3" xfId="10884" xr:uid="{6AF23566-728E-49CE-A154-786EDB0219FC}"/>
    <cellStyle name="Comma 4 2 2 3 8" xfId="2378" xr:uid="{00000000-0005-0000-0000-000027080000}"/>
    <cellStyle name="Comma 4 2 2 3 9" xfId="2765" xr:uid="{00000000-0005-0000-0000-000028080000}"/>
    <cellStyle name="Comma 4 2 2 3 9 2" xfId="6990" xr:uid="{00000000-0005-0000-0000-000029080000}"/>
    <cellStyle name="Comma 4 2 2 3 9 2 2" xfId="15419" xr:uid="{54DEA3C4-8AA7-4886-86E0-CB6092174996}"/>
    <cellStyle name="Comma 4 2 2 3 9 3" xfId="11201" xr:uid="{63B11C9D-F2F8-4E5D-AC83-21E50A392D6E}"/>
    <cellStyle name="Comma 4 2 2 4" xfId="134" xr:uid="{00000000-0005-0000-0000-00002A080000}"/>
    <cellStyle name="Comma 4 2 2 4 10" xfId="8820" xr:uid="{04AE8B00-056B-484F-80ED-8B38AAFD7E18}"/>
    <cellStyle name="Comma 4 2 2 4 2" xfId="673" xr:uid="{00000000-0005-0000-0000-00002B080000}"/>
    <cellStyle name="Comma 4 2 2 4 2 2" xfId="2944" xr:uid="{00000000-0005-0000-0000-00002C080000}"/>
    <cellStyle name="Comma 4 2 2 4 2 2 2" xfId="7168" xr:uid="{00000000-0005-0000-0000-00002D080000}"/>
    <cellStyle name="Comma 4 2 2 4 2 2 2 2" xfId="15597" xr:uid="{02D5CC76-5A97-4003-8598-19E7570B4CFE}"/>
    <cellStyle name="Comma 4 2 2 4 2 2 3" xfId="11379" xr:uid="{7945A214-1EAC-49BC-92B5-C44F8AA8E49A}"/>
    <cellStyle name="Comma 4 2 2 4 2 3" xfId="5023" xr:uid="{00000000-0005-0000-0000-00002E080000}"/>
    <cellStyle name="Comma 4 2 2 4 2 3 2" xfId="13452" xr:uid="{B4DA7C0B-AAE6-4E42-BEF9-CB3BEE221FFC}"/>
    <cellStyle name="Comma 4 2 2 4 2 4" xfId="9234" xr:uid="{A470021E-9E26-40DA-8A48-851A40E9E8C6}"/>
    <cellStyle name="Comma 4 2 2 4 3" xfId="1126" xr:uid="{00000000-0005-0000-0000-00002F080000}"/>
    <cellStyle name="Comma 4 2 2 4 3 2" xfId="3357" xr:uid="{00000000-0005-0000-0000-000030080000}"/>
    <cellStyle name="Comma 4 2 2 4 3 2 2" xfId="7581" xr:uid="{00000000-0005-0000-0000-000031080000}"/>
    <cellStyle name="Comma 4 2 2 4 3 2 2 2" xfId="16010" xr:uid="{FC2F4230-609B-4B88-BBEF-F37F9D38341A}"/>
    <cellStyle name="Comma 4 2 2 4 3 2 3" xfId="11792" xr:uid="{E412B530-DB72-4403-97CA-076B407B8CFF}"/>
    <cellStyle name="Comma 4 2 2 4 3 3" xfId="5436" xr:uid="{00000000-0005-0000-0000-000032080000}"/>
    <cellStyle name="Comma 4 2 2 4 3 3 2" xfId="13865" xr:uid="{E4C37BF3-D97D-454A-8205-B7751D14D199}"/>
    <cellStyle name="Comma 4 2 2 4 3 4" xfId="9647" xr:uid="{B8373A9F-F802-4429-B28C-9E60E12CFCE2}"/>
    <cellStyle name="Comma 4 2 2 4 4" xfId="1540" xr:uid="{00000000-0005-0000-0000-000033080000}"/>
    <cellStyle name="Comma 4 2 2 4 4 2" xfId="3770" xr:uid="{00000000-0005-0000-0000-000034080000}"/>
    <cellStyle name="Comma 4 2 2 4 4 2 2" xfId="7994" xr:uid="{00000000-0005-0000-0000-000035080000}"/>
    <cellStyle name="Comma 4 2 2 4 4 2 2 2" xfId="16423" xr:uid="{B3CC5937-8CC6-490F-B8E4-046167045949}"/>
    <cellStyle name="Comma 4 2 2 4 4 2 3" xfId="12205" xr:uid="{C3397A44-BA40-4B85-8B54-12CF65E421A4}"/>
    <cellStyle name="Comma 4 2 2 4 4 3" xfId="5849" xr:uid="{00000000-0005-0000-0000-000036080000}"/>
    <cellStyle name="Comma 4 2 2 4 4 3 2" xfId="14278" xr:uid="{4030F3B3-3CE3-47FD-B444-11029015EFEA}"/>
    <cellStyle name="Comma 4 2 2 4 4 4" xfId="10060" xr:uid="{0D91B176-CA3C-4932-BB8E-E2EA517D2D17}"/>
    <cellStyle name="Comma 4 2 2 4 5" xfId="1954" xr:uid="{00000000-0005-0000-0000-000037080000}"/>
    <cellStyle name="Comma 4 2 2 4 5 2" xfId="4183" xr:uid="{00000000-0005-0000-0000-000038080000}"/>
    <cellStyle name="Comma 4 2 2 4 5 2 2" xfId="8407" xr:uid="{00000000-0005-0000-0000-000039080000}"/>
    <cellStyle name="Comma 4 2 2 4 5 2 2 2" xfId="16836" xr:uid="{FFCB26E7-DA67-48E1-AC45-B86EC9EBFAA8}"/>
    <cellStyle name="Comma 4 2 2 4 5 2 3" xfId="12618" xr:uid="{78181786-DF7D-4C33-AF97-A2A326E0334F}"/>
    <cellStyle name="Comma 4 2 2 4 5 3" xfId="6262" xr:uid="{00000000-0005-0000-0000-00003A080000}"/>
    <cellStyle name="Comma 4 2 2 4 5 3 2" xfId="14691" xr:uid="{976CD2B4-3938-44CC-930D-D3CE1DDB1367}"/>
    <cellStyle name="Comma 4 2 2 4 5 4" xfId="10473" xr:uid="{FF856D10-0E87-442E-BB75-8E3418D2BF6D}"/>
    <cellStyle name="Comma 4 2 2 4 6" xfId="2389" xr:uid="{00000000-0005-0000-0000-00003B080000}"/>
    <cellStyle name="Comma 4 2 2 4 6 2" xfId="6675" xr:uid="{00000000-0005-0000-0000-00003C080000}"/>
    <cellStyle name="Comma 4 2 2 4 6 2 2" xfId="15104" xr:uid="{52E2A496-4DDA-423F-8420-AAD297B4C6C1}"/>
    <cellStyle name="Comma 4 2 2 4 6 3" xfId="10886" xr:uid="{4E1DA6DC-8082-4916-B222-3680D215584A}"/>
    <cellStyle name="Comma 4 2 2 4 7" xfId="2376" xr:uid="{00000000-0005-0000-0000-00003D080000}"/>
    <cellStyle name="Comma 4 2 2 4 8" xfId="2767" xr:uid="{00000000-0005-0000-0000-00003E080000}"/>
    <cellStyle name="Comma 4 2 2 4 8 2" xfId="6992" xr:uid="{00000000-0005-0000-0000-00003F080000}"/>
    <cellStyle name="Comma 4 2 2 4 8 2 2" xfId="15421" xr:uid="{3B1BDE33-D28A-426E-AAE5-ADED7C379DEE}"/>
    <cellStyle name="Comma 4 2 2 4 8 3" xfId="11203" xr:uid="{6FE9CD57-2FA9-4A83-AF75-A17D23F0C546}"/>
    <cellStyle name="Comma 4 2 2 4 9" xfId="4609" xr:uid="{00000000-0005-0000-0000-000040080000}"/>
    <cellStyle name="Comma 4 2 2 4 9 2" xfId="13038" xr:uid="{1A55E003-FDA9-4846-942B-D4FFB28C5699}"/>
    <cellStyle name="Comma 4 2 2 5" xfId="135" xr:uid="{00000000-0005-0000-0000-000041080000}"/>
    <cellStyle name="Comma 4 2 2 5 10" xfId="8821" xr:uid="{8D6B6F87-A126-4774-9506-AD439C752797}"/>
    <cellStyle name="Comma 4 2 2 5 2" xfId="674" xr:uid="{00000000-0005-0000-0000-000042080000}"/>
    <cellStyle name="Comma 4 2 2 5 2 2" xfId="2945" xr:uid="{00000000-0005-0000-0000-000043080000}"/>
    <cellStyle name="Comma 4 2 2 5 2 2 2" xfId="7169" xr:uid="{00000000-0005-0000-0000-000044080000}"/>
    <cellStyle name="Comma 4 2 2 5 2 2 2 2" xfId="15598" xr:uid="{3C9BAD6B-F52B-4FCD-86BA-E525ED9CADB3}"/>
    <cellStyle name="Comma 4 2 2 5 2 2 3" xfId="11380" xr:uid="{FA8E4012-2B60-4AF7-92BC-68FDA21DB84C}"/>
    <cellStyle name="Comma 4 2 2 5 2 3" xfId="5024" xr:uid="{00000000-0005-0000-0000-000045080000}"/>
    <cellStyle name="Comma 4 2 2 5 2 3 2" xfId="13453" xr:uid="{AF2F222F-AAB8-4847-BCC9-69CCD3B30CDB}"/>
    <cellStyle name="Comma 4 2 2 5 2 4" xfId="9235" xr:uid="{5F377FB2-7D27-4330-9D7A-87F0F86B5B34}"/>
    <cellStyle name="Comma 4 2 2 5 3" xfId="1127" xr:uid="{00000000-0005-0000-0000-000046080000}"/>
    <cellStyle name="Comma 4 2 2 5 3 2" xfId="3358" xr:uid="{00000000-0005-0000-0000-000047080000}"/>
    <cellStyle name="Comma 4 2 2 5 3 2 2" xfId="7582" xr:uid="{00000000-0005-0000-0000-000048080000}"/>
    <cellStyle name="Comma 4 2 2 5 3 2 2 2" xfId="16011" xr:uid="{4CACE220-B34D-44D2-B1FB-62FF29CC28E4}"/>
    <cellStyle name="Comma 4 2 2 5 3 2 3" xfId="11793" xr:uid="{4B5A8F18-4D79-42B9-9982-EBAD99F5A294}"/>
    <cellStyle name="Comma 4 2 2 5 3 3" xfId="5437" xr:uid="{00000000-0005-0000-0000-000049080000}"/>
    <cellStyle name="Comma 4 2 2 5 3 3 2" xfId="13866" xr:uid="{0C756B20-DFEB-4EDD-AB05-503E040A21E0}"/>
    <cellStyle name="Comma 4 2 2 5 3 4" xfId="9648" xr:uid="{8AC187AD-8002-4C30-9720-491C53B597B2}"/>
    <cellStyle name="Comma 4 2 2 5 4" xfId="1541" xr:uid="{00000000-0005-0000-0000-00004A080000}"/>
    <cellStyle name="Comma 4 2 2 5 4 2" xfId="3771" xr:uid="{00000000-0005-0000-0000-00004B080000}"/>
    <cellStyle name="Comma 4 2 2 5 4 2 2" xfId="7995" xr:uid="{00000000-0005-0000-0000-00004C080000}"/>
    <cellStyle name="Comma 4 2 2 5 4 2 2 2" xfId="16424" xr:uid="{B89AD3F8-4BC2-4A1B-84CE-ECE1558F6B3E}"/>
    <cellStyle name="Comma 4 2 2 5 4 2 3" xfId="12206" xr:uid="{DE516375-C0E6-4391-BB94-1574ADA26B36}"/>
    <cellStyle name="Comma 4 2 2 5 4 3" xfId="5850" xr:uid="{00000000-0005-0000-0000-00004D080000}"/>
    <cellStyle name="Comma 4 2 2 5 4 3 2" xfId="14279" xr:uid="{5FAE8CDA-BC69-4368-A074-D138C4658473}"/>
    <cellStyle name="Comma 4 2 2 5 4 4" xfId="10061" xr:uid="{8EC8DEFD-B8A1-4687-BD19-014BEE6ED367}"/>
    <cellStyle name="Comma 4 2 2 5 5" xfId="1955" xr:uid="{00000000-0005-0000-0000-00004E080000}"/>
    <cellStyle name="Comma 4 2 2 5 5 2" xfId="4184" xr:uid="{00000000-0005-0000-0000-00004F080000}"/>
    <cellStyle name="Comma 4 2 2 5 5 2 2" xfId="8408" xr:uid="{00000000-0005-0000-0000-000050080000}"/>
    <cellStyle name="Comma 4 2 2 5 5 2 2 2" xfId="16837" xr:uid="{C87ED043-F0B6-44BB-978C-4671E9891A50}"/>
    <cellStyle name="Comma 4 2 2 5 5 2 3" xfId="12619" xr:uid="{C4C6DD42-8003-49ED-9C05-3E929171A853}"/>
    <cellStyle name="Comma 4 2 2 5 5 3" xfId="6263" xr:uid="{00000000-0005-0000-0000-000051080000}"/>
    <cellStyle name="Comma 4 2 2 5 5 3 2" xfId="14692" xr:uid="{D4FAD0A9-B67C-444B-92C1-8C32FC103D8D}"/>
    <cellStyle name="Comma 4 2 2 5 5 4" xfId="10474" xr:uid="{2F5FB914-B1A4-4A56-9653-154077CDE3C2}"/>
    <cellStyle name="Comma 4 2 2 5 6" xfId="2390" xr:uid="{00000000-0005-0000-0000-000052080000}"/>
    <cellStyle name="Comma 4 2 2 5 6 2" xfId="6676" xr:uid="{00000000-0005-0000-0000-000053080000}"/>
    <cellStyle name="Comma 4 2 2 5 6 2 2" xfId="15105" xr:uid="{57F795A9-0115-4389-A6C5-B6635D4D16A2}"/>
    <cellStyle name="Comma 4 2 2 5 6 3" xfId="10887" xr:uid="{72F1267C-446A-4361-B189-368F4BBE244B}"/>
    <cellStyle name="Comma 4 2 2 5 7" xfId="2375" xr:uid="{00000000-0005-0000-0000-000054080000}"/>
    <cellStyle name="Comma 4 2 2 5 8" xfId="2768" xr:uid="{00000000-0005-0000-0000-000055080000}"/>
    <cellStyle name="Comma 4 2 2 5 8 2" xfId="6993" xr:uid="{00000000-0005-0000-0000-000056080000}"/>
    <cellStyle name="Comma 4 2 2 5 8 2 2" xfId="15422" xr:uid="{931DE9CD-7703-4D76-BF36-78B577C2E5C4}"/>
    <cellStyle name="Comma 4 2 2 5 8 3" xfId="11204" xr:uid="{CE40E03E-67C0-4623-B396-644F97326113}"/>
    <cellStyle name="Comma 4 2 2 5 9" xfId="4610" xr:uid="{00000000-0005-0000-0000-000057080000}"/>
    <cellStyle name="Comma 4 2 2 5 9 2" xfId="13039" xr:uid="{471B9B69-3E5E-47A7-A3F4-24D00A75B24A}"/>
    <cellStyle name="Comma 4 2 3" xfId="136" xr:uid="{00000000-0005-0000-0000-000058080000}"/>
    <cellStyle name="Comma 4 2 3 10" xfId="2769" xr:uid="{00000000-0005-0000-0000-000059080000}"/>
    <cellStyle name="Comma 4 2 3 10 2" xfId="6994" xr:uid="{00000000-0005-0000-0000-00005A080000}"/>
    <cellStyle name="Comma 4 2 3 10 2 2" xfId="15423" xr:uid="{71FCF403-21D8-441A-B1C8-04E710537A71}"/>
    <cellStyle name="Comma 4 2 3 10 3" xfId="11205" xr:uid="{99990A5D-BD8F-47DB-AF2A-8D65B6CA91C7}"/>
    <cellStyle name="Comma 4 2 3 11" xfId="4611" xr:uid="{00000000-0005-0000-0000-00005B080000}"/>
    <cellStyle name="Comma 4 2 3 11 2" xfId="13040" xr:uid="{C93D36BF-F395-4BFF-9AA2-31029F4F6479}"/>
    <cellStyle name="Comma 4 2 3 12" xfId="8822" xr:uid="{993307E6-D6B6-4F0A-A300-F787F6B57688}"/>
    <cellStyle name="Comma 4 2 3 2" xfId="137" xr:uid="{00000000-0005-0000-0000-00005C080000}"/>
    <cellStyle name="Comma 4 2 3 2 10" xfId="4612" xr:uid="{00000000-0005-0000-0000-00005D080000}"/>
    <cellStyle name="Comma 4 2 3 2 10 2" xfId="13041" xr:uid="{6DD82E00-F756-43E3-AB28-A6211DBEF93C}"/>
    <cellStyle name="Comma 4 2 3 2 11" xfId="8823" xr:uid="{F15600E1-E187-4EA1-B4AA-31B15298759C}"/>
    <cellStyle name="Comma 4 2 3 2 2" xfId="138" xr:uid="{00000000-0005-0000-0000-00005E080000}"/>
    <cellStyle name="Comma 4 2 3 2 2 10" xfId="8824" xr:uid="{474B1820-3CE5-4DAA-96FE-6C588334BFF1}"/>
    <cellStyle name="Comma 4 2 3 2 2 2" xfId="677" xr:uid="{00000000-0005-0000-0000-00005F080000}"/>
    <cellStyle name="Comma 4 2 3 2 2 2 2" xfId="2948" xr:uid="{00000000-0005-0000-0000-000060080000}"/>
    <cellStyle name="Comma 4 2 3 2 2 2 2 2" xfId="7172" xr:uid="{00000000-0005-0000-0000-000061080000}"/>
    <cellStyle name="Comma 4 2 3 2 2 2 2 2 2" xfId="15601" xr:uid="{2877EEE6-A208-4F3A-B53A-78A19D840B8F}"/>
    <cellStyle name="Comma 4 2 3 2 2 2 2 3" xfId="11383" xr:uid="{83C2567B-AAFF-48E6-9395-55DDE3EE0517}"/>
    <cellStyle name="Comma 4 2 3 2 2 2 3" xfId="5027" xr:uid="{00000000-0005-0000-0000-000062080000}"/>
    <cellStyle name="Comma 4 2 3 2 2 2 3 2" xfId="13456" xr:uid="{0B9F28B4-989A-44B4-816C-B6354E519DC0}"/>
    <cellStyle name="Comma 4 2 3 2 2 2 4" xfId="9238" xr:uid="{CF5920EB-9A18-47E9-B5BB-94D709EE1B59}"/>
    <cellStyle name="Comma 4 2 3 2 2 3" xfId="1130" xr:uid="{00000000-0005-0000-0000-000063080000}"/>
    <cellStyle name="Comma 4 2 3 2 2 3 2" xfId="3361" xr:uid="{00000000-0005-0000-0000-000064080000}"/>
    <cellStyle name="Comma 4 2 3 2 2 3 2 2" xfId="7585" xr:uid="{00000000-0005-0000-0000-000065080000}"/>
    <cellStyle name="Comma 4 2 3 2 2 3 2 2 2" xfId="16014" xr:uid="{2F49A7B2-7024-4D1B-8B01-E4B27F5691FC}"/>
    <cellStyle name="Comma 4 2 3 2 2 3 2 3" xfId="11796" xr:uid="{E1F417F2-330D-458E-B712-687D47BABD84}"/>
    <cellStyle name="Comma 4 2 3 2 2 3 3" xfId="5440" xr:uid="{00000000-0005-0000-0000-000066080000}"/>
    <cellStyle name="Comma 4 2 3 2 2 3 3 2" xfId="13869" xr:uid="{8A580E12-AB71-4231-BE36-300C0EC20D8F}"/>
    <cellStyle name="Comma 4 2 3 2 2 3 4" xfId="9651" xr:uid="{7CBAFD27-FEB8-4562-BCAD-C0F77461C431}"/>
    <cellStyle name="Comma 4 2 3 2 2 4" xfId="1544" xr:uid="{00000000-0005-0000-0000-000067080000}"/>
    <cellStyle name="Comma 4 2 3 2 2 4 2" xfId="3774" xr:uid="{00000000-0005-0000-0000-000068080000}"/>
    <cellStyle name="Comma 4 2 3 2 2 4 2 2" xfId="7998" xr:uid="{00000000-0005-0000-0000-000069080000}"/>
    <cellStyle name="Comma 4 2 3 2 2 4 2 2 2" xfId="16427" xr:uid="{C805DCBE-1BAD-46FA-9428-0D04835960B8}"/>
    <cellStyle name="Comma 4 2 3 2 2 4 2 3" xfId="12209" xr:uid="{76B680BA-C310-47E1-8249-4F0FA7F8BFF1}"/>
    <cellStyle name="Comma 4 2 3 2 2 4 3" xfId="5853" xr:uid="{00000000-0005-0000-0000-00006A080000}"/>
    <cellStyle name="Comma 4 2 3 2 2 4 3 2" xfId="14282" xr:uid="{D5E6265F-EE5D-41ED-9387-FF6971FCAE85}"/>
    <cellStyle name="Comma 4 2 3 2 2 4 4" xfId="10064" xr:uid="{A95921FD-DBD6-4939-A4FA-9FFFE95A2C32}"/>
    <cellStyle name="Comma 4 2 3 2 2 5" xfId="1958" xr:uid="{00000000-0005-0000-0000-00006B080000}"/>
    <cellStyle name="Comma 4 2 3 2 2 5 2" xfId="4187" xr:uid="{00000000-0005-0000-0000-00006C080000}"/>
    <cellStyle name="Comma 4 2 3 2 2 5 2 2" xfId="8411" xr:uid="{00000000-0005-0000-0000-00006D080000}"/>
    <cellStyle name="Comma 4 2 3 2 2 5 2 2 2" xfId="16840" xr:uid="{A5AF11EB-7C90-4004-861F-DB26C22712E7}"/>
    <cellStyle name="Comma 4 2 3 2 2 5 2 3" xfId="12622" xr:uid="{6FE12AA8-BCF3-42B7-8DBC-1EC0F6F07121}"/>
    <cellStyle name="Comma 4 2 3 2 2 5 3" xfId="6266" xr:uid="{00000000-0005-0000-0000-00006E080000}"/>
    <cellStyle name="Comma 4 2 3 2 2 5 3 2" xfId="14695" xr:uid="{C3878B15-CF2B-4B4E-88F0-2DDD9DF767C3}"/>
    <cellStyle name="Comma 4 2 3 2 2 5 4" xfId="10477" xr:uid="{A892E898-07C4-43C1-9B3E-63811A9B7B6B}"/>
    <cellStyle name="Comma 4 2 3 2 2 6" xfId="2393" xr:uid="{00000000-0005-0000-0000-00006F080000}"/>
    <cellStyle name="Comma 4 2 3 2 2 6 2" xfId="6679" xr:uid="{00000000-0005-0000-0000-000070080000}"/>
    <cellStyle name="Comma 4 2 3 2 2 6 2 2" xfId="15108" xr:uid="{DA184C44-6021-48E5-9DA6-68DA0272DB4D}"/>
    <cellStyle name="Comma 4 2 3 2 2 6 3" xfId="10890" xr:uid="{A7C73B63-BAE8-4932-A8D6-30338359C1C3}"/>
    <cellStyle name="Comma 4 2 3 2 2 7" xfId="2372" xr:uid="{00000000-0005-0000-0000-000071080000}"/>
    <cellStyle name="Comma 4 2 3 2 2 8" xfId="2771" xr:uid="{00000000-0005-0000-0000-000072080000}"/>
    <cellStyle name="Comma 4 2 3 2 2 8 2" xfId="6996" xr:uid="{00000000-0005-0000-0000-000073080000}"/>
    <cellStyle name="Comma 4 2 3 2 2 8 2 2" xfId="15425" xr:uid="{52E0D8A1-0BFA-468B-A0F7-C7183BC905DF}"/>
    <cellStyle name="Comma 4 2 3 2 2 8 3" xfId="11207" xr:uid="{67595D29-2B6B-4665-9945-097D2765C465}"/>
    <cellStyle name="Comma 4 2 3 2 2 9" xfId="4613" xr:uid="{00000000-0005-0000-0000-000074080000}"/>
    <cellStyle name="Comma 4 2 3 2 2 9 2" xfId="13042" xr:uid="{764E5618-4539-4361-AC9E-0DFCD53A156E}"/>
    <cellStyle name="Comma 4 2 3 2 3" xfId="676" xr:uid="{00000000-0005-0000-0000-000075080000}"/>
    <cellStyle name="Comma 4 2 3 2 3 2" xfId="2947" xr:uid="{00000000-0005-0000-0000-000076080000}"/>
    <cellStyle name="Comma 4 2 3 2 3 2 2" xfId="7171" xr:uid="{00000000-0005-0000-0000-000077080000}"/>
    <cellStyle name="Comma 4 2 3 2 3 2 2 2" xfId="15600" xr:uid="{1919D3A4-D7D6-443B-98D7-7ECADEC82D8E}"/>
    <cellStyle name="Comma 4 2 3 2 3 2 3" xfId="11382" xr:uid="{28053112-3CD2-4867-9C13-EDA70D3D1BC1}"/>
    <cellStyle name="Comma 4 2 3 2 3 3" xfId="5026" xr:uid="{00000000-0005-0000-0000-000078080000}"/>
    <cellStyle name="Comma 4 2 3 2 3 3 2" xfId="13455" xr:uid="{129138C2-4D95-45AB-9D88-2998085C06D6}"/>
    <cellStyle name="Comma 4 2 3 2 3 4" xfId="9237" xr:uid="{3EA3D5B6-D3B3-4B28-82F9-B4DD40D6A377}"/>
    <cellStyle name="Comma 4 2 3 2 4" xfId="1129" xr:uid="{00000000-0005-0000-0000-000079080000}"/>
    <cellStyle name="Comma 4 2 3 2 4 2" xfId="3360" xr:uid="{00000000-0005-0000-0000-00007A080000}"/>
    <cellStyle name="Comma 4 2 3 2 4 2 2" xfId="7584" xr:uid="{00000000-0005-0000-0000-00007B080000}"/>
    <cellStyle name="Comma 4 2 3 2 4 2 2 2" xfId="16013" xr:uid="{71821043-B175-4C83-B659-1DC44765DD46}"/>
    <cellStyle name="Comma 4 2 3 2 4 2 3" xfId="11795" xr:uid="{20946C2D-CD80-4F8F-BCF8-6666021226B6}"/>
    <cellStyle name="Comma 4 2 3 2 4 3" xfId="5439" xr:uid="{00000000-0005-0000-0000-00007C080000}"/>
    <cellStyle name="Comma 4 2 3 2 4 3 2" xfId="13868" xr:uid="{69E5260D-06AF-489C-889A-0AD8AFA43C98}"/>
    <cellStyle name="Comma 4 2 3 2 4 4" xfId="9650" xr:uid="{03064FBB-A8D2-4853-8C1D-7E8B9B2E5132}"/>
    <cellStyle name="Comma 4 2 3 2 5" xfId="1543" xr:uid="{00000000-0005-0000-0000-00007D080000}"/>
    <cellStyle name="Comma 4 2 3 2 5 2" xfId="3773" xr:uid="{00000000-0005-0000-0000-00007E080000}"/>
    <cellStyle name="Comma 4 2 3 2 5 2 2" xfId="7997" xr:uid="{00000000-0005-0000-0000-00007F080000}"/>
    <cellStyle name="Comma 4 2 3 2 5 2 2 2" xfId="16426" xr:uid="{981803F9-63C9-460F-9CC4-FA8B06BA233F}"/>
    <cellStyle name="Comma 4 2 3 2 5 2 3" xfId="12208" xr:uid="{D19CE041-48DB-40F9-AA34-BA05AA05098B}"/>
    <cellStyle name="Comma 4 2 3 2 5 3" xfId="5852" xr:uid="{00000000-0005-0000-0000-000080080000}"/>
    <cellStyle name="Comma 4 2 3 2 5 3 2" xfId="14281" xr:uid="{F0DDD8B1-88AE-4854-9EFC-A4AD1FD79C0A}"/>
    <cellStyle name="Comma 4 2 3 2 5 4" xfId="10063" xr:uid="{817B9253-4AB4-42B7-B852-5964BFD53FEB}"/>
    <cellStyle name="Comma 4 2 3 2 6" xfId="1957" xr:uid="{00000000-0005-0000-0000-000081080000}"/>
    <cellStyle name="Comma 4 2 3 2 6 2" xfId="4186" xr:uid="{00000000-0005-0000-0000-000082080000}"/>
    <cellStyle name="Comma 4 2 3 2 6 2 2" xfId="8410" xr:uid="{00000000-0005-0000-0000-000083080000}"/>
    <cellStyle name="Comma 4 2 3 2 6 2 2 2" xfId="16839" xr:uid="{C8ECCF40-0752-4B06-8762-9B1B75D301A8}"/>
    <cellStyle name="Comma 4 2 3 2 6 2 3" xfId="12621" xr:uid="{3AB6B48F-2D94-45CE-BC83-40A26544EA2A}"/>
    <cellStyle name="Comma 4 2 3 2 6 3" xfId="6265" xr:uid="{00000000-0005-0000-0000-000084080000}"/>
    <cellStyle name="Comma 4 2 3 2 6 3 2" xfId="14694" xr:uid="{9FBB9C15-D2EF-4A22-8855-CE59ABFDB371}"/>
    <cellStyle name="Comma 4 2 3 2 6 4" xfId="10476" xr:uid="{9D0BED84-A2F9-480B-BCBE-BBD8F4BA6DE8}"/>
    <cellStyle name="Comma 4 2 3 2 7" xfId="2392" xr:uid="{00000000-0005-0000-0000-000085080000}"/>
    <cellStyle name="Comma 4 2 3 2 7 2" xfId="6678" xr:uid="{00000000-0005-0000-0000-000086080000}"/>
    <cellStyle name="Comma 4 2 3 2 7 2 2" xfId="15107" xr:uid="{B665F177-A7DD-48B8-9042-BC454B923B9A}"/>
    <cellStyle name="Comma 4 2 3 2 7 3" xfId="10889" xr:uid="{292F9241-EAFC-4473-AA5E-05A5D3F7B828}"/>
    <cellStyle name="Comma 4 2 3 2 8" xfId="2373" xr:uid="{00000000-0005-0000-0000-000087080000}"/>
    <cellStyle name="Comma 4 2 3 2 9" xfId="2770" xr:uid="{00000000-0005-0000-0000-000088080000}"/>
    <cellStyle name="Comma 4 2 3 2 9 2" xfId="6995" xr:uid="{00000000-0005-0000-0000-000089080000}"/>
    <cellStyle name="Comma 4 2 3 2 9 2 2" xfId="15424" xr:uid="{D019F428-5DCE-4CE0-AA96-456BC8A597DA}"/>
    <cellStyle name="Comma 4 2 3 2 9 3" xfId="11206" xr:uid="{96898D86-C4C8-4C08-9C2F-84E179E960D5}"/>
    <cellStyle name="Comma 4 2 3 3" xfId="139" xr:uid="{00000000-0005-0000-0000-00008A080000}"/>
    <cellStyle name="Comma 4 2 3 3 10" xfId="8825" xr:uid="{4723B17C-2A46-4D3D-94A0-CA25777756C1}"/>
    <cellStyle name="Comma 4 2 3 3 2" xfId="678" xr:uid="{00000000-0005-0000-0000-00008B080000}"/>
    <cellStyle name="Comma 4 2 3 3 2 2" xfId="2949" xr:uid="{00000000-0005-0000-0000-00008C080000}"/>
    <cellStyle name="Comma 4 2 3 3 2 2 2" xfId="7173" xr:uid="{00000000-0005-0000-0000-00008D080000}"/>
    <cellStyle name="Comma 4 2 3 3 2 2 2 2" xfId="15602" xr:uid="{0AD95BEA-457C-47A2-8B18-7D288BCCAED7}"/>
    <cellStyle name="Comma 4 2 3 3 2 2 3" xfId="11384" xr:uid="{D00D3605-411F-4BA5-8D0D-F07FBE121457}"/>
    <cellStyle name="Comma 4 2 3 3 2 3" xfId="5028" xr:uid="{00000000-0005-0000-0000-00008E080000}"/>
    <cellStyle name="Comma 4 2 3 3 2 3 2" xfId="13457" xr:uid="{2F5A5FE9-7831-4F14-B693-661B7AB8AC3C}"/>
    <cellStyle name="Comma 4 2 3 3 2 4" xfId="9239" xr:uid="{88F726FA-4CF4-4A4C-9FF2-9FF829689A9A}"/>
    <cellStyle name="Comma 4 2 3 3 3" xfId="1131" xr:uid="{00000000-0005-0000-0000-00008F080000}"/>
    <cellStyle name="Comma 4 2 3 3 3 2" xfId="3362" xr:uid="{00000000-0005-0000-0000-000090080000}"/>
    <cellStyle name="Comma 4 2 3 3 3 2 2" xfId="7586" xr:uid="{00000000-0005-0000-0000-000091080000}"/>
    <cellStyle name="Comma 4 2 3 3 3 2 2 2" xfId="16015" xr:uid="{780D30A5-9C8A-44D2-8051-0D7E8269E0F1}"/>
    <cellStyle name="Comma 4 2 3 3 3 2 3" xfId="11797" xr:uid="{A465BC18-6D45-414E-A563-DF6809326784}"/>
    <cellStyle name="Comma 4 2 3 3 3 3" xfId="5441" xr:uid="{00000000-0005-0000-0000-000092080000}"/>
    <cellStyle name="Comma 4 2 3 3 3 3 2" xfId="13870" xr:uid="{EBC42AFD-60CB-41A3-8B61-4ECF3BD09AE2}"/>
    <cellStyle name="Comma 4 2 3 3 3 4" xfId="9652" xr:uid="{71A8F28A-E3D8-4B3B-A1BA-1FF84A115DFA}"/>
    <cellStyle name="Comma 4 2 3 3 4" xfId="1545" xr:uid="{00000000-0005-0000-0000-000093080000}"/>
    <cellStyle name="Comma 4 2 3 3 4 2" xfId="3775" xr:uid="{00000000-0005-0000-0000-000094080000}"/>
    <cellStyle name="Comma 4 2 3 3 4 2 2" xfId="7999" xr:uid="{00000000-0005-0000-0000-000095080000}"/>
    <cellStyle name="Comma 4 2 3 3 4 2 2 2" xfId="16428" xr:uid="{4D02EACB-3DDE-496E-9D35-586A6FA5E9FB}"/>
    <cellStyle name="Comma 4 2 3 3 4 2 3" xfId="12210" xr:uid="{DF518CFF-BCC4-4EC6-AD71-C25D10AA81A1}"/>
    <cellStyle name="Comma 4 2 3 3 4 3" xfId="5854" xr:uid="{00000000-0005-0000-0000-000096080000}"/>
    <cellStyle name="Comma 4 2 3 3 4 3 2" xfId="14283" xr:uid="{13BA5F07-2828-4B16-ABC0-8DAD9C82A660}"/>
    <cellStyle name="Comma 4 2 3 3 4 4" xfId="10065" xr:uid="{6ACB4618-C759-4BAF-A60D-E44014463052}"/>
    <cellStyle name="Comma 4 2 3 3 5" xfId="1959" xr:uid="{00000000-0005-0000-0000-000097080000}"/>
    <cellStyle name="Comma 4 2 3 3 5 2" xfId="4188" xr:uid="{00000000-0005-0000-0000-000098080000}"/>
    <cellStyle name="Comma 4 2 3 3 5 2 2" xfId="8412" xr:uid="{00000000-0005-0000-0000-000099080000}"/>
    <cellStyle name="Comma 4 2 3 3 5 2 2 2" xfId="16841" xr:uid="{BE93B644-B142-447C-A0C0-3CE52BF45DC7}"/>
    <cellStyle name="Comma 4 2 3 3 5 2 3" xfId="12623" xr:uid="{B12E8DB0-D032-48BF-9AB2-A37677CEFB0A}"/>
    <cellStyle name="Comma 4 2 3 3 5 3" xfId="6267" xr:uid="{00000000-0005-0000-0000-00009A080000}"/>
    <cellStyle name="Comma 4 2 3 3 5 3 2" xfId="14696" xr:uid="{BF505D6F-12F1-44B0-BDF6-6527BE585ECB}"/>
    <cellStyle name="Comma 4 2 3 3 5 4" xfId="10478" xr:uid="{45FBEC8F-2511-4BB6-A29C-685501E8BC7B}"/>
    <cellStyle name="Comma 4 2 3 3 6" xfId="2394" xr:uid="{00000000-0005-0000-0000-00009B080000}"/>
    <cellStyle name="Comma 4 2 3 3 6 2" xfId="6680" xr:uid="{00000000-0005-0000-0000-00009C080000}"/>
    <cellStyle name="Comma 4 2 3 3 6 2 2" xfId="15109" xr:uid="{2BC7408A-6221-47D9-951F-F8A1CCFDBEA9}"/>
    <cellStyle name="Comma 4 2 3 3 6 3" xfId="10891" xr:uid="{45EC480F-274F-4C5D-A4BE-23E164B50741}"/>
    <cellStyle name="Comma 4 2 3 3 7" xfId="2371" xr:uid="{00000000-0005-0000-0000-00009D080000}"/>
    <cellStyle name="Comma 4 2 3 3 8" xfId="2772" xr:uid="{00000000-0005-0000-0000-00009E080000}"/>
    <cellStyle name="Comma 4 2 3 3 8 2" xfId="6997" xr:uid="{00000000-0005-0000-0000-00009F080000}"/>
    <cellStyle name="Comma 4 2 3 3 8 2 2" xfId="15426" xr:uid="{52CCC232-E301-4C64-A8A2-5C72BBD2F419}"/>
    <cellStyle name="Comma 4 2 3 3 8 3" xfId="11208" xr:uid="{6384A0A6-B013-4277-A50D-54BA72FB0371}"/>
    <cellStyle name="Comma 4 2 3 3 9" xfId="4614" xr:uid="{00000000-0005-0000-0000-0000A0080000}"/>
    <cellStyle name="Comma 4 2 3 3 9 2" xfId="13043" xr:uid="{7A76830A-3615-4FED-92D7-0A60B06A1955}"/>
    <cellStyle name="Comma 4 2 3 4" xfId="675" xr:uid="{00000000-0005-0000-0000-0000A1080000}"/>
    <cellStyle name="Comma 4 2 3 4 2" xfId="2946" xr:uid="{00000000-0005-0000-0000-0000A2080000}"/>
    <cellStyle name="Comma 4 2 3 4 2 2" xfId="7170" xr:uid="{00000000-0005-0000-0000-0000A3080000}"/>
    <cellStyle name="Comma 4 2 3 4 2 2 2" xfId="15599" xr:uid="{97EF0045-6108-4997-9D46-B4CC76F657D5}"/>
    <cellStyle name="Comma 4 2 3 4 2 3" xfId="11381" xr:uid="{45A91955-9FCF-482E-9474-84768F848687}"/>
    <cellStyle name="Comma 4 2 3 4 3" xfId="5025" xr:uid="{00000000-0005-0000-0000-0000A4080000}"/>
    <cellStyle name="Comma 4 2 3 4 3 2" xfId="13454" xr:uid="{CDD8ED8E-7B6A-44B6-9A89-D7CB993F5888}"/>
    <cellStyle name="Comma 4 2 3 4 4" xfId="9236" xr:uid="{6A4B8245-021D-4D4C-B29A-12F377829618}"/>
    <cellStyle name="Comma 4 2 3 5" xfId="1128" xr:uid="{00000000-0005-0000-0000-0000A5080000}"/>
    <cellStyle name="Comma 4 2 3 5 2" xfId="3359" xr:uid="{00000000-0005-0000-0000-0000A6080000}"/>
    <cellStyle name="Comma 4 2 3 5 2 2" xfId="7583" xr:uid="{00000000-0005-0000-0000-0000A7080000}"/>
    <cellStyle name="Comma 4 2 3 5 2 2 2" xfId="16012" xr:uid="{2D3EA044-92E2-4AA8-8479-17412AB2758E}"/>
    <cellStyle name="Comma 4 2 3 5 2 3" xfId="11794" xr:uid="{4CD92582-8BE6-4CA8-A323-F1B01E0CB0D3}"/>
    <cellStyle name="Comma 4 2 3 5 3" xfId="5438" xr:uid="{00000000-0005-0000-0000-0000A8080000}"/>
    <cellStyle name="Comma 4 2 3 5 3 2" xfId="13867" xr:uid="{2BB2459B-4FC4-4495-BE37-0A527E732944}"/>
    <cellStyle name="Comma 4 2 3 5 4" xfId="9649" xr:uid="{A4983A34-55A5-4FD1-8F59-75C2D5A39DC5}"/>
    <cellStyle name="Comma 4 2 3 6" xfId="1542" xr:uid="{00000000-0005-0000-0000-0000A9080000}"/>
    <cellStyle name="Comma 4 2 3 6 2" xfId="3772" xr:uid="{00000000-0005-0000-0000-0000AA080000}"/>
    <cellStyle name="Comma 4 2 3 6 2 2" xfId="7996" xr:uid="{00000000-0005-0000-0000-0000AB080000}"/>
    <cellStyle name="Comma 4 2 3 6 2 2 2" xfId="16425" xr:uid="{4FC2423C-E049-4EB3-9DD2-31806E305E89}"/>
    <cellStyle name="Comma 4 2 3 6 2 3" xfId="12207" xr:uid="{84B98F09-7E33-4023-950A-6658E14660D4}"/>
    <cellStyle name="Comma 4 2 3 6 3" xfId="5851" xr:uid="{00000000-0005-0000-0000-0000AC080000}"/>
    <cellStyle name="Comma 4 2 3 6 3 2" xfId="14280" xr:uid="{2F65FBBA-1580-41DA-A9AE-97B90F0A6DD8}"/>
    <cellStyle name="Comma 4 2 3 6 4" xfId="10062" xr:uid="{4004B5D9-8BA0-4231-9618-E35FA5C3DD26}"/>
    <cellStyle name="Comma 4 2 3 7" xfId="1956" xr:uid="{00000000-0005-0000-0000-0000AD080000}"/>
    <cellStyle name="Comma 4 2 3 7 2" xfId="4185" xr:uid="{00000000-0005-0000-0000-0000AE080000}"/>
    <cellStyle name="Comma 4 2 3 7 2 2" xfId="8409" xr:uid="{00000000-0005-0000-0000-0000AF080000}"/>
    <cellStyle name="Comma 4 2 3 7 2 2 2" xfId="16838" xr:uid="{61195E26-DB24-46D0-85F4-E58A22C2FA19}"/>
    <cellStyle name="Comma 4 2 3 7 2 3" xfId="12620" xr:uid="{D2B3890A-4273-4C36-9E7D-E750A2D592CC}"/>
    <cellStyle name="Comma 4 2 3 7 3" xfId="6264" xr:uid="{00000000-0005-0000-0000-0000B0080000}"/>
    <cellStyle name="Comma 4 2 3 7 3 2" xfId="14693" xr:uid="{FD5FD6F6-04B5-49D0-93D0-64105CD2E885}"/>
    <cellStyle name="Comma 4 2 3 7 4" xfId="10475" xr:uid="{11F8F666-E950-41C4-89F6-BC4CD81CA22E}"/>
    <cellStyle name="Comma 4 2 3 8" xfId="2391" xr:uid="{00000000-0005-0000-0000-0000B1080000}"/>
    <cellStyle name="Comma 4 2 3 8 2" xfId="6677" xr:uid="{00000000-0005-0000-0000-0000B2080000}"/>
    <cellStyle name="Comma 4 2 3 8 2 2" xfId="15106" xr:uid="{16D5D0E7-BDA7-409A-9EB8-48159A536CEA}"/>
    <cellStyle name="Comma 4 2 3 8 3" xfId="10888" xr:uid="{754C2CC2-EB57-466F-8C00-45A410CDFE07}"/>
    <cellStyle name="Comma 4 2 3 9" xfId="2374" xr:uid="{00000000-0005-0000-0000-0000B3080000}"/>
    <cellStyle name="Comma 4 2 4" xfId="140" xr:uid="{00000000-0005-0000-0000-0000B4080000}"/>
    <cellStyle name="Comma 4 2 4 10" xfId="4615" xr:uid="{00000000-0005-0000-0000-0000B5080000}"/>
    <cellStyle name="Comma 4 2 4 10 2" xfId="13044" xr:uid="{1A53E768-FB94-40F3-9F32-2F77790AB53C}"/>
    <cellStyle name="Comma 4 2 4 11" xfId="8826" xr:uid="{711F329B-3B5D-4D9D-9A42-8FD2D387F21C}"/>
    <cellStyle name="Comma 4 2 4 2" xfId="141" xr:uid="{00000000-0005-0000-0000-0000B6080000}"/>
    <cellStyle name="Comma 4 2 4 2 10" xfId="8827" xr:uid="{0116CF6A-46AF-4384-BFFE-2A329C41E934}"/>
    <cellStyle name="Comma 4 2 4 2 2" xfId="680" xr:uid="{00000000-0005-0000-0000-0000B7080000}"/>
    <cellStyle name="Comma 4 2 4 2 2 2" xfId="2951" xr:uid="{00000000-0005-0000-0000-0000B8080000}"/>
    <cellStyle name="Comma 4 2 4 2 2 2 2" xfId="7175" xr:uid="{00000000-0005-0000-0000-0000B9080000}"/>
    <cellStyle name="Comma 4 2 4 2 2 2 2 2" xfId="15604" xr:uid="{12129E34-8C1A-43BD-B6CB-9608BBA3BCC4}"/>
    <cellStyle name="Comma 4 2 4 2 2 2 3" xfId="11386" xr:uid="{7C985FAB-1A58-48D3-B0B2-D6FD9BC4F213}"/>
    <cellStyle name="Comma 4 2 4 2 2 3" xfId="5030" xr:uid="{00000000-0005-0000-0000-0000BA080000}"/>
    <cellStyle name="Comma 4 2 4 2 2 3 2" xfId="13459" xr:uid="{763EB751-688F-4146-A2B3-029C446CADF7}"/>
    <cellStyle name="Comma 4 2 4 2 2 4" xfId="9241" xr:uid="{85CB337E-9F1F-40A1-9F7E-90DA32DFCA78}"/>
    <cellStyle name="Comma 4 2 4 2 3" xfId="1133" xr:uid="{00000000-0005-0000-0000-0000BB080000}"/>
    <cellStyle name="Comma 4 2 4 2 3 2" xfId="3364" xr:uid="{00000000-0005-0000-0000-0000BC080000}"/>
    <cellStyle name="Comma 4 2 4 2 3 2 2" xfId="7588" xr:uid="{00000000-0005-0000-0000-0000BD080000}"/>
    <cellStyle name="Comma 4 2 4 2 3 2 2 2" xfId="16017" xr:uid="{F63B73AF-796E-48C6-BE3F-B38C290834A5}"/>
    <cellStyle name="Comma 4 2 4 2 3 2 3" xfId="11799" xr:uid="{CF9594E7-8D03-4177-A154-37E0AACE56B9}"/>
    <cellStyle name="Comma 4 2 4 2 3 3" xfId="5443" xr:uid="{00000000-0005-0000-0000-0000BE080000}"/>
    <cellStyle name="Comma 4 2 4 2 3 3 2" xfId="13872" xr:uid="{ADC0568F-E89C-4BE5-8D88-70F6896DB62E}"/>
    <cellStyle name="Comma 4 2 4 2 3 4" xfId="9654" xr:uid="{F39962EA-5D68-43A3-923B-DB2C381C960F}"/>
    <cellStyle name="Comma 4 2 4 2 4" xfId="1547" xr:uid="{00000000-0005-0000-0000-0000BF080000}"/>
    <cellStyle name="Comma 4 2 4 2 4 2" xfId="3777" xr:uid="{00000000-0005-0000-0000-0000C0080000}"/>
    <cellStyle name="Comma 4 2 4 2 4 2 2" xfId="8001" xr:uid="{00000000-0005-0000-0000-0000C1080000}"/>
    <cellStyle name="Comma 4 2 4 2 4 2 2 2" xfId="16430" xr:uid="{D520988B-9D90-4157-90A6-39CEB3B8C076}"/>
    <cellStyle name="Comma 4 2 4 2 4 2 3" xfId="12212" xr:uid="{9A14DFE2-E166-47EF-B897-CE249AEA454F}"/>
    <cellStyle name="Comma 4 2 4 2 4 3" xfId="5856" xr:uid="{00000000-0005-0000-0000-0000C2080000}"/>
    <cellStyle name="Comma 4 2 4 2 4 3 2" xfId="14285" xr:uid="{2A979E9B-6262-4D38-9233-51E5507BF9FA}"/>
    <cellStyle name="Comma 4 2 4 2 4 4" xfId="10067" xr:uid="{48EABDBE-C868-4130-8B38-B847F5E8C765}"/>
    <cellStyle name="Comma 4 2 4 2 5" xfId="1961" xr:uid="{00000000-0005-0000-0000-0000C3080000}"/>
    <cellStyle name="Comma 4 2 4 2 5 2" xfId="4190" xr:uid="{00000000-0005-0000-0000-0000C4080000}"/>
    <cellStyle name="Comma 4 2 4 2 5 2 2" xfId="8414" xr:uid="{00000000-0005-0000-0000-0000C5080000}"/>
    <cellStyle name="Comma 4 2 4 2 5 2 2 2" xfId="16843" xr:uid="{6F259F6D-2BFA-4C7D-9564-862E5A737AB1}"/>
    <cellStyle name="Comma 4 2 4 2 5 2 3" xfId="12625" xr:uid="{F2F4D7B3-10B9-4393-80A0-4C70631512F0}"/>
    <cellStyle name="Comma 4 2 4 2 5 3" xfId="6269" xr:uid="{00000000-0005-0000-0000-0000C6080000}"/>
    <cellStyle name="Comma 4 2 4 2 5 3 2" xfId="14698" xr:uid="{4DF51E72-08B6-4100-B38F-A28BF4F33D46}"/>
    <cellStyle name="Comma 4 2 4 2 5 4" xfId="10480" xr:uid="{730334E3-A7CD-4FE2-BCFE-E44B81D04D3B}"/>
    <cellStyle name="Comma 4 2 4 2 6" xfId="2396" xr:uid="{00000000-0005-0000-0000-0000C7080000}"/>
    <cellStyle name="Comma 4 2 4 2 6 2" xfId="6682" xr:uid="{00000000-0005-0000-0000-0000C8080000}"/>
    <cellStyle name="Comma 4 2 4 2 6 2 2" xfId="15111" xr:uid="{3B3D6E12-44B6-4231-9AC4-3DF5A621863C}"/>
    <cellStyle name="Comma 4 2 4 2 6 3" xfId="10893" xr:uid="{7EBDA687-47C0-495F-8339-795437CA0C72}"/>
    <cellStyle name="Comma 4 2 4 2 7" xfId="2369" xr:uid="{00000000-0005-0000-0000-0000C9080000}"/>
    <cellStyle name="Comma 4 2 4 2 8" xfId="2774" xr:uid="{00000000-0005-0000-0000-0000CA080000}"/>
    <cellStyle name="Comma 4 2 4 2 8 2" xfId="6999" xr:uid="{00000000-0005-0000-0000-0000CB080000}"/>
    <cellStyle name="Comma 4 2 4 2 8 2 2" xfId="15428" xr:uid="{EFF1EC00-25CC-459E-B7F0-6294284BB2F0}"/>
    <cellStyle name="Comma 4 2 4 2 8 3" xfId="11210" xr:uid="{4F27E455-5FA0-425A-B1F9-21BF85EB2CCD}"/>
    <cellStyle name="Comma 4 2 4 2 9" xfId="4616" xr:uid="{00000000-0005-0000-0000-0000CC080000}"/>
    <cellStyle name="Comma 4 2 4 2 9 2" xfId="13045" xr:uid="{2D0CA8A1-8EE6-4200-9616-20645834C91C}"/>
    <cellStyle name="Comma 4 2 4 3" xfId="679" xr:uid="{00000000-0005-0000-0000-0000CD080000}"/>
    <cellStyle name="Comma 4 2 4 3 2" xfId="2950" xr:uid="{00000000-0005-0000-0000-0000CE080000}"/>
    <cellStyle name="Comma 4 2 4 3 2 2" xfId="7174" xr:uid="{00000000-0005-0000-0000-0000CF080000}"/>
    <cellStyle name="Comma 4 2 4 3 2 2 2" xfId="15603" xr:uid="{EAD62655-4846-4AB2-B204-BE066C9A8A5B}"/>
    <cellStyle name="Comma 4 2 4 3 2 3" xfId="11385" xr:uid="{599BA398-EEEE-4948-A628-DDA95FB3DE0B}"/>
    <cellStyle name="Comma 4 2 4 3 3" xfId="5029" xr:uid="{00000000-0005-0000-0000-0000D0080000}"/>
    <cellStyle name="Comma 4 2 4 3 3 2" xfId="13458" xr:uid="{4CEC3723-373E-4F04-A7FC-043DD91535A9}"/>
    <cellStyle name="Comma 4 2 4 3 4" xfId="9240" xr:uid="{19455570-677F-4BAB-9928-E1255C2AD03E}"/>
    <cellStyle name="Comma 4 2 4 4" xfId="1132" xr:uid="{00000000-0005-0000-0000-0000D1080000}"/>
    <cellStyle name="Comma 4 2 4 4 2" xfId="3363" xr:uid="{00000000-0005-0000-0000-0000D2080000}"/>
    <cellStyle name="Comma 4 2 4 4 2 2" xfId="7587" xr:uid="{00000000-0005-0000-0000-0000D3080000}"/>
    <cellStyle name="Comma 4 2 4 4 2 2 2" xfId="16016" xr:uid="{ECFC26C1-3F3C-46C4-964F-24AFF0130CB4}"/>
    <cellStyle name="Comma 4 2 4 4 2 3" xfId="11798" xr:uid="{8918C425-163C-4C26-8415-7BD292646249}"/>
    <cellStyle name="Comma 4 2 4 4 3" xfId="5442" xr:uid="{00000000-0005-0000-0000-0000D4080000}"/>
    <cellStyle name="Comma 4 2 4 4 3 2" xfId="13871" xr:uid="{6430563B-F4A9-4339-BAFE-7618DD2AAF1F}"/>
    <cellStyle name="Comma 4 2 4 4 4" xfId="9653" xr:uid="{EF779BB5-017E-4E25-AF83-CFA8B1B8C7ED}"/>
    <cellStyle name="Comma 4 2 4 5" xfId="1546" xr:uid="{00000000-0005-0000-0000-0000D5080000}"/>
    <cellStyle name="Comma 4 2 4 5 2" xfId="3776" xr:uid="{00000000-0005-0000-0000-0000D6080000}"/>
    <cellStyle name="Comma 4 2 4 5 2 2" xfId="8000" xr:uid="{00000000-0005-0000-0000-0000D7080000}"/>
    <cellStyle name="Comma 4 2 4 5 2 2 2" xfId="16429" xr:uid="{364506F6-F7B8-4959-AC3C-29672B97FD9B}"/>
    <cellStyle name="Comma 4 2 4 5 2 3" xfId="12211" xr:uid="{2DB99A54-5207-4390-8D47-E43530AE3827}"/>
    <cellStyle name="Comma 4 2 4 5 3" xfId="5855" xr:uid="{00000000-0005-0000-0000-0000D8080000}"/>
    <cellStyle name="Comma 4 2 4 5 3 2" xfId="14284" xr:uid="{93946F2A-1CF0-4102-96D6-E259A0C0B831}"/>
    <cellStyle name="Comma 4 2 4 5 4" xfId="10066" xr:uid="{C94F1614-6268-43CB-BBAB-32B117E905DE}"/>
    <cellStyle name="Comma 4 2 4 6" xfId="1960" xr:uid="{00000000-0005-0000-0000-0000D9080000}"/>
    <cellStyle name="Comma 4 2 4 6 2" xfId="4189" xr:uid="{00000000-0005-0000-0000-0000DA080000}"/>
    <cellStyle name="Comma 4 2 4 6 2 2" xfId="8413" xr:uid="{00000000-0005-0000-0000-0000DB080000}"/>
    <cellStyle name="Comma 4 2 4 6 2 2 2" xfId="16842" xr:uid="{E8C10FFD-257C-49FB-94D4-82D54D16880E}"/>
    <cellStyle name="Comma 4 2 4 6 2 3" xfId="12624" xr:uid="{AECE8D97-181B-4675-B4CE-ACEAB642AEBA}"/>
    <cellStyle name="Comma 4 2 4 6 3" xfId="6268" xr:uid="{00000000-0005-0000-0000-0000DC080000}"/>
    <cellStyle name="Comma 4 2 4 6 3 2" xfId="14697" xr:uid="{A354DEA1-DA8D-43D0-B05E-409597FA935E}"/>
    <cellStyle name="Comma 4 2 4 6 4" xfId="10479" xr:uid="{1E668B22-FC73-4A29-95A0-4853CF7745FB}"/>
    <cellStyle name="Comma 4 2 4 7" xfId="2395" xr:uid="{00000000-0005-0000-0000-0000DD080000}"/>
    <cellStyle name="Comma 4 2 4 7 2" xfId="6681" xr:uid="{00000000-0005-0000-0000-0000DE080000}"/>
    <cellStyle name="Comma 4 2 4 7 2 2" xfId="15110" xr:uid="{A0D8E537-4E29-4978-9EC0-FB42F98CBEB9}"/>
    <cellStyle name="Comma 4 2 4 7 3" xfId="10892" xr:uid="{6CB84343-CF30-422C-AC03-865A6157161F}"/>
    <cellStyle name="Comma 4 2 4 8" xfId="2370" xr:uid="{00000000-0005-0000-0000-0000DF080000}"/>
    <cellStyle name="Comma 4 2 4 9" xfId="2773" xr:uid="{00000000-0005-0000-0000-0000E0080000}"/>
    <cellStyle name="Comma 4 2 4 9 2" xfId="6998" xr:uid="{00000000-0005-0000-0000-0000E1080000}"/>
    <cellStyle name="Comma 4 2 4 9 2 2" xfId="15427" xr:uid="{D2697B8C-9B4E-43A8-991E-FD775080579E}"/>
    <cellStyle name="Comma 4 2 4 9 3" xfId="11209" xr:uid="{A06D2D0B-EB39-46DD-BE1C-EDBD2EA55963}"/>
    <cellStyle name="Comma 4 2 5" xfId="142" xr:uid="{00000000-0005-0000-0000-0000E2080000}"/>
    <cellStyle name="Comma 4 2 5 10" xfId="8828" xr:uid="{1A6F245D-424D-4766-ACD6-042D914DB56B}"/>
    <cellStyle name="Comma 4 2 5 2" xfId="681" xr:uid="{00000000-0005-0000-0000-0000E3080000}"/>
    <cellStyle name="Comma 4 2 5 2 2" xfId="2952" xr:uid="{00000000-0005-0000-0000-0000E4080000}"/>
    <cellStyle name="Comma 4 2 5 2 2 2" xfId="7176" xr:uid="{00000000-0005-0000-0000-0000E5080000}"/>
    <cellStyle name="Comma 4 2 5 2 2 2 2" xfId="15605" xr:uid="{C8EC78C3-09F6-412D-B8BD-17BB0E860E02}"/>
    <cellStyle name="Comma 4 2 5 2 2 3" xfId="11387" xr:uid="{5BBCAA41-7AD4-4C25-960A-8F50336C6129}"/>
    <cellStyle name="Comma 4 2 5 2 3" xfId="5031" xr:uid="{00000000-0005-0000-0000-0000E6080000}"/>
    <cellStyle name="Comma 4 2 5 2 3 2" xfId="13460" xr:uid="{90E4DD3F-9A75-42D1-90CA-2C2112FCF88E}"/>
    <cellStyle name="Comma 4 2 5 2 4" xfId="9242" xr:uid="{77F98BCF-01A0-4724-A4CD-A5482C1107E6}"/>
    <cellStyle name="Comma 4 2 5 3" xfId="1134" xr:uid="{00000000-0005-0000-0000-0000E7080000}"/>
    <cellStyle name="Comma 4 2 5 3 2" xfId="3365" xr:uid="{00000000-0005-0000-0000-0000E8080000}"/>
    <cellStyle name="Comma 4 2 5 3 2 2" xfId="7589" xr:uid="{00000000-0005-0000-0000-0000E9080000}"/>
    <cellStyle name="Comma 4 2 5 3 2 2 2" xfId="16018" xr:uid="{33CDDAC9-55F2-401F-988F-1C9D9A6A0024}"/>
    <cellStyle name="Comma 4 2 5 3 2 3" xfId="11800" xr:uid="{E1C666A9-2E7A-4F84-987D-990B0D7D390F}"/>
    <cellStyle name="Comma 4 2 5 3 3" xfId="5444" xr:uid="{00000000-0005-0000-0000-0000EA080000}"/>
    <cellStyle name="Comma 4 2 5 3 3 2" xfId="13873" xr:uid="{2CC26046-592F-4736-9256-F28073456C89}"/>
    <cellStyle name="Comma 4 2 5 3 4" xfId="9655" xr:uid="{0C218756-5206-495E-BB90-D39DA05035D6}"/>
    <cellStyle name="Comma 4 2 5 4" xfId="1548" xr:uid="{00000000-0005-0000-0000-0000EB080000}"/>
    <cellStyle name="Comma 4 2 5 4 2" xfId="3778" xr:uid="{00000000-0005-0000-0000-0000EC080000}"/>
    <cellStyle name="Comma 4 2 5 4 2 2" xfId="8002" xr:uid="{00000000-0005-0000-0000-0000ED080000}"/>
    <cellStyle name="Comma 4 2 5 4 2 2 2" xfId="16431" xr:uid="{296B7EB7-46F3-42C4-924E-B4AE80423BF6}"/>
    <cellStyle name="Comma 4 2 5 4 2 3" xfId="12213" xr:uid="{1DDBF2FA-66D5-4910-A408-108F8CB12996}"/>
    <cellStyle name="Comma 4 2 5 4 3" xfId="5857" xr:uid="{00000000-0005-0000-0000-0000EE080000}"/>
    <cellStyle name="Comma 4 2 5 4 3 2" xfId="14286" xr:uid="{E76FE26D-34AF-4F80-81CF-A3A6E42C8450}"/>
    <cellStyle name="Comma 4 2 5 4 4" xfId="10068" xr:uid="{0595C09F-3785-4603-B8BA-4A9C06E80549}"/>
    <cellStyle name="Comma 4 2 5 5" xfId="1962" xr:uid="{00000000-0005-0000-0000-0000EF080000}"/>
    <cellStyle name="Comma 4 2 5 5 2" xfId="4191" xr:uid="{00000000-0005-0000-0000-0000F0080000}"/>
    <cellStyle name="Comma 4 2 5 5 2 2" xfId="8415" xr:uid="{00000000-0005-0000-0000-0000F1080000}"/>
    <cellStyle name="Comma 4 2 5 5 2 2 2" xfId="16844" xr:uid="{A308E163-39D9-4732-A64A-50D00D2148BE}"/>
    <cellStyle name="Comma 4 2 5 5 2 3" xfId="12626" xr:uid="{67BD3AE9-FE00-409E-AE1E-26AC7D00F858}"/>
    <cellStyle name="Comma 4 2 5 5 3" xfId="6270" xr:uid="{00000000-0005-0000-0000-0000F2080000}"/>
    <cellStyle name="Comma 4 2 5 5 3 2" xfId="14699" xr:uid="{168A8C4F-4855-45CB-B4D9-6D61F07FDC68}"/>
    <cellStyle name="Comma 4 2 5 5 4" xfId="10481" xr:uid="{E80B8E31-3F6E-4729-A850-2F7986694840}"/>
    <cellStyle name="Comma 4 2 5 6" xfId="2397" xr:uid="{00000000-0005-0000-0000-0000F3080000}"/>
    <cellStyle name="Comma 4 2 5 6 2" xfId="6683" xr:uid="{00000000-0005-0000-0000-0000F4080000}"/>
    <cellStyle name="Comma 4 2 5 6 2 2" xfId="15112" xr:uid="{47535807-F31E-4DE0-97DB-35339E050CCA}"/>
    <cellStyle name="Comma 4 2 5 6 3" xfId="10894" xr:uid="{BF0518FF-904D-44FA-9D86-C183CB0BE7AB}"/>
    <cellStyle name="Comma 4 2 5 7" xfId="2368" xr:uid="{00000000-0005-0000-0000-0000F5080000}"/>
    <cellStyle name="Comma 4 2 5 8" xfId="2775" xr:uid="{00000000-0005-0000-0000-0000F6080000}"/>
    <cellStyle name="Comma 4 2 5 8 2" xfId="7000" xr:uid="{00000000-0005-0000-0000-0000F7080000}"/>
    <cellStyle name="Comma 4 2 5 8 2 2" xfId="15429" xr:uid="{523F79B3-9965-4F2F-9771-488E26783046}"/>
    <cellStyle name="Comma 4 2 5 8 3" xfId="11211" xr:uid="{0DBE5FC0-AA77-4219-B855-F13716055259}"/>
    <cellStyle name="Comma 4 2 5 9" xfId="4617" xr:uid="{00000000-0005-0000-0000-0000F8080000}"/>
    <cellStyle name="Comma 4 2 5 9 2" xfId="13046" xr:uid="{3BBB3009-E433-497A-96FF-16D9C0B5ED7B}"/>
    <cellStyle name="Comma 4 2 6" xfId="143" xr:uid="{00000000-0005-0000-0000-0000F9080000}"/>
    <cellStyle name="Comma 4 2 6 10" xfId="8829" xr:uid="{7BB005E4-F61C-482E-B93A-3AAA77850BE1}"/>
    <cellStyle name="Comma 4 2 6 2" xfId="682" xr:uid="{00000000-0005-0000-0000-0000FA080000}"/>
    <cellStyle name="Comma 4 2 6 2 2" xfId="2953" xr:uid="{00000000-0005-0000-0000-0000FB080000}"/>
    <cellStyle name="Comma 4 2 6 2 2 2" xfId="7177" xr:uid="{00000000-0005-0000-0000-0000FC080000}"/>
    <cellStyle name="Comma 4 2 6 2 2 2 2" xfId="15606" xr:uid="{7FFF2DFC-56B3-4BC1-9933-90C105CDDC00}"/>
    <cellStyle name="Comma 4 2 6 2 2 3" xfId="11388" xr:uid="{BF3475E7-83C0-4AD3-9DA2-E09035672863}"/>
    <cellStyle name="Comma 4 2 6 2 3" xfId="5032" xr:uid="{00000000-0005-0000-0000-0000FD080000}"/>
    <cellStyle name="Comma 4 2 6 2 3 2" xfId="13461" xr:uid="{A012DA7F-9A48-4593-83D3-F1D92D98654D}"/>
    <cellStyle name="Comma 4 2 6 2 4" xfId="9243" xr:uid="{4CA51743-7070-44F0-AFC1-7C1D79FF6494}"/>
    <cellStyle name="Comma 4 2 6 3" xfId="1135" xr:uid="{00000000-0005-0000-0000-0000FE080000}"/>
    <cellStyle name="Comma 4 2 6 3 2" xfId="3366" xr:uid="{00000000-0005-0000-0000-0000FF080000}"/>
    <cellStyle name="Comma 4 2 6 3 2 2" xfId="7590" xr:uid="{00000000-0005-0000-0000-000000090000}"/>
    <cellStyle name="Comma 4 2 6 3 2 2 2" xfId="16019" xr:uid="{B563DA28-3B53-42B4-94D9-EFF1547C356C}"/>
    <cellStyle name="Comma 4 2 6 3 2 3" xfId="11801" xr:uid="{92568781-AA15-4BB1-8D1C-F5DEFE230710}"/>
    <cellStyle name="Comma 4 2 6 3 3" xfId="5445" xr:uid="{00000000-0005-0000-0000-000001090000}"/>
    <cellStyle name="Comma 4 2 6 3 3 2" xfId="13874" xr:uid="{CB908830-9E9E-4E29-A7F8-CE22DF37E163}"/>
    <cellStyle name="Comma 4 2 6 3 4" xfId="9656" xr:uid="{BFE8F7A4-30C1-429D-BD1E-85A2E0A33ECC}"/>
    <cellStyle name="Comma 4 2 6 4" xfId="1549" xr:uid="{00000000-0005-0000-0000-000002090000}"/>
    <cellStyle name="Comma 4 2 6 4 2" xfId="3779" xr:uid="{00000000-0005-0000-0000-000003090000}"/>
    <cellStyle name="Comma 4 2 6 4 2 2" xfId="8003" xr:uid="{00000000-0005-0000-0000-000004090000}"/>
    <cellStyle name="Comma 4 2 6 4 2 2 2" xfId="16432" xr:uid="{CB090523-92C8-43D9-822F-067F5895AD40}"/>
    <cellStyle name="Comma 4 2 6 4 2 3" xfId="12214" xr:uid="{23570DAE-6DEF-4D7A-A12A-285F222623D5}"/>
    <cellStyle name="Comma 4 2 6 4 3" xfId="5858" xr:uid="{00000000-0005-0000-0000-000005090000}"/>
    <cellStyle name="Comma 4 2 6 4 3 2" xfId="14287" xr:uid="{EA0E3518-9206-444E-BC53-8EDA2F9AE533}"/>
    <cellStyle name="Comma 4 2 6 4 4" xfId="10069" xr:uid="{CFC340C4-1571-4FCE-863E-E972D32A9EA2}"/>
    <cellStyle name="Comma 4 2 6 5" xfId="1963" xr:uid="{00000000-0005-0000-0000-000006090000}"/>
    <cellStyle name="Comma 4 2 6 5 2" xfId="4192" xr:uid="{00000000-0005-0000-0000-000007090000}"/>
    <cellStyle name="Comma 4 2 6 5 2 2" xfId="8416" xr:uid="{00000000-0005-0000-0000-000008090000}"/>
    <cellStyle name="Comma 4 2 6 5 2 2 2" xfId="16845" xr:uid="{EF3C0AD5-F6F1-42B8-804D-1D2370714F00}"/>
    <cellStyle name="Comma 4 2 6 5 2 3" xfId="12627" xr:uid="{FCB27F1B-951E-4EE2-A603-F1C83D85A8D0}"/>
    <cellStyle name="Comma 4 2 6 5 3" xfId="6271" xr:uid="{00000000-0005-0000-0000-000009090000}"/>
    <cellStyle name="Comma 4 2 6 5 3 2" xfId="14700" xr:uid="{606F1BC7-055D-49C9-B131-4599D965DEBD}"/>
    <cellStyle name="Comma 4 2 6 5 4" xfId="10482" xr:uid="{B4A44C0D-423D-4009-AFB1-ADF302830DD2}"/>
    <cellStyle name="Comma 4 2 6 6" xfId="2398" xr:uid="{00000000-0005-0000-0000-00000A090000}"/>
    <cellStyle name="Comma 4 2 6 6 2" xfId="6684" xr:uid="{00000000-0005-0000-0000-00000B090000}"/>
    <cellStyle name="Comma 4 2 6 6 2 2" xfId="15113" xr:uid="{0F188115-EC83-4DB3-A8E7-8B7DDDC51903}"/>
    <cellStyle name="Comma 4 2 6 6 3" xfId="10895" xr:uid="{551EFABE-1280-4A6E-997D-FF363D3CAF25}"/>
    <cellStyle name="Comma 4 2 6 7" xfId="2367" xr:uid="{00000000-0005-0000-0000-00000C090000}"/>
    <cellStyle name="Comma 4 2 6 8" xfId="2776" xr:uid="{00000000-0005-0000-0000-00000D090000}"/>
    <cellStyle name="Comma 4 2 6 8 2" xfId="7001" xr:uid="{00000000-0005-0000-0000-00000E090000}"/>
    <cellStyle name="Comma 4 2 6 8 2 2" xfId="15430" xr:uid="{B47CAFDF-A1B3-4BDA-ACD5-83D5B2A48E20}"/>
    <cellStyle name="Comma 4 2 6 8 3" xfId="11212" xr:uid="{97E0D283-0F4C-471D-ACF4-47BDB0670E16}"/>
    <cellStyle name="Comma 4 2 6 9" xfId="4618" xr:uid="{00000000-0005-0000-0000-00000F090000}"/>
    <cellStyle name="Comma 4 2 6 9 2" xfId="13047" xr:uid="{9F261EAA-8F21-4E48-9C42-4F82C5D80855}"/>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0 2 2" xfId="15431" xr:uid="{39528281-248A-4726-90D6-A08407343C26}"/>
    <cellStyle name="Comma 4 3 2 10 3" xfId="11213" xr:uid="{7EDDA1CF-19FE-4C41-AC07-A4BCAE76DA5D}"/>
    <cellStyle name="Comma 4 3 2 11" xfId="4619" xr:uid="{00000000-0005-0000-0000-000014090000}"/>
    <cellStyle name="Comma 4 3 2 11 2" xfId="13048" xr:uid="{4D578D1E-5A58-4D31-85FE-85F4285FB363}"/>
    <cellStyle name="Comma 4 3 2 12" xfId="8830" xr:uid="{9A14FF97-FF64-4137-9B96-F6E6AAD0F57E}"/>
    <cellStyle name="Comma 4 3 2 2" xfId="146" xr:uid="{00000000-0005-0000-0000-000015090000}"/>
    <cellStyle name="Comma 4 3 2 2 10" xfId="4620" xr:uid="{00000000-0005-0000-0000-000016090000}"/>
    <cellStyle name="Comma 4 3 2 2 10 2" xfId="13049" xr:uid="{52622E2F-36FA-43AC-BAC5-A75110C4E3C2}"/>
    <cellStyle name="Comma 4 3 2 2 11" xfId="8831" xr:uid="{A32A5954-ADC8-4836-B1D7-3C877984E430}"/>
    <cellStyle name="Comma 4 3 2 2 2" xfId="147" xr:uid="{00000000-0005-0000-0000-000017090000}"/>
    <cellStyle name="Comma 4 3 2 2 2 10" xfId="8832" xr:uid="{6F7D33C8-DB52-4360-B3DD-4967118010B5}"/>
    <cellStyle name="Comma 4 3 2 2 2 2" xfId="685" xr:uid="{00000000-0005-0000-0000-000018090000}"/>
    <cellStyle name="Comma 4 3 2 2 2 2 2" xfId="2956" xr:uid="{00000000-0005-0000-0000-000019090000}"/>
    <cellStyle name="Comma 4 3 2 2 2 2 2 2" xfId="7180" xr:uid="{00000000-0005-0000-0000-00001A090000}"/>
    <cellStyle name="Comma 4 3 2 2 2 2 2 2 2" xfId="15609" xr:uid="{593A43E7-7B5D-46A5-B234-11DAD2091866}"/>
    <cellStyle name="Comma 4 3 2 2 2 2 2 3" xfId="11391" xr:uid="{9A3D381D-B620-4499-8634-2EAFB106BA07}"/>
    <cellStyle name="Comma 4 3 2 2 2 2 3" xfId="5035" xr:uid="{00000000-0005-0000-0000-00001B090000}"/>
    <cellStyle name="Comma 4 3 2 2 2 2 3 2" xfId="13464" xr:uid="{3FF5B616-E875-472C-B0C0-B665C9CB73A2}"/>
    <cellStyle name="Comma 4 3 2 2 2 2 4" xfId="9246" xr:uid="{F86E1A77-94AF-483E-A902-9FB5A7094251}"/>
    <cellStyle name="Comma 4 3 2 2 2 3" xfId="1138" xr:uid="{00000000-0005-0000-0000-00001C090000}"/>
    <cellStyle name="Comma 4 3 2 2 2 3 2" xfId="3369" xr:uid="{00000000-0005-0000-0000-00001D090000}"/>
    <cellStyle name="Comma 4 3 2 2 2 3 2 2" xfId="7593" xr:uid="{00000000-0005-0000-0000-00001E090000}"/>
    <cellStyle name="Comma 4 3 2 2 2 3 2 2 2" xfId="16022" xr:uid="{2142981C-E180-4154-BC10-6AC3F8DAA15F}"/>
    <cellStyle name="Comma 4 3 2 2 2 3 2 3" xfId="11804" xr:uid="{3E49C592-680A-48CD-951B-E763690604BE}"/>
    <cellStyle name="Comma 4 3 2 2 2 3 3" xfId="5448" xr:uid="{00000000-0005-0000-0000-00001F090000}"/>
    <cellStyle name="Comma 4 3 2 2 2 3 3 2" xfId="13877" xr:uid="{B85CA8EC-BB19-4CA6-A523-4BCBFF91C1BD}"/>
    <cellStyle name="Comma 4 3 2 2 2 3 4" xfId="9659" xr:uid="{328C3EBD-9396-4503-AA47-1E19C7469B02}"/>
    <cellStyle name="Comma 4 3 2 2 2 4" xfId="1552" xr:uid="{00000000-0005-0000-0000-000020090000}"/>
    <cellStyle name="Comma 4 3 2 2 2 4 2" xfId="3782" xr:uid="{00000000-0005-0000-0000-000021090000}"/>
    <cellStyle name="Comma 4 3 2 2 2 4 2 2" xfId="8006" xr:uid="{00000000-0005-0000-0000-000022090000}"/>
    <cellStyle name="Comma 4 3 2 2 2 4 2 2 2" xfId="16435" xr:uid="{27B3FF29-E236-4096-BE9D-F60C39F5C250}"/>
    <cellStyle name="Comma 4 3 2 2 2 4 2 3" xfId="12217" xr:uid="{830DE484-F50A-4962-B03A-BEA4FE005A21}"/>
    <cellStyle name="Comma 4 3 2 2 2 4 3" xfId="5861" xr:uid="{00000000-0005-0000-0000-000023090000}"/>
    <cellStyle name="Comma 4 3 2 2 2 4 3 2" xfId="14290" xr:uid="{C21AE850-A203-4BF0-BF19-40C49E0558D7}"/>
    <cellStyle name="Comma 4 3 2 2 2 4 4" xfId="10072" xr:uid="{16BDFEE7-12BA-433D-ABA9-5E96204151EB}"/>
    <cellStyle name="Comma 4 3 2 2 2 5" xfId="1966" xr:uid="{00000000-0005-0000-0000-000024090000}"/>
    <cellStyle name="Comma 4 3 2 2 2 5 2" xfId="4195" xr:uid="{00000000-0005-0000-0000-000025090000}"/>
    <cellStyle name="Comma 4 3 2 2 2 5 2 2" xfId="8419" xr:uid="{00000000-0005-0000-0000-000026090000}"/>
    <cellStyle name="Comma 4 3 2 2 2 5 2 2 2" xfId="16848" xr:uid="{047C02D2-3A8F-4BFE-95EA-2D4CBDA6C78F}"/>
    <cellStyle name="Comma 4 3 2 2 2 5 2 3" xfId="12630" xr:uid="{CA7F1178-CEE9-4732-912D-F8AD50806F12}"/>
    <cellStyle name="Comma 4 3 2 2 2 5 3" xfId="6274" xr:uid="{00000000-0005-0000-0000-000027090000}"/>
    <cellStyle name="Comma 4 3 2 2 2 5 3 2" xfId="14703" xr:uid="{B06C9109-4E02-4CB9-80DE-42AE103D17BA}"/>
    <cellStyle name="Comma 4 3 2 2 2 5 4" xfId="10485" xr:uid="{0632DE5B-AD84-42A2-AE9A-0D06BF53C610}"/>
    <cellStyle name="Comma 4 3 2 2 2 6" xfId="2401" xr:uid="{00000000-0005-0000-0000-000028090000}"/>
    <cellStyle name="Comma 4 3 2 2 2 6 2" xfId="6687" xr:uid="{00000000-0005-0000-0000-000029090000}"/>
    <cellStyle name="Comma 4 3 2 2 2 6 2 2" xfId="15116" xr:uid="{4929ECAC-9AB6-44FC-95B8-54063019D288}"/>
    <cellStyle name="Comma 4 3 2 2 2 6 3" xfId="10898" xr:uid="{53FA6899-1AB5-4CED-BC43-620CE40595ED}"/>
    <cellStyle name="Comma 4 3 2 2 2 7" xfId="2364" xr:uid="{00000000-0005-0000-0000-00002A090000}"/>
    <cellStyle name="Comma 4 3 2 2 2 8" xfId="2779" xr:uid="{00000000-0005-0000-0000-00002B090000}"/>
    <cellStyle name="Comma 4 3 2 2 2 8 2" xfId="7004" xr:uid="{00000000-0005-0000-0000-00002C090000}"/>
    <cellStyle name="Comma 4 3 2 2 2 8 2 2" xfId="15433" xr:uid="{25E71E43-AD1D-47CB-BCCA-0CCFD602D1ED}"/>
    <cellStyle name="Comma 4 3 2 2 2 8 3" xfId="11215" xr:uid="{5605F1D5-D1FB-4337-9AA4-5EB57883B3DC}"/>
    <cellStyle name="Comma 4 3 2 2 2 9" xfId="4621" xr:uid="{00000000-0005-0000-0000-00002D090000}"/>
    <cellStyle name="Comma 4 3 2 2 2 9 2" xfId="13050" xr:uid="{85618506-3070-4CC6-BC1B-1F7B797846BE}"/>
    <cellStyle name="Comma 4 3 2 2 3" xfId="684" xr:uid="{00000000-0005-0000-0000-00002E090000}"/>
    <cellStyle name="Comma 4 3 2 2 3 2" xfId="2955" xr:uid="{00000000-0005-0000-0000-00002F090000}"/>
    <cellStyle name="Comma 4 3 2 2 3 2 2" xfId="7179" xr:uid="{00000000-0005-0000-0000-000030090000}"/>
    <cellStyle name="Comma 4 3 2 2 3 2 2 2" xfId="15608" xr:uid="{26E3DDC9-2E73-4526-88FC-06A1454A5853}"/>
    <cellStyle name="Comma 4 3 2 2 3 2 3" xfId="11390" xr:uid="{F88B4253-D370-4402-8957-B6EC7A58BA31}"/>
    <cellStyle name="Comma 4 3 2 2 3 3" xfId="5034" xr:uid="{00000000-0005-0000-0000-000031090000}"/>
    <cellStyle name="Comma 4 3 2 2 3 3 2" xfId="13463" xr:uid="{53DE1244-28D2-41E9-842A-91944FF33C0D}"/>
    <cellStyle name="Comma 4 3 2 2 3 4" xfId="9245" xr:uid="{66DF5B37-DAB0-490A-85FE-301370DDCC9D}"/>
    <cellStyle name="Comma 4 3 2 2 4" xfId="1137" xr:uid="{00000000-0005-0000-0000-000032090000}"/>
    <cellStyle name="Comma 4 3 2 2 4 2" xfId="3368" xr:uid="{00000000-0005-0000-0000-000033090000}"/>
    <cellStyle name="Comma 4 3 2 2 4 2 2" xfId="7592" xr:uid="{00000000-0005-0000-0000-000034090000}"/>
    <cellStyle name="Comma 4 3 2 2 4 2 2 2" xfId="16021" xr:uid="{BBC6D62B-26B9-4FAD-907F-09C3482E752A}"/>
    <cellStyle name="Comma 4 3 2 2 4 2 3" xfId="11803" xr:uid="{DB0A1014-E0C6-4CB9-8E3C-9BA18087C8A5}"/>
    <cellStyle name="Comma 4 3 2 2 4 3" xfId="5447" xr:uid="{00000000-0005-0000-0000-000035090000}"/>
    <cellStyle name="Comma 4 3 2 2 4 3 2" xfId="13876" xr:uid="{9EE797EB-8436-4F63-83AE-F4FAE0E31AF1}"/>
    <cellStyle name="Comma 4 3 2 2 4 4" xfId="9658" xr:uid="{1939B736-7C55-401E-8C50-0D7814CA2592}"/>
    <cellStyle name="Comma 4 3 2 2 5" xfId="1551" xr:uid="{00000000-0005-0000-0000-000036090000}"/>
    <cellStyle name="Comma 4 3 2 2 5 2" xfId="3781" xr:uid="{00000000-0005-0000-0000-000037090000}"/>
    <cellStyle name="Comma 4 3 2 2 5 2 2" xfId="8005" xr:uid="{00000000-0005-0000-0000-000038090000}"/>
    <cellStyle name="Comma 4 3 2 2 5 2 2 2" xfId="16434" xr:uid="{7C48345D-6457-4BE0-9048-4BB40F8632AA}"/>
    <cellStyle name="Comma 4 3 2 2 5 2 3" xfId="12216" xr:uid="{86BB225D-8C3D-458F-8A7B-E74E3C622C16}"/>
    <cellStyle name="Comma 4 3 2 2 5 3" xfId="5860" xr:uid="{00000000-0005-0000-0000-000039090000}"/>
    <cellStyle name="Comma 4 3 2 2 5 3 2" xfId="14289" xr:uid="{F5D0BC67-27D8-4808-A6DD-616ECDC20A28}"/>
    <cellStyle name="Comma 4 3 2 2 5 4" xfId="10071" xr:uid="{E23B4CFD-FB95-4103-8558-D5E64FBBBD6B}"/>
    <cellStyle name="Comma 4 3 2 2 6" xfId="1965" xr:uid="{00000000-0005-0000-0000-00003A090000}"/>
    <cellStyle name="Comma 4 3 2 2 6 2" xfId="4194" xr:uid="{00000000-0005-0000-0000-00003B090000}"/>
    <cellStyle name="Comma 4 3 2 2 6 2 2" xfId="8418" xr:uid="{00000000-0005-0000-0000-00003C090000}"/>
    <cellStyle name="Comma 4 3 2 2 6 2 2 2" xfId="16847" xr:uid="{3D00417A-C659-4A8D-9971-138D24D43E7D}"/>
    <cellStyle name="Comma 4 3 2 2 6 2 3" xfId="12629" xr:uid="{6424BC95-290E-488F-82C6-85AC5D1D50EC}"/>
    <cellStyle name="Comma 4 3 2 2 6 3" xfId="6273" xr:uid="{00000000-0005-0000-0000-00003D090000}"/>
    <cellStyle name="Comma 4 3 2 2 6 3 2" xfId="14702" xr:uid="{25D4600A-C49D-4327-9ECD-0575A5EF452A}"/>
    <cellStyle name="Comma 4 3 2 2 6 4" xfId="10484" xr:uid="{402D5F76-9157-4307-8C38-AD622E3C97C0}"/>
    <cellStyle name="Comma 4 3 2 2 7" xfId="2400" xr:uid="{00000000-0005-0000-0000-00003E090000}"/>
    <cellStyle name="Comma 4 3 2 2 7 2" xfId="6686" xr:uid="{00000000-0005-0000-0000-00003F090000}"/>
    <cellStyle name="Comma 4 3 2 2 7 2 2" xfId="15115" xr:uid="{F9A16079-036C-4E32-B6EB-20311B26D9B3}"/>
    <cellStyle name="Comma 4 3 2 2 7 3" xfId="10897" xr:uid="{8FA399D5-60D2-4103-B817-401D2DB4BEA3}"/>
    <cellStyle name="Comma 4 3 2 2 8" xfId="2365" xr:uid="{00000000-0005-0000-0000-000040090000}"/>
    <cellStyle name="Comma 4 3 2 2 9" xfId="2778" xr:uid="{00000000-0005-0000-0000-000041090000}"/>
    <cellStyle name="Comma 4 3 2 2 9 2" xfId="7003" xr:uid="{00000000-0005-0000-0000-000042090000}"/>
    <cellStyle name="Comma 4 3 2 2 9 2 2" xfId="15432" xr:uid="{FCCB0652-311C-4CE4-9DC7-2619BD448C9A}"/>
    <cellStyle name="Comma 4 3 2 2 9 3" xfId="11214" xr:uid="{34EDD1B3-14AE-4543-8057-8F20B3C0A41A}"/>
    <cellStyle name="Comma 4 3 2 3" xfId="148" xr:uid="{00000000-0005-0000-0000-000043090000}"/>
    <cellStyle name="Comma 4 3 2 3 10" xfId="8833" xr:uid="{B7228F39-C462-405F-B9F1-1161FB2B9691}"/>
    <cellStyle name="Comma 4 3 2 3 2" xfId="686" xr:uid="{00000000-0005-0000-0000-000044090000}"/>
    <cellStyle name="Comma 4 3 2 3 2 2" xfId="2957" xr:uid="{00000000-0005-0000-0000-000045090000}"/>
    <cellStyle name="Comma 4 3 2 3 2 2 2" xfId="7181" xr:uid="{00000000-0005-0000-0000-000046090000}"/>
    <cellStyle name="Comma 4 3 2 3 2 2 2 2" xfId="15610" xr:uid="{81B916DC-6CC5-433E-9CAE-3B215EEBFA8F}"/>
    <cellStyle name="Comma 4 3 2 3 2 2 3" xfId="11392" xr:uid="{EB4E7DAF-2371-4E96-854E-F14D1DE8570D}"/>
    <cellStyle name="Comma 4 3 2 3 2 3" xfId="5036" xr:uid="{00000000-0005-0000-0000-000047090000}"/>
    <cellStyle name="Comma 4 3 2 3 2 3 2" xfId="13465" xr:uid="{4E8BDFFF-4CF4-4D2E-89B9-BC1E3C52C7E2}"/>
    <cellStyle name="Comma 4 3 2 3 2 4" xfId="9247" xr:uid="{1C2510F0-AEF7-4F08-9BBD-BF5D0F03254F}"/>
    <cellStyle name="Comma 4 3 2 3 3" xfId="1139" xr:uid="{00000000-0005-0000-0000-000048090000}"/>
    <cellStyle name="Comma 4 3 2 3 3 2" xfId="3370" xr:uid="{00000000-0005-0000-0000-000049090000}"/>
    <cellStyle name="Comma 4 3 2 3 3 2 2" xfId="7594" xr:uid="{00000000-0005-0000-0000-00004A090000}"/>
    <cellStyle name="Comma 4 3 2 3 3 2 2 2" xfId="16023" xr:uid="{C0D35866-DEFA-4435-8E95-D80BD010760E}"/>
    <cellStyle name="Comma 4 3 2 3 3 2 3" xfId="11805" xr:uid="{C121E612-45F6-4816-A8A8-CD964F5E0854}"/>
    <cellStyle name="Comma 4 3 2 3 3 3" xfId="5449" xr:uid="{00000000-0005-0000-0000-00004B090000}"/>
    <cellStyle name="Comma 4 3 2 3 3 3 2" xfId="13878" xr:uid="{C2B908E0-2497-47D7-8172-C5B8A721DFF1}"/>
    <cellStyle name="Comma 4 3 2 3 3 4" xfId="9660" xr:uid="{1A454073-A1FE-4588-963B-9E405C121A66}"/>
    <cellStyle name="Comma 4 3 2 3 4" xfId="1553" xr:uid="{00000000-0005-0000-0000-00004C090000}"/>
    <cellStyle name="Comma 4 3 2 3 4 2" xfId="3783" xr:uid="{00000000-0005-0000-0000-00004D090000}"/>
    <cellStyle name="Comma 4 3 2 3 4 2 2" xfId="8007" xr:uid="{00000000-0005-0000-0000-00004E090000}"/>
    <cellStyle name="Comma 4 3 2 3 4 2 2 2" xfId="16436" xr:uid="{5970361F-0B20-4F0A-B15C-E6EED06351A2}"/>
    <cellStyle name="Comma 4 3 2 3 4 2 3" xfId="12218" xr:uid="{820D9010-B46C-42E0-8E08-7A585C9C36F5}"/>
    <cellStyle name="Comma 4 3 2 3 4 3" xfId="5862" xr:uid="{00000000-0005-0000-0000-00004F090000}"/>
    <cellStyle name="Comma 4 3 2 3 4 3 2" xfId="14291" xr:uid="{AF53F3DF-0F2F-4735-83BD-AF63A973ADDA}"/>
    <cellStyle name="Comma 4 3 2 3 4 4" xfId="10073" xr:uid="{3CF95D4F-0B2C-4AC9-BD7B-F16F777C7797}"/>
    <cellStyle name="Comma 4 3 2 3 5" xfId="1967" xr:uid="{00000000-0005-0000-0000-000050090000}"/>
    <cellStyle name="Comma 4 3 2 3 5 2" xfId="4196" xr:uid="{00000000-0005-0000-0000-000051090000}"/>
    <cellStyle name="Comma 4 3 2 3 5 2 2" xfId="8420" xr:uid="{00000000-0005-0000-0000-000052090000}"/>
    <cellStyle name="Comma 4 3 2 3 5 2 2 2" xfId="16849" xr:uid="{046116D5-C3F2-43A1-9A5B-F56CCA4D70B6}"/>
    <cellStyle name="Comma 4 3 2 3 5 2 3" xfId="12631" xr:uid="{AE910160-EE00-4DBF-A71C-ABE355DCB49A}"/>
    <cellStyle name="Comma 4 3 2 3 5 3" xfId="6275" xr:uid="{00000000-0005-0000-0000-000053090000}"/>
    <cellStyle name="Comma 4 3 2 3 5 3 2" xfId="14704" xr:uid="{916E6FF2-D810-4726-8DE6-F236BDEB6236}"/>
    <cellStyle name="Comma 4 3 2 3 5 4" xfId="10486" xr:uid="{E1A7E25F-3262-45ED-8AA6-9D39429B153F}"/>
    <cellStyle name="Comma 4 3 2 3 6" xfId="2402" xr:uid="{00000000-0005-0000-0000-000054090000}"/>
    <cellStyle name="Comma 4 3 2 3 6 2" xfId="6688" xr:uid="{00000000-0005-0000-0000-000055090000}"/>
    <cellStyle name="Comma 4 3 2 3 6 2 2" xfId="15117" xr:uid="{3EC1F133-69B8-4856-ADC3-21C95E5EE76E}"/>
    <cellStyle name="Comma 4 3 2 3 6 3" xfId="10899" xr:uid="{92FB9674-9232-496E-AEB7-DDB353E654C4}"/>
    <cellStyle name="Comma 4 3 2 3 7" xfId="2363" xr:uid="{00000000-0005-0000-0000-000056090000}"/>
    <cellStyle name="Comma 4 3 2 3 8" xfId="2780" xr:uid="{00000000-0005-0000-0000-000057090000}"/>
    <cellStyle name="Comma 4 3 2 3 8 2" xfId="7005" xr:uid="{00000000-0005-0000-0000-000058090000}"/>
    <cellStyle name="Comma 4 3 2 3 8 2 2" xfId="15434" xr:uid="{36D43AD4-05F0-4D88-959A-76479C0B2D3A}"/>
    <cellStyle name="Comma 4 3 2 3 8 3" xfId="11216" xr:uid="{B64A26C9-57E7-4F8B-8478-F2883BE4A808}"/>
    <cellStyle name="Comma 4 3 2 3 9" xfId="4622" xr:uid="{00000000-0005-0000-0000-000059090000}"/>
    <cellStyle name="Comma 4 3 2 3 9 2" xfId="13051" xr:uid="{0B0FF625-5D72-4F12-B4B4-251C70F5A0C9}"/>
    <cellStyle name="Comma 4 3 2 4" xfId="683" xr:uid="{00000000-0005-0000-0000-00005A090000}"/>
    <cellStyle name="Comma 4 3 2 4 2" xfId="2954" xr:uid="{00000000-0005-0000-0000-00005B090000}"/>
    <cellStyle name="Comma 4 3 2 4 2 2" xfId="7178" xr:uid="{00000000-0005-0000-0000-00005C090000}"/>
    <cellStyle name="Comma 4 3 2 4 2 2 2" xfId="15607" xr:uid="{B1D25828-FD05-4089-A4A7-0A9E04538777}"/>
    <cellStyle name="Comma 4 3 2 4 2 3" xfId="11389" xr:uid="{9DCAC0D9-8A61-4E96-9FE8-02DC4CDBAFB4}"/>
    <cellStyle name="Comma 4 3 2 4 3" xfId="5033" xr:uid="{00000000-0005-0000-0000-00005D090000}"/>
    <cellStyle name="Comma 4 3 2 4 3 2" xfId="13462" xr:uid="{2827D36E-0A07-4643-8A9F-17D75C5B4440}"/>
    <cellStyle name="Comma 4 3 2 4 4" xfId="9244" xr:uid="{D576F286-B1B5-44E6-80A2-8D9F2551DD72}"/>
    <cellStyle name="Comma 4 3 2 5" xfId="1136" xr:uid="{00000000-0005-0000-0000-00005E090000}"/>
    <cellStyle name="Comma 4 3 2 5 2" xfId="3367" xr:uid="{00000000-0005-0000-0000-00005F090000}"/>
    <cellStyle name="Comma 4 3 2 5 2 2" xfId="7591" xr:uid="{00000000-0005-0000-0000-000060090000}"/>
    <cellStyle name="Comma 4 3 2 5 2 2 2" xfId="16020" xr:uid="{AC8BEB88-6134-468F-AA98-0874A3159241}"/>
    <cellStyle name="Comma 4 3 2 5 2 3" xfId="11802" xr:uid="{A6D3E35B-D2FE-450E-B0C7-7BC9113470A0}"/>
    <cellStyle name="Comma 4 3 2 5 3" xfId="5446" xr:uid="{00000000-0005-0000-0000-000061090000}"/>
    <cellStyle name="Comma 4 3 2 5 3 2" xfId="13875" xr:uid="{3B09C883-F362-496D-8E17-44EB11D81272}"/>
    <cellStyle name="Comma 4 3 2 5 4" xfId="9657" xr:uid="{3EFCC39C-2B87-4EB7-BFDF-CA5096579F5B}"/>
    <cellStyle name="Comma 4 3 2 6" xfId="1550" xr:uid="{00000000-0005-0000-0000-000062090000}"/>
    <cellStyle name="Comma 4 3 2 6 2" xfId="3780" xr:uid="{00000000-0005-0000-0000-000063090000}"/>
    <cellStyle name="Comma 4 3 2 6 2 2" xfId="8004" xr:uid="{00000000-0005-0000-0000-000064090000}"/>
    <cellStyle name="Comma 4 3 2 6 2 2 2" xfId="16433" xr:uid="{48400307-0EB0-44EF-8886-032BFBC14C17}"/>
    <cellStyle name="Comma 4 3 2 6 2 3" xfId="12215" xr:uid="{DAC389D2-1EFC-484A-9AE1-BDC881D7D60E}"/>
    <cellStyle name="Comma 4 3 2 6 3" xfId="5859" xr:uid="{00000000-0005-0000-0000-000065090000}"/>
    <cellStyle name="Comma 4 3 2 6 3 2" xfId="14288" xr:uid="{88DD7169-8882-4E8D-B03D-427932BA7A76}"/>
    <cellStyle name="Comma 4 3 2 6 4" xfId="10070" xr:uid="{3C0ACF1B-C5FF-45E9-B861-D9314E23CA44}"/>
    <cellStyle name="Comma 4 3 2 7" xfId="1964" xr:uid="{00000000-0005-0000-0000-000066090000}"/>
    <cellStyle name="Comma 4 3 2 7 2" xfId="4193" xr:uid="{00000000-0005-0000-0000-000067090000}"/>
    <cellStyle name="Comma 4 3 2 7 2 2" xfId="8417" xr:uid="{00000000-0005-0000-0000-000068090000}"/>
    <cellStyle name="Comma 4 3 2 7 2 2 2" xfId="16846" xr:uid="{9026C228-33AC-4620-A682-723E37BD90D1}"/>
    <cellStyle name="Comma 4 3 2 7 2 3" xfId="12628" xr:uid="{91721568-4706-4171-93C8-E694A3AB1653}"/>
    <cellStyle name="Comma 4 3 2 7 3" xfId="6272" xr:uid="{00000000-0005-0000-0000-000069090000}"/>
    <cellStyle name="Comma 4 3 2 7 3 2" xfId="14701" xr:uid="{1A20E462-5C14-4E58-A30E-30E68A9D44A0}"/>
    <cellStyle name="Comma 4 3 2 7 4" xfId="10483" xr:uid="{78B798C1-21D7-4CA6-9239-D995A310649C}"/>
    <cellStyle name="Comma 4 3 2 8" xfId="2399" xr:uid="{00000000-0005-0000-0000-00006A090000}"/>
    <cellStyle name="Comma 4 3 2 8 2" xfId="6685" xr:uid="{00000000-0005-0000-0000-00006B090000}"/>
    <cellStyle name="Comma 4 3 2 8 2 2" xfId="15114" xr:uid="{328E0CCD-36DD-488F-9564-AFA916DB989E}"/>
    <cellStyle name="Comma 4 3 2 8 3" xfId="10896" xr:uid="{8A619436-0AD8-4C29-8D2B-AFEF01679138}"/>
    <cellStyle name="Comma 4 3 2 9" xfId="2366" xr:uid="{00000000-0005-0000-0000-00006C090000}"/>
    <cellStyle name="Comma 4 3 3" xfId="149" xr:uid="{00000000-0005-0000-0000-00006D090000}"/>
    <cellStyle name="Comma 4 3 3 10" xfId="4623" xr:uid="{00000000-0005-0000-0000-00006E090000}"/>
    <cellStyle name="Comma 4 3 3 10 2" xfId="13052" xr:uid="{F15ECB0D-13CC-43FF-910A-D66CBA2A96B7}"/>
    <cellStyle name="Comma 4 3 3 11" xfId="8834" xr:uid="{EA8097C8-AF62-45A4-A48A-C4A05D81655F}"/>
    <cellStyle name="Comma 4 3 3 2" xfId="150" xr:uid="{00000000-0005-0000-0000-00006F090000}"/>
    <cellStyle name="Comma 4 3 3 2 10" xfId="8835" xr:uid="{BB17264B-A42A-4886-8D13-F9423FB6C791}"/>
    <cellStyle name="Comma 4 3 3 2 2" xfId="688" xr:uid="{00000000-0005-0000-0000-000070090000}"/>
    <cellStyle name="Comma 4 3 3 2 2 2" xfId="2959" xr:uid="{00000000-0005-0000-0000-000071090000}"/>
    <cellStyle name="Comma 4 3 3 2 2 2 2" xfId="7183" xr:uid="{00000000-0005-0000-0000-000072090000}"/>
    <cellStyle name="Comma 4 3 3 2 2 2 2 2" xfId="15612" xr:uid="{DECCD33E-B97B-42E6-A667-C51E968D3F3B}"/>
    <cellStyle name="Comma 4 3 3 2 2 2 3" xfId="11394" xr:uid="{804AE473-0509-4E53-A155-0F37A5B53AA8}"/>
    <cellStyle name="Comma 4 3 3 2 2 3" xfId="5038" xr:uid="{00000000-0005-0000-0000-000073090000}"/>
    <cellStyle name="Comma 4 3 3 2 2 3 2" xfId="13467" xr:uid="{DC5A5D14-6C54-45D2-AD2A-EFA01E3FB525}"/>
    <cellStyle name="Comma 4 3 3 2 2 4" xfId="9249" xr:uid="{774BD27F-97DB-4B06-A71B-C6AAAE5D35AE}"/>
    <cellStyle name="Comma 4 3 3 2 3" xfId="1141" xr:uid="{00000000-0005-0000-0000-000074090000}"/>
    <cellStyle name="Comma 4 3 3 2 3 2" xfId="3372" xr:uid="{00000000-0005-0000-0000-000075090000}"/>
    <cellStyle name="Comma 4 3 3 2 3 2 2" xfId="7596" xr:uid="{00000000-0005-0000-0000-000076090000}"/>
    <cellStyle name="Comma 4 3 3 2 3 2 2 2" xfId="16025" xr:uid="{109DB6B2-2145-4CA0-97AF-E7FE94C3F1F5}"/>
    <cellStyle name="Comma 4 3 3 2 3 2 3" xfId="11807" xr:uid="{037BECBD-62D2-4EAA-A6BC-1FF73C841B75}"/>
    <cellStyle name="Comma 4 3 3 2 3 3" xfId="5451" xr:uid="{00000000-0005-0000-0000-000077090000}"/>
    <cellStyle name="Comma 4 3 3 2 3 3 2" xfId="13880" xr:uid="{60ABE44D-A2C3-450E-87EC-4A5C0E23623A}"/>
    <cellStyle name="Comma 4 3 3 2 3 4" xfId="9662" xr:uid="{66DFA02D-7208-4817-9B29-F1022CB57C82}"/>
    <cellStyle name="Comma 4 3 3 2 4" xfId="1555" xr:uid="{00000000-0005-0000-0000-000078090000}"/>
    <cellStyle name="Comma 4 3 3 2 4 2" xfId="3785" xr:uid="{00000000-0005-0000-0000-000079090000}"/>
    <cellStyle name="Comma 4 3 3 2 4 2 2" xfId="8009" xr:uid="{00000000-0005-0000-0000-00007A090000}"/>
    <cellStyle name="Comma 4 3 3 2 4 2 2 2" xfId="16438" xr:uid="{D1655426-ABF6-4E90-B749-FE6773B339B5}"/>
    <cellStyle name="Comma 4 3 3 2 4 2 3" xfId="12220" xr:uid="{FB52B440-F8FB-4F49-B1DA-7EB7ADD424A2}"/>
    <cellStyle name="Comma 4 3 3 2 4 3" xfId="5864" xr:uid="{00000000-0005-0000-0000-00007B090000}"/>
    <cellStyle name="Comma 4 3 3 2 4 3 2" xfId="14293" xr:uid="{9DCE37E5-12C3-448D-A434-989E0543318E}"/>
    <cellStyle name="Comma 4 3 3 2 4 4" xfId="10075" xr:uid="{49BF8A45-9A62-414E-9BEE-4C347BB569B5}"/>
    <cellStyle name="Comma 4 3 3 2 5" xfId="1969" xr:uid="{00000000-0005-0000-0000-00007C090000}"/>
    <cellStyle name="Comma 4 3 3 2 5 2" xfId="4198" xr:uid="{00000000-0005-0000-0000-00007D090000}"/>
    <cellStyle name="Comma 4 3 3 2 5 2 2" xfId="8422" xr:uid="{00000000-0005-0000-0000-00007E090000}"/>
    <cellStyle name="Comma 4 3 3 2 5 2 2 2" xfId="16851" xr:uid="{338329AF-8608-4114-8A3F-CDA20A9EA709}"/>
    <cellStyle name="Comma 4 3 3 2 5 2 3" xfId="12633" xr:uid="{6AEA703F-494C-4DAF-9D79-390EA755B5C2}"/>
    <cellStyle name="Comma 4 3 3 2 5 3" xfId="6277" xr:uid="{00000000-0005-0000-0000-00007F090000}"/>
    <cellStyle name="Comma 4 3 3 2 5 3 2" xfId="14706" xr:uid="{56BECDCC-E655-474B-8812-2B9D9B3088F8}"/>
    <cellStyle name="Comma 4 3 3 2 5 4" xfId="10488" xr:uid="{C73F4BFB-8782-4306-8F70-4C5E318013D2}"/>
    <cellStyle name="Comma 4 3 3 2 6" xfId="2404" xr:uid="{00000000-0005-0000-0000-000080090000}"/>
    <cellStyle name="Comma 4 3 3 2 6 2" xfId="6690" xr:uid="{00000000-0005-0000-0000-000081090000}"/>
    <cellStyle name="Comma 4 3 3 2 6 2 2" xfId="15119" xr:uid="{6A8EC59B-64B1-4E7B-981B-37E0629B2B6A}"/>
    <cellStyle name="Comma 4 3 3 2 6 3" xfId="10901" xr:uid="{D391443B-A2F0-4508-A84E-82D1FA1AAC4C}"/>
    <cellStyle name="Comma 4 3 3 2 7" xfId="2361" xr:uid="{00000000-0005-0000-0000-000082090000}"/>
    <cellStyle name="Comma 4 3 3 2 8" xfId="2782" xr:uid="{00000000-0005-0000-0000-000083090000}"/>
    <cellStyle name="Comma 4 3 3 2 8 2" xfId="7007" xr:uid="{00000000-0005-0000-0000-000084090000}"/>
    <cellStyle name="Comma 4 3 3 2 8 2 2" xfId="15436" xr:uid="{B614E0FF-F1D2-4208-9466-3288DEB26E02}"/>
    <cellStyle name="Comma 4 3 3 2 8 3" xfId="11218" xr:uid="{18EFF088-3712-4D3C-AA06-A65149B6469F}"/>
    <cellStyle name="Comma 4 3 3 2 9" xfId="4624" xr:uid="{00000000-0005-0000-0000-000085090000}"/>
    <cellStyle name="Comma 4 3 3 2 9 2" xfId="13053" xr:uid="{9C74B6E0-E79F-4475-BD60-7FAE148E5E2F}"/>
    <cellStyle name="Comma 4 3 3 3" xfId="687" xr:uid="{00000000-0005-0000-0000-000086090000}"/>
    <cellStyle name="Comma 4 3 3 3 2" xfId="2958" xr:uid="{00000000-0005-0000-0000-000087090000}"/>
    <cellStyle name="Comma 4 3 3 3 2 2" xfId="7182" xr:uid="{00000000-0005-0000-0000-000088090000}"/>
    <cellStyle name="Comma 4 3 3 3 2 2 2" xfId="15611" xr:uid="{D55ED3F8-C4BF-4212-9CA9-231DD7EF8B75}"/>
    <cellStyle name="Comma 4 3 3 3 2 3" xfId="11393" xr:uid="{CA11C777-AA0E-4C3F-8F20-7CD81968D1D3}"/>
    <cellStyle name="Comma 4 3 3 3 3" xfId="5037" xr:uid="{00000000-0005-0000-0000-000089090000}"/>
    <cellStyle name="Comma 4 3 3 3 3 2" xfId="13466" xr:uid="{FCF5B8EC-2111-4175-BC5B-61DC2A145E3B}"/>
    <cellStyle name="Comma 4 3 3 3 4" xfId="9248" xr:uid="{07781A9C-ED14-473D-9EB1-0F181D851914}"/>
    <cellStyle name="Comma 4 3 3 4" xfId="1140" xr:uid="{00000000-0005-0000-0000-00008A090000}"/>
    <cellStyle name="Comma 4 3 3 4 2" xfId="3371" xr:uid="{00000000-0005-0000-0000-00008B090000}"/>
    <cellStyle name="Comma 4 3 3 4 2 2" xfId="7595" xr:uid="{00000000-0005-0000-0000-00008C090000}"/>
    <cellStyle name="Comma 4 3 3 4 2 2 2" xfId="16024" xr:uid="{32C8ED6E-1F83-4C8E-8E61-D29EB3399639}"/>
    <cellStyle name="Comma 4 3 3 4 2 3" xfId="11806" xr:uid="{7D375F4B-D163-4939-B333-14FDE080B2A7}"/>
    <cellStyle name="Comma 4 3 3 4 3" xfId="5450" xr:uid="{00000000-0005-0000-0000-00008D090000}"/>
    <cellStyle name="Comma 4 3 3 4 3 2" xfId="13879" xr:uid="{027997E2-34BD-46DA-AA04-4E922112A0EF}"/>
    <cellStyle name="Comma 4 3 3 4 4" xfId="9661" xr:uid="{B45FCBA1-7B0A-4C80-99DC-3990F73730B3}"/>
    <cellStyle name="Comma 4 3 3 5" xfId="1554" xr:uid="{00000000-0005-0000-0000-00008E090000}"/>
    <cellStyle name="Comma 4 3 3 5 2" xfId="3784" xr:uid="{00000000-0005-0000-0000-00008F090000}"/>
    <cellStyle name="Comma 4 3 3 5 2 2" xfId="8008" xr:uid="{00000000-0005-0000-0000-000090090000}"/>
    <cellStyle name="Comma 4 3 3 5 2 2 2" xfId="16437" xr:uid="{2AA8A963-C902-40FC-A543-F1B7264FCC71}"/>
    <cellStyle name="Comma 4 3 3 5 2 3" xfId="12219" xr:uid="{0ACE1B9F-9220-483B-A32A-91C7BBBE1C1E}"/>
    <cellStyle name="Comma 4 3 3 5 3" xfId="5863" xr:uid="{00000000-0005-0000-0000-000091090000}"/>
    <cellStyle name="Comma 4 3 3 5 3 2" xfId="14292" xr:uid="{C66BD881-4986-4D4A-97F3-92EB6D817EFE}"/>
    <cellStyle name="Comma 4 3 3 5 4" xfId="10074" xr:uid="{01F616AE-4587-47AA-A41F-FD59F2A988AB}"/>
    <cellStyle name="Comma 4 3 3 6" xfId="1968" xr:uid="{00000000-0005-0000-0000-000092090000}"/>
    <cellStyle name="Comma 4 3 3 6 2" xfId="4197" xr:uid="{00000000-0005-0000-0000-000093090000}"/>
    <cellStyle name="Comma 4 3 3 6 2 2" xfId="8421" xr:uid="{00000000-0005-0000-0000-000094090000}"/>
    <cellStyle name="Comma 4 3 3 6 2 2 2" xfId="16850" xr:uid="{CCB98CA5-5E00-4901-907B-9504FDEF8FA5}"/>
    <cellStyle name="Comma 4 3 3 6 2 3" xfId="12632" xr:uid="{A94B8D29-7FB2-403D-A1D7-361AF9095334}"/>
    <cellStyle name="Comma 4 3 3 6 3" xfId="6276" xr:uid="{00000000-0005-0000-0000-000095090000}"/>
    <cellStyle name="Comma 4 3 3 6 3 2" xfId="14705" xr:uid="{98E3652B-C68D-402D-B005-CBFBBF4EB30B}"/>
    <cellStyle name="Comma 4 3 3 6 4" xfId="10487" xr:uid="{046BADF6-70A9-425D-B35E-92773D44197E}"/>
    <cellStyle name="Comma 4 3 3 7" xfId="2403" xr:uid="{00000000-0005-0000-0000-000096090000}"/>
    <cellStyle name="Comma 4 3 3 7 2" xfId="6689" xr:uid="{00000000-0005-0000-0000-000097090000}"/>
    <cellStyle name="Comma 4 3 3 7 2 2" xfId="15118" xr:uid="{174FBF4D-9664-46D1-A424-1B8D5E9B8B58}"/>
    <cellStyle name="Comma 4 3 3 7 3" xfId="10900" xr:uid="{42329659-025B-412A-B95D-3344C8A63B5C}"/>
    <cellStyle name="Comma 4 3 3 8" xfId="2362" xr:uid="{00000000-0005-0000-0000-000098090000}"/>
    <cellStyle name="Comma 4 3 3 9" xfId="2781" xr:uid="{00000000-0005-0000-0000-000099090000}"/>
    <cellStyle name="Comma 4 3 3 9 2" xfId="7006" xr:uid="{00000000-0005-0000-0000-00009A090000}"/>
    <cellStyle name="Comma 4 3 3 9 2 2" xfId="15435" xr:uid="{62826555-08E9-41BB-AB41-139B56C4BED9}"/>
    <cellStyle name="Comma 4 3 3 9 3" xfId="11217" xr:uid="{F487219A-ED77-4767-B075-995A83D7467E}"/>
    <cellStyle name="Comma 4 3 4" xfId="151" xr:uid="{00000000-0005-0000-0000-00009B090000}"/>
    <cellStyle name="Comma 4 3 4 10" xfId="8836" xr:uid="{5BFE0972-260E-4079-9FA0-68687238F095}"/>
    <cellStyle name="Comma 4 3 4 2" xfId="689" xr:uid="{00000000-0005-0000-0000-00009C090000}"/>
    <cellStyle name="Comma 4 3 4 2 2" xfId="2960" xr:uid="{00000000-0005-0000-0000-00009D090000}"/>
    <cellStyle name="Comma 4 3 4 2 2 2" xfId="7184" xr:uid="{00000000-0005-0000-0000-00009E090000}"/>
    <cellStyle name="Comma 4 3 4 2 2 2 2" xfId="15613" xr:uid="{DD4099C7-735F-4C42-B7A8-71CF00143739}"/>
    <cellStyle name="Comma 4 3 4 2 2 3" xfId="11395" xr:uid="{1B923D31-4A85-4D26-B45E-578A342D6861}"/>
    <cellStyle name="Comma 4 3 4 2 3" xfId="5039" xr:uid="{00000000-0005-0000-0000-00009F090000}"/>
    <cellStyle name="Comma 4 3 4 2 3 2" xfId="13468" xr:uid="{68BA1BC4-7561-4065-8063-FABA8FA49C16}"/>
    <cellStyle name="Comma 4 3 4 2 4" xfId="9250" xr:uid="{87517C77-F3D3-4F97-8761-133B0BB96654}"/>
    <cellStyle name="Comma 4 3 4 3" xfId="1142" xr:uid="{00000000-0005-0000-0000-0000A0090000}"/>
    <cellStyle name="Comma 4 3 4 3 2" xfId="3373" xr:uid="{00000000-0005-0000-0000-0000A1090000}"/>
    <cellStyle name="Comma 4 3 4 3 2 2" xfId="7597" xr:uid="{00000000-0005-0000-0000-0000A2090000}"/>
    <cellStyle name="Comma 4 3 4 3 2 2 2" xfId="16026" xr:uid="{97E0C69E-C7B2-4B66-A31C-41685937E7FA}"/>
    <cellStyle name="Comma 4 3 4 3 2 3" xfId="11808" xr:uid="{1A4B5BEE-3F56-41EB-A726-FC40AF154AA0}"/>
    <cellStyle name="Comma 4 3 4 3 3" xfId="5452" xr:uid="{00000000-0005-0000-0000-0000A3090000}"/>
    <cellStyle name="Comma 4 3 4 3 3 2" xfId="13881" xr:uid="{08892780-2D88-49B3-BF35-733024D09B2B}"/>
    <cellStyle name="Comma 4 3 4 3 4" xfId="9663" xr:uid="{5EAAB768-AAFE-4758-AF8A-E3C7515DAB69}"/>
    <cellStyle name="Comma 4 3 4 4" xfId="1556" xr:uid="{00000000-0005-0000-0000-0000A4090000}"/>
    <cellStyle name="Comma 4 3 4 4 2" xfId="3786" xr:uid="{00000000-0005-0000-0000-0000A5090000}"/>
    <cellStyle name="Comma 4 3 4 4 2 2" xfId="8010" xr:uid="{00000000-0005-0000-0000-0000A6090000}"/>
    <cellStyle name="Comma 4 3 4 4 2 2 2" xfId="16439" xr:uid="{137E8A23-84F3-43F3-B04D-1EE959D3BDE0}"/>
    <cellStyle name="Comma 4 3 4 4 2 3" xfId="12221" xr:uid="{CE83468D-8E03-4376-B5E5-9FC37B0DDEB8}"/>
    <cellStyle name="Comma 4 3 4 4 3" xfId="5865" xr:uid="{00000000-0005-0000-0000-0000A7090000}"/>
    <cellStyle name="Comma 4 3 4 4 3 2" xfId="14294" xr:uid="{3B856919-870A-431E-B02C-C39B5F30C52B}"/>
    <cellStyle name="Comma 4 3 4 4 4" xfId="10076" xr:uid="{E5E54F75-34E2-4014-86B4-B9AAB710CA64}"/>
    <cellStyle name="Comma 4 3 4 5" xfId="1970" xr:uid="{00000000-0005-0000-0000-0000A8090000}"/>
    <cellStyle name="Comma 4 3 4 5 2" xfId="4199" xr:uid="{00000000-0005-0000-0000-0000A9090000}"/>
    <cellStyle name="Comma 4 3 4 5 2 2" xfId="8423" xr:uid="{00000000-0005-0000-0000-0000AA090000}"/>
    <cellStyle name="Comma 4 3 4 5 2 2 2" xfId="16852" xr:uid="{CBF44683-E99D-440A-9399-1358FCC34F69}"/>
    <cellStyle name="Comma 4 3 4 5 2 3" xfId="12634" xr:uid="{F6749872-913A-4538-95F6-DDFF5BFCA6CE}"/>
    <cellStyle name="Comma 4 3 4 5 3" xfId="6278" xr:uid="{00000000-0005-0000-0000-0000AB090000}"/>
    <cellStyle name="Comma 4 3 4 5 3 2" xfId="14707" xr:uid="{CBEDA7DB-5C10-402A-97A2-EA95E5993A35}"/>
    <cellStyle name="Comma 4 3 4 5 4" xfId="10489" xr:uid="{2ABD6E24-DFF9-4221-A60D-1F9F03C61613}"/>
    <cellStyle name="Comma 4 3 4 6" xfId="2405" xr:uid="{00000000-0005-0000-0000-0000AC090000}"/>
    <cellStyle name="Comma 4 3 4 6 2" xfId="6691" xr:uid="{00000000-0005-0000-0000-0000AD090000}"/>
    <cellStyle name="Comma 4 3 4 6 2 2" xfId="15120" xr:uid="{12628383-16AA-40AF-BBD5-64D804C68163}"/>
    <cellStyle name="Comma 4 3 4 6 3" xfId="10902" xr:uid="{D07F817B-54C1-42A3-A249-7D4A48722930}"/>
    <cellStyle name="Comma 4 3 4 7" xfId="2701" xr:uid="{00000000-0005-0000-0000-0000AE090000}"/>
    <cellStyle name="Comma 4 3 4 8" xfId="2783" xr:uid="{00000000-0005-0000-0000-0000AF090000}"/>
    <cellStyle name="Comma 4 3 4 8 2" xfId="7008" xr:uid="{00000000-0005-0000-0000-0000B0090000}"/>
    <cellStyle name="Comma 4 3 4 8 2 2" xfId="15437" xr:uid="{ECD1D602-0310-4D39-9365-8706FE658AE0}"/>
    <cellStyle name="Comma 4 3 4 8 3" xfId="11219" xr:uid="{14D0CE1F-7D81-48E8-BAA4-6990539C6D1A}"/>
    <cellStyle name="Comma 4 3 4 9" xfId="4625" xr:uid="{00000000-0005-0000-0000-0000B1090000}"/>
    <cellStyle name="Comma 4 3 4 9 2" xfId="13054" xr:uid="{7800D68B-20FF-45C4-B46C-B51DC3AE908B}"/>
    <cellStyle name="Comma 4 3 5" xfId="152" xr:uid="{00000000-0005-0000-0000-0000B2090000}"/>
    <cellStyle name="Comma 4 3 5 10" xfId="8837" xr:uid="{7487A16A-036E-4AF7-9C42-BCAF9F8B6DB2}"/>
    <cellStyle name="Comma 4 3 5 2" xfId="690" xr:uid="{00000000-0005-0000-0000-0000B3090000}"/>
    <cellStyle name="Comma 4 3 5 2 2" xfId="2961" xr:uid="{00000000-0005-0000-0000-0000B4090000}"/>
    <cellStyle name="Comma 4 3 5 2 2 2" xfId="7185" xr:uid="{00000000-0005-0000-0000-0000B5090000}"/>
    <cellStyle name="Comma 4 3 5 2 2 2 2" xfId="15614" xr:uid="{3AC8D542-AD04-42DA-B3A8-677A0C80C32C}"/>
    <cellStyle name="Comma 4 3 5 2 2 3" xfId="11396" xr:uid="{7B51FA5A-C033-4BBD-B1C7-80EEB2C6A33A}"/>
    <cellStyle name="Comma 4 3 5 2 3" xfId="5040" xr:uid="{00000000-0005-0000-0000-0000B6090000}"/>
    <cellStyle name="Comma 4 3 5 2 3 2" xfId="13469" xr:uid="{32F4B88E-4E53-44F2-9B4C-69809AA643CC}"/>
    <cellStyle name="Comma 4 3 5 2 4" xfId="9251" xr:uid="{D914697C-981C-4B91-910C-3C282AC9B610}"/>
    <cellStyle name="Comma 4 3 5 3" xfId="1143" xr:uid="{00000000-0005-0000-0000-0000B7090000}"/>
    <cellStyle name="Comma 4 3 5 3 2" xfId="3374" xr:uid="{00000000-0005-0000-0000-0000B8090000}"/>
    <cellStyle name="Comma 4 3 5 3 2 2" xfId="7598" xr:uid="{00000000-0005-0000-0000-0000B9090000}"/>
    <cellStyle name="Comma 4 3 5 3 2 2 2" xfId="16027" xr:uid="{B86B6368-C251-4B3D-9D99-7710D2C4E27D}"/>
    <cellStyle name="Comma 4 3 5 3 2 3" xfId="11809" xr:uid="{AFFE577B-C8A6-4176-82A0-1207E455FBCF}"/>
    <cellStyle name="Comma 4 3 5 3 3" xfId="5453" xr:uid="{00000000-0005-0000-0000-0000BA090000}"/>
    <cellStyle name="Comma 4 3 5 3 3 2" xfId="13882" xr:uid="{1AE2DAEE-7D57-4150-B9DB-C63B1DB4B757}"/>
    <cellStyle name="Comma 4 3 5 3 4" xfId="9664" xr:uid="{D9EC5F43-882C-438E-BA70-4F3B3A3ECE82}"/>
    <cellStyle name="Comma 4 3 5 4" xfId="1557" xr:uid="{00000000-0005-0000-0000-0000BB090000}"/>
    <cellStyle name="Comma 4 3 5 4 2" xfId="3787" xr:uid="{00000000-0005-0000-0000-0000BC090000}"/>
    <cellStyle name="Comma 4 3 5 4 2 2" xfId="8011" xr:uid="{00000000-0005-0000-0000-0000BD090000}"/>
    <cellStyle name="Comma 4 3 5 4 2 2 2" xfId="16440" xr:uid="{62A3B42F-A033-4865-972D-EFFB4EC1E545}"/>
    <cellStyle name="Comma 4 3 5 4 2 3" xfId="12222" xr:uid="{65F0E49E-B780-4D27-B39E-C6E815E4AF3A}"/>
    <cellStyle name="Comma 4 3 5 4 3" xfId="5866" xr:uid="{00000000-0005-0000-0000-0000BE090000}"/>
    <cellStyle name="Comma 4 3 5 4 3 2" xfId="14295" xr:uid="{C3390BF9-3E40-487F-AAE1-CAA2EDAEDC3E}"/>
    <cellStyle name="Comma 4 3 5 4 4" xfId="10077" xr:uid="{D1978E64-7CF4-4AD5-9CB8-1528B321AD24}"/>
    <cellStyle name="Comma 4 3 5 5" xfId="1971" xr:uid="{00000000-0005-0000-0000-0000BF090000}"/>
    <cellStyle name="Comma 4 3 5 5 2" xfId="4200" xr:uid="{00000000-0005-0000-0000-0000C0090000}"/>
    <cellStyle name="Comma 4 3 5 5 2 2" xfId="8424" xr:uid="{00000000-0005-0000-0000-0000C1090000}"/>
    <cellStyle name="Comma 4 3 5 5 2 2 2" xfId="16853" xr:uid="{339D75FE-1444-4A6B-A7EB-2AF65FE5505C}"/>
    <cellStyle name="Comma 4 3 5 5 2 3" xfId="12635" xr:uid="{764C22B0-30CD-49D6-91AB-6E092DA0F162}"/>
    <cellStyle name="Comma 4 3 5 5 3" xfId="6279" xr:uid="{00000000-0005-0000-0000-0000C2090000}"/>
    <cellStyle name="Comma 4 3 5 5 3 2" xfId="14708" xr:uid="{86A375F0-EADA-49C2-BAFB-C64B16995FEA}"/>
    <cellStyle name="Comma 4 3 5 5 4" xfId="10490" xr:uid="{A9691DE8-4978-40BE-86CC-9774D93D7D9B}"/>
    <cellStyle name="Comma 4 3 5 6" xfId="2406" xr:uid="{00000000-0005-0000-0000-0000C3090000}"/>
    <cellStyle name="Comma 4 3 5 6 2" xfId="6692" xr:uid="{00000000-0005-0000-0000-0000C4090000}"/>
    <cellStyle name="Comma 4 3 5 6 2 2" xfId="15121" xr:uid="{86399B11-7D3C-459B-ADA0-99022796AADF}"/>
    <cellStyle name="Comma 4 3 5 6 3" xfId="10903" xr:uid="{45CD7826-55D8-44FF-B392-46FBB70E9A81}"/>
    <cellStyle name="Comma 4 3 5 7" xfId="2702" xr:uid="{00000000-0005-0000-0000-0000C5090000}"/>
    <cellStyle name="Comma 4 3 5 8" xfId="2784" xr:uid="{00000000-0005-0000-0000-0000C6090000}"/>
    <cellStyle name="Comma 4 3 5 8 2" xfId="7009" xr:uid="{00000000-0005-0000-0000-0000C7090000}"/>
    <cellStyle name="Comma 4 3 5 8 2 2" xfId="15438" xr:uid="{86D4882F-B20D-4519-99A7-C6D027499CFA}"/>
    <cellStyle name="Comma 4 3 5 8 3" xfId="11220" xr:uid="{5B2E63DC-3385-4711-BD5E-7DCD436B2392}"/>
    <cellStyle name="Comma 4 3 5 9" xfId="4626" xr:uid="{00000000-0005-0000-0000-0000C8090000}"/>
    <cellStyle name="Comma 4 3 5 9 2" xfId="13055" xr:uid="{1D05FB31-C02A-4FB0-B13C-C9EB9F5A22D0}"/>
    <cellStyle name="Comma 4 4" xfId="153" xr:uid="{00000000-0005-0000-0000-0000C9090000}"/>
    <cellStyle name="Comma 4 4 10" xfId="2785" xr:uid="{00000000-0005-0000-0000-0000CA090000}"/>
    <cellStyle name="Comma 4 4 10 2" xfId="7010" xr:uid="{00000000-0005-0000-0000-0000CB090000}"/>
    <cellStyle name="Comma 4 4 10 2 2" xfId="15439" xr:uid="{7DC867CB-B077-40E7-B754-73603E466256}"/>
    <cellStyle name="Comma 4 4 10 3" xfId="11221" xr:uid="{A9E97CEA-30BA-4028-BE73-D3CF13FD6C18}"/>
    <cellStyle name="Comma 4 4 11" xfId="4627" xr:uid="{00000000-0005-0000-0000-0000CC090000}"/>
    <cellStyle name="Comma 4 4 11 2" xfId="13056" xr:uid="{5722389D-EFF1-4FFF-880D-A4F09FE9E801}"/>
    <cellStyle name="Comma 4 4 12" xfId="8838" xr:uid="{DC3DA4FF-1D1C-4A81-A9B0-734D303C2C40}"/>
    <cellStyle name="Comma 4 4 2" xfId="154" xr:uid="{00000000-0005-0000-0000-0000CD090000}"/>
    <cellStyle name="Comma 4 4 2 10" xfId="4628" xr:uid="{00000000-0005-0000-0000-0000CE090000}"/>
    <cellStyle name="Comma 4 4 2 10 2" xfId="13057" xr:uid="{F8CB4ED0-5A7C-43C3-8F79-402D5D7350D3}"/>
    <cellStyle name="Comma 4 4 2 11" xfId="8839" xr:uid="{A25EBFDA-7981-479F-A45A-BB9039D29796}"/>
    <cellStyle name="Comma 4 4 2 2" xfId="155" xr:uid="{00000000-0005-0000-0000-0000CF090000}"/>
    <cellStyle name="Comma 4 4 2 2 10" xfId="8840" xr:uid="{21B51B4F-E0FF-4A98-8F04-5C0CEA6FB34E}"/>
    <cellStyle name="Comma 4 4 2 2 2" xfId="693" xr:uid="{00000000-0005-0000-0000-0000D0090000}"/>
    <cellStyle name="Comma 4 4 2 2 2 2" xfId="2964" xr:uid="{00000000-0005-0000-0000-0000D1090000}"/>
    <cellStyle name="Comma 4 4 2 2 2 2 2" xfId="7188" xr:uid="{00000000-0005-0000-0000-0000D2090000}"/>
    <cellStyle name="Comma 4 4 2 2 2 2 2 2" xfId="15617" xr:uid="{A4D4DD7B-7C6D-4987-B11E-C93954FDCBB0}"/>
    <cellStyle name="Comma 4 4 2 2 2 2 3" xfId="11399" xr:uid="{C7A5E3CD-27EE-4BBF-996C-42A32B45F8F8}"/>
    <cellStyle name="Comma 4 4 2 2 2 3" xfId="5043" xr:uid="{00000000-0005-0000-0000-0000D3090000}"/>
    <cellStyle name="Comma 4 4 2 2 2 3 2" xfId="13472" xr:uid="{58A76540-6EDD-4196-A454-55C502449824}"/>
    <cellStyle name="Comma 4 4 2 2 2 4" xfId="9254" xr:uid="{77B866DB-B187-46B9-A966-FFFC63867AF5}"/>
    <cellStyle name="Comma 4 4 2 2 3" xfId="1146" xr:uid="{00000000-0005-0000-0000-0000D4090000}"/>
    <cellStyle name="Comma 4 4 2 2 3 2" xfId="3377" xr:uid="{00000000-0005-0000-0000-0000D5090000}"/>
    <cellStyle name="Comma 4 4 2 2 3 2 2" xfId="7601" xr:uid="{00000000-0005-0000-0000-0000D6090000}"/>
    <cellStyle name="Comma 4 4 2 2 3 2 2 2" xfId="16030" xr:uid="{0EDB7792-DAA3-449D-A3A0-27FCBEF90C7F}"/>
    <cellStyle name="Comma 4 4 2 2 3 2 3" xfId="11812" xr:uid="{FF0EABB1-1E5B-459A-9360-F40FA6634BBC}"/>
    <cellStyle name="Comma 4 4 2 2 3 3" xfId="5456" xr:uid="{00000000-0005-0000-0000-0000D7090000}"/>
    <cellStyle name="Comma 4 4 2 2 3 3 2" xfId="13885" xr:uid="{CF169ACA-FD8D-4973-8D14-451FBE3E3211}"/>
    <cellStyle name="Comma 4 4 2 2 3 4" xfId="9667" xr:uid="{B02EFCF5-49C0-4BCD-ADD1-55EEB9F2BCEC}"/>
    <cellStyle name="Comma 4 4 2 2 4" xfId="1560" xr:uid="{00000000-0005-0000-0000-0000D8090000}"/>
    <cellStyle name="Comma 4 4 2 2 4 2" xfId="3790" xr:uid="{00000000-0005-0000-0000-0000D9090000}"/>
    <cellStyle name="Comma 4 4 2 2 4 2 2" xfId="8014" xr:uid="{00000000-0005-0000-0000-0000DA090000}"/>
    <cellStyle name="Comma 4 4 2 2 4 2 2 2" xfId="16443" xr:uid="{336AFC27-18BC-4693-A756-10013BFC5784}"/>
    <cellStyle name="Comma 4 4 2 2 4 2 3" xfId="12225" xr:uid="{E40CEECA-83E3-42EA-84BF-C427FC4941B0}"/>
    <cellStyle name="Comma 4 4 2 2 4 3" xfId="5869" xr:uid="{00000000-0005-0000-0000-0000DB090000}"/>
    <cellStyle name="Comma 4 4 2 2 4 3 2" xfId="14298" xr:uid="{D9EFF230-D50E-4F9B-A213-AD198B54BE50}"/>
    <cellStyle name="Comma 4 4 2 2 4 4" xfId="10080" xr:uid="{4F24E86E-89D2-4E04-AC72-68B6B51EB617}"/>
    <cellStyle name="Comma 4 4 2 2 5" xfId="1974" xr:uid="{00000000-0005-0000-0000-0000DC090000}"/>
    <cellStyle name="Comma 4 4 2 2 5 2" xfId="4203" xr:uid="{00000000-0005-0000-0000-0000DD090000}"/>
    <cellStyle name="Comma 4 4 2 2 5 2 2" xfId="8427" xr:uid="{00000000-0005-0000-0000-0000DE090000}"/>
    <cellStyle name="Comma 4 4 2 2 5 2 2 2" xfId="16856" xr:uid="{09BD6B17-3CEF-43E1-BB0B-B8F371FEB91E}"/>
    <cellStyle name="Comma 4 4 2 2 5 2 3" xfId="12638" xr:uid="{F64F80C2-06FC-4051-8812-BEF83E942000}"/>
    <cellStyle name="Comma 4 4 2 2 5 3" xfId="6282" xr:uid="{00000000-0005-0000-0000-0000DF090000}"/>
    <cellStyle name="Comma 4 4 2 2 5 3 2" xfId="14711" xr:uid="{129F0F3C-50B0-4303-9DD8-47239ABB443E}"/>
    <cellStyle name="Comma 4 4 2 2 5 4" xfId="10493" xr:uid="{545BA1F3-BB92-445D-AFA0-1AC1DC6D1D02}"/>
    <cellStyle name="Comma 4 4 2 2 6" xfId="2409" xr:uid="{00000000-0005-0000-0000-0000E0090000}"/>
    <cellStyle name="Comma 4 4 2 2 6 2" xfId="6695" xr:uid="{00000000-0005-0000-0000-0000E1090000}"/>
    <cellStyle name="Comma 4 4 2 2 6 2 2" xfId="15124" xr:uid="{B4FF8D36-5578-442D-8EBA-E267926E8BFC}"/>
    <cellStyle name="Comma 4 4 2 2 6 3" xfId="10906" xr:uid="{1623B7D7-7235-4FE9-BCBE-08773BEC3223}"/>
    <cellStyle name="Comma 4 4 2 2 7" xfId="2705" xr:uid="{00000000-0005-0000-0000-0000E2090000}"/>
    <cellStyle name="Comma 4 4 2 2 8" xfId="2787" xr:uid="{00000000-0005-0000-0000-0000E3090000}"/>
    <cellStyle name="Comma 4 4 2 2 8 2" xfId="7012" xr:uid="{00000000-0005-0000-0000-0000E4090000}"/>
    <cellStyle name="Comma 4 4 2 2 8 2 2" xfId="15441" xr:uid="{49E364DF-3C36-4F74-A0ED-98195C1A685E}"/>
    <cellStyle name="Comma 4 4 2 2 8 3" xfId="11223" xr:uid="{1F3A1AE1-572A-4D56-AC2E-642B1C4B5FB6}"/>
    <cellStyle name="Comma 4 4 2 2 9" xfId="4629" xr:uid="{00000000-0005-0000-0000-0000E5090000}"/>
    <cellStyle name="Comma 4 4 2 2 9 2" xfId="13058" xr:uid="{EE7CD91A-B7F5-4111-8F80-3149DECC3F47}"/>
    <cellStyle name="Comma 4 4 2 3" xfId="692" xr:uid="{00000000-0005-0000-0000-0000E6090000}"/>
    <cellStyle name="Comma 4 4 2 3 2" xfId="2963" xr:uid="{00000000-0005-0000-0000-0000E7090000}"/>
    <cellStyle name="Comma 4 4 2 3 2 2" xfId="7187" xr:uid="{00000000-0005-0000-0000-0000E8090000}"/>
    <cellStyle name="Comma 4 4 2 3 2 2 2" xfId="15616" xr:uid="{E0F10321-37F0-40B7-B39B-A2280BE71C45}"/>
    <cellStyle name="Comma 4 4 2 3 2 3" xfId="11398" xr:uid="{745CCD75-C784-4953-9019-C2C135E22C14}"/>
    <cellStyle name="Comma 4 4 2 3 3" xfId="5042" xr:uid="{00000000-0005-0000-0000-0000E9090000}"/>
    <cellStyle name="Comma 4 4 2 3 3 2" xfId="13471" xr:uid="{D4226845-ED84-447C-88A2-E8DDBCC47AF8}"/>
    <cellStyle name="Comma 4 4 2 3 4" xfId="9253" xr:uid="{D90D53F6-7FF6-4054-991F-E35E3DD11C91}"/>
    <cellStyle name="Comma 4 4 2 4" xfId="1145" xr:uid="{00000000-0005-0000-0000-0000EA090000}"/>
    <cellStyle name="Comma 4 4 2 4 2" xfId="3376" xr:uid="{00000000-0005-0000-0000-0000EB090000}"/>
    <cellStyle name="Comma 4 4 2 4 2 2" xfId="7600" xr:uid="{00000000-0005-0000-0000-0000EC090000}"/>
    <cellStyle name="Comma 4 4 2 4 2 2 2" xfId="16029" xr:uid="{6A0DD18D-4B57-49CA-BD1E-FAA8A8711D54}"/>
    <cellStyle name="Comma 4 4 2 4 2 3" xfId="11811" xr:uid="{4DF52E65-D864-4482-814F-567F9A488C91}"/>
    <cellStyle name="Comma 4 4 2 4 3" xfId="5455" xr:uid="{00000000-0005-0000-0000-0000ED090000}"/>
    <cellStyle name="Comma 4 4 2 4 3 2" xfId="13884" xr:uid="{C35BBD1C-DE01-4DEC-8C70-C1D403EE8273}"/>
    <cellStyle name="Comma 4 4 2 4 4" xfId="9666" xr:uid="{0DAFDFAC-72C2-4218-9A2E-BE7F5088B4C7}"/>
    <cellStyle name="Comma 4 4 2 5" xfId="1559" xr:uid="{00000000-0005-0000-0000-0000EE090000}"/>
    <cellStyle name="Comma 4 4 2 5 2" xfId="3789" xr:uid="{00000000-0005-0000-0000-0000EF090000}"/>
    <cellStyle name="Comma 4 4 2 5 2 2" xfId="8013" xr:uid="{00000000-0005-0000-0000-0000F0090000}"/>
    <cellStyle name="Comma 4 4 2 5 2 2 2" xfId="16442" xr:uid="{1241ACE0-C121-4597-A2E5-D05F13250EDC}"/>
    <cellStyle name="Comma 4 4 2 5 2 3" xfId="12224" xr:uid="{B48D43B7-A4F7-48F2-8B89-654F8667ACF6}"/>
    <cellStyle name="Comma 4 4 2 5 3" xfId="5868" xr:uid="{00000000-0005-0000-0000-0000F1090000}"/>
    <cellStyle name="Comma 4 4 2 5 3 2" xfId="14297" xr:uid="{5347D568-65F8-4907-8E6D-07C56D05105B}"/>
    <cellStyle name="Comma 4 4 2 5 4" xfId="10079" xr:uid="{BF7C3A19-CD66-4EE9-8C7B-6CE9D716122F}"/>
    <cellStyle name="Comma 4 4 2 6" xfId="1973" xr:uid="{00000000-0005-0000-0000-0000F2090000}"/>
    <cellStyle name="Comma 4 4 2 6 2" xfId="4202" xr:uid="{00000000-0005-0000-0000-0000F3090000}"/>
    <cellStyle name="Comma 4 4 2 6 2 2" xfId="8426" xr:uid="{00000000-0005-0000-0000-0000F4090000}"/>
    <cellStyle name="Comma 4 4 2 6 2 2 2" xfId="16855" xr:uid="{8730C18F-9B23-4CE7-AADD-18642B951926}"/>
    <cellStyle name="Comma 4 4 2 6 2 3" xfId="12637" xr:uid="{415B0F37-3140-4181-A35C-00F0D066A502}"/>
    <cellStyle name="Comma 4 4 2 6 3" xfId="6281" xr:uid="{00000000-0005-0000-0000-0000F5090000}"/>
    <cellStyle name="Comma 4 4 2 6 3 2" xfId="14710" xr:uid="{A06DBEF6-29FD-41D9-897C-2AE0AFABABB9}"/>
    <cellStyle name="Comma 4 4 2 6 4" xfId="10492" xr:uid="{111A16C2-5E4A-4E8E-91F9-5A0456BA6A47}"/>
    <cellStyle name="Comma 4 4 2 7" xfId="2408" xr:uid="{00000000-0005-0000-0000-0000F6090000}"/>
    <cellStyle name="Comma 4 4 2 7 2" xfId="6694" xr:uid="{00000000-0005-0000-0000-0000F7090000}"/>
    <cellStyle name="Comma 4 4 2 7 2 2" xfId="15123" xr:uid="{D6B4F2AB-FF14-43A0-A1DF-0DAC247FF738}"/>
    <cellStyle name="Comma 4 4 2 7 3" xfId="10905" xr:uid="{6B36CD0A-91AC-4A57-9FE4-DF617C95B20F}"/>
    <cellStyle name="Comma 4 4 2 8" xfId="2704" xr:uid="{00000000-0005-0000-0000-0000F8090000}"/>
    <cellStyle name="Comma 4 4 2 9" xfId="2786" xr:uid="{00000000-0005-0000-0000-0000F9090000}"/>
    <cellStyle name="Comma 4 4 2 9 2" xfId="7011" xr:uid="{00000000-0005-0000-0000-0000FA090000}"/>
    <cellStyle name="Comma 4 4 2 9 2 2" xfId="15440" xr:uid="{09AB6A15-C4A9-4A0D-879D-F6630111A385}"/>
    <cellStyle name="Comma 4 4 2 9 3" xfId="11222" xr:uid="{CE657CA9-809E-4E44-8050-4202C1D549C3}"/>
    <cellStyle name="Comma 4 4 3" xfId="156" xr:uid="{00000000-0005-0000-0000-0000FB090000}"/>
    <cellStyle name="Comma 4 4 3 10" xfId="8841" xr:uid="{3957873B-4EAA-40A8-A20C-5A150E35AB89}"/>
    <cellStyle name="Comma 4 4 3 2" xfId="694" xr:uid="{00000000-0005-0000-0000-0000FC090000}"/>
    <cellStyle name="Comma 4 4 3 2 2" xfId="2965" xr:uid="{00000000-0005-0000-0000-0000FD090000}"/>
    <cellStyle name="Comma 4 4 3 2 2 2" xfId="7189" xr:uid="{00000000-0005-0000-0000-0000FE090000}"/>
    <cellStyle name="Comma 4 4 3 2 2 2 2" xfId="15618" xr:uid="{08EDFB83-61D6-41EF-BCA0-3D44ECD4D3C3}"/>
    <cellStyle name="Comma 4 4 3 2 2 3" xfId="11400" xr:uid="{17B573A4-9EFF-4E63-B7AC-B0B99DA8E00C}"/>
    <cellStyle name="Comma 4 4 3 2 3" xfId="5044" xr:uid="{00000000-0005-0000-0000-0000FF090000}"/>
    <cellStyle name="Comma 4 4 3 2 3 2" xfId="13473" xr:uid="{BD26C219-0991-459F-B49E-752BD9BFFF7B}"/>
    <cellStyle name="Comma 4 4 3 2 4" xfId="9255" xr:uid="{0ECD3914-5005-40C0-8A18-4324C9BD812A}"/>
    <cellStyle name="Comma 4 4 3 3" xfId="1147" xr:uid="{00000000-0005-0000-0000-0000000A0000}"/>
    <cellStyle name="Comma 4 4 3 3 2" xfId="3378" xr:uid="{00000000-0005-0000-0000-0000010A0000}"/>
    <cellStyle name="Comma 4 4 3 3 2 2" xfId="7602" xr:uid="{00000000-0005-0000-0000-0000020A0000}"/>
    <cellStyle name="Comma 4 4 3 3 2 2 2" xfId="16031" xr:uid="{90010E2E-15F3-43BA-B36E-B9C15714CE15}"/>
    <cellStyle name="Comma 4 4 3 3 2 3" xfId="11813" xr:uid="{37911C97-1D4B-499C-9AD2-D5FCBCBE0375}"/>
    <cellStyle name="Comma 4 4 3 3 3" xfId="5457" xr:uid="{00000000-0005-0000-0000-0000030A0000}"/>
    <cellStyle name="Comma 4 4 3 3 3 2" xfId="13886" xr:uid="{D5FE8917-4A83-487D-B6E6-E669A87FDC2F}"/>
    <cellStyle name="Comma 4 4 3 3 4" xfId="9668" xr:uid="{D473B17F-0090-41E4-B2F2-A96ED10BF922}"/>
    <cellStyle name="Comma 4 4 3 4" xfId="1561" xr:uid="{00000000-0005-0000-0000-0000040A0000}"/>
    <cellStyle name="Comma 4 4 3 4 2" xfId="3791" xr:uid="{00000000-0005-0000-0000-0000050A0000}"/>
    <cellStyle name="Comma 4 4 3 4 2 2" xfId="8015" xr:uid="{00000000-0005-0000-0000-0000060A0000}"/>
    <cellStyle name="Comma 4 4 3 4 2 2 2" xfId="16444" xr:uid="{A29C1375-38F8-425D-B332-2DC757563642}"/>
    <cellStyle name="Comma 4 4 3 4 2 3" xfId="12226" xr:uid="{33B8B97E-FC69-4C1B-B865-16E77B2E0108}"/>
    <cellStyle name="Comma 4 4 3 4 3" xfId="5870" xr:uid="{00000000-0005-0000-0000-0000070A0000}"/>
    <cellStyle name="Comma 4 4 3 4 3 2" xfId="14299" xr:uid="{9C299C86-AC40-44BF-A04D-24CFDB510CD5}"/>
    <cellStyle name="Comma 4 4 3 4 4" xfId="10081" xr:uid="{957ED789-4D89-4027-92FB-7EF39613B01A}"/>
    <cellStyle name="Comma 4 4 3 5" xfId="1975" xr:uid="{00000000-0005-0000-0000-0000080A0000}"/>
    <cellStyle name="Comma 4 4 3 5 2" xfId="4204" xr:uid="{00000000-0005-0000-0000-0000090A0000}"/>
    <cellStyle name="Comma 4 4 3 5 2 2" xfId="8428" xr:uid="{00000000-0005-0000-0000-00000A0A0000}"/>
    <cellStyle name="Comma 4 4 3 5 2 2 2" xfId="16857" xr:uid="{43F8161F-FB30-4B44-BBFC-D613A3126880}"/>
    <cellStyle name="Comma 4 4 3 5 2 3" xfId="12639" xr:uid="{37C45DD9-0AA3-4511-8457-E7DBFA78D2E2}"/>
    <cellStyle name="Comma 4 4 3 5 3" xfId="6283" xr:uid="{00000000-0005-0000-0000-00000B0A0000}"/>
    <cellStyle name="Comma 4 4 3 5 3 2" xfId="14712" xr:uid="{9B5CC4CC-DC39-4597-A7CD-074394910471}"/>
    <cellStyle name="Comma 4 4 3 5 4" xfId="10494" xr:uid="{B7EBA91E-962A-42CE-A844-DD1176EBDBBA}"/>
    <cellStyle name="Comma 4 4 3 6" xfId="2410" xr:uid="{00000000-0005-0000-0000-00000C0A0000}"/>
    <cellStyle name="Comma 4 4 3 6 2" xfId="6696" xr:uid="{00000000-0005-0000-0000-00000D0A0000}"/>
    <cellStyle name="Comma 4 4 3 6 2 2" xfId="15125" xr:uid="{CE8A171B-A7EE-44F7-900C-FB86288CAE0C}"/>
    <cellStyle name="Comma 4 4 3 6 3" xfId="10907" xr:uid="{A6825A05-7DB3-43B5-BD46-311A9D6D1D72}"/>
    <cellStyle name="Comma 4 4 3 7" xfId="2706" xr:uid="{00000000-0005-0000-0000-00000E0A0000}"/>
    <cellStyle name="Comma 4 4 3 8" xfId="2788" xr:uid="{00000000-0005-0000-0000-00000F0A0000}"/>
    <cellStyle name="Comma 4 4 3 8 2" xfId="7013" xr:uid="{00000000-0005-0000-0000-0000100A0000}"/>
    <cellStyle name="Comma 4 4 3 8 2 2" xfId="15442" xr:uid="{D0B84A9F-9B73-4918-9ED5-4BF0CA911694}"/>
    <cellStyle name="Comma 4 4 3 8 3" xfId="11224" xr:uid="{2DDF085A-0F52-4F19-9174-F4DF858DD4E8}"/>
    <cellStyle name="Comma 4 4 3 9" xfId="4630" xr:uid="{00000000-0005-0000-0000-0000110A0000}"/>
    <cellStyle name="Comma 4 4 3 9 2" xfId="13059" xr:uid="{051681C1-8A55-4F07-8A03-218BB944C865}"/>
    <cellStyle name="Comma 4 4 4" xfId="691" xr:uid="{00000000-0005-0000-0000-0000120A0000}"/>
    <cellStyle name="Comma 4 4 4 2" xfId="2962" xr:uid="{00000000-0005-0000-0000-0000130A0000}"/>
    <cellStyle name="Comma 4 4 4 2 2" xfId="7186" xr:uid="{00000000-0005-0000-0000-0000140A0000}"/>
    <cellStyle name="Comma 4 4 4 2 2 2" xfId="15615" xr:uid="{6CFA1153-04C2-418F-875F-BE6FB39DE855}"/>
    <cellStyle name="Comma 4 4 4 2 3" xfId="11397" xr:uid="{FA9DEE49-2F61-4AA7-9901-9F41BDDC64D3}"/>
    <cellStyle name="Comma 4 4 4 3" xfId="5041" xr:uid="{00000000-0005-0000-0000-0000150A0000}"/>
    <cellStyle name="Comma 4 4 4 3 2" xfId="13470" xr:uid="{CAA802BE-0E14-42CB-A960-46BC44112529}"/>
    <cellStyle name="Comma 4 4 4 4" xfId="9252" xr:uid="{8B9AE857-0CB4-4962-835B-29F053C63D75}"/>
    <cellStyle name="Comma 4 4 5" xfId="1144" xr:uid="{00000000-0005-0000-0000-0000160A0000}"/>
    <cellStyle name="Comma 4 4 5 2" xfId="3375" xr:uid="{00000000-0005-0000-0000-0000170A0000}"/>
    <cellStyle name="Comma 4 4 5 2 2" xfId="7599" xr:uid="{00000000-0005-0000-0000-0000180A0000}"/>
    <cellStyle name="Comma 4 4 5 2 2 2" xfId="16028" xr:uid="{CDA1285E-BBA0-44D5-BEC1-BB4ED2A14E52}"/>
    <cellStyle name="Comma 4 4 5 2 3" xfId="11810" xr:uid="{9A586CF2-851E-4A08-80A6-EC42AC35067F}"/>
    <cellStyle name="Comma 4 4 5 3" xfId="5454" xr:uid="{00000000-0005-0000-0000-0000190A0000}"/>
    <cellStyle name="Comma 4 4 5 3 2" xfId="13883" xr:uid="{2B225832-6B92-4955-A303-F97570A6B91C}"/>
    <cellStyle name="Comma 4 4 5 4" xfId="9665" xr:uid="{9377BC78-A12B-44C7-A01E-679F56F87297}"/>
    <cellStyle name="Comma 4 4 6" xfId="1558" xr:uid="{00000000-0005-0000-0000-00001A0A0000}"/>
    <cellStyle name="Comma 4 4 6 2" xfId="3788" xr:uid="{00000000-0005-0000-0000-00001B0A0000}"/>
    <cellStyle name="Comma 4 4 6 2 2" xfId="8012" xr:uid="{00000000-0005-0000-0000-00001C0A0000}"/>
    <cellStyle name="Comma 4 4 6 2 2 2" xfId="16441" xr:uid="{BE452799-B06A-4A71-9696-1B80FB3F714B}"/>
    <cellStyle name="Comma 4 4 6 2 3" xfId="12223" xr:uid="{760D1D4E-FBFF-48DE-BB27-23BFB1B1DFDB}"/>
    <cellStyle name="Comma 4 4 6 3" xfId="5867" xr:uid="{00000000-0005-0000-0000-00001D0A0000}"/>
    <cellStyle name="Comma 4 4 6 3 2" xfId="14296" xr:uid="{54385207-0538-4178-B64D-5FCDDC91EAEB}"/>
    <cellStyle name="Comma 4 4 6 4" xfId="10078" xr:uid="{F48E6304-CBE9-4D2C-9DE8-6063F8100059}"/>
    <cellStyle name="Comma 4 4 7" xfId="1972" xr:uid="{00000000-0005-0000-0000-00001E0A0000}"/>
    <cellStyle name="Comma 4 4 7 2" xfId="4201" xr:uid="{00000000-0005-0000-0000-00001F0A0000}"/>
    <cellStyle name="Comma 4 4 7 2 2" xfId="8425" xr:uid="{00000000-0005-0000-0000-0000200A0000}"/>
    <cellStyle name="Comma 4 4 7 2 2 2" xfId="16854" xr:uid="{BCEC94E3-F21C-41B4-B854-92DD0DACEBC8}"/>
    <cellStyle name="Comma 4 4 7 2 3" xfId="12636" xr:uid="{6F6D076C-7C8C-4112-890E-85BDCFB27432}"/>
    <cellStyle name="Comma 4 4 7 3" xfId="6280" xr:uid="{00000000-0005-0000-0000-0000210A0000}"/>
    <cellStyle name="Comma 4 4 7 3 2" xfId="14709" xr:uid="{36A2EB6A-36BB-4937-9031-E3981762B972}"/>
    <cellStyle name="Comma 4 4 7 4" xfId="10491" xr:uid="{7D45B0E0-4902-48DD-B7CF-3CAFA99564D8}"/>
    <cellStyle name="Comma 4 4 8" xfId="2407" xr:uid="{00000000-0005-0000-0000-0000220A0000}"/>
    <cellStyle name="Comma 4 4 8 2" xfId="6693" xr:uid="{00000000-0005-0000-0000-0000230A0000}"/>
    <cellStyle name="Comma 4 4 8 2 2" xfId="15122" xr:uid="{B372F18C-4EA3-4516-BAF5-2146B84EDC34}"/>
    <cellStyle name="Comma 4 4 8 3" xfId="10904" xr:uid="{378EC6E5-B4D8-4504-9079-629479ED5169}"/>
    <cellStyle name="Comma 4 4 9" xfId="2703" xr:uid="{00000000-0005-0000-0000-0000240A0000}"/>
    <cellStyle name="Comma 4 5" xfId="157" xr:uid="{00000000-0005-0000-0000-0000250A0000}"/>
    <cellStyle name="Comma 4 5 10" xfId="4631" xr:uid="{00000000-0005-0000-0000-0000260A0000}"/>
    <cellStyle name="Comma 4 5 10 2" xfId="13060" xr:uid="{269F39F3-7BC6-4CCF-BB63-3B69F38A0774}"/>
    <cellStyle name="Comma 4 5 11" xfId="8842" xr:uid="{649B9C6F-F8B3-4A27-9C75-8FD3D2AE7C75}"/>
    <cellStyle name="Comma 4 5 2" xfId="158" xr:uid="{00000000-0005-0000-0000-0000270A0000}"/>
    <cellStyle name="Comma 4 5 2 10" xfId="8843" xr:uid="{F55420FF-82D6-47DB-8D96-2EC4CB19032B}"/>
    <cellStyle name="Comma 4 5 2 2" xfId="696" xr:uid="{00000000-0005-0000-0000-0000280A0000}"/>
    <cellStyle name="Comma 4 5 2 2 2" xfId="2967" xr:uid="{00000000-0005-0000-0000-0000290A0000}"/>
    <cellStyle name="Comma 4 5 2 2 2 2" xfId="7191" xr:uid="{00000000-0005-0000-0000-00002A0A0000}"/>
    <cellStyle name="Comma 4 5 2 2 2 2 2" xfId="15620" xr:uid="{05F704B9-83E1-4427-BC26-0A7E72867FF3}"/>
    <cellStyle name="Comma 4 5 2 2 2 3" xfId="11402" xr:uid="{72B7065B-835C-42F1-8AC6-E8023127DA89}"/>
    <cellStyle name="Comma 4 5 2 2 3" xfId="5046" xr:uid="{00000000-0005-0000-0000-00002B0A0000}"/>
    <cellStyle name="Comma 4 5 2 2 3 2" xfId="13475" xr:uid="{FDD1E057-F22E-49D8-9743-67464B8B9EE6}"/>
    <cellStyle name="Comma 4 5 2 2 4" xfId="9257" xr:uid="{20386E92-989B-4AA4-9FED-04FDBA3C2B6A}"/>
    <cellStyle name="Comma 4 5 2 3" xfId="1149" xr:uid="{00000000-0005-0000-0000-00002C0A0000}"/>
    <cellStyle name="Comma 4 5 2 3 2" xfId="3380" xr:uid="{00000000-0005-0000-0000-00002D0A0000}"/>
    <cellStyle name="Comma 4 5 2 3 2 2" xfId="7604" xr:uid="{00000000-0005-0000-0000-00002E0A0000}"/>
    <cellStyle name="Comma 4 5 2 3 2 2 2" xfId="16033" xr:uid="{C01B883A-D001-4803-B90B-8510FF26CE52}"/>
    <cellStyle name="Comma 4 5 2 3 2 3" xfId="11815" xr:uid="{44E81821-FA71-4666-8D66-157747EEA70B}"/>
    <cellStyle name="Comma 4 5 2 3 3" xfId="5459" xr:uid="{00000000-0005-0000-0000-00002F0A0000}"/>
    <cellStyle name="Comma 4 5 2 3 3 2" xfId="13888" xr:uid="{30888BBD-FC36-4242-8916-0FC6E584D4BB}"/>
    <cellStyle name="Comma 4 5 2 3 4" xfId="9670" xr:uid="{5DFE198D-B9F9-4134-812C-40CCBC2D0C6C}"/>
    <cellStyle name="Comma 4 5 2 4" xfId="1563" xr:uid="{00000000-0005-0000-0000-0000300A0000}"/>
    <cellStyle name="Comma 4 5 2 4 2" xfId="3793" xr:uid="{00000000-0005-0000-0000-0000310A0000}"/>
    <cellStyle name="Comma 4 5 2 4 2 2" xfId="8017" xr:uid="{00000000-0005-0000-0000-0000320A0000}"/>
    <cellStyle name="Comma 4 5 2 4 2 2 2" xfId="16446" xr:uid="{FB9B813F-9F4D-4A35-A8DE-29BDA0C8E4EC}"/>
    <cellStyle name="Comma 4 5 2 4 2 3" xfId="12228" xr:uid="{655D3DA5-700C-46D5-BD09-BE82E7BEEF20}"/>
    <cellStyle name="Comma 4 5 2 4 3" xfId="5872" xr:uid="{00000000-0005-0000-0000-0000330A0000}"/>
    <cellStyle name="Comma 4 5 2 4 3 2" xfId="14301" xr:uid="{458419EA-976C-480D-9297-25DE34E0434E}"/>
    <cellStyle name="Comma 4 5 2 4 4" xfId="10083" xr:uid="{70014AE3-9016-4AD6-815E-64FF775CBD48}"/>
    <cellStyle name="Comma 4 5 2 5" xfId="1977" xr:uid="{00000000-0005-0000-0000-0000340A0000}"/>
    <cellStyle name="Comma 4 5 2 5 2" xfId="4206" xr:uid="{00000000-0005-0000-0000-0000350A0000}"/>
    <cellStyle name="Comma 4 5 2 5 2 2" xfId="8430" xr:uid="{00000000-0005-0000-0000-0000360A0000}"/>
    <cellStyle name="Comma 4 5 2 5 2 2 2" xfId="16859" xr:uid="{F9957F7A-13CC-4EAC-8BC1-7FA07258CB04}"/>
    <cellStyle name="Comma 4 5 2 5 2 3" xfId="12641" xr:uid="{C5FF757A-74D5-4A86-BDCD-A78E8462220F}"/>
    <cellStyle name="Comma 4 5 2 5 3" xfId="6285" xr:uid="{00000000-0005-0000-0000-0000370A0000}"/>
    <cellStyle name="Comma 4 5 2 5 3 2" xfId="14714" xr:uid="{10195CEE-322D-4AAD-9A1B-AAA29741F76D}"/>
    <cellStyle name="Comma 4 5 2 5 4" xfId="10496" xr:uid="{8E8452CC-68F9-4442-92EC-845F064C56FD}"/>
    <cellStyle name="Comma 4 5 2 6" xfId="2412" xr:uid="{00000000-0005-0000-0000-0000380A0000}"/>
    <cellStyle name="Comma 4 5 2 6 2" xfId="6698" xr:uid="{00000000-0005-0000-0000-0000390A0000}"/>
    <cellStyle name="Comma 4 5 2 6 2 2" xfId="15127" xr:uid="{C85B7F3D-363F-4F92-9443-32A52FA37C66}"/>
    <cellStyle name="Comma 4 5 2 6 3" xfId="10909" xr:uid="{C064B41D-F874-4916-81B9-25C4BBBA0F8D}"/>
    <cellStyle name="Comma 4 5 2 7" xfId="2708" xr:uid="{00000000-0005-0000-0000-00003A0A0000}"/>
    <cellStyle name="Comma 4 5 2 8" xfId="2790" xr:uid="{00000000-0005-0000-0000-00003B0A0000}"/>
    <cellStyle name="Comma 4 5 2 8 2" xfId="7015" xr:uid="{00000000-0005-0000-0000-00003C0A0000}"/>
    <cellStyle name="Comma 4 5 2 8 2 2" xfId="15444" xr:uid="{82510276-1BBF-4AA5-B048-3654AC94A2F8}"/>
    <cellStyle name="Comma 4 5 2 8 3" xfId="11226" xr:uid="{C9A318D5-DA13-461B-8EFC-E962E75431A8}"/>
    <cellStyle name="Comma 4 5 2 9" xfId="4632" xr:uid="{00000000-0005-0000-0000-00003D0A0000}"/>
    <cellStyle name="Comma 4 5 2 9 2" xfId="13061" xr:uid="{F2558ADF-F1CC-4B43-A5C6-7C00F5BAE729}"/>
    <cellStyle name="Comma 4 5 3" xfId="695" xr:uid="{00000000-0005-0000-0000-00003E0A0000}"/>
    <cellStyle name="Comma 4 5 3 2" xfId="2966" xr:uid="{00000000-0005-0000-0000-00003F0A0000}"/>
    <cellStyle name="Comma 4 5 3 2 2" xfId="7190" xr:uid="{00000000-0005-0000-0000-0000400A0000}"/>
    <cellStyle name="Comma 4 5 3 2 2 2" xfId="15619" xr:uid="{8BE2EF26-2E40-4E33-93C3-010C2A0682D3}"/>
    <cellStyle name="Comma 4 5 3 2 3" xfId="11401" xr:uid="{B3BA5F83-115A-46FA-8B76-255BAC7CD045}"/>
    <cellStyle name="Comma 4 5 3 3" xfId="5045" xr:uid="{00000000-0005-0000-0000-0000410A0000}"/>
    <cellStyle name="Comma 4 5 3 3 2" xfId="13474" xr:uid="{BE66FAAA-4641-4766-B7D8-D38AF9F1CDB2}"/>
    <cellStyle name="Comma 4 5 3 4" xfId="9256" xr:uid="{080CB0CA-A97C-4DF8-9F47-7B069685B05F}"/>
    <cellStyle name="Comma 4 5 4" xfId="1148" xr:uid="{00000000-0005-0000-0000-0000420A0000}"/>
    <cellStyle name="Comma 4 5 4 2" xfId="3379" xr:uid="{00000000-0005-0000-0000-0000430A0000}"/>
    <cellStyle name="Comma 4 5 4 2 2" xfId="7603" xr:uid="{00000000-0005-0000-0000-0000440A0000}"/>
    <cellStyle name="Comma 4 5 4 2 2 2" xfId="16032" xr:uid="{34D4B3EF-F16E-4F16-859B-EEA4D060820F}"/>
    <cellStyle name="Comma 4 5 4 2 3" xfId="11814" xr:uid="{F38AABDA-0511-4178-A8C8-BC5CFAECD564}"/>
    <cellStyle name="Comma 4 5 4 3" xfId="5458" xr:uid="{00000000-0005-0000-0000-0000450A0000}"/>
    <cellStyle name="Comma 4 5 4 3 2" xfId="13887" xr:uid="{2DA6F4EF-C4C8-4676-8A90-E4371E9B4A39}"/>
    <cellStyle name="Comma 4 5 4 4" xfId="9669" xr:uid="{562C09F2-DB93-4C02-BF1D-463BB710876B}"/>
    <cellStyle name="Comma 4 5 5" xfId="1562" xr:uid="{00000000-0005-0000-0000-0000460A0000}"/>
    <cellStyle name="Comma 4 5 5 2" xfId="3792" xr:uid="{00000000-0005-0000-0000-0000470A0000}"/>
    <cellStyle name="Comma 4 5 5 2 2" xfId="8016" xr:uid="{00000000-0005-0000-0000-0000480A0000}"/>
    <cellStyle name="Comma 4 5 5 2 2 2" xfId="16445" xr:uid="{2E3D026B-866F-4BDF-A412-88CFCC2DE226}"/>
    <cellStyle name="Comma 4 5 5 2 3" xfId="12227" xr:uid="{9A028A57-19BB-4EC1-93E3-857C62F46446}"/>
    <cellStyle name="Comma 4 5 5 3" xfId="5871" xr:uid="{00000000-0005-0000-0000-0000490A0000}"/>
    <cellStyle name="Comma 4 5 5 3 2" xfId="14300" xr:uid="{C1349C70-7505-4932-BC5B-17ECF78BF331}"/>
    <cellStyle name="Comma 4 5 5 4" xfId="10082" xr:uid="{AEAF134C-1A6B-41F3-8400-7387DD63D003}"/>
    <cellStyle name="Comma 4 5 6" xfId="1976" xr:uid="{00000000-0005-0000-0000-00004A0A0000}"/>
    <cellStyle name="Comma 4 5 6 2" xfId="4205" xr:uid="{00000000-0005-0000-0000-00004B0A0000}"/>
    <cellStyle name="Comma 4 5 6 2 2" xfId="8429" xr:uid="{00000000-0005-0000-0000-00004C0A0000}"/>
    <cellStyle name="Comma 4 5 6 2 2 2" xfId="16858" xr:uid="{C39747BD-AE9D-4E35-ACC8-B565A00EFDA9}"/>
    <cellStyle name="Comma 4 5 6 2 3" xfId="12640" xr:uid="{2DF3651D-B51E-4ECB-9AB5-D8CA4704A88C}"/>
    <cellStyle name="Comma 4 5 6 3" xfId="6284" xr:uid="{00000000-0005-0000-0000-00004D0A0000}"/>
    <cellStyle name="Comma 4 5 6 3 2" xfId="14713" xr:uid="{A655D857-E71A-4D67-8B93-32E706AA5BBA}"/>
    <cellStyle name="Comma 4 5 6 4" xfId="10495" xr:uid="{8E88649A-022B-4379-A4D9-7146D197BD04}"/>
    <cellStyle name="Comma 4 5 7" xfId="2411" xr:uid="{00000000-0005-0000-0000-00004E0A0000}"/>
    <cellStyle name="Comma 4 5 7 2" xfId="6697" xr:uid="{00000000-0005-0000-0000-00004F0A0000}"/>
    <cellStyle name="Comma 4 5 7 2 2" xfId="15126" xr:uid="{ECBC1F27-F37A-4014-A652-17A51BAFBE1D}"/>
    <cellStyle name="Comma 4 5 7 3" xfId="10908" xr:uid="{AC8E7E20-C935-45DE-89BF-4B020B0C3AAE}"/>
    <cellStyle name="Comma 4 5 8" xfId="2707" xr:uid="{00000000-0005-0000-0000-0000500A0000}"/>
    <cellStyle name="Comma 4 5 9" xfId="2789" xr:uid="{00000000-0005-0000-0000-0000510A0000}"/>
    <cellStyle name="Comma 4 5 9 2" xfId="7014" xr:uid="{00000000-0005-0000-0000-0000520A0000}"/>
    <cellStyle name="Comma 4 5 9 2 2" xfId="15443" xr:uid="{279ABBCB-019C-4FBC-9E7C-9D89F4FB51EA}"/>
    <cellStyle name="Comma 4 5 9 3" xfId="11225" xr:uid="{8B3B9D81-2C36-4BC1-A052-9F9FCE165830}"/>
    <cellStyle name="Comma 4 6" xfId="159" xr:uid="{00000000-0005-0000-0000-0000530A0000}"/>
    <cellStyle name="Comma 4 6 10" xfId="8844" xr:uid="{39F9924B-C4D0-4503-AB99-176869F0895A}"/>
    <cellStyle name="Comma 4 6 2" xfId="697" xr:uid="{00000000-0005-0000-0000-0000540A0000}"/>
    <cellStyle name="Comma 4 6 2 2" xfId="2968" xr:uid="{00000000-0005-0000-0000-0000550A0000}"/>
    <cellStyle name="Comma 4 6 2 2 2" xfId="7192" xr:uid="{00000000-0005-0000-0000-0000560A0000}"/>
    <cellStyle name="Comma 4 6 2 2 2 2" xfId="15621" xr:uid="{EF2858DB-DC29-4DC7-B64D-08E7A53BBD6F}"/>
    <cellStyle name="Comma 4 6 2 2 3" xfId="11403" xr:uid="{ADB93D63-9363-42CE-ACCF-1F5EE19D2126}"/>
    <cellStyle name="Comma 4 6 2 3" xfId="5047" xr:uid="{00000000-0005-0000-0000-0000570A0000}"/>
    <cellStyle name="Comma 4 6 2 3 2" xfId="13476" xr:uid="{2F5E240D-53BD-4509-B210-CC38B4F3D5BB}"/>
    <cellStyle name="Comma 4 6 2 4" xfId="9258" xr:uid="{0AD16D92-82AA-4D62-B2FB-C9A3A5E11539}"/>
    <cellStyle name="Comma 4 6 3" xfId="1150" xr:uid="{00000000-0005-0000-0000-0000580A0000}"/>
    <cellStyle name="Comma 4 6 3 2" xfId="3381" xr:uid="{00000000-0005-0000-0000-0000590A0000}"/>
    <cellStyle name="Comma 4 6 3 2 2" xfId="7605" xr:uid="{00000000-0005-0000-0000-00005A0A0000}"/>
    <cellStyle name="Comma 4 6 3 2 2 2" xfId="16034" xr:uid="{5BA31FB2-AB92-4E5C-B60D-57083FC5DB88}"/>
    <cellStyle name="Comma 4 6 3 2 3" xfId="11816" xr:uid="{4D27A4F1-CEAA-4536-B207-1647682273C1}"/>
    <cellStyle name="Comma 4 6 3 3" xfId="5460" xr:uid="{00000000-0005-0000-0000-00005B0A0000}"/>
    <cellStyle name="Comma 4 6 3 3 2" xfId="13889" xr:uid="{DAFC4E72-D9EC-4D35-A1FC-C0827E952D13}"/>
    <cellStyle name="Comma 4 6 3 4" xfId="9671" xr:uid="{6F66D4B7-8944-4A85-AEBD-FF235E75CB4F}"/>
    <cellStyle name="Comma 4 6 4" xfId="1564" xr:uid="{00000000-0005-0000-0000-00005C0A0000}"/>
    <cellStyle name="Comma 4 6 4 2" xfId="3794" xr:uid="{00000000-0005-0000-0000-00005D0A0000}"/>
    <cellStyle name="Comma 4 6 4 2 2" xfId="8018" xr:uid="{00000000-0005-0000-0000-00005E0A0000}"/>
    <cellStyle name="Comma 4 6 4 2 2 2" xfId="16447" xr:uid="{2597B3E4-534C-40E5-9FEE-137ACCF58BD6}"/>
    <cellStyle name="Comma 4 6 4 2 3" xfId="12229" xr:uid="{0E8A6174-2D0A-439F-8D3D-11B09EEDD0B2}"/>
    <cellStyle name="Comma 4 6 4 3" xfId="5873" xr:uid="{00000000-0005-0000-0000-00005F0A0000}"/>
    <cellStyle name="Comma 4 6 4 3 2" xfId="14302" xr:uid="{BCE04A06-347D-44F3-9285-3E7FF62A4D23}"/>
    <cellStyle name="Comma 4 6 4 4" xfId="10084" xr:uid="{1A217797-71C8-48C4-9BBB-6337F5E2B503}"/>
    <cellStyle name="Comma 4 6 5" xfId="1978" xr:uid="{00000000-0005-0000-0000-0000600A0000}"/>
    <cellStyle name="Comma 4 6 5 2" xfId="4207" xr:uid="{00000000-0005-0000-0000-0000610A0000}"/>
    <cellStyle name="Comma 4 6 5 2 2" xfId="8431" xr:uid="{00000000-0005-0000-0000-0000620A0000}"/>
    <cellStyle name="Comma 4 6 5 2 2 2" xfId="16860" xr:uid="{080AAA69-E6C7-445C-9D1A-A38EBC78E173}"/>
    <cellStyle name="Comma 4 6 5 2 3" xfId="12642" xr:uid="{112C0FA7-883B-4E65-ACC8-6D4AC7E1F84F}"/>
    <cellStyle name="Comma 4 6 5 3" xfId="6286" xr:uid="{00000000-0005-0000-0000-0000630A0000}"/>
    <cellStyle name="Comma 4 6 5 3 2" xfId="14715" xr:uid="{697818B4-988E-469E-9190-DAAC55B75EB7}"/>
    <cellStyle name="Comma 4 6 5 4" xfId="10497" xr:uid="{02777232-2EBC-4D5A-9FBB-B25C55C249FF}"/>
    <cellStyle name="Comma 4 6 6" xfId="2413" xr:uid="{00000000-0005-0000-0000-0000640A0000}"/>
    <cellStyle name="Comma 4 6 6 2" xfId="6699" xr:uid="{00000000-0005-0000-0000-0000650A0000}"/>
    <cellStyle name="Comma 4 6 6 2 2" xfId="15128" xr:uid="{6064B8AD-3125-435B-89BB-14DE7AE26AA5}"/>
    <cellStyle name="Comma 4 6 6 3" xfId="10910" xr:uid="{3F855B19-BE5F-4F05-BCDE-F231952C9240}"/>
    <cellStyle name="Comma 4 6 7" xfId="2709" xr:uid="{00000000-0005-0000-0000-0000660A0000}"/>
    <cellStyle name="Comma 4 6 8" xfId="2791" xr:uid="{00000000-0005-0000-0000-0000670A0000}"/>
    <cellStyle name="Comma 4 6 8 2" xfId="7016" xr:uid="{00000000-0005-0000-0000-0000680A0000}"/>
    <cellStyle name="Comma 4 6 8 2 2" xfId="15445" xr:uid="{20F2C595-4B7A-43D8-A948-D33E79B897E5}"/>
    <cellStyle name="Comma 4 6 8 3" xfId="11227" xr:uid="{AA8BF092-2AB9-483A-87BD-E4A9D2FF353B}"/>
    <cellStyle name="Comma 4 6 9" xfId="4633" xr:uid="{00000000-0005-0000-0000-0000690A0000}"/>
    <cellStyle name="Comma 4 6 9 2" xfId="13062" xr:uid="{7A5E0268-01B8-484C-AF52-F34BF9E01D7E}"/>
    <cellStyle name="Comma 4 7" xfId="160" xr:uid="{00000000-0005-0000-0000-00006A0A0000}"/>
    <cellStyle name="Comma 4 7 10" xfId="8845" xr:uid="{8C03D6B2-7EB1-4CEE-932B-2F45042B308A}"/>
    <cellStyle name="Comma 4 7 2" xfId="698" xr:uid="{00000000-0005-0000-0000-00006B0A0000}"/>
    <cellStyle name="Comma 4 7 2 2" xfId="2969" xr:uid="{00000000-0005-0000-0000-00006C0A0000}"/>
    <cellStyle name="Comma 4 7 2 2 2" xfId="7193" xr:uid="{00000000-0005-0000-0000-00006D0A0000}"/>
    <cellStyle name="Comma 4 7 2 2 2 2" xfId="15622" xr:uid="{D4CCB7BB-B790-4EB3-94BD-B2E25BE30A29}"/>
    <cellStyle name="Comma 4 7 2 2 3" xfId="11404" xr:uid="{1636B5D4-DF70-404A-93DA-D4F8BEE39BBF}"/>
    <cellStyle name="Comma 4 7 2 3" xfId="5048" xr:uid="{00000000-0005-0000-0000-00006E0A0000}"/>
    <cellStyle name="Comma 4 7 2 3 2" xfId="13477" xr:uid="{5A3454D3-67AA-4117-907D-4C57F121DEF4}"/>
    <cellStyle name="Comma 4 7 2 4" xfId="9259" xr:uid="{4F620B84-7AF7-4F40-92C1-2B8B0FF627C1}"/>
    <cellStyle name="Comma 4 7 3" xfId="1151" xr:uid="{00000000-0005-0000-0000-00006F0A0000}"/>
    <cellStyle name="Comma 4 7 3 2" xfId="3382" xr:uid="{00000000-0005-0000-0000-0000700A0000}"/>
    <cellStyle name="Comma 4 7 3 2 2" xfId="7606" xr:uid="{00000000-0005-0000-0000-0000710A0000}"/>
    <cellStyle name="Comma 4 7 3 2 2 2" xfId="16035" xr:uid="{0486750F-B759-424A-801C-FD87990D86DA}"/>
    <cellStyle name="Comma 4 7 3 2 3" xfId="11817" xr:uid="{55DB0A8F-EF13-4666-8CEA-E371365D78C3}"/>
    <cellStyle name="Comma 4 7 3 3" xfId="5461" xr:uid="{00000000-0005-0000-0000-0000720A0000}"/>
    <cellStyle name="Comma 4 7 3 3 2" xfId="13890" xr:uid="{E97913C3-87D1-4CB0-BEA4-E99DE55ED840}"/>
    <cellStyle name="Comma 4 7 3 4" xfId="9672" xr:uid="{06AD6207-E33B-44B5-9C31-9065631175C1}"/>
    <cellStyle name="Comma 4 7 4" xfId="1565" xr:uid="{00000000-0005-0000-0000-0000730A0000}"/>
    <cellStyle name="Comma 4 7 4 2" xfId="3795" xr:uid="{00000000-0005-0000-0000-0000740A0000}"/>
    <cellStyle name="Comma 4 7 4 2 2" xfId="8019" xr:uid="{00000000-0005-0000-0000-0000750A0000}"/>
    <cellStyle name="Comma 4 7 4 2 2 2" xfId="16448" xr:uid="{C3BAEB94-57C7-4A25-8248-9D6FBDD915F7}"/>
    <cellStyle name="Comma 4 7 4 2 3" xfId="12230" xr:uid="{1302E6A2-2EF5-4A88-9CD5-ABF29BD73355}"/>
    <cellStyle name="Comma 4 7 4 3" xfId="5874" xr:uid="{00000000-0005-0000-0000-0000760A0000}"/>
    <cellStyle name="Comma 4 7 4 3 2" xfId="14303" xr:uid="{AE03F346-F362-48A1-92DC-8ACDD8804B29}"/>
    <cellStyle name="Comma 4 7 4 4" xfId="10085" xr:uid="{979F8F80-9464-4FA7-8195-956E72195CBE}"/>
    <cellStyle name="Comma 4 7 5" xfId="1979" xr:uid="{00000000-0005-0000-0000-0000770A0000}"/>
    <cellStyle name="Comma 4 7 5 2" xfId="4208" xr:uid="{00000000-0005-0000-0000-0000780A0000}"/>
    <cellStyle name="Comma 4 7 5 2 2" xfId="8432" xr:uid="{00000000-0005-0000-0000-0000790A0000}"/>
    <cellStyle name="Comma 4 7 5 2 2 2" xfId="16861" xr:uid="{C500A681-9F7A-4062-8DBD-6B42A166A840}"/>
    <cellStyle name="Comma 4 7 5 2 3" xfId="12643" xr:uid="{2E8D2B3D-28AA-4BAB-8246-A5F810A044C1}"/>
    <cellStyle name="Comma 4 7 5 3" xfId="6287" xr:uid="{00000000-0005-0000-0000-00007A0A0000}"/>
    <cellStyle name="Comma 4 7 5 3 2" xfId="14716" xr:uid="{838F7AFE-87A3-483E-8F65-CE4D9E79F31D}"/>
    <cellStyle name="Comma 4 7 5 4" xfId="10498" xr:uid="{E1B35397-A9BF-4F78-A8CB-4FE7CB9A4F73}"/>
    <cellStyle name="Comma 4 7 6" xfId="2414" xr:uid="{00000000-0005-0000-0000-00007B0A0000}"/>
    <cellStyle name="Comma 4 7 6 2" xfId="6700" xr:uid="{00000000-0005-0000-0000-00007C0A0000}"/>
    <cellStyle name="Comma 4 7 6 2 2" xfId="15129" xr:uid="{6669D919-50C5-42F5-82E5-48EADC23D844}"/>
    <cellStyle name="Comma 4 7 6 3" xfId="10911" xr:uid="{CF887EC6-ACB2-4CDC-8BAB-0046BF24E5E8}"/>
    <cellStyle name="Comma 4 7 7" xfId="2710" xr:uid="{00000000-0005-0000-0000-00007D0A0000}"/>
    <cellStyle name="Comma 4 7 8" xfId="2792" xr:uid="{00000000-0005-0000-0000-00007E0A0000}"/>
    <cellStyle name="Comma 4 7 8 2" xfId="7017" xr:uid="{00000000-0005-0000-0000-00007F0A0000}"/>
    <cellStyle name="Comma 4 7 8 2 2" xfId="15446" xr:uid="{AEA1F72B-4A85-45EE-B40C-F40305BB2C1C}"/>
    <cellStyle name="Comma 4 7 8 3" xfId="11228" xr:uid="{439EE2D2-287B-41FB-905A-BADBF403426F}"/>
    <cellStyle name="Comma 4 7 9" xfId="4634" xr:uid="{00000000-0005-0000-0000-0000800A0000}"/>
    <cellStyle name="Comma 4 7 9 2" xfId="13063" xr:uid="{A12F5CBA-E977-4D08-9C85-537E519BFD88}"/>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omma 7 2" xfId="12931" xr:uid="{F7DC2F1F-5A2E-42BB-BE4A-8F68F54FA81A}"/>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14 2" xfId="12934" xr:uid="{C6AE271C-93E5-4873-BC32-72DB0B84DAC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0 2 2" xfId="15447" xr:uid="{00B3DFAB-C2DF-49C6-8975-883E53EC83F6}"/>
    <cellStyle name="Currency 3 2 2 10 3" xfId="11229" xr:uid="{38FF958B-0C86-4856-A2CE-8DE2D0085374}"/>
    <cellStyle name="Currency 3 2 2 11" xfId="4635" xr:uid="{00000000-0005-0000-0000-0000A50A0000}"/>
    <cellStyle name="Currency 3 2 2 11 2" xfId="13064" xr:uid="{36624999-6743-482F-86C5-678C07AB66B1}"/>
    <cellStyle name="Currency 3 2 2 12" xfId="8846" xr:uid="{1A5F336E-ECB6-49AF-A8AD-5EA506095D52}"/>
    <cellStyle name="Currency 3 2 2 2" xfId="179" xr:uid="{00000000-0005-0000-0000-0000A60A0000}"/>
    <cellStyle name="Currency 3 2 2 2 10" xfId="4636" xr:uid="{00000000-0005-0000-0000-0000A70A0000}"/>
    <cellStyle name="Currency 3 2 2 2 10 2" xfId="13065" xr:uid="{2D20AFE1-DFC2-4DDF-BBBB-81F82E5910AD}"/>
    <cellStyle name="Currency 3 2 2 2 11" xfId="8847" xr:uid="{358190F3-06BB-483E-956E-9B96D920786B}"/>
    <cellStyle name="Currency 3 2 2 2 2" xfId="180" xr:uid="{00000000-0005-0000-0000-0000A80A0000}"/>
    <cellStyle name="Currency 3 2 2 2 2 10" xfId="8848" xr:uid="{C802EFC1-FF6E-4E1E-B4AA-411A111712F4}"/>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2 2 2" xfId="15625" xr:uid="{C4DB4D2C-4DBF-4040-8D7A-7FED10ADC7E9}"/>
    <cellStyle name="Currency 3 2 2 2 2 2 2 3" xfId="11407" xr:uid="{E6256390-D391-42CD-B1EC-B7674D13D683}"/>
    <cellStyle name="Currency 3 2 2 2 2 2 3" xfId="5051" xr:uid="{00000000-0005-0000-0000-0000AC0A0000}"/>
    <cellStyle name="Currency 3 2 2 2 2 2 3 2" xfId="13480" xr:uid="{183CF167-53EA-4DE8-9749-7B6218FC034E}"/>
    <cellStyle name="Currency 3 2 2 2 2 2 4" xfId="9262" xr:uid="{FF879ABB-643F-492E-822C-4D4D8C9C0159}"/>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2 2 2" xfId="16038" xr:uid="{EF006D24-919B-45B1-A0E5-FF49670E3C3E}"/>
    <cellStyle name="Currency 3 2 2 2 2 3 2 3" xfId="11820" xr:uid="{A11650C6-77D5-4D06-911C-56C608BB8976}"/>
    <cellStyle name="Currency 3 2 2 2 2 3 3" xfId="5464" xr:uid="{00000000-0005-0000-0000-0000B00A0000}"/>
    <cellStyle name="Currency 3 2 2 2 2 3 3 2" xfId="13893" xr:uid="{1D19B6DC-BC2A-4643-A619-83828F4E7AE1}"/>
    <cellStyle name="Currency 3 2 2 2 2 3 4" xfId="9675" xr:uid="{EB85404C-940C-4A61-8826-EEDEE136A383}"/>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2 2 2" xfId="16451" xr:uid="{0FD0C355-1673-4655-BED7-28611081999C}"/>
    <cellStyle name="Currency 3 2 2 2 2 4 2 3" xfId="12233" xr:uid="{CE2F5BEB-28CA-4F3C-887C-83B82C1DD302}"/>
    <cellStyle name="Currency 3 2 2 2 2 4 3" xfId="5877" xr:uid="{00000000-0005-0000-0000-0000B40A0000}"/>
    <cellStyle name="Currency 3 2 2 2 2 4 3 2" xfId="14306" xr:uid="{90EB5EFB-E750-4828-85EB-30477144B00B}"/>
    <cellStyle name="Currency 3 2 2 2 2 4 4" xfId="10088" xr:uid="{5E8DA917-1E18-4ECA-A3A7-0A1B0DB2D035}"/>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2 2 2" xfId="16864" xr:uid="{63A67F65-941D-4D58-A7E8-834431A1D000}"/>
    <cellStyle name="Currency 3 2 2 2 2 5 2 3" xfId="12646" xr:uid="{F56B03A9-234E-49C8-B13E-76BAACB53028}"/>
    <cellStyle name="Currency 3 2 2 2 2 5 3" xfId="6290" xr:uid="{00000000-0005-0000-0000-0000B80A0000}"/>
    <cellStyle name="Currency 3 2 2 2 2 5 3 2" xfId="14719" xr:uid="{B0093519-007A-4B72-9618-9B5A588DBB08}"/>
    <cellStyle name="Currency 3 2 2 2 2 5 4" xfId="10501" xr:uid="{BC8D10FA-3B17-4594-ABAC-6C3448F3F38D}"/>
    <cellStyle name="Currency 3 2 2 2 2 6" xfId="2417" xr:uid="{00000000-0005-0000-0000-0000B90A0000}"/>
    <cellStyle name="Currency 3 2 2 2 2 6 2" xfId="6703" xr:uid="{00000000-0005-0000-0000-0000BA0A0000}"/>
    <cellStyle name="Currency 3 2 2 2 2 6 2 2" xfId="15132" xr:uid="{E1F142BD-B57D-43F4-AAFC-429FABA27093}"/>
    <cellStyle name="Currency 3 2 2 2 2 6 3" xfId="10914" xr:uid="{CBEE7A80-E2EE-4610-9769-C6F131B939C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8 2 2" xfId="15449" xr:uid="{1F93017E-43C8-4ACC-8E6B-C0E6B5996054}"/>
    <cellStyle name="Currency 3 2 2 2 2 8 3" xfId="11231" xr:uid="{11739F5A-F8DB-4EC6-BA09-1D23889873F5}"/>
    <cellStyle name="Currency 3 2 2 2 2 9" xfId="4637" xr:uid="{00000000-0005-0000-0000-0000BE0A0000}"/>
    <cellStyle name="Currency 3 2 2 2 2 9 2" xfId="13066" xr:uid="{5E5765DB-43CA-49C1-B4B1-E3E35FFEE015}"/>
    <cellStyle name="Currency 3 2 2 2 3" xfId="710" xr:uid="{00000000-0005-0000-0000-0000BF0A0000}"/>
    <cellStyle name="Currency 3 2 2 2 3 2" xfId="2971" xr:uid="{00000000-0005-0000-0000-0000C00A0000}"/>
    <cellStyle name="Currency 3 2 2 2 3 2 2" xfId="7195" xr:uid="{00000000-0005-0000-0000-0000C10A0000}"/>
    <cellStyle name="Currency 3 2 2 2 3 2 2 2" xfId="15624" xr:uid="{024F659D-865C-4D6D-974C-8FB00E5512F8}"/>
    <cellStyle name="Currency 3 2 2 2 3 2 3" xfId="11406" xr:uid="{239FF82B-BD9F-40F8-9AB6-AFC4F522E4FB}"/>
    <cellStyle name="Currency 3 2 2 2 3 3" xfId="5050" xr:uid="{00000000-0005-0000-0000-0000C20A0000}"/>
    <cellStyle name="Currency 3 2 2 2 3 3 2" xfId="13479" xr:uid="{842E31E6-CEB3-4EDB-81B5-C6E504F5A9E5}"/>
    <cellStyle name="Currency 3 2 2 2 3 4" xfId="9261" xr:uid="{B655DDFF-E80A-42CF-9977-345D09D4A4BF}"/>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2 2 2" xfId="16037" xr:uid="{48FAE347-EC07-4AF1-B6DE-732A0A4B5691}"/>
    <cellStyle name="Currency 3 2 2 2 4 2 3" xfId="11819" xr:uid="{795398DD-ABF3-445C-8EE6-79D3F0869C22}"/>
    <cellStyle name="Currency 3 2 2 2 4 3" xfId="5463" xr:uid="{00000000-0005-0000-0000-0000C60A0000}"/>
    <cellStyle name="Currency 3 2 2 2 4 3 2" xfId="13892" xr:uid="{2F3A3AC7-94B3-4C4A-85C0-46F57A2C4D12}"/>
    <cellStyle name="Currency 3 2 2 2 4 4" xfId="9674" xr:uid="{5CC7B59C-5F35-4B54-9D31-8A3B6AA35F9C}"/>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2 2 2" xfId="16450" xr:uid="{D3FB34FF-5187-4080-9C5D-5E490C4E4FFD}"/>
    <cellStyle name="Currency 3 2 2 2 5 2 3" xfId="12232" xr:uid="{E01D2534-B530-4E51-956A-4A4A3FDEB16F}"/>
    <cellStyle name="Currency 3 2 2 2 5 3" xfId="5876" xr:uid="{00000000-0005-0000-0000-0000CA0A0000}"/>
    <cellStyle name="Currency 3 2 2 2 5 3 2" xfId="14305" xr:uid="{5E4A2CDC-3190-4B3C-9A9F-3132BFF848E3}"/>
    <cellStyle name="Currency 3 2 2 2 5 4" xfId="10087" xr:uid="{C0E34B66-53F5-4AEA-BE5E-84DAED241854}"/>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2 2 2" xfId="16863" xr:uid="{987D3237-4AF9-4BDF-B8BA-EC5401CC8AA0}"/>
    <cellStyle name="Currency 3 2 2 2 6 2 3" xfId="12645" xr:uid="{BFC96BEF-CCB1-4140-B5DD-9298FC165300}"/>
    <cellStyle name="Currency 3 2 2 2 6 3" xfId="6289" xr:uid="{00000000-0005-0000-0000-0000CE0A0000}"/>
    <cellStyle name="Currency 3 2 2 2 6 3 2" xfId="14718" xr:uid="{2B56B1E9-8980-4D00-92EC-CAC0C763FD55}"/>
    <cellStyle name="Currency 3 2 2 2 6 4" xfId="10500" xr:uid="{FBAB033B-C993-4A3A-B356-3F45F4932CE8}"/>
    <cellStyle name="Currency 3 2 2 2 7" xfId="2416" xr:uid="{00000000-0005-0000-0000-0000CF0A0000}"/>
    <cellStyle name="Currency 3 2 2 2 7 2" xfId="6702" xr:uid="{00000000-0005-0000-0000-0000D00A0000}"/>
    <cellStyle name="Currency 3 2 2 2 7 2 2" xfId="15131" xr:uid="{7E66642A-5FFC-42F5-8A11-1480A939B47E}"/>
    <cellStyle name="Currency 3 2 2 2 7 3" xfId="10913" xr:uid="{6326F4BD-0B50-4A96-BF7F-4185BBCC4A53}"/>
    <cellStyle name="Currency 3 2 2 2 8" xfId="2713" xr:uid="{00000000-0005-0000-0000-0000D10A0000}"/>
    <cellStyle name="Currency 3 2 2 2 9" xfId="2794" xr:uid="{00000000-0005-0000-0000-0000D20A0000}"/>
    <cellStyle name="Currency 3 2 2 2 9 2" xfId="7019" xr:uid="{00000000-0005-0000-0000-0000D30A0000}"/>
    <cellStyle name="Currency 3 2 2 2 9 2 2" xfId="15448" xr:uid="{5A0C23A1-E955-498C-9C54-8FCC1187489F}"/>
    <cellStyle name="Currency 3 2 2 2 9 3" xfId="11230" xr:uid="{D3DDE7E5-53E9-4CB5-926D-BDFEBF318E2A}"/>
    <cellStyle name="Currency 3 2 2 3" xfId="181" xr:uid="{00000000-0005-0000-0000-0000D40A0000}"/>
    <cellStyle name="Currency 3 2 2 3 10" xfId="8849" xr:uid="{5EDE657E-0A24-4C72-A688-EF44A55258E7}"/>
    <cellStyle name="Currency 3 2 2 3 2" xfId="712" xr:uid="{00000000-0005-0000-0000-0000D50A0000}"/>
    <cellStyle name="Currency 3 2 2 3 2 2" xfId="2973" xr:uid="{00000000-0005-0000-0000-0000D60A0000}"/>
    <cellStyle name="Currency 3 2 2 3 2 2 2" xfId="7197" xr:uid="{00000000-0005-0000-0000-0000D70A0000}"/>
    <cellStyle name="Currency 3 2 2 3 2 2 2 2" xfId="15626" xr:uid="{9E69A3A6-3DD4-46CF-B17D-7F13738E2379}"/>
    <cellStyle name="Currency 3 2 2 3 2 2 3" xfId="11408" xr:uid="{55A96F20-E428-4C02-9408-9FACCD6F8B70}"/>
    <cellStyle name="Currency 3 2 2 3 2 3" xfId="5052" xr:uid="{00000000-0005-0000-0000-0000D80A0000}"/>
    <cellStyle name="Currency 3 2 2 3 2 3 2" xfId="13481" xr:uid="{65228587-C671-49E7-B6DB-6853780F4A33}"/>
    <cellStyle name="Currency 3 2 2 3 2 4" xfId="9263" xr:uid="{85FE6510-A2E5-4525-80AF-25D2C4D1E317}"/>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2 2 2" xfId="16039" xr:uid="{9DEF765A-7EB3-468C-BBCC-8D8EF9F0B87D}"/>
    <cellStyle name="Currency 3 2 2 3 3 2 3" xfId="11821" xr:uid="{F13FD659-DAD3-4C45-81BA-C74840DD8406}"/>
    <cellStyle name="Currency 3 2 2 3 3 3" xfId="5465" xr:uid="{00000000-0005-0000-0000-0000DC0A0000}"/>
    <cellStyle name="Currency 3 2 2 3 3 3 2" xfId="13894" xr:uid="{21E450BE-D2A8-4E64-AFA0-54DB744FBB71}"/>
    <cellStyle name="Currency 3 2 2 3 3 4" xfId="9676" xr:uid="{F20312EE-1B18-4303-9412-E8C429C9A295}"/>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2 2 2" xfId="16452" xr:uid="{E15628DA-54AE-454C-9ACA-D34C69F2097D}"/>
    <cellStyle name="Currency 3 2 2 3 4 2 3" xfId="12234" xr:uid="{FE3C50F2-FFA3-46C8-A3A7-605C3AF82E3F}"/>
    <cellStyle name="Currency 3 2 2 3 4 3" xfId="5878" xr:uid="{00000000-0005-0000-0000-0000E00A0000}"/>
    <cellStyle name="Currency 3 2 2 3 4 3 2" xfId="14307" xr:uid="{0A6A1B84-9D63-4ED5-9DD9-911B261C3913}"/>
    <cellStyle name="Currency 3 2 2 3 4 4" xfId="10089" xr:uid="{EDE759A4-86A0-4D6E-95A4-4FB8FA9B2481}"/>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2 2 2" xfId="16865" xr:uid="{2312E022-79AD-4A18-AAE7-3A64CACEC1C6}"/>
    <cellStyle name="Currency 3 2 2 3 5 2 3" xfId="12647" xr:uid="{21D0386B-A4D9-4639-95BB-433A6902318A}"/>
    <cellStyle name="Currency 3 2 2 3 5 3" xfId="6291" xr:uid="{00000000-0005-0000-0000-0000E40A0000}"/>
    <cellStyle name="Currency 3 2 2 3 5 3 2" xfId="14720" xr:uid="{A7709653-B748-4936-9808-3B0CA001B0E2}"/>
    <cellStyle name="Currency 3 2 2 3 5 4" xfId="10502" xr:uid="{427D016A-DE01-4B6D-A2E5-17C80EFD1FB8}"/>
    <cellStyle name="Currency 3 2 2 3 6" xfId="2418" xr:uid="{00000000-0005-0000-0000-0000E50A0000}"/>
    <cellStyle name="Currency 3 2 2 3 6 2" xfId="6704" xr:uid="{00000000-0005-0000-0000-0000E60A0000}"/>
    <cellStyle name="Currency 3 2 2 3 6 2 2" xfId="15133" xr:uid="{03929FEA-255C-41CD-A721-B406B4FFA61A}"/>
    <cellStyle name="Currency 3 2 2 3 6 3" xfId="10915" xr:uid="{5BC0B7DD-B05E-4BD3-9274-378766223C14}"/>
    <cellStyle name="Currency 3 2 2 3 7" xfId="2715" xr:uid="{00000000-0005-0000-0000-0000E70A0000}"/>
    <cellStyle name="Currency 3 2 2 3 8" xfId="2796" xr:uid="{00000000-0005-0000-0000-0000E80A0000}"/>
    <cellStyle name="Currency 3 2 2 3 8 2" xfId="7021" xr:uid="{00000000-0005-0000-0000-0000E90A0000}"/>
    <cellStyle name="Currency 3 2 2 3 8 2 2" xfId="15450" xr:uid="{B9FE8ACA-5AAA-43F2-9862-8F5DE76A0CE5}"/>
    <cellStyle name="Currency 3 2 2 3 8 3" xfId="11232" xr:uid="{0DBBF1DD-B0EF-46F7-ABDD-81311706BB56}"/>
    <cellStyle name="Currency 3 2 2 3 9" xfId="4638" xr:uid="{00000000-0005-0000-0000-0000EA0A0000}"/>
    <cellStyle name="Currency 3 2 2 3 9 2" xfId="13067" xr:uid="{863BBBC8-136E-4C60-9626-AD11DE708982}"/>
    <cellStyle name="Currency 3 2 2 4" xfId="709" xr:uid="{00000000-0005-0000-0000-0000EB0A0000}"/>
    <cellStyle name="Currency 3 2 2 4 2" xfId="2970" xr:uid="{00000000-0005-0000-0000-0000EC0A0000}"/>
    <cellStyle name="Currency 3 2 2 4 2 2" xfId="7194" xr:uid="{00000000-0005-0000-0000-0000ED0A0000}"/>
    <cellStyle name="Currency 3 2 2 4 2 2 2" xfId="15623" xr:uid="{B229B337-4B01-44AE-9040-94402CFC1CED}"/>
    <cellStyle name="Currency 3 2 2 4 2 3" xfId="11405" xr:uid="{F8255E3B-062A-4618-9352-6B037ECDA8A9}"/>
    <cellStyle name="Currency 3 2 2 4 3" xfId="5049" xr:uid="{00000000-0005-0000-0000-0000EE0A0000}"/>
    <cellStyle name="Currency 3 2 2 4 3 2" xfId="13478" xr:uid="{EDBF0F23-9DAF-4B46-AFE7-364FEC74613C}"/>
    <cellStyle name="Currency 3 2 2 4 4" xfId="9260" xr:uid="{7F848BDA-2FB6-41F5-87B3-F50E985BCD10}"/>
    <cellStyle name="Currency 3 2 2 5" xfId="1152" xr:uid="{00000000-0005-0000-0000-0000EF0A0000}"/>
    <cellStyle name="Currency 3 2 2 5 2" xfId="3383" xr:uid="{00000000-0005-0000-0000-0000F00A0000}"/>
    <cellStyle name="Currency 3 2 2 5 2 2" xfId="7607" xr:uid="{00000000-0005-0000-0000-0000F10A0000}"/>
    <cellStyle name="Currency 3 2 2 5 2 2 2" xfId="16036" xr:uid="{A8599F70-196A-4D2B-9FEF-60DE583A144C}"/>
    <cellStyle name="Currency 3 2 2 5 2 3" xfId="11818" xr:uid="{D2F1CEFA-FE44-471A-BC87-A21FD83FFC8E}"/>
    <cellStyle name="Currency 3 2 2 5 3" xfId="5462" xr:uid="{00000000-0005-0000-0000-0000F20A0000}"/>
    <cellStyle name="Currency 3 2 2 5 3 2" xfId="13891" xr:uid="{802C8922-884F-43BD-8829-6A6E9DC43277}"/>
    <cellStyle name="Currency 3 2 2 5 4" xfId="9673" xr:uid="{39374646-FB51-4639-83A3-39258DA0C664}"/>
    <cellStyle name="Currency 3 2 2 6" xfId="1566" xr:uid="{00000000-0005-0000-0000-0000F30A0000}"/>
    <cellStyle name="Currency 3 2 2 6 2" xfId="3796" xr:uid="{00000000-0005-0000-0000-0000F40A0000}"/>
    <cellStyle name="Currency 3 2 2 6 2 2" xfId="8020" xr:uid="{00000000-0005-0000-0000-0000F50A0000}"/>
    <cellStyle name="Currency 3 2 2 6 2 2 2" xfId="16449" xr:uid="{93088ECF-AE2C-4E26-A383-AE9432382E45}"/>
    <cellStyle name="Currency 3 2 2 6 2 3" xfId="12231" xr:uid="{58DB8412-B5FD-41FD-AACD-E6ADDBE7E1E1}"/>
    <cellStyle name="Currency 3 2 2 6 3" xfId="5875" xr:uid="{00000000-0005-0000-0000-0000F60A0000}"/>
    <cellStyle name="Currency 3 2 2 6 3 2" xfId="14304" xr:uid="{76523F3F-1363-4AE8-ABFC-103DF531BEF8}"/>
    <cellStyle name="Currency 3 2 2 6 4" xfId="10086" xr:uid="{A68D168D-FFAC-48C4-86F0-1157863F427A}"/>
    <cellStyle name="Currency 3 2 2 7" xfId="1980" xr:uid="{00000000-0005-0000-0000-0000F70A0000}"/>
    <cellStyle name="Currency 3 2 2 7 2" xfId="4209" xr:uid="{00000000-0005-0000-0000-0000F80A0000}"/>
    <cellStyle name="Currency 3 2 2 7 2 2" xfId="8433" xr:uid="{00000000-0005-0000-0000-0000F90A0000}"/>
    <cellStyle name="Currency 3 2 2 7 2 2 2" xfId="16862" xr:uid="{CF3B9A44-A119-41F6-B34E-378FE6EC3F23}"/>
    <cellStyle name="Currency 3 2 2 7 2 3" xfId="12644" xr:uid="{D433218A-FD34-4B04-946A-4193FE2AF603}"/>
    <cellStyle name="Currency 3 2 2 7 3" xfId="6288" xr:uid="{00000000-0005-0000-0000-0000FA0A0000}"/>
    <cellStyle name="Currency 3 2 2 7 3 2" xfId="14717" xr:uid="{23BF0A8A-3382-4CBC-9DEF-A720E89214E0}"/>
    <cellStyle name="Currency 3 2 2 7 4" xfId="10499" xr:uid="{A4D9C9FE-4720-42AD-8C3F-DBA4DB53F0D0}"/>
    <cellStyle name="Currency 3 2 2 8" xfId="2415" xr:uid="{00000000-0005-0000-0000-0000FB0A0000}"/>
    <cellStyle name="Currency 3 2 2 8 2" xfId="6701" xr:uid="{00000000-0005-0000-0000-0000FC0A0000}"/>
    <cellStyle name="Currency 3 2 2 8 2 2" xfId="15130" xr:uid="{3416B58D-74D1-492E-A9A4-9AD010BE5491}"/>
    <cellStyle name="Currency 3 2 2 8 3" xfId="10912" xr:uid="{9593E3EE-47D1-4029-9864-40B6CAB276D5}"/>
    <cellStyle name="Currency 3 2 2 9" xfId="2712" xr:uid="{00000000-0005-0000-0000-0000FD0A0000}"/>
    <cellStyle name="Currency 3 2 3" xfId="182" xr:uid="{00000000-0005-0000-0000-0000FE0A0000}"/>
    <cellStyle name="Currency 3 2 3 10" xfId="4639" xr:uid="{00000000-0005-0000-0000-0000FF0A0000}"/>
    <cellStyle name="Currency 3 2 3 10 2" xfId="13068" xr:uid="{C67ADB5F-CA87-4285-A3E0-B4474323860A}"/>
    <cellStyle name="Currency 3 2 3 11" xfId="8850" xr:uid="{81C652C5-FBC5-4A03-A71D-BBDE4DFBF0D6}"/>
    <cellStyle name="Currency 3 2 3 2" xfId="183" xr:uid="{00000000-0005-0000-0000-0000000B0000}"/>
    <cellStyle name="Currency 3 2 3 2 10" xfId="8851" xr:uid="{1BCB34DE-F0DD-4682-BCF9-0512F49BDF44}"/>
    <cellStyle name="Currency 3 2 3 2 2" xfId="714" xr:uid="{00000000-0005-0000-0000-0000010B0000}"/>
    <cellStyle name="Currency 3 2 3 2 2 2" xfId="2975" xr:uid="{00000000-0005-0000-0000-0000020B0000}"/>
    <cellStyle name="Currency 3 2 3 2 2 2 2" xfId="7199" xr:uid="{00000000-0005-0000-0000-0000030B0000}"/>
    <cellStyle name="Currency 3 2 3 2 2 2 2 2" xfId="15628" xr:uid="{BB9A5FC1-DE54-4D54-9803-D1EE7E45A258}"/>
    <cellStyle name="Currency 3 2 3 2 2 2 3" xfId="11410" xr:uid="{3FF30B96-6E28-4DEA-BA48-1DAF406ACB04}"/>
    <cellStyle name="Currency 3 2 3 2 2 3" xfId="5054" xr:uid="{00000000-0005-0000-0000-0000040B0000}"/>
    <cellStyle name="Currency 3 2 3 2 2 3 2" xfId="13483" xr:uid="{C105684F-6451-4435-ABC0-DFC13BC23BD2}"/>
    <cellStyle name="Currency 3 2 3 2 2 4" xfId="9265" xr:uid="{2661B71C-2346-4154-8AF8-4381ACD203C7}"/>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2 2 2" xfId="16041" xr:uid="{00D25E4B-C29C-465F-B2F4-9B6113498633}"/>
    <cellStyle name="Currency 3 2 3 2 3 2 3" xfId="11823" xr:uid="{244D9B26-0473-4E3A-986E-162DEB417385}"/>
    <cellStyle name="Currency 3 2 3 2 3 3" xfId="5467" xr:uid="{00000000-0005-0000-0000-0000080B0000}"/>
    <cellStyle name="Currency 3 2 3 2 3 3 2" xfId="13896" xr:uid="{8093EB6E-8792-4D5C-85DE-F082EA512987}"/>
    <cellStyle name="Currency 3 2 3 2 3 4" xfId="9678" xr:uid="{F91531B6-1679-4247-A3CC-3BBAE14D0704}"/>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2 2 2" xfId="16454" xr:uid="{5779629B-629B-4459-AD92-87E90567F2EB}"/>
    <cellStyle name="Currency 3 2 3 2 4 2 3" xfId="12236" xr:uid="{853CC642-4FE4-4C8C-8EC4-6E9327467F1F}"/>
    <cellStyle name="Currency 3 2 3 2 4 3" xfId="5880" xr:uid="{00000000-0005-0000-0000-00000C0B0000}"/>
    <cellStyle name="Currency 3 2 3 2 4 3 2" xfId="14309" xr:uid="{77CBE50B-9580-4A51-970E-136570B38629}"/>
    <cellStyle name="Currency 3 2 3 2 4 4" xfId="10091" xr:uid="{2EF0095C-AEA2-4512-8F93-84D61A04C026}"/>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2 2 2" xfId="16867" xr:uid="{F16482FF-55FE-49B2-9DA3-360B784A4B91}"/>
    <cellStyle name="Currency 3 2 3 2 5 2 3" xfId="12649" xr:uid="{5C5925A8-5853-4A45-90C6-B0D85AD6132B}"/>
    <cellStyle name="Currency 3 2 3 2 5 3" xfId="6293" xr:uid="{00000000-0005-0000-0000-0000100B0000}"/>
    <cellStyle name="Currency 3 2 3 2 5 3 2" xfId="14722" xr:uid="{FF483D95-896A-4F8C-BA40-9F396B29CBD0}"/>
    <cellStyle name="Currency 3 2 3 2 5 4" xfId="10504" xr:uid="{32D4428B-DF8B-4AF0-9BAD-4A939A6EC9DC}"/>
    <cellStyle name="Currency 3 2 3 2 6" xfId="2420" xr:uid="{00000000-0005-0000-0000-0000110B0000}"/>
    <cellStyle name="Currency 3 2 3 2 6 2" xfId="6706" xr:uid="{00000000-0005-0000-0000-0000120B0000}"/>
    <cellStyle name="Currency 3 2 3 2 6 2 2" xfId="15135" xr:uid="{2C0A5369-C43D-4A1B-89C8-4B9705F44BB6}"/>
    <cellStyle name="Currency 3 2 3 2 6 3" xfId="10917" xr:uid="{A7BBE871-14EF-42A4-A015-D519C47D73C5}"/>
    <cellStyle name="Currency 3 2 3 2 7" xfId="2717" xr:uid="{00000000-0005-0000-0000-0000130B0000}"/>
    <cellStyle name="Currency 3 2 3 2 8" xfId="2798" xr:uid="{00000000-0005-0000-0000-0000140B0000}"/>
    <cellStyle name="Currency 3 2 3 2 8 2" xfId="7023" xr:uid="{00000000-0005-0000-0000-0000150B0000}"/>
    <cellStyle name="Currency 3 2 3 2 8 2 2" xfId="15452" xr:uid="{42EDDFF4-070C-4385-8007-EDE5D7126026}"/>
    <cellStyle name="Currency 3 2 3 2 8 3" xfId="11234" xr:uid="{EEC957DE-BE41-451C-A372-6328F454A4FD}"/>
    <cellStyle name="Currency 3 2 3 2 9" xfId="4640" xr:uid="{00000000-0005-0000-0000-0000160B0000}"/>
    <cellStyle name="Currency 3 2 3 2 9 2" xfId="13069" xr:uid="{146E0885-04B2-497B-B242-FB91FD0BFFB3}"/>
    <cellStyle name="Currency 3 2 3 3" xfId="713" xr:uid="{00000000-0005-0000-0000-0000170B0000}"/>
    <cellStyle name="Currency 3 2 3 3 2" xfId="2974" xr:uid="{00000000-0005-0000-0000-0000180B0000}"/>
    <cellStyle name="Currency 3 2 3 3 2 2" xfId="7198" xr:uid="{00000000-0005-0000-0000-0000190B0000}"/>
    <cellStyle name="Currency 3 2 3 3 2 2 2" xfId="15627" xr:uid="{6B055C5C-FAB2-4965-BCCA-C0DEEF0704C4}"/>
    <cellStyle name="Currency 3 2 3 3 2 3" xfId="11409" xr:uid="{34A51E46-2A77-4CDF-A907-93F1BB074066}"/>
    <cellStyle name="Currency 3 2 3 3 3" xfId="5053" xr:uid="{00000000-0005-0000-0000-00001A0B0000}"/>
    <cellStyle name="Currency 3 2 3 3 3 2" xfId="13482" xr:uid="{2AF11F23-7AB3-4285-8C99-7F8F7D9F3054}"/>
    <cellStyle name="Currency 3 2 3 3 4" xfId="9264" xr:uid="{01BAC07A-FF06-4D03-B252-409EE74B8B19}"/>
    <cellStyle name="Currency 3 2 3 4" xfId="1156" xr:uid="{00000000-0005-0000-0000-00001B0B0000}"/>
    <cellStyle name="Currency 3 2 3 4 2" xfId="3387" xr:uid="{00000000-0005-0000-0000-00001C0B0000}"/>
    <cellStyle name="Currency 3 2 3 4 2 2" xfId="7611" xr:uid="{00000000-0005-0000-0000-00001D0B0000}"/>
    <cellStyle name="Currency 3 2 3 4 2 2 2" xfId="16040" xr:uid="{4D87F47B-59E4-4474-B3FB-F1F0A74BFED3}"/>
    <cellStyle name="Currency 3 2 3 4 2 3" xfId="11822" xr:uid="{C0C45809-6B3D-477D-B97B-92A542DD8B55}"/>
    <cellStyle name="Currency 3 2 3 4 3" xfId="5466" xr:uid="{00000000-0005-0000-0000-00001E0B0000}"/>
    <cellStyle name="Currency 3 2 3 4 3 2" xfId="13895" xr:uid="{24E49E06-003C-46C0-AC93-339EF0FF4DE3}"/>
    <cellStyle name="Currency 3 2 3 4 4" xfId="9677" xr:uid="{63A534E9-3A72-46FE-AC13-E965C054B667}"/>
    <cellStyle name="Currency 3 2 3 5" xfId="1570" xr:uid="{00000000-0005-0000-0000-00001F0B0000}"/>
    <cellStyle name="Currency 3 2 3 5 2" xfId="3800" xr:uid="{00000000-0005-0000-0000-0000200B0000}"/>
    <cellStyle name="Currency 3 2 3 5 2 2" xfId="8024" xr:uid="{00000000-0005-0000-0000-0000210B0000}"/>
    <cellStyle name="Currency 3 2 3 5 2 2 2" xfId="16453" xr:uid="{E1B26750-F98A-4108-9CCA-7987B661F4CE}"/>
    <cellStyle name="Currency 3 2 3 5 2 3" xfId="12235" xr:uid="{8E888EF3-83F1-44BF-961B-FE9C0BF2ECE2}"/>
    <cellStyle name="Currency 3 2 3 5 3" xfId="5879" xr:uid="{00000000-0005-0000-0000-0000220B0000}"/>
    <cellStyle name="Currency 3 2 3 5 3 2" xfId="14308" xr:uid="{802AC229-0185-42B3-B22D-90EF83F15D55}"/>
    <cellStyle name="Currency 3 2 3 5 4" xfId="10090" xr:uid="{CE50BAFA-AB06-446E-B69C-D641E44DFBB0}"/>
    <cellStyle name="Currency 3 2 3 6" xfId="1984" xr:uid="{00000000-0005-0000-0000-0000230B0000}"/>
    <cellStyle name="Currency 3 2 3 6 2" xfId="4213" xr:uid="{00000000-0005-0000-0000-0000240B0000}"/>
    <cellStyle name="Currency 3 2 3 6 2 2" xfId="8437" xr:uid="{00000000-0005-0000-0000-0000250B0000}"/>
    <cellStyle name="Currency 3 2 3 6 2 2 2" xfId="16866" xr:uid="{FDA8B40F-2CD4-48FF-B8E4-6FC195275D16}"/>
    <cellStyle name="Currency 3 2 3 6 2 3" xfId="12648" xr:uid="{18ECB547-23A4-4F21-B9A4-AF6421B1EB2D}"/>
    <cellStyle name="Currency 3 2 3 6 3" xfId="6292" xr:uid="{00000000-0005-0000-0000-0000260B0000}"/>
    <cellStyle name="Currency 3 2 3 6 3 2" xfId="14721" xr:uid="{3DD47D6A-FAE5-4789-80A3-22BC6641CF81}"/>
    <cellStyle name="Currency 3 2 3 6 4" xfId="10503" xr:uid="{EC1C7C16-7D3D-4DF8-9872-E43143B1F69C}"/>
    <cellStyle name="Currency 3 2 3 7" xfId="2419" xr:uid="{00000000-0005-0000-0000-0000270B0000}"/>
    <cellStyle name="Currency 3 2 3 7 2" xfId="6705" xr:uid="{00000000-0005-0000-0000-0000280B0000}"/>
    <cellStyle name="Currency 3 2 3 7 2 2" xfId="15134" xr:uid="{A64F148B-BDF4-4B39-A0DF-0A84AA60A74A}"/>
    <cellStyle name="Currency 3 2 3 7 3" xfId="10916" xr:uid="{3BD85253-DCCA-49DE-B38F-547D39B495FB}"/>
    <cellStyle name="Currency 3 2 3 8" xfId="2716" xr:uid="{00000000-0005-0000-0000-0000290B0000}"/>
    <cellStyle name="Currency 3 2 3 9" xfId="2797" xr:uid="{00000000-0005-0000-0000-00002A0B0000}"/>
    <cellStyle name="Currency 3 2 3 9 2" xfId="7022" xr:uid="{00000000-0005-0000-0000-00002B0B0000}"/>
    <cellStyle name="Currency 3 2 3 9 2 2" xfId="15451" xr:uid="{672E5433-5A4F-473F-A4E7-1B0CEBAA87E3}"/>
    <cellStyle name="Currency 3 2 3 9 3" xfId="11233" xr:uid="{353406E0-0905-41E7-A228-08BEE30A664C}"/>
    <cellStyle name="Currency 3 2 4" xfId="184" xr:uid="{00000000-0005-0000-0000-00002C0B0000}"/>
    <cellStyle name="Currency 3 2 4 10" xfId="8852" xr:uid="{60A6E954-4E35-40A1-A939-2C4C831B401C}"/>
    <cellStyle name="Currency 3 2 4 2" xfId="715" xr:uid="{00000000-0005-0000-0000-00002D0B0000}"/>
    <cellStyle name="Currency 3 2 4 2 2" xfId="2976" xr:uid="{00000000-0005-0000-0000-00002E0B0000}"/>
    <cellStyle name="Currency 3 2 4 2 2 2" xfId="7200" xr:uid="{00000000-0005-0000-0000-00002F0B0000}"/>
    <cellStyle name="Currency 3 2 4 2 2 2 2" xfId="15629" xr:uid="{B7B823C0-C45C-4500-8DBC-C58705EAB84F}"/>
    <cellStyle name="Currency 3 2 4 2 2 3" xfId="11411" xr:uid="{1F888281-B0D5-494C-B453-DD194F9B3595}"/>
    <cellStyle name="Currency 3 2 4 2 3" xfId="5055" xr:uid="{00000000-0005-0000-0000-0000300B0000}"/>
    <cellStyle name="Currency 3 2 4 2 3 2" xfId="13484" xr:uid="{29A6C367-CEA8-404A-A548-08D624D9F069}"/>
    <cellStyle name="Currency 3 2 4 2 4" xfId="9266" xr:uid="{EF19FAC5-DFA9-4F20-ACAC-16E531419194}"/>
    <cellStyle name="Currency 3 2 4 3" xfId="1158" xr:uid="{00000000-0005-0000-0000-0000310B0000}"/>
    <cellStyle name="Currency 3 2 4 3 2" xfId="3389" xr:uid="{00000000-0005-0000-0000-0000320B0000}"/>
    <cellStyle name="Currency 3 2 4 3 2 2" xfId="7613" xr:uid="{00000000-0005-0000-0000-0000330B0000}"/>
    <cellStyle name="Currency 3 2 4 3 2 2 2" xfId="16042" xr:uid="{E146181E-2972-4335-94CD-5DA4D0BFC59D}"/>
    <cellStyle name="Currency 3 2 4 3 2 3" xfId="11824" xr:uid="{628C6BF7-DC26-4AA8-8090-FE458025FABD}"/>
    <cellStyle name="Currency 3 2 4 3 3" xfId="5468" xr:uid="{00000000-0005-0000-0000-0000340B0000}"/>
    <cellStyle name="Currency 3 2 4 3 3 2" xfId="13897" xr:uid="{646E327C-8AA0-408B-997E-6A99871114CF}"/>
    <cellStyle name="Currency 3 2 4 3 4" xfId="9679" xr:uid="{1B4C20BC-06B3-4730-86FB-92274A211AE1}"/>
    <cellStyle name="Currency 3 2 4 4" xfId="1572" xr:uid="{00000000-0005-0000-0000-0000350B0000}"/>
    <cellStyle name="Currency 3 2 4 4 2" xfId="3802" xr:uid="{00000000-0005-0000-0000-0000360B0000}"/>
    <cellStyle name="Currency 3 2 4 4 2 2" xfId="8026" xr:uid="{00000000-0005-0000-0000-0000370B0000}"/>
    <cellStyle name="Currency 3 2 4 4 2 2 2" xfId="16455" xr:uid="{63A5AB44-B4C2-44B2-B5E7-52DD8D772F09}"/>
    <cellStyle name="Currency 3 2 4 4 2 3" xfId="12237" xr:uid="{7F90010E-DB20-4597-AFA3-C576DFC90D50}"/>
    <cellStyle name="Currency 3 2 4 4 3" xfId="5881" xr:uid="{00000000-0005-0000-0000-0000380B0000}"/>
    <cellStyle name="Currency 3 2 4 4 3 2" xfId="14310" xr:uid="{2D3E4D89-8785-43DD-9217-D7CD45B02DB2}"/>
    <cellStyle name="Currency 3 2 4 4 4" xfId="10092" xr:uid="{769731DD-6A59-41E4-8BEE-E29B83A068AE}"/>
    <cellStyle name="Currency 3 2 4 5" xfId="1986" xr:uid="{00000000-0005-0000-0000-0000390B0000}"/>
    <cellStyle name="Currency 3 2 4 5 2" xfId="4215" xr:uid="{00000000-0005-0000-0000-00003A0B0000}"/>
    <cellStyle name="Currency 3 2 4 5 2 2" xfId="8439" xr:uid="{00000000-0005-0000-0000-00003B0B0000}"/>
    <cellStyle name="Currency 3 2 4 5 2 2 2" xfId="16868" xr:uid="{A8768009-D4DB-4095-AA6D-30245FE6C821}"/>
    <cellStyle name="Currency 3 2 4 5 2 3" xfId="12650" xr:uid="{1BA4F3BB-EF09-4405-A53D-AE3F4B877246}"/>
    <cellStyle name="Currency 3 2 4 5 3" xfId="6294" xr:uid="{00000000-0005-0000-0000-00003C0B0000}"/>
    <cellStyle name="Currency 3 2 4 5 3 2" xfId="14723" xr:uid="{46B15A7D-CF7A-4C46-B2A9-17E30437A288}"/>
    <cellStyle name="Currency 3 2 4 5 4" xfId="10505" xr:uid="{E2FA12DC-4CA5-478B-B69E-E824615431A9}"/>
    <cellStyle name="Currency 3 2 4 6" xfId="2421" xr:uid="{00000000-0005-0000-0000-00003D0B0000}"/>
    <cellStyle name="Currency 3 2 4 6 2" xfId="6707" xr:uid="{00000000-0005-0000-0000-00003E0B0000}"/>
    <cellStyle name="Currency 3 2 4 6 2 2" xfId="15136" xr:uid="{230B0B28-391B-4744-9061-A6E7C967AE70}"/>
    <cellStyle name="Currency 3 2 4 6 3" xfId="10918" xr:uid="{93DC3964-475A-4DD3-901E-F668202F5C1B}"/>
    <cellStyle name="Currency 3 2 4 7" xfId="2718" xr:uid="{00000000-0005-0000-0000-00003F0B0000}"/>
    <cellStyle name="Currency 3 2 4 8" xfId="2799" xr:uid="{00000000-0005-0000-0000-0000400B0000}"/>
    <cellStyle name="Currency 3 2 4 8 2" xfId="7024" xr:uid="{00000000-0005-0000-0000-0000410B0000}"/>
    <cellStyle name="Currency 3 2 4 8 2 2" xfId="15453" xr:uid="{FAC01665-F9FB-48F3-AFD5-2D58FA5E5E1A}"/>
    <cellStyle name="Currency 3 2 4 8 3" xfId="11235" xr:uid="{BCCFEADF-3FE7-49C6-999E-E11FBBE6151D}"/>
    <cellStyle name="Currency 3 2 4 9" xfId="4641" xr:uid="{00000000-0005-0000-0000-0000420B0000}"/>
    <cellStyle name="Currency 3 2 4 9 2" xfId="13070" xr:uid="{E40AEA75-1E0F-4BD3-8F8F-4BCFDF2DF13D}"/>
    <cellStyle name="Currency 3 2 5" xfId="185" xr:uid="{00000000-0005-0000-0000-0000430B0000}"/>
    <cellStyle name="Currency 3 2 5 10" xfId="8853" xr:uid="{990DD03E-9293-4C6D-AB28-57C236E2EF7B}"/>
    <cellStyle name="Currency 3 2 5 2" xfId="716" xr:uid="{00000000-0005-0000-0000-0000440B0000}"/>
    <cellStyle name="Currency 3 2 5 2 2" xfId="2977" xr:uid="{00000000-0005-0000-0000-0000450B0000}"/>
    <cellStyle name="Currency 3 2 5 2 2 2" xfId="7201" xr:uid="{00000000-0005-0000-0000-0000460B0000}"/>
    <cellStyle name="Currency 3 2 5 2 2 2 2" xfId="15630" xr:uid="{0DEAD512-4645-41B7-9856-39327860735E}"/>
    <cellStyle name="Currency 3 2 5 2 2 3" xfId="11412" xr:uid="{3AB6B0ED-B256-4570-8A39-99138EE32DC0}"/>
    <cellStyle name="Currency 3 2 5 2 3" xfId="5056" xr:uid="{00000000-0005-0000-0000-0000470B0000}"/>
    <cellStyle name="Currency 3 2 5 2 3 2" xfId="13485" xr:uid="{F7C262CE-3798-4B99-882B-7D0CE0A23E79}"/>
    <cellStyle name="Currency 3 2 5 2 4" xfId="9267" xr:uid="{814C495D-7603-4D1B-B98E-16457F968B3F}"/>
    <cellStyle name="Currency 3 2 5 3" xfId="1159" xr:uid="{00000000-0005-0000-0000-0000480B0000}"/>
    <cellStyle name="Currency 3 2 5 3 2" xfId="3390" xr:uid="{00000000-0005-0000-0000-0000490B0000}"/>
    <cellStyle name="Currency 3 2 5 3 2 2" xfId="7614" xr:uid="{00000000-0005-0000-0000-00004A0B0000}"/>
    <cellStyle name="Currency 3 2 5 3 2 2 2" xfId="16043" xr:uid="{CF29CA8B-0C97-4146-BB03-981ADEDBDCB4}"/>
    <cellStyle name="Currency 3 2 5 3 2 3" xfId="11825" xr:uid="{60E40736-BD68-49E4-BAD3-D09B5040888E}"/>
    <cellStyle name="Currency 3 2 5 3 3" xfId="5469" xr:uid="{00000000-0005-0000-0000-00004B0B0000}"/>
    <cellStyle name="Currency 3 2 5 3 3 2" xfId="13898" xr:uid="{3DA97EF5-3070-4764-A9CE-37205177AD5F}"/>
    <cellStyle name="Currency 3 2 5 3 4" xfId="9680" xr:uid="{BDC9F795-F00E-4E37-958E-0357FC746E97}"/>
    <cellStyle name="Currency 3 2 5 4" xfId="1573" xr:uid="{00000000-0005-0000-0000-00004C0B0000}"/>
    <cellStyle name="Currency 3 2 5 4 2" xfId="3803" xr:uid="{00000000-0005-0000-0000-00004D0B0000}"/>
    <cellStyle name="Currency 3 2 5 4 2 2" xfId="8027" xr:uid="{00000000-0005-0000-0000-00004E0B0000}"/>
    <cellStyle name="Currency 3 2 5 4 2 2 2" xfId="16456" xr:uid="{B159258F-9C39-4628-895C-54176AF64739}"/>
    <cellStyle name="Currency 3 2 5 4 2 3" xfId="12238" xr:uid="{3E40BF0E-3521-4AE9-833D-B41C6A841DE2}"/>
    <cellStyle name="Currency 3 2 5 4 3" xfId="5882" xr:uid="{00000000-0005-0000-0000-00004F0B0000}"/>
    <cellStyle name="Currency 3 2 5 4 3 2" xfId="14311" xr:uid="{89773449-60AD-40DE-ADFD-04AAC3812CF2}"/>
    <cellStyle name="Currency 3 2 5 4 4" xfId="10093" xr:uid="{7AF353E0-9A63-41E2-9013-9B8A0E203B88}"/>
    <cellStyle name="Currency 3 2 5 5" xfId="1987" xr:uid="{00000000-0005-0000-0000-0000500B0000}"/>
    <cellStyle name="Currency 3 2 5 5 2" xfId="4216" xr:uid="{00000000-0005-0000-0000-0000510B0000}"/>
    <cellStyle name="Currency 3 2 5 5 2 2" xfId="8440" xr:uid="{00000000-0005-0000-0000-0000520B0000}"/>
    <cellStyle name="Currency 3 2 5 5 2 2 2" xfId="16869" xr:uid="{F8206DB3-874A-4F75-8253-0C27AC672DD7}"/>
    <cellStyle name="Currency 3 2 5 5 2 3" xfId="12651" xr:uid="{AF89FDBE-B572-4CA3-AC5A-1AA2E9F149F3}"/>
    <cellStyle name="Currency 3 2 5 5 3" xfId="6295" xr:uid="{00000000-0005-0000-0000-0000530B0000}"/>
    <cellStyle name="Currency 3 2 5 5 3 2" xfId="14724" xr:uid="{0C6BABD1-E20E-4A91-916E-88EFC768A9D3}"/>
    <cellStyle name="Currency 3 2 5 5 4" xfId="10506" xr:uid="{A0FB21CC-F6F9-46F0-A5B6-6275C98310E0}"/>
    <cellStyle name="Currency 3 2 5 6" xfId="2422" xr:uid="{00000000-0005-0000-0000-0000540B0000}"/>
    <cellStyle name="Currency 3 2 5 6 2" xfId="6708" xr:uid="{00000000-0005-0000-0000-0000550B0000}"/>
    <cellStyle name="Currency 3 2 5 6 2 2" xfId="15137" xr:uid="{24EAA576-6606-4718-B280-FF2F2725E748}"/>
    <cellStyle name="Currency 3 2 5 6 3" xfId="10919" xr:uid="{DF9E0C5B-4871-4BDD-AA49-05B718C2381F}"/>
    <cellStyle name="Currency 3 2 5 7" xfId="2719" xr:uid="{00000000-0005-0000-0000-0000560B0000}"/>
    <cellStyle name="Currency 3 2 5 8" xfId="2800" xr:uid="{00000000-0005-0000-0000-0000570B0000}"/>
    <cellStyle name="Currency 3 2 5 8 2" xfId="7025" xr:uid="{00000000-0005-0000-0000-0000580B0000}"/>
    <cellStyle name="Currency 3 2 5 8 2 2" xfId="15454" xr:uid="{3EB2790D-8CD1-4000-8A32-C0EADF57E884}"/>
    <cellStyle name="Currency 3 2 5 8 3" xfId="11236" xr:uid="{B2C86586-3142-408E-9777-1DBBD5CCF175}"/>
    <cellStyle name="Currency 3 2 5 9" xfId="4642" xr:uid="{00000000-0005-0000-0000-0000590B0000}"/>
    <cellStyle name="Currency 3 2 5 9 2" xfId="13071" xr:uid="{0AC54DAC-033F-49C9-B952-CDB20E8FA914}"/>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0 2 2" xfId="15455" xr:uid="{A7CE4535-A5FD-4A22-9F83-900E01810622}"/>
    <cellStyle name="Currency 5 2 2 2 10 3" xfId="11237" xr:uid="{20391C86-A691-4C6B-8023-2643E4F87D40}"/>
    <cellStyle name="Currency 5 2 2 2 11" xfId="4643" xr:uid="{00000000-0005-0000-0000-00006C0B0000}"/>
    <cellStyle name="Currency 5 2 2 2 11 2" xfId="13072" xr:uid="{A71DAA92-CC67-444B-B770-ECC8612610C3}"/>
    <cellStyle name="Currency 5 2 2 2 12" xfId="8854" xr:uid="{76AA2B35-CF86-4206-A7F7-2761EC029DD4}"/>
    <cellStyle name="Currency 5 2 2 2 2" xfId="197" xr:uid="{00000000-0005-0000-0000-00006D0B0000}"/>
    <cellStyle name="Currency 5 2 2 2 2 10" xfId="4644" xr:uid="{00000000-0005-0000-0000-00006E0B0000}"/>
    <cellStyle name="Currency 5 2 2 2 2 10 2" xfId="13073" xr:uid="{EC0C7593-E8FC-4C9F-8D6A-DBFA4E269BAB}"/>
    <cellStyle name="Currency 5 2 2 2 2 11" xfId="8855" xr:uid="{DE59C41C-81A3-4F86-85E6-A72E31D21DF6}"/>
    <cellStyle name="Currency 5 2 2 2 2 2" xfId="198" xr:uid="{00000000-0005-0000-0000-00006F0B0000}"/>
    <cellStyle name="Currency 5 2 2 2 2 2 10" xfId="8856" xr:uid="{6BCB7557-0DC2-41DB-9970-3DA36DB45D17}"/>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2 2 2" xfId="15633" xr:uid="{75676301-164C-4E84-BA7F-83FB293B305C}"/>
    <cellStyle name="Currency 5 2 2 2 2 2 2 2 3" xfId="11415" xr:uid="{3B52BB4E-920C-4E9F-82F7-1E2606C3B970}"/>
    <cellStyle name="Currency 5 2 2 2 2 2 2 3" xfId="5059" xr:uid="{00000000-0005-0000-0000-0000730B0000}"/>
    <cellStyle name="Currency 5 2 2 2 2 2 2 3 2" xfId="13488" xr:uid="{1516E148-1302-4B5F-A54A-7E6D62F3ECF6}"/>
    <cellStyle name="Currency 5 2 2 2 2 2 2 4" xfId="9270" xr:uid="{17D86B5C-4882-426C-91CA-6D0E47411623}"/>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2 2 2" xfId="16046" xr:uid="{D46E1FDD-2C4F-4C3A-B7E1-B32B3EA17665}"/>
    <cellStyle name="Currency 5 2 2 2 2 2 3 2 3" xfId="11828" xr:uid="{CAEE54A9-4489-4410-83C5-1F01240A00DF}"/>
    <cellStyle name="Currency 5 2 2 2 2 2 3 3" xfId="5472" xr:uid="{00000000-0005-0000-0000-0000770B0000}"/>
    <cellStyle name="Currency 5 2 2 2 2 2 3 3 2" xfId="13901" xr:uid="{5CEF490E-CB66-48D0-BC60-19982E3C717D}"/>
    <cellStyle name="Currency 5 2 2 2 2 2 3 4" xfId="9683" xr:uid="{A0B23837-A0E1-4CFC-A7CB-887332498ED1}"/>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2 2 2" xfId="16459" xr:uid="{7DF4176B-842E-4A0A-9E32-0486AE4941F5}"/>
    <cellStyle name="Currency 5 2 2 2 2 2 4 2 3" xfId="12241" xr:uid="{731A46FB-24AB-40C5-968F-FFCDBE9473E6}"/>
    <cellStyle name="Currency 5 2 2 2 2 2 4 3" xfId="5885" xr:uid="{00000000-0005-0000-0000-00007B0B0000}"/>
    <cellStyle name="Currency 5 2 2 2 2 2 4 3 2" xfId="14314" xr:uid="{60AEF84B-6197-4672-9469-803D957DEC96}"/>
    <cellStyle name="Currency 5 2 2 2 2 2 4 4" xfId="10096" xr:uid="{2992D6A4-6B1F-4BDE-A803-216F42268075}"/>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2 2 2" xfId="16872" xr:uid="{279760CE-F417-4F4D-99A3-CD95EBAAB879}"/>
    <cellStyle name="Currency 5 2 2 2 2 2 5 2 3" xfId="12654" xr:uid="{277B6F0E-1ACF-4A8C-91B0-6DE8E18E7BBB}"/>
    <cellStyle name="Currency 5 2 2 2 2 2 5 3" xfId="6298" xr:uid="{00000000-0005-0000-0000-00007F0B0000}"/>
    <cellStyle name="Currency 5 2 2 2 2 2 5 3 2" xfId="14727" xr:uid="{A11050C3-B10E-4591-B535-BD32CD9144BA}"/>
    <cellStyle name="Currency 5 2 2 2 2 2 5 4" xfId="10509" xr:uid="{5CECE179-0BA9-4410-9D5A-3447CAA7E474}"/>
    <cellStyle name="Currency 5 2 2 2 2 2 6" xfId="2425" xr:uid="{00000000-0005-0000-0000-0000800B0000}"/>
    <cellStyle name="Currency 5 2 2 2 2 2 6 2" xfId="6711" xr:uid="{00000000-0005-0000-0000-0000810B0000}"/>
    <cellStyle name="Currency 5 2 2 2 2 2 6 2 2" xfId="15140" xr:uid="{7DC72D16-4CE5-4577-8A08-6E0A8C6829B1}"/>
    <cellStyle name="Currency 5 2 2 2 2 2 6 3" xfId="10922" xr:uid="{B9040E7C-3B2C-496F-93FF-CE1E4245CB11}"/>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8 2 2" xfId="15457" xr:uid="{D88DCC44-D598-467D-9BEC-A93ABDFC8038}"/>
    <cellStyle name="Currency 5 2 2 2 2 2 8 3" xfId="11239" xr:uid="{78AB3B4C-4308-473F-873B-3076413F5606}"/>
    <cellStyle name="Currency 5 2 2 2 2 2 9" xfId="4645" xr:uid="{00000000-0005-0000-0000-0000850B0000}"/>
    <cellStyle name="Currency 5 2 2 2 2 2 9 2" xfId="13074" xr:uid="{9F64338D-7837-47DB-985F-BAE30D90512A}"/>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2 2 2" xfId="15632" xr:uid="{6940483E-7CE0-4418-8158-6687926B476E}"/>
    <cellStyle name="Currency 5 2 2 2 2 3 2 3" xfId="11414" xr:uid="{AD672E19-0C9B-47A0-9E85-6AD846364F9E}"/>
    <cellStyle name="Currency 5 2 2 2 2 3 3" xfId="5058" xr:uid="{00000000-0005-0000-0000-0000890B0000}"/>
    <cellStyle name="Currency 5 2 2 2 2 3 3 2" xfId="13487" xr:uid="{38917845-0383-492C-807C-33469C3CF725}"/>
    <cellStyle name="Currency 5 2 2 2 2 3 4" xfId="9269" xr:uid="{7A688FDB-75B6-4D76-BF1C-BC600B1B05E3}"/>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2 2 2" xfId="16045" xr:uid="{0D311CD9-ABA9-4500-8E60-B153D0B4B655}"/>
    <cellStyle name="Currency 5 2 2 2 2 4 2 3" xfId="11827" xr:uid="{1AF23F40-B2E4-47AD-97B7-A0D219FBE43E}"/>
    <cellStyle name="Currency 5 2 2 2 2 4 3" xfId="5471" xr:uid="{00000000-0005-0000-0000-00008D0B0000}"/>
    <cellStyle name="Currency 5 2 2 2 2 4 3 2" xfId="13900" xr:uid="{3F10E6F8-5CAE-45E0-B935-D421A261EA5E}"/>
    <cellStyle name="Currency 5 2 2 2 2 4 4" xfId="9682" xr:uid="{5ACDCED2-ED4D-4115-A882-2C171D9F5158}"/>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2 2 2" xfId="16458" xr:uid="{E300B07E-58F6-42EB-8EEF-DE3C0267AF0A}"/>
    <cellStyle name="Currency 5 2 2 2 2 5 2 3" xfId="12240" xr:uid="{E987D4AD-AB2F-49E7-9845-BF2265881358}"/>
    <cellStyle name="Currency 5 2 2 2 2 5 3" xfId="5884" xr:uid="{00000000-0005-0000-0000-0000910B0000}"/>
    <cellStyle name="Currency 5 2 2 2 2 5 3 2" xfId="14313" xr:uid="{2B4E67DD-5FC4-4E64-91A6-C7231E277362}"/>
    <cellStyle name="Currency 5 2 2 2 2 5 4" xfId="10095" xr:uid="{850AFB77-ED99-499F-9329-E17FB3C2A37D}"/>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2 2 2" xfId="16871" xr:uid="{D3D15AE4-48A9-4B35-AE7C-10A23E8B2100}"/>
    <cellStyle name="Currency 5 2 2 2 2 6 2 3" xfId="12653" xr:uid="{9624580E-1D52-4A82-A095-16DDB54E661A}"/>
    <cellStyle name="Currency 5 2 2 2 2 6 3" xfId="6297" xr:uid="{00000000-0005-0000-0000-0000950B0000}"/>
    <cellStyle name="Currency 5 2 2 2 2 6 3 2" xfId="14726" xr:uid="{FEC07317-19C2-44CA-8E5A-0C6048194761}"/>
    <cellStyle name="Currency 5 2 2 2 2 6 4" xfId="10508" xr:uid="{C8C6EF8E-093B-4BE4-8D81-EFFDAE495D74}"/>
    <cellStyle name="Currency 5 2 2 2 2 7" xfId="2424" xr:uid="{00000000-0005-0000-0000-0000960B0000}"/>
    <cellStyle name="Currency 5 2 2 2 2 7 2" xfId="6710" xr:uid="{00000000-0005-0000-0000-0000970B0000}"/>
    <cellStyle name="Currency 5 2 2 2 2 7 2 2" xfId="15139" xr:uid="{E1C9711B-6292-4949-A9D6-BA48BA900A18}"/>
    <cellStyle name="Currency 5 2 2 2 2 7 3" xfId="10921" xr:uid="{DB9AE1E7-B12C-49AB-9CAD-DBC9C1D8B74B}"/>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2 9 2 2" xfId="15456" xr:uid="{073D1DF4-BE2D-4F6C-83D3-02588B2A0197}"/>
    <cellStyle name="Currency 5 2 2 2 2 9 3" xfId="11238" xr:uid="{6CBCA133-F9DB-4AF3-953C-8038B5F8F1B0}"/>
    <cellStyle name="Currency 5 2 2 2 3" xfId="199" xr:uid="{00000000-0005-0000-0000-00009B0B0000}"/>
    <cellStyle name="Currency 5 2 2 2 3 10" xfId="8857" xr:uid="{E61A152D-AAB5-45F1-9902-A573D66A5F3A}"/>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2 2 2" xfId="15634" xr:uid="{CE07F6F5-1840-45C8-84EB-19ED479A6BED}"/>
    <cellStyle name="Currency 5 2 2 2 3 2 2 3" xfId="11416" xr:uid="{152790F4-DCDC-42B0-8E00-B813755F7345}"/>
    <cellStyle name="Currency 5 2 2 2 3 2 3" xfId="5060" xr:uid="{00000000-0005-0000-0000-00009F0B0000}"/>
    <cellStyle name="Currency 5 2 2 2 3 2 3 2" xfId="13489" xr:uid="{D4DC409B-1D39-4AA8-9760-2121C2E5EC6B}"/>
    <cellStyle name="Currency 5 2 2 2 3 2 4" xfId="9271" xr:uid="{EA936C89-9F5E-4240-A9A4-EFF39E93A199}"/>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2 2 2" xfId="16047" xr:uid="{4C477972-2498-4DA6-BE38-30CCAF957318}"/>
    <cellStyle name="Currency 5 2 2 2 3 3 2 3" xfId="11829" xr:uid="{FBB81CD9-1552-43FC-B00D-9CD4475D1829}"/>
    <cellStyle name="Currency 5 2 2 2 3 3 3" xfId="5473" xr:uid="{00000000-0005-0000-0000-0000A30B0000}"/>
    <cellStyle name="Currency 5 2 2 2 3 3 3 2" xfId="13902" xr:uid="{163B3E4A-A70C-4261-82D7-6E0502B6FBDA}"/>
    <cellStyle name="Currency 5 2 2 2 3 3 4" xfId="9684" xr:uid="{5D8DB824-C94F-461B-A18D-C9D96C761394}"/>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2 2 2" xfId="16460" xr:uid="{52C16E85-842E-4931-AF04-D1DC9FC25069}"/>
    <cellStyle name="Currency 5 2 2 2 3 4 2 3" xfId="12242" xr:uid="{56247759-6714-44B2-B2AA-001309445F45}"/>
    <cellStyle name="Currency 5 2 2 2 3 4 3" xfId="5886" xr:uid="{00000000-0005-0000-0000-0000A70B0000}"/>
    <cellStyle name="Currency 5 2 2 2 3 4 3 2" xfId="14315" xr:uid="{BFFA5E91-035B-4862-8F09-4592804AD594}"/>
    <cellStyle name="Currency 5 2 2 2 3 4 4" xfId="10097" xr:uid="{88679768-8CF1-453E-B546-047A0B861AF5}"/>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2 2 2" xfId="16873" xr:uid="{5AF67F45-9FDD-4345-8821-7DD4808B9709}"/>
    <cellStyle name="Currency 5 2 2 2 3 5 2 3" xfId="12655" xr:uid="{8C2D2B41-D3E8-4C6F-8788-921190957F53}"/>
    <cellStyle name="Currency 5 2 2 2 3 5 3" xfId="6299" xr:uid="{00000000-0005-0000-0000-0000AB0B0000}"/>
    <cellStyle name="Currency 5 2 2 2 3 5 3 2" xfId="14728" xr:uid="{8A16BECF-054B-4674-AF6B-68FD98586355}"/>
    <cellStyle name="Currency 5 2 2 2 3 5 4" xfId="10510" xr:uid="{716C0A18-39EA-4CF3-8F00-D92F6CB62169}"/>
    <cellStyle name="Currency 5 2 2 2 3 6" xfId="2426" xr:uid="{00000000-0005-0000-0000-0000AC0B0000}"/>
    <cellStyle name="Currency 5 2 2 2 3 6 2" xfId="6712" xr:uid="{00000000-0005-0000-0000-0000AD0B0000}"/>
    <cellStyle name="Currency 5 2 2 2 3 6 2 2" xfId="15141" xr:uid="{2EE2CF5B-4147-45E2-AE36-7CE402BDA274}"/>
    <cellStyle name="Currency 5 2 2 2 3 6 3" xfId="10923" xr:uid="{B2CE18A8-FA8B-4512-AACF-32E56203C276}"/>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8 2 2" xfId="15458" xr:uid="{B9603B4A-994F-4287-8A93-C0E08926E7EB}"/>
    <cellStyle name="Currency 5 2 2 2 3 8 3" xfId="11240" xr:uid="{BC98CA12-8DD7-40B4-93B6-A61142BA96F7}"/>
    <cellStyle name="Currency 5 2 2 2 3 9" xfId="4646" xr:uid="{00000000-0005-0000-0000-0000B10B0000}"/>
    <cellStyle name="Currency 5 2 2 2 3 9 2" xfId="13075" xr:uid="{E8DB9646-6611-4A4A-8851-A73DAD1C6629}"/>
    <cellStyle name="Currency 5 2 2 2 4" xfId="724" xr:uid="{00000000-0005-0000-0000-0000B20B0000}"/>
    <cellStyle name="Currency 5 2 2 2 4 2" xfId="2978" xr:uid="{00000000-0005-0000-0000-0000B30B0000}"/>
    <cellStyle name="Currency 5 2 2 2 4 2 2" xfId="7202" xr:uid="{00000000-0005-0000-0000-0000B40B0000}"/>
    <cellStyle name="Currency 5 2 2 2 4 2 2 2" xfId="15631" xr:uid="{41C5BE95-E468-4932-B36E-9F676C97E836}"/>
    <cellStyle name="Currency 5 2 2 2 4 2 3" xfId="11413" xr:uid="{862DEA6D-5DA6-431C-A2EA-07E29D974413}"/>
    <cellStyle name="Currency 5 2 2 2 4 3" xfId="5057" xr:uid="{00000000-0005-0000-0000-0000B50B0000}"/>
    <cellStyle name="Currency 5 2 2 2 4 3 2" xfId="13486" xr:uid="{32905051-AE2C-4F97-9FED-1A8E54B82DD9}"/>
    <cellStyle name="Currency 5 2 2 2 4 4" xfId="9268" xr:uid="{176C3767-7A04-4FF7-A51E-85ABF4554475}"/>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2 2 2" xfId="16044" xr:uid="{B0BE392A-A369-4CA0-87B7-14EF960EA854}"/>
    <cellStyle name="Currency 5 2 2 2 5 2 3" xfId="11826" xr:uid="{D170FA6F-640E-4DA5-AF27-749745B1C4F3}"/>
    <cellStyle name="Currency 5 2 2 2 5 3" xfId="5470" xr:uid="{00000000-0005-0000-0000-0000B90B0000}"/>
    <cellStyle name="Currency 5 2 2 2 5 3 2" xfId="13899" xr:uid="{38F50CD7-6D0E-46B1-B673-417B40E40B6B}"/>
    <cellStyle name="Currency 5 2 2 2 5 4" xfId="9681" xr:uid="{B9D82557-A404-4512-86B7-7DB7E8DEFFED}"/>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2 2 2" xfId="16457" xr:uid="{00CE08A6-E120-4280-BC16-58DB7C9B1EF7}"/>
    <cellStyle name="Currency 5 2 2 2 6 2 3" xfId="12239" xr:uid="{BC549411-C6F5-4262-BC61-58F447ECD562}"/>
    <cellStyle name="Currency 5 2 2 2 6 3" xfId="5883" xr:uid="{00000000-0005-0000-0000-0000BD0B0000}"/>
    <cellStyle name="Currency 5 2 2 2 6 3 2" xfId="14312" xr:uid="{C84084F5-DA06-457A-952D-D5FEAC6C1592}"/>
    <cellStyle name="Currency 5 2 2 2 6 4" xfId="10094" xr:uid="{6DD735F0-EA47-4953-A750-3840C98AF2C1}"/>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2 2 2" xfId="16870" xr:uid="{73708916-38EB-48E2-BDF3-CDF3B638706E}"/>
    <cellStyle name="Currency 5 2 2 2 7 2 3" xfId="12652" xr:uid="{38A34204-0D0F-48DC-81A0-02D9AC29D0DE}"/>
    <cellStyle name="Currency 5 2 2 2 7 3" xfId="6296" xr:uid="{00000000-0005-0000-0000-0000C10B0000}"/>
    <cellStyle name="Currency 5 2 2 2 7 3 2" xfId="14725" xr:uid="{131618C2-72CB-4B9C-872F-2D2337DB9A69}"/>
    <cellStyle name="Currency 5 2 2 2 7 4" xfId="10507" xr:uid="{743D39F3-1231-4B39-ABEF-5FB8BBA78677}"/>
    <cellStyle name="Currency 5 2 2 2 8" xfId="2423" xr:uid="{00000000-0005-0000-0000-0000C20B0000}"/>
    <cellStyle name="Currency 5 2 2 2 8 2" xfId="6709" xr:uid="{00000000-0005-0000-0000-0000C30B0000}"/>
    <cellStyle name="Currency 5 2 2 2 8 2 2" xfId="15138" xr:uid="{87625A53-E41E-4DAB-8973-AF85FF4F0678}"/>
    <cellStyle name="Currency 5 2 2 2 8 3" xfId="10920" xr:uid="{F2D4E165-4780-46D1-80DB-03D06308CB90}"/>
    <cellStyle name="Currency 5 2 2 2 9" xfId="2720" xr:uid="{00000000-0005-0000-0000-0000C40B0000}"/>
    <cellStyle name="Currency 5 2 2 3" xfId="200" xr:uid="{00000000-0005-0000-0000-0000C50B0000}"/>
    <cellStyle name="Currency 5 2 2 3 10" xfId="4647" xr:uid="{00000000-0005-0000-0000-0000C60B0000}"/>
    <cellStyle name="Currency 5 2 2 3 10 2" xfId="13076" xr:uid="{64A2AB35-4B3D-4E3D-AB5B-48ED090803ED}"/>
    <cellStyle name="Currency 5 2 2 3 11" xfId="8858" xr:uid="{68733215-8832-4E05-9003-7552DB57E18E}"/>
    <cellStyle name="Currency 5 2 2 3 2" xfId="201" xr:uid="{00000000-0005-0000-0000-0000C70B0000}"/>
    <cellStyle name="Currency 5 2 2 3 2 10" xfId="8859" xr:uid="{EAE65B50-9E1E-4A73-9181-A6221612ABBE}"/>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2 2 2" xfId="15636" xr:uid="{7B10FDF8-1629-4549-9855-F8ED4D26D93E}"/>
    <cellStyle name="Currency 5 2 2 3 2 2 2 3" xfId="11418" xr:uid="{3608133F-0B9B-44E5-9A69-A7EE20277AD4}"/>
    <cellStyle name="Currency 5 2 2 3 2 2 3" xfId="5062" xr:uid="{00000000-0005-0000-0000-0000CB0B0000}"/>
    <cellStyle name="Currency 5 2 2 3 2 2 3 2" xfId="13491" xr:uid="{24B36607-0109-4B20-9631-B8F430311CBF}"/>
    <cellStyle name="Currency 5 2 2 3 2 2 4" xfId="9273" xr:uid="{91D47929-1E94-47B6-A116-1D7A700ED0B7}"/>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2 2 2" xfId="16049" xr:uid="{97823A2C-62AA-4D49-AE84-D10C1F810E24}"/>
    <cellStyle name="Currency 5 2 2 3 2 3 2 3" xfId="11831" xr:uid="{0DF86FD0-F239-423A-ADF8-16758B53EACE}"/>
    <cellStyle name="Currency 5 2 2 3 2 3 3" xfId="5475" xr:uid="{00000000-0005-0000-0000-0000CF0B0000}"/>
    <cellStyle name="Currency 5 2 2 3 2 3 3 2" xfId="13904" xr:uid="{89A2CEE3-2A55-4B6D-B635-83C4A2E75637}"/>
    <cellStyle name="Currency 5 2 2 3 2 3 4" xfId="9686" xr:uid="{B765ADE4-2702-42B8-B47B-33117DC56935}"/>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2 2 2" xfId="16462" xr:uid="{9110DA9C-4DF7-444B-B281-687F95476BF7}"/>
    <cellStyle name="Currency 5 2 2 3 2 4 2 3" xfId="12244" xr:uid="{182015AB-D3E4-4DDE-98D4-D67752F42C0D}"/>
    <cellStyle name="Currency 5 2 2 3 2 4 3" xfId="5888" xr:uid="{00000000-0005-0000-0000-0000D30B0000}"/>
    <cellStyle name="Currency 5 2 2 3 2 4 3 2" xfId="14317" xr:uid="{AC94B7D8-A6CB-42A4-9A37-BA73E0697C5B}"/>
    <cellStyle name="Currency 5 2 2 3 2 4 4" xfId="10099" xr:uid="{CC5D9EA0-4EA9-431E-B64A-E7746E75FB58}"/>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2 2 2" xfId="16875" xr:uid="{669BC63F-DC55-4EDD-95D5-C31DE0FBEBAB}"/>
    <cellStyle name="Currency 5 2 2 3 2 5 2 3" xfId="12657" xr:uid="{7F1534A4-5B67-4E7E-A63F-EA6186A9C9DE}"/>
    <cellStyle name="Currency 5 2 2 3 2 5 3" xfId="6301" xr:uid="{00000000-0005-0000-0000-0000D70B0000}"/>
    <cellStyle name="Currency 5 2 2 3 2 5 3 2" xfId="14730" xr:uid="{6E206644-5EDC-447F-8546-9DBA45161C0F}"/>
    <cellStyle name="Currency 5 2 2 3 2 5 4" xfId="10512" xr:uid="{B3222EF5-C508-467F-98A8-97091D00B20B}"/>
    <cellStyle name="Currency 5 2 2 3 2 6" xfId="2428" xr:uid="{00000000-0005-0000-0000-0000D80B0000}"/>
    <cellStyle name="Currency 5 2 2 3 2 6 2" xfId="6714" xr:uid="{00000000-0005-0000-0000-0000D90B0000}"/>
    <cellStyle name="Currency 5 2 2 3 2 6 2 2" xfId="15143" xr:uid="{EB749FB8-BFA2-4F5D-A8BA-9222C1EC9411}"/>
    <cellStyle name="Currency 5 2 2 3 2 6 3" xfId="10925" xr:uid="{58B140CB-EFAF-4ACA-9CB4-A7F5B988FDA2}"/>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8 2 2" xfId="15460" xr:uid="{BF606C6C-BC52-470B-992E-F7592FC166C9}"/>
    <cellStyle name="Currency 5 2 2 3 2 8 3" xfId="11242" xr:uid="{FE9C0DCE-2EBE-4649-9D4C-8CA374C42F27}"/>
    <cellStyle name="Currency 5 2 2 3 2 9" xfId="4648" xr:uid="{00000000-0005-0000-0000-0000DD0B0000}"/>
    <cellStyle name="Currency 5 2 2 3 2 9 2" xfId="13077" xr:uid="{3BE621F0-3670-4857-98AB-E9406BFACD13}"/>
    <cellStyle name="Currency 5 2 2 3 3" xfId="728" xr:uid="{00000000-0005-0000-0000-0000DE0B0000}"/>
    <cellStyle name="Currency 5 2 2 3 3 2" xfId="2982" xr:uid="{00000000-0005-0000-0000-0000DF0B0000}"/>
    <cellStyle name="Currency 5 2 2 3 3 2 2" xfId="7206" xr:uid="{00000000-0005-0000-0000-0000E00B0000}"/>
    <cellStyle name="Currency 5 2 2 3 3 2 2 2" xfId="15635" xr:uid="{24554968-186B-45C5-BDB0-72F2C2CBAE07}"/>
    <cellStyle name="Currency 5 2 2 3 3 2 3" xfId="11417" xr:uid="{FD57AD95-512A-41EE-833D-B8ACF618AAB8}"/>
    <cellStyle name="Currency 5 2 2 3 3 3" xfId="5061" xr:uid="{00000000-0005-0000-0000-0000E10B0000}"/>
    <cellStyle name="Currency 5 2 2 3 3 3 2" xfId="13490" xr:uid="{2899A78B-257C-4551-A737-B790E86DA301}"/>
    <cellStyle name="Currency 5 2 2 3 3 4" xfId="9272" xr:uid="{6B05B4A6-3D18-47E1-BC1C-B75316AF3DD8}"/>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2 2 2" xfId="16048" xr:uid="{5CAC849F-831E-4D16-9824-A15B8DADF6B9}"/>
    <cellStyle name="Currency 5 2 2 3 4 2 3" xfId="11830" xr:uid="{7B9EDA5F-532F-4090-ABBC-3650D1272ED4}"/>
    <cellStyle name="Currency 5 2 2 3 4 3" xfId="5474" xr:uid="{00000000-0005-0000-0000-0000E50B0000}"/>
    <cellStyle name="Currency 5 2 2 3 4 3 2" xfId="13903" xr:uid="{AD9DCAEF-CE21-44FD-A796-47D759855F90}"/>
    <cellStyle name="Currency 5 2 2 3 4 4" xfId="9685" xr:uid="{9D74679E-5193-409A-8551-0BE6538F83B2}"/>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2 2 2" xfId="16461" xr:uid="{F3BC8BD4-A86A-4656-86BC-4783265CAF57}"/>
    <cellStyle name="Currency 5 2 2 3 5 2 3" xfId="12243" xr:uid="{C49FF10A-8CD1-4BED-9C14-180043A5131E}"/>
    <cellStyle name="Currency 5 2 2 3 5 3" xfId="5887" xr:uid="{00000000-0005-0000-0000-0000E90B0000}"/>
    <cellStyle name="Currency 5 2 2 3 5 3 2" xfId="14316" xr:uid="{765CC087-49DE-4670-8684-EB0F2BE2A3CF}"/>
    <cellStyle name="Currency 5 2 2 3 5 4" xfId="10098" xr:uid="{5FD4B95C-F1F9-42A3-8EBE-44DFE0A00F7F}"/>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2 2 2" xfId="16874" xr:uid="{697D5500-84B6-4A70-A0A3-923A38FE715B}"/>
    <cellStyle name="Currency 5 2 2 3 6 2 3" xfId="12656" xr:uid="{2FF5CDC2-9806-467A-9D2E-BEE80ECEBE50}"/>
    <cellStyle name="Currency 5 2 2 3 6 3" xfId="6300" xr:uid="{00000000-0005-0000-0000-0000ED0B0000}"/>
    <cellStyle name="Currency 5 2 2 3 6 3 2" xfId="14729" xr:uid="{615D541E-BA9A-40C2-B075-512715A758EF}"/>
    <cellStyle name="Currency 5 2 2 3 6 4" xfId="10511" xr:uid="{41D2C0E6-BF28-4E68-8FF6-8E1A9224D8AE}"/>
    <cellStyle name="Currency 5 2 2 3 7" xfId="2427" xr:uid="{00000000-0005-0000-0000-0000EE0B0000}"/>
    <cellStyle name="Currency 5 2 2 3 7 2" xfId="6713" xr:uid="{00000000-0005-0000-0000-0000EF0B0000}"/>
    <cellStyle name="Currency 5 2 2 3 7 2 2" xfId="15142" xr:uid="{EB9E9EDA-E608-4701-BC06-E2CFCBC79BDA}"/>
    <cellStyle name="Currency 5 2 2 3 7 3" xfId="10924" xr:uid="{FCC2CDC3-64C4-49DD-9C6D-AE1FD2987CCD}"/>
    <cellStyle name="Currency 5 2 2 3 8" xfId="2724" xr:uid="{00000000-0005-0000-0000-0000F00B0000}"/>
    <cellStyle name="Currency 5 2 2 3 9" xfId="2805" xr:uid="{00000000-0005-0000-0000-0000F10B0000}"/>
    <cellStyle name="Currency 5 2 2 3 9 2" xfId="7030" xr:uid="{00000000-0005-0000-0000-0000F20B0000}"/>
    <cellStyle name="Currency 5 2 2 3 9 2 2" xfId="15459" xr:uid="{6570B084-9033-473A-ABEE-03ABA145ED70}"/>
    <cellStyle name="Currency 5 2 2 3 9 3" xfId="11241" xr:uid="{08355A53-CDC2-4E53-A345-75B6B90A9306}"/>
    <cellStyle name="Currency 5 2 2 4" xfId="202" xr:uid="{00000000-0005-0000-0000-0000F30B0000}"/>
    <cellStyle name="Currency 5 2 2 4 10" xfId="8860" xr:uid="{6F392495-A679-4038-8557-0593D92A8F95}"/>
    <cellStyle name="Currency 5 2 2 4 2" xfId="730" xr:uid="{00000000-0005-0000-0000-0000F40B0000}"/>
    <cellStyle name="Currency 5 2 2 4 2 2" xfId="2984" xr:uid="{00000000-0005-0000-0000-0000F50B0000}"/>
    <cellStyle name="Currency 5 2 2 4 2 2 2" xfId="7208" xr:uid="{00000000-0005-0000-0000-0000F60B0000}"/>
    <cellStyle name="Currency 5 2 2 4 2 2 2 2" xfId="15637" xr:uid="{C805F89A-9DBA-45C7-AF5D-4A745A13A5CB}"/>
    <cellStyle name="Currency 5 2 2 4 2 2 3" xfId="11419" xr:uid="{5518C84F-A793-4F9C-96E3-5D9BA6575A21}"/>
    <cellStyle name="Currency 5 2 2 4 2 3" xfId="5063" xr:uid="{00000000-0005-0000-0000-0000F70B0000}"/>
    <cellStyle name="Currency 5 2 2 4 2 3 2" xfId="13492" xr:uid="{65B64CF7-6090-42A9-A9CD-8D5A4A953417}"/>
    <cellStyle name="Currency 5 2 2 4 2 4" xfId="9274" xr:uid="{09D1BC00-31DC-4D59-8E77-010F37506671}"/>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2 2 2" xfId="16050" xr:uid="{499FDE64-BDCF-4DBE-BCC7-910261559E0B}"/>
    <cellStyle name="Currency 5 2 2 4 3 2 3" xfId="11832" xr:uid="{7323D05C-E0D7-4ED6-A0B8-1FCB79503D32}"/>
    <cellStyle name="Currency 5 2 2 4 3 3" xfId="5476" xr:uid="{00000000-0005-0000-0000-0000FB0B0000}"/>
    <cellStyle name="Currency 5 2 2 4 3 3 2" xfId="13905" xr:uid="{8C975221-E7A6-4E95-9DE8-B52E27C542E3}"/>
    <cellStyle name="Currency 5 2 2 4 3 4" xfId="9687" xr:uid="{72CCE3D6-9CFE-4BD2-9829-5B1AEFCCF102}"/>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2 2 2" xfId="16463" xr:uid="{2E2925F1-3392-42EA-A0EF-043D6AE301F7}"/>
    <cellStyle name="Currency 5 2 2 4 4 2 3" xfId="12245" xr:uid="{6BA0A0AB-C73C-476F-B9EA-A82651E4DF0E}"/>
    <cellStyle name="Currency 5 2 2 4 4 3" xfId="5889" xr:uid="{00000000-0005-0000-0000-0000FF0B0000}"/>
    <cellStyle name="Currency 5 2 2 4 4 3 2" xfId="14318" xr:uid="{78CC73B8-5C56-402A-A7B2-1CA0082949C6}"/>
    <cellStyle name="Currency 5 2 2 4 4 4" xfId="10100" xr:uid="{5DEA351A-3549-4E11-AAA5-09810CFDA775}"/>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2 2 2" xfId="16876" xr:uid="{C9315646-2589-4235-8F32-2AC624B1134E}"/>
    <cellStyle name="Currency 5 2 2 4 5 2 3" xfId="12658" xr:uid="{335FF94C-9FD5-4D3D-A2A5-BF0FF9FEDD76}"/>
    <cellStyle name="Currency 5 2 2 4 5 3" xfId="6302" xr:uid="{00000000-0005-0000-0000-0000030C0000}"/>
    <cellStyle name="Currency 5 2 2 4 5 3 2" xfId="14731" xr:uid="{63C0BE31-2360-4410-B3E6-1825CFF9E853}"/>
    <cellStyle name="Currency 5 2 2 4 5 4" xfId="10513" xr:uid="{C996FC5D-87E0-4D94-8CE2-2D558F296AA9}"/>
    <cellStyle name="Currency 5 2 2 4 6" xfId="2429" xr:uid="{00000000-0005-0000-0000-0000040C0000}"/>
    <cellStyle name="Currency 5 2 2 4 6 2" xfId="6715" xr:uid="{00000000-0005-0000-0000-0000050C0000}"/>
    <cellStyle name="Currency 5 2 2 4 6 2 2" xfId="15144" xr:uid="{A9E6E347-B99B-4184-97BA-F540A8EF1C69}"/>
    <cellStyle name="Currency 5 2 2 4 6 3" xfId="10926" xr:uid="{76A3BBC6-09CE-4BDA-BEC6-81C0DBC7EE86}"/>
    <cellStyle name="Currency 5 2 2 4 7" xfId="2726" xr:uid="{00000000-0005-0000-0000-0000060C0000}"/>
    <cellStyle name="Currency 5 2 2 4 8" xfId="2807" xr:uid="{00000000-0005-0000-0000-0000070C0000}"/>
    <cellStyle name="Currency 5 2 2 4 8 2" xfId="7032" xr:uid="{00000000-0005-0000-0000-0000080C0000}"/>
    <cellStyle name="Currency 5 2 2 4 8 2 2" xfId="15461" xr:uid="{EDC1B623-58CB-4F05-8D50-2F6C56B65DA5}"/>
    <cellStyle name="Currency 5 2 2 4 8 3" xfId="11243" xr:uid="{E52D4DF6-7178-461C-BBC4-D18025E80B78}"/>
    <cellStyle name="Currency 5 2 2 4 9" xfId="4649" xr:uid="{00000000-0005-0000-0000-0000090C0000}"/>
    <cellStyle name="Currency 5 2 2 4 9 2" xfId="13078" xr:uid="{72D0134C-4A52-4BF7-B0AA-59601D507F9B}"/>
    <cellStyle name="Currency 5 2 2 5" xfId="203" xr:uid="{00000000-0005-0000-0000-00000A0C0000}"/>
    <cellStyle name="Currency 5 2 2 5 10" xfId="8861" xr:uid="{97C55CFA-55AA-4D7C-8111-32FF3E4AD1D4}"/>
    <cellStyle name="Currency 5 2 2 5 2" xfId="731" xr:uid="{00000000-0005-0000-0000-00000B0C0000}"/>
    <cellStyle name="Currency 5 2 2 5 2 2" xfId="2985" xr:uid="{00000000-0005-0000-0000-00000C0C0000}"/>
    <cellStyle name="Currency 5 2 2 5 2 2 2" xfId="7209" xr:uid="{00000000-0005-0000-0000-00000D0C0000}"/>
    <cellStyle name="Currency 5 2 2 5 2 2 2 2" xfId="15638" xr:uid="{76AC7A23-2718-4095-BF88-87287B6653E6}"/>
    <cellStyle name="Currency 5 2 2 5 2 2 3" xfId="11420" xr:uid="{AD646E9D-FF7B-49CB-A1A0-F3874CFD6DAD}"/>
    <cellStyle name="Currency 5 2 2 5 2 3" xfId="5064" xr:uid="{00000000-0005-0000-0000-00000E0C0000}"/>
    <cellStyle name="Currency 5 2 2 5 2 3 2" xfId="13493" xr:uid="{D425EFF1-DF2A-4A41-9EE3-DE7410C2F606}"/>
    <cellStyle name="Currency 5 2 2 5 2 4" xfId="9275" xr:uid="{31EB9070-599C-4467-9D60-4616580550C7}"/>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2 2 2" xfId="16051" xr:uid="{3202E4CD-9C0D-4C63-B599-E2811ED24611}"/>
    <cellStyle name="Currency 5 2 2 5 3 2 3" xfId="11833" xr:uid="{6FF7E54A-6D0C-45B4-99B2-73141B033EF9}"/>
    <cellStyle name="Currency 5 2 2 5 3 3" xfId="5477" xr:uid="{00000000-0005-0000-0000-0000120C0000}"/>
    <cellStyle name="Currency 5 2 2 5 3 3 2" xfId="13906" xr:uid="{AB2F06BA-181F-416E-93E9-0E96D5D52353}"/>
    <cellStyle name="Currency 5 2 2 5 3 4" xfId="9688" xr:uid="{4F3E4A4D-2F59-4AD7-A75D-B2F14D0A3FE8}"/>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2 2 2" xfId="16464" xr:uid="{11B9D9C9-F700-4093-A327-BF8CF9C44E23}"/>
    <cellStyle name="Currency 5 2 2 5 4 2 3" xfId="12246" xr:uid="{6E72BC97-B40A-415C-B913-310C15ABE04D}"/>
    <cellStyle name="Currency 5 2 2 5 4 3" xfId="5890" xr:uid="{00000000-0005-0000-0000-0000160C0000}"/>
    <cellStyle name="Currency 5 2 2 5 4 3 2" xfId="14319" xr:uid="{4DE150BF-A616-4921-BB1D-E5A4AB871DC9}"/>
    <cellStyle name="Currency 5 2 2 5 4 4" xfId="10101" xr:uid="{E88C70B0-CC31-4C15-8CE4-45CF2BB461DD}"/>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2 2 2" xfId="16877" xr:uid="{9D1C6857-8DF6-4624-AA0A-714B6CF07314}"/>
    <cellStyle name="Currency 5 2 2 5 5 2 3" xfId="12659" xr:uid="{2F932DE0-50CC-45BC-8946-043431162233}"/>
    <cellStyle name="Currency 5 2 2 5 5 3" xfId="6303" xr:uid="{00000000-0005-0000-0000-00001A0C0000}"/>
    <cellStyle name="Currency 5 2 2 5 5 3 2" xfId="14732" xr:uid="{255D8154-F05B-460E-A113-BCCD46FBA2BD}"/>
    <cellStyle name="Currency 5 2 2 5 5 4" xfId="10514" xr:uid="{4C4F3E1E-C0D0-4D4D-B66F-1128C9E63265}"/>
    <cellStyle name="Currency 5 2 2 5 6" xfId="2430" xr:uid="{00000000-0005-0000-0000-00001B0C0000}"/>
    <cellStyle name="Currency 5 2 2 5 6 2" xfId="6716" xr:uid="{00000000-0005-0000-0000-00001C0C0000}"/>
    <cellStyle name="Currency 5 2 2 5 6 2 2" xfId="15145" xr:uid="{139F2DBB-0494-4E56-9851-9590E0C00FAE}"/>
    <cellStyle name="Currency 5 2 2 5 6 3" xfId="10927" xr:uid="{F9CE8E35-F4A4-4705-9FF6-04F5F0620304}"/>
    <cellStyle name="Currency 5 2 2 5 7" xfId="2727" xr:uid="{00000000-0005-0000-0000-00001D0C0000}"/>
    <cellStyle name="Currency 5 2 2 5 8" xfId="2808" xr:uid="{00000000-0005-0000-0000-00001E0C0000}"/>
    <cellStyle name="Currency 5 2 2 5 8 2" xfId="7033" xr:uid="{00000000-0005-0000-0000-00001F0C0000}"/>
    <cellStyle name="Currency 5 2 2 5 8 2 2" xfId="15462" xr:uid="{7091FD12-8A9B-4D0C-92B0-FF400AFBEBEF}"/>
    <cellStyle name="Currency 5 2 2 5 8 3" xfId="11244" xr:uid="{3DBF98D8-3A15-4B20-89F5-4909663BA4B1}"/>
    <cellStyle name="Currency 5 2 2 5 9" xfId="4650" xr:uid="{00000000-0005-0000-0000-0000200C0000}"/>
    <cellStyle name="Currency 5 2 2 5 9 2" xfId="13079" xr:uid="{AD163C93-9A75-4BC5-A70E-6BA991ADD007}"/>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10 2" xfId="13080" xr:uid="{94333125-60F2-4267-BD61-9D0E269B900A}"/>
    <cellStyle name="Currency 5 2 4 11" xfId="8862" xr:uid="{2899B38A-0D0B-41E9-88B8-7BE97A295B54}"/>
    <cellStyle name="Currency 5 2 4 2" xfId="206" xr:uid="{00000000-0005-0000-0000-0000250C0000}"/>
    <cellStyle name="Currency 5 2 4 2 10" xfId="8863" xr:uid="{D018476C-6C81-4409-8B2D-1D026807780E}"/>
    <cellStyle name="Currency 5 2 4 2 2" xfId="734" xr:uid="{00000000-0005-0000-0000-0000260C0000}"/>
    <cellStyle name="Currency 5 2 4 2 2 2" xfId="2987" xr:uid="{00000000-0005-0000-0000-0000270C0000}"/>
    <cellStyle name="Currency 5 2 4 2 2 2 2" xfId="7211" xr:uid="{00000000-0005-0000-0000-0000280C0000}"/>
    <cellStyle name="Currency 5 2 4 2 2 2 2 2" xfId="15640" xr:uid="{C4AB9B7D-9A65-45B4-9454-DE9BB9C9B250}"/>
    <cellStyle name="Currency 5 2 4 2 2 2 3" xfId="11422" xr:uid="{013AB370-BABC-47E3-807F-F93A7899A5AC}"/>
    <cellStyle name="Currency 5 2 4 2 2 3" xfId="5066" xr:uid="{00000000-0005-0000-0000-0000290C0000}"/>
    <cellStyle name="Currency 5 2 4 2 2 3 2" xfId="13495" xr:uid="{FC4D7320-A7C8-49A7-80AE-1AC149DFC613}"/>
    <cellStyle name="Currency 5 2 4 2 2 4" xfId="9277" xr:uid="{AF13EAF0-1262-4265-94F7-30486823EB65}"/>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2 2 2" xfId="16053" xr:uid="{B293E588-D6A7-4E20-8C13-E0E7123D9772}"/>
    <cellStyle name="Currency 5 2 4 2 3 2 3" xfId="11835" xr:uid="{34CBE687-B2FE-4F6B-9FE9-BCEF244E8418}"/>
    <cellStyle name="Currency 5 2 4 2 3 3" xfId="5479" xr:uid="{00000000-0005-0000-0000-00002D0C0000}"/>
    <cellStyle name="Currency 5 2 4 2 3 3 2" xfId="13908" xr:uid="{64E9748B-11CF-401F-BB1B-CF2DD7741280}"/>
    <cellStyle name="Currency 5 2 4 2 3 4" xfId="9690" xr:uid="{19037C62-4D89-4930-ADAA-99C07D1D7BA7}"/>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2 2 2" xfId="16466" xr:uid="{6BFB7EBD-51B2-42AC-9C3A-5300081DA0AD}"/>
    <cellStyle name="Currency 5 2 4 2 4 2 3" xfId="12248" xr:uid="{98696987-0CBF-4CBB-9C1F-CE853CA508C1}"/>
    <cellStyle name="Currency 5 2 4 2 4 3" xfId="5892" xr:uid="{00000000-0005-0000-0000-0000310C0000}"/>
    <cellStyle name="Currency 5 2 4 2 4 3 2" xfId="14321" xr:uid="{62EE15E9-9793-4899-9B7A-906CEA4F13F7}"/>
    <cellStyle name="Currency 5 2 4 2 4 4" xfId="10103" xr:uid="{A84FDE3B-F300-4E8C-B64B-BD82B38A1422}"/>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2 2 2" xfId="16879" xr:uid="{A8D790FC-37A6-4536-91C0-623B8C138F97}"/>
    <cellStyle name="Currency 5 2 4 2 5 2 3" xfId="12661" xr:uid="{82CD412D-197F-4D3E-A819-FA3BB13802B6}"/>
    <cellStyle name="Currency 5 2 4 2 5 3" xfId="6305" xr:uid="{00000000-0005-0000-0000-0000350C0000}"/>
    <cellStyle name="Currency 5 2 4 2 5 3 2" xfId="14734" xr:uid="{30E53516-5408-40BA-AA9A-412342BD5762}"/>
    <cellStyle name="Currency 5 2 4 2 5 4" xfId="10516" xr:uid="{F4A48C8D-0DCB-4104-A147-27E6AF6B446D}"/>
    <cellStyle name="Currency 5 2 4 2 6" xfId="2432" xr:uid="{00000000-0005-0000-0000-0000360C0000}"/>
    <cellStyle name="Currency 5 2 4 2 6 2" xfId="6718" xr:uid="{00000000-0005-0000-0000-0000370C0000}"/>
    <cellStyle name="Currency 5 2 4 2 6 2 2" xfId="15147" xr:uid="{BE4467B9-9EB5-4274-A37D-9A5AF10DAA78}"/>
    <cellStyle name="Currency 5 2 4 2 6 3" xfId="10929" xr:uid="{157C8AD4-2CC1-4499-9A60-6C7FE75B245E}"/>
    <cellStyle name="Currency 5 2 4 2 7" xfId="2729" xr:uid="{00000000-0005-0000-0000-0000380C0000}"/>
    <cellStyle name="Currency 5 2 4 2 8" xfId="2810" xr:uid="{00000000-0005-0000-0000-0000390C0000}"/>
    <cellStyle name="Currency 5 2 4 2 8 2" xfId="7035" xr:uid="{00000000-0005-0000-0000-00003A0C0000}"/>
    <cellStyle name="Currency 5 2 4 2 8 2 2" xfId="15464" xr:uid="{5B7A54E7-5576-4A93-AF0B-120A6F120741}"/>
    <cellStyle name="Currency 5 2 4 2 8 3" xfId="11246" xr:uid="{7EEFEB6D-0ABC-45D4-B46B-178A81236829}"/>
    <cellStyle name="Currency 5 2 4 2 9" xfId="4652" xr:uid="{00000000-0005-0000-0000-00003B0C0000}"/>
    <cellStyle name="Currency 5 2 4 2 9 2" xfId="13081" xr:uid="{B0D71872-6035-46C6-AE94-AF5E680D5761}"/>
    <cellStyle name="Currency 5 2 4 3" xfId="733" xr:uid="{00000000-0005-0000-0000-00003C0C0000}"/>
    <cellStyle name="Currency 5 2 4 3 2" xfId="2986" xr:uid="{00000000-0005-0000-0000-00003D0C0000}"/>
    <cellStyle name="Currency 5 2 4 3 2 2" xfId="7210" xr:uid="{00000000-0005-0000-0000-00003E0C0000}"/>
    <cellStyle name="Currency 5 2 4 3 2 2 2" xfId="15639" xr:uid="{8765B74C-2903-430D-962C-FB467FDADBF2}"/>
    <cellStyle name="Currency 5 2 4 3 2 3" xfId="11421" xr:uid="{61FCDB8A-1FCE-4274-A27E-C531488A6788}"/>
    <cellStyle name="Currency 5 2 4 3 3" xfId="5065" xr:uid="{00000000-0005-0000-0000-00003F0C0000}"/>
    <cellStyle name="Currency 5 2 4 3 3 2" xfId="13494" xr:uid="{120FB5A4-34BD-4023-8273-11E583B90A54}"/>
    <cellStyle name="Currency 5 2 4 3 4" xfId="9276" xr:uid="{8C8CC856-BBCC-449E-92C2-A3FB90E1358F}"/>
    <cellStyle name="Currency 5 2 4 4" xfId="1168" xr:uid="{00000000-0005-0000-0000-0000400C0000}"/>
    <cellStyle name="Currency 5 2 4 4 2" xfId="3399" xr:uid="{00000000-0005-0000-0000-0000410C0000}"/>
    <cellStyle name="Currency 5 2 4 4 2 2" xfId="7623" xr:uid="{00000000-0005-0000-0000-0000420C0000}"/>
    <cellStyle name="Currency 5 2 4 4 2 2 2" xfId="16052" xr:uid="{1F3D0512-88E7-4E51-BADC-340D8C882F2A}"/>
    <cellStyle name="Currency 5 2 4 4 2 3" xfId="11834" xr:uid="{5DA2CFF2-E530-48DE-B9C3-FC2ADC4B9C11}"/>
    <cellStyle name="Currency 5 2 4 4 3" xfId="5478" xr:uid="{00000000-0005-0000-0000-0000430C0000}"/>
    <cellStyle name="Currency 5 2 4 4 3 2" xfId="13907" xr:uid="{8C1E0471-E666-42F2-A151-54A069D2D036}"/>
    <cellStyle name="Currency 5 2 4 4 4" xfId="9689" xr:uid="{3720CFB7-0099-435F-912F-8D35B5CE1279}"/>
    <cellStyle name="Currency 5 2 4 5" xfId="1582" xr:uid="{00000000-0005-0000-0000-0000440C0000}"/>
    <cellStyle name="Currency 5 2 4 5 2" xfId="3812" xr:uid="{00000000-0005-0000-0000-0000450C0000}"/>
    <cellStyle name="Currency 5 2 4 5 2 2" xfId="8036" xr:uid="{00000000-0005-0000-0000-0000460C0000}"/>
    <cellStyle name="Currency 5 2 4 5 2 2 2" xfId="16465" xr:uid="{05391771-FAA6-4F5F-A0E2-878AC5627667}"/>
    <cellStyle name="Currency 5 2 4 5 2 3" xfId="12247" xr:uid="{85DD1F99-714D-4065-A2D7-3951871FC8CF}"/>
    <cellStyle name="Currency 5 2 4 5 3" xfId="5891" xr:uid="{00000000-0005-0000-0000-0000470C0000}"/>
    <cellStyle name="Currency 5 2 4 5 3 2" xfId="14320" xr:uid="{96DA942C-223B-4AEB-9E0F-276DA9A528C5}"/>
    <cellStyle name="Currency 5 2 4 5 4" xfId="10102" xr:uid="{5D123652-D8BC-4583-ADC3-87B063E45646}"/>
    <cellStyle name="Currency 5 2 4 6" xfId="1996" xr:uid="{00000000-0005-0000-0000-0000480C0000}"/>
    <cellStyle name="Currency 5 2 4 6 2" xfId="4225" xr:uid="{00000000-0005-0000-0000-0000490C0000}"/>
    <cellStyle name="Currency 5 2 4 6 2 2" xfId="8449" xr:uid="{00000000-0005-0000-0000-00004A0C0000}"/>
    <cellStyle name="Currency 5 2 4 6 2 2 2" xfId="16878" xr:uid="{6CAD891A-F465-42E8-8FDC-F7ED965857C7}"/>
    <cellStyle name="Currency 5 2 4 6 2 3" xfId="12660" xr:uid="{189CFAFE-9AD0-4DB7-BC69-0BABC414575A}"/>
    <cellStyle name="Currency 5 2 4 6 3" xfId="6304" xr:uid="{00000000-0005-0000-0000-00004B0C0000}"/>
    <cellStyle name="Currency 5 2 4 6 3 2" xfId="14733" xr:uid="{69F64E91-4A26-4BE5-AD8B-E69E5553FAC1}"/>
    <cellStyle name="Currency 5 2 4 6 4" xfId="10515" xr:uid="{66E1286E-ED33-40E5-8605-E713CFAA398A}"/>
    <cellStyle name="Currency 5 2 4 7" xfId="2431" xr:uid="{00000000-0005-0000-0000-00004C0C0000}"/>
    <cellStyle name="Currency 5 2 4 7 2" xfId="6717" xr:uid="{00000000-0005-0000-0000-00004D0C0000}"/>
    <cellStyle name="Currency 5 2 4 7 2 2" xfId="15146" xr:uid="{55248450-7BD7-41BD-9DC3-3BBBF9E02F72}"/>
    <cellStyle name="Currency 5 2 4 7 3" xfId="10928" xr:uid="{D3595969-5392-48EC-92B9-977D963E0F59}"/>
    <cellStyle name="Currency 5 2 4 8" xfId="2728" xr:uid="{00000000-0005-0000-0000-00004E0C0000}"/>
    <cellStyle name="Currency 5 2 4 9" xfId="2809" xr:uid="{00000000-0005-0000-0000-00004F0C0000}"/>
    <cellStyle name="Currency 5 2 4 9 2" xfId="7034" xr:uid="{00000000-0005-0000-0000-0000500C0000}"/>
    <cellStyle name="Currency 5 2 4 9 2 2" xfId="15463" xr:uid="{21D03CC7-85E7-47A4-99C1-61481C38E374}"/>
    <cellStyle name="Currency 5 2 4 9 3" xfId="11245" xr:uid="{EE51FBDA-A65B-4138-AEC7-B4988F531D84}"/>
    <cellStyle name="Currency 5 2 5" xfId="207" xr:uid="{00000000-0005-0000-0000-0000510C0000}"/>
    <cellStyle name="Currency 5 2 5 10" xfId="8864" xr:uid="{23390EFD-6778-44C7-962B-BF781F8F17F6}"/>
    <cellStyle name="Currency 5 2 5 2" xfId="735" xr:uid="{00000000-0005-0000-0000-0000520C0000}"/>
    <cellStyle name="Currency 5 2 5 2 2" xfId="2988" xr:uid="{00000000-0005-0000-0000-0000530C0000}"/>
    <cellStyle name="Currency 5 2 5 2 2 2" xfId="7212" xr:uid="{00000000-0005-0000-0000-0000540C0000}"/>
    <cellStyle name="Currency 5 2 5 2 2 2 2" xfId="15641" xr:uid="{AF837439-0B23-49B1-9769-690A747302A9}"/>
    <cellStyle name="Currency 5 2 5 2 2 3" xfId="11423" xr:uid="{C8E2551E-6911-4AD6-A36B-AAA8FD4BB046}"/>
    <cellStyle name="Currency 5 2 5 2 3" xfId="5067" xr:uid="{00000000-0005-0000-0000-0000550C0000}"/>
    <cellStyle name="Currency 5 2 5 2 3 2" xfId="13496" xr:uid="{A9F38E65-C4A0-449C-A9A7-351F8182483E}"/>
    <cellStyle name="Currency 5 2 5 2 4" xfId="9278" xr:uid="{4FFC03DB-A5EE-44AB-9078-8194615ADF90}"/>
    <cellStyle name="Currency 5 2 5 3" xfId="1170" xr:uid="{00000000-0005-0000-0000-0000560C0000}"/>
    <cellStyle name="Currency 5 2 5 3 2" xfId="3401" xr:uid="{00000000-0005-0000-0000-0000570C0000}"/>
    <cellStyle name="Currency 5 2 5 3 2 2" xfId="7625" xr:uid="{00000000-0005-0000-0000-0000580C0000}"/>
    <cellStyle name="Currency 5 2 5 3 2 2 2" xfId="16054" xr:uid="{3D17C563-3343-491A-8DC8-964268774C9F}"/>
    <cellStyle name="Currency 5 2 5 3 2 3" xfId="11836" xr:uid="{CED9DFF1-1AD7-47D4-8D6C-49C8D3DA8B5E}"/>
    <cellStyle name="Currency 5 2 5 3 3" xfId="5480" xr:uid="{00000000-0005-0000-0000-0000590C0000}"/>
    <cellStyle name="Currency 5 2 5 3 3 2" xfId="13909" xr:uid="{3FCCF7F6-C85C-49FA-8EC5-81BA1AC71125}"/>
    <cellStyle name="Currency 5 2 5 3 4" xfId="9691" xr:uid="{BC4E8471-E693-4328-9ADF-34DEB0381EA6}"/>
    <cellStyle name="Currency 5 2 5 4" xfId="1584" xr:uid="{00000000-0005-0000-0000-00005A0C0000}"/>
    <cellStyle name="Currency 5 2 5 4 2" xfId="3814" xr:uid="{00000000-0005-0000-0000-00005B0C0000}"/>
    <cellStyle name="Currency 5 2 5 4 2 2" xfId="8038" xr:uid="{00000000-0005-0000-0000-00005C0C0000}"/>
    <cellStyle name="Currency 5 2 5 4 2 2 2" xfId="16467" xr:uid="{40F8BDF9-B65B-44FA-81AF-EA7CDC8CA1F7}"/>
    <cellStyle name="Currency 5 2 5 4 2 3" xfId="12249" xr:uid="{37B57556-8C1C-48E8-8424-49842A4479EE}"/>
    <cellStyle name="Currency 5 2 5 4 3" xfId="5893" xr:uid="{00000000-0005-0000-0000-00005D0C0000}"/>
    <cellStyle name="Currency 5 2 5 4 3 2" xfId="14322" xr:uid="{6F6AD787-19E3-4164-8960-8F7E50C95D7F}"/>
    <cellStyle name="Currency 5 2 5 4 4" xfId="10104" xr:uid="{44C56804-DED5-407A-A77E-2D0BAED82D50}"/>
    <cellStyle name="Currency 5 2 5 5" xfId="1998" xr:uid="{00000000-0005-0000-0000-00005E0C0000}"/>
    <cellStyle name="Currency 5 2 5 5 2" xfId="4227" xr:uid="{00000000-0005-0000-0000-00005F0C0000}"/>
    <cellStyle name="Currency 5 2 5 5 2 2" xfId="8451" xr:uid="{00000000-0005-0000-0000-0000600C0000}"/>
    <cellStyle name="Currency 5 2 5 5 2 2 2" xfId="16880" xr:uid="{2B0C7B2E-4A34-4305-8285-238C7ED25798}"/>
    <cellStyle name="Currency 5 2 5 5 2 3" xfId="12662" xr:uid="{CFA25106-2A01-479E-BB8D-AB51DD66B14E}"/>
    <cellStyle name="Currency 5 2 5 5 3" xfId="6306" xr:uid="{00000000-0005-0000-0000-0000610C0000}"/>
    <cellStyle name="Currency 5 2 5 5 3 2" xfId="14735" xr:uid="{DDEE1CD9-F088-448A-8991-33D4C0CD7BA8}"/>
    <cellStyle name="Currency 5 2 5 5 4" xfId="10517" xr:uid="{5F855249-A331-4AAB-8458-ACEF2EFDB782}"/>
    <cellStyle name="Currency 5 2 5 6" xfId="2433" xr:uid="{00000000-0005-0000-0000-0000620C0000}"/>
    <cellStyle name="Currency 5 2 5 6 2" xfId="6719" xr:uid="{00000000-0005-0000-0000-0000630C0000}"/>
    <cellStyle name="Currency 5 2 5 6 2 2" xfId="15148" xr:uid="{B366AA15-F847-4451-B914-344FBBCCA75B}"/>
    <cellStyle name="Currency 5 2 5 6 3" xfId="10930" xr:uid="{5CD5A2F1-CE33-459E-9B66-5984E4DA4517}"/>
    <cellStyle name="Currency 5 2 5 7" xfId="2730" xr:uid="{00000000-0005-0000-0000-0000640C0000}"/>
    <cellStyle name="Currency 5 2 5 8" xfId="2811" xr:uid="{00000000-0005-0000-0000-0000650C0000}"/>
    <cellStyle name="Currency 5 2 5 8 2" xfId="7036" xr:uid="{00000000-0005-0000-0000-0000660C0000}"/>
    <cellStyle name="Currency 5 2 5 8 2 2" xfId="15465" xr:uid="{EDB4F9A5-E96A-4ABC-862B-43E93F039602}"/>
    <cellStyle name="Currency 5 2 5 8 3" xfId="11247" xr:uid="{B8C6E494-982B-4637-8D5A-3863AC2375E5}"/>
    <cellStyle name="Currency 5 2 5 9" xfId="4653" xr:uid="{00000000-0005-0000-0000-0000670C0000}"/>
    <cellStyle name="Currency 5 2 5 9 2" xfId="13082" xr:uid="{EE5C5D5E-F6AA-42BA-A8EC-F012CA836CEC}"/>
    <cellStyle name="Currency 5 2 6" xfId="208" xr:uid="{00000000-0005-0000-0000-0000680C0000}"/>
    <cellStyle name="Currency 5 2 6 10" xfId="8865" xr:uid="{1CE8AFDF-E009-4159-8E8E-DFC42FD82900}"/>
    <cellStyle name="Currency 5 2 6 2" xfId="736" xr:uid="{00000000-0005-0000-0000-0000690C0000}"/>
    <cellStyle name="Currency 5 2 6 2 2" xfId="2989" xr:uid="{00000000-0005-0000-0000-00006A0C0000}"/>
    <cellStyle name="Currency 5 2 6 2 2 2" xfId="7213" xr:uid="{00000000-0005-0000-0000-00006B0C0000}"/>
    <cellStyle name="Currency 5 2 6 2 2 2 2" xfId="15642" xr:uid="{47979AB5-EA26-4C29-A565-0CD5FE02B170}"/>
    <cellStyle name="Currency 5 2 6 2 2 3" xfId="11424" xr:uid="{C28D62A7-5E74-4F3B-978C-0D3363F9B515}"/>
    <cellStyle name="Currency 5 2 6 2 3" xfId="5068" xr:uid="{00000000-0005-0000-0000-00006C0C0000}"/>
    <cellStyle name="Currency 5 2 6 2 3 2" xfId="13497" xr:uid="{1B2C39DD-7A84-4C04-A248-16C0D2EA8F9D}"/>
    <cellStyle name="Currency 5 2 6 2 4" xfId="9279" xr:uid="{7B733771-2859-4210-B53C-F900BA448D4B}"/>
    <cellStyle name="Currency 5 2 6 3" xfId="1171" xr:uid="{00000000-0005-0000-0000-00006D0C0000}"/>
    <cellStyle name="Currency 5 2 6 3 2" xfId="3402" xr:uid="{00000000-0005-0000-0000-00006E0C0000}"/>
    <cellStyle name="Currency 5 2 6 3 2 2" xfId="7626" xr:uid="{00000000-0005-0000-0000-00006F0C0000}"/>
    <cellStyle name="Currency 5 2 6 3 2 2 2" xfId="16055" xr:uid="{82970265-82E3-4039-BB92-CB6E5B7B5CF1}"/>
    <cellStyle name="Currency 5 2 6 3 2 3" xfId="11837" xr:uid="{4A9BB412-8E22-4220-9E2A-0256CF58B07E}"/>
    <cellStyle name="Currency 5 2 6 3 3" xfId="5481" xr:uid="{00000000-0005-0000-0000-0000700C0000}"/>
    <cellStyle name="Currency 5 2 6 3 3 2" xfId="13910" xr:uid="{DF2701DD-09E9-4011-88FC-0AF927A944FB}"/>
    <cellStyle name="Currency 5 2 6 3 4" xfId="9692" xr:uid="{34E5FA98-B776-4A00-A7B7-FEDC3871B9EF}"/>
    <cellStyle name="Currency 5 2 6 4" xfId="1585" xr:uid="{00000000-0005-0000-0000-0000710C0000}"/>
    <cellStyle name="Currency 5 2 6 4 2" xfId="3815" xr:uid="{00000000-0005-0000-0000-0000720C0000}"/>
    <cellStyle name="Currency 5 2 6 4 2 2" xfId="8039" xr:uid="{00000000-0005-0000-0000-0000730C0000}"/>
    <cellStyle name="Currency 5 2 6 4 2 2 2" xfId="16468" xr:uid="{1F2859CD-6F8E-494A-9459-11E6920A301F}"/>
    <cellStyle name="Currency 5 2 6 4 2 3" xfId="12250" xr:uid="{8C9F3A10-41C3-4A6F-BBF6-753F9305EC46}"/>
    <cellStyle name="Currency 5 2 6 4 3" xfId="5894" xr:uid="{00000000-0005-0000-0000-0000740C0000}"/>
    <cellStyle name="Currency 5 2 6 4 3 2" xfId="14323" xr:uid="{01F86171-5415-4B52-BCB8-406414A76A0A}"/>
    <cellStyle name="Currency 5 2 6 4 4" xfId="10105" xr:uid="{F593E7FA-ACAB-4BD4-98B9-BCEC96462DBB}"/>
    <cellStyle name="Currency 5 2 6 5" xfId="1999" xr:uid="{00000000-0005-0000-0000-0000750C0000}"/>
    <cellStyle name="Currency 5 2 6 5 2" xfId="4228" xr:uid="{00000000-0005-0000-0000-0000760C0000}"/>
    <cellStyle name="Currency 5 2 6 5 2 2" xfId="8452" xr:uid="{00000000-0005-0000-0000-0000770C0000}"/>
    <cellStyle name="Currency 5 2 6 5 2 2 2" xfId="16881" xr:uid="{1ACB42D2-D1C3-4146-9BE4-2C6E0A069511}"/>
    <cellStyle name="Currency 5 2 6 5 2 3" xfId="12663" xr:uid="{BE89E8BC-6714-4965-93D6-1DB8728B3FB5}"/>
    <cellStyle name="Currency 5 2 6 5 3" xfId="6307" xr:uid="{00000000-0005-0000-0000-0000780C0000}"/>
    <cellStyle name="Currency 5 2 6 5 3 2" xfId="14736" xr:uid="{FC94AA65-C1A7-4AE8-AB09-7D17968D5EDE}"/>
    <cellStyle name="Currency 5 2 6 5 4" xfId="10518" xr:uid="{259F6B8C-8A8E-483F-B0B6-DCCCEE229D68}"/>
    <cellStyle name="Currency 5 2 6 6" xfId="2434" xr:uid="{00000000-0005-0000-0000-0000790C0000}"/>
    <cellStyle name="Currency 5 2 6 6 2" xfId="6720" xr:uid="{00000000-0005-0000-0000-00007A0C0000}"/>
    <cellStyle name="Currency 5 2 6 6 2 2" xfId="15149" xr:uid="{72C0C46E-7634-4F9B-BE43-CF92A6037D07}"/>
    <cellStyle name="Currency 5 2 6 6 3" xfId="10931" xr:uid="{0A1F67E7-7AB2-4DDD-95DE-85872E3658B8}"/>
    <cellStyle name="Currency 5 2 6 7" xfId="2731" xr:uid="{00000000-0005-0000-0000-00007B0C0000}"/>
    <cellStyle name="Currency 5 2 6 8" xfId="2812" xr:uid="{00000000-0005-0000-0000-00007C0C0000}"/>
    <cellStyle name="Currency 5 2 6 8 2" xfId="7037" xr:uid="{00000000-0005-0000-0000-00007D0C0000}"/>
    <cellStyle name="Currency 5 2 6 8 2 2" xfId="15466" xr:uid="{05566810-1F32-4848-852C-FFF39E62CC91}"/>
    <cellStyle name="Currency 5 2 6 8 3" xfId="11248" xr:uid="{0DB7EA30-C281-4D6A-8DD6-CB571CC251DB}"/>
    <cellStyle name="Currency 5 2 6 9" xfId="4654" xr:uid="{00000000-0005-0000-0000-00007E0C0000}"/>
    <cellStyle name="Currency 5 2 6 9 2" xfId="13083" xr:uid="{578AB4AF-E3AB-43B9-BBEB-F03D6F7EFA78}"/>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0 2 2" xfId="15467" xr:uid="{DA2151B5-546C-4523-B4E5-41A2C6580409}"/>
    <cellStyle name="Currency 5 3 2 10 3" xfId="11249" xr:uid="{6917866B-17DA-471A-9915-B976CF44E8D8}"/>
    <cellStyle name="Currency 5 3 2 11" xfId="4655" xr:uid="{00000000-0005-0000-0000-0000840C0000}"/>
    <cellStyle name="Currency 5 3 2 11 2" xfId="13084" xr:uid="{62A83E52-A850-43C0-B0B8-CB94BA1720A1}"/>
    <cellStyle name="Currency 5 3 2 12" xfId="8866" xr:uid="{61C2B80E-470B-497C-AFB7-51336F0CBD2E}"/>
    <cellStyle name="Currency 5 3 2 2" xfId="211" xr:uid="{00000000-0005-0000-0000-0000850C0000}"/>
    <cellStyle name="Currency 5 3 2 2 10" xfId="4656" xr:uid="{00000000-0005-0000-0000-0000860C0000}"/>
    <cellStyle name="Currency 5 3 2 2 10 2" xfId="13085" xr:uid="{B9B05C70-94CC-441E-8332-11802AC398A4}"/>
    <cellStyle name="Currency 5 3 2 2 11" xfId="8867" xr:uid="{56CCB517-1EAF-4AC8-A2CE-D092F156DF74}"/>
    <cellStyle name="Currency 5 3 2 2 2" xfId="212" xr:uid="{00000000-0005-0000-0000-0000870C0000}"/>
    <cellStyle name="Currency 5 3 2 2 2 10" xfId="8868" xr:uid="{7E182225-83E9-4E9C-A873-57081B1FA8E8}"/>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2 2 2" xfId="15645" xr:uid="{0693B394-4AD4-4FC9-B03E-FCA701ED7576}"/>
    <cellStyle name="Currency 5 3 2 2 2 2 2 3" xfId="11427" xr:uid="{42B218F1-AC61-4403-A5EE-66E9745DCEB2}"/>
    <cellStyle name="Currency 5 3 2 2 2 2 3" xfId="5071" xr:uid="{00000000-0005-0000-0000-00008B0C0000}"/>
    <cellStyle name="Currency 5 3 2 2 2 2 3 2" xfId="13500" xr:uid="{A868F280-70B9-450E-A429-C742297A7E11}"/>
    <cellStyle name="Currency 5 3 2 2 2 2 4" xfId="9282" xr:uid="{FF1EFD9A-5B63-4EF4-A2DF-FE59F783D331}"/>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2 2 2" xfId="16058" xr:uid="{B621ACDA-F961-4AB2-BC89-630CF81273FE}"/>
    <cellStyle name="Currency 5 3 2 2 2 3 2 3" xfId="11840" xr:uid="{8B179F9E-8247-4797-B3E8-D345B8DE1551}"/>
    <cellStyle name="Currency 5 3 2 2 2 3 3" xfId="5484" xr:uid="{00000000-0005-0000-0000-00008F0C0000}"/>
    <cellStyle name="Currency 5 3 2 2 2 3 3 2" xfId="13913" xr:uid="{562FE1CD-E8BF-40E6-BC39-5E9CF03C1F59}"/>
    <cellStyle name="Currency 5 3 2 2 2 3 4" xfId="9695" xr:uid="{1FE746BD-19F6-4B19-9306-DD5C63497284}"/>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2 2 2" xfId="16471" xr:uid="{EEE364A5-0E5D-4C99-BF5E-AEBFE0A7911F}"/>
    <cellStyle name="Currency 5 3 2 2 2 4 2 3" xfId="12253" xr:uid="{344313FE-47EE-4434-89C8-EAECE9E1F926}"/>
    <cellStyle name="Currency 5 3 2 2 2 4 3" xfId="5897" xr:uid="{00000000-0005-0000-0000-0000930C0000}"/>
    <cellStyle name="Currency 5 3 2 2 2 4 3 2" xfId="14326" xr:uid="{F83DD2C8-BE49-4A74-8A81-398717F4FC8D}"/>
    <cellStyle name="Currency 5 3 2 2 2 4 4" xfId="10108" xr:uid="{ADEA559A-572C-447F-B392-80A009E9F986}"/>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2 2 2" xfId="16884" xr:uid="{99C09EEB-341D-4904-9059-4F85C32995E2}"/>
    <cellStyle name="Currency 5 3 2 2 2 5 2 3" xfId="12666" xr:uid="{96DB5DCF-05C8-43C3-9335-723CE93F09AF}"/>
    <cellStyle name="Currency 5 3 2 2 2 5 3" xfId="6310" xr:uid="{00000000-0005-0000-0000-0000970C0000}"/>
    <cellStyle name="Currency 5 3 2 2 2 5 3 2" xfId="14739" xr:uid="{91AAEF18-F599-4503-9A78-316FEC4F4D0F}"/>
    <cellStyle name="Currency 5 3 2 2 2 5 4" xfId="10521" xr:uid="{99D4B50C-F2F3-4643-AC4E-F47835C3333E}"/>
    <cellStyle name="Currency 5 3 2 2 2 6" xfId="2437" xr:uid="{00000000-0005-0000-0000-0000980C0000}"/>
    <cellStyle name="Currency 5 3 2 2 2 6 2" xfId="6723" xr:uid="{00000000-0005-0000-0000-0000990C0000}"/>
    <cellStyle name="Currency 5 3 2 2 2 6 2 2" xfId="15152" xr:uid="{5ED985A9-DC0E-41E7-8F56-52DEE22EFCE7}"/>
    <cellStyle name="Currency 5 3 2 2 2 6 3" xfId="10934" xr:uid="{9E7AC2D2-4053-4C50-B32E-A84074062126}"/>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8 2 2" xfId="15469" xr:uid="{D8AA29F8-92C0-4421-AE95-2F12656D38BF}"/>
    <cellStyle name="Currency 5 3 2 2 2 8 3" xfId="11251" xr:uid="{5EB4AE77-101A-4CDB-9945-3800E104B0B8}"/>
    <cellStyle name="Currency 5 3 2 2 2 9" xfId="4657" xr:uid="{00000000-0005-0000-0000-00009D0C0000}"/>
    <cellStyle name="Currency 5 3 2 2 2 9 2" xfId="13086" xr:uid="{EE036B3A-9323-4815-96F5-69C3EDBBEFD8}"/>
    <cellStyle name="Currency 5 3 2 2 3" xfId="738" xr:uid="{00000000-0005-0000-0000-00009E0C0000}"/>
    <cellStyle name="Currency 5 3 2 2 3 2" xfId="2991" xr:uid="{00000000-0005-0000-0000-00009F0C0000}"/>
    <cellStyle name="Currency 5 3 2 2 3 2 2" xfId="7215" xr:uid="{00000000-0005-0000-0000-0000A00C0000}"/>
    <cellStyle name="Currency 5 3 2 2 3 2 2 2" xfId="15644" xr:uid="{F3BAEE93-5373-4170-BD64-B4C09AD5A30E}"/>
    <cellStyle name="Currency 5 3 2 2 3 2 3" xfId="11426" xr:uid="{A7047E16-D593-4CAB-ABB3-7B0BDD058768}"/>
    <cellStyle name="Currency 5 3 2 2 3 3" xfId="5070" xr:uid="{00000000-0005-0000-0000-0000A10C0000}"/>
    <cellStyle name="Currency 5 3 2 2 3 3 2" xfId="13499" xr:uid="{CBA962C8-C784-4FE5-88C5-A6B1EC980B9D}"/>
    <cellStyle name="Currency 5 3 2 2 3 4" xfId="9281" xr:uid="{DDCDEE80-F65B-410C-ACDF-947C89DB1882}"/>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2 2 2" xfId="16057" xr:uid="{8F56A62E-B84B-45A1-AE61-04F10768E55F}"/>
    <cellStyle name="Currency 5 3 2 2 4 2 3" xfId="11839" xr:uid="{17852D5E-BDB7-4E01-9120-9F203B7F5346}"/>
    <cellStyle name="Currency 5 3 2 2 4 3" xfId="5483" xr:uid="{00000000-0005-0000-0000-0000A50C0000}"/>
    <cellStyle name="Currency 5 3 2 2 4 3 2" xfId="13912" xr:uid="{A06DD19B-96DE-44BA-BE6C-18DE8420771A}"/>
    <cellStyle name="Currency 5 3 2 2 4 4" xfId="9694" xr:uid="{1ABB8E1F-FAA9-4B2E-A025-11179AA3D6EE}"/>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2 2 2" xfId="16470" xr:uid="{CC552AF3-51D4-4C5F-9723-C362D30A9048}"/>
    <cellStyle name="Currency 5 3 2 2 5 2 3" xfId="12252" xr:uid="{B557964E-3E59-4BF9-A9BF-E581C79929CE}"/>
    <cellStyle name="Currency 5 3 2 2 5 3" xfId="5896" xr:uid="{00000000-0005-0000-0000-0000A90C0000}"/>
    <cellStyle name="Currency 5 3 2 2 5 3 2" xfId="14325" xr:uid="{F781EBE7-8AFD-48C4-8EEC-477F40E508D6}"/>
    <cellStyle name="Currency 5 3 2 2 5 4" xfId="10107" xr:uid="{C37074D7-40F2-4997-95B3-AE23109D2C34}"/>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2 2 2" xfId="16883" xr:uid="{3D62A6DB-A9BC-43FF-8067-FC8952FB63AB}"/>
    <cellStyle name="Currency 5 3 2 2 6 2 3" xfId="12665" xr:uid="{F99BE7DB-F1A5-4BF4-A3B5-634CED861727}"/>
    <cellStyle name="Currency 5 3 2 2 6 3" xfId="6309" xr:uid="{00000000-0005-0000-0000-0000AD0C0000}"/>
    <cellStyle name="Currency 5 3 2 2 6 3 2" xfId="14738" xr:uid="{BEBD902B-D5BE-477A-921A-9B8607B3143F}"/>
    <cellStyle name="Currency 5 3 2 2 6 4" xfId="10520" xr:uid="{B98B88B1-9F9E-4DE0-87C4-D7C238F9B56D}"/>
    <cellStyle name="Currency 5 3 2 2 7" xfId="2436" xr:uid="{00000000-0005-0000-0000-0000AE0C0000}"/>
    <cellStyle name="Currency 5 3 2 2 7 2" xfId="6722" xr:uid="{00000000-0005-0000-0000-0000AF0C0000}"/>
    <cellStyle name="Currency 5 3 2 2 7 2 2" xfId="15151" xr:uid="{9B4809EE-72C5-46EF-9F95-5981F663CDF8}"/>
    <cellStyle name="Currency 5 3 2 2 7 3" xfId="10933" xr:uid="{A1DDD9FB-7EC3-475B-80D7-A093FDBA734A}"/>
    <cellStyle name="Currency 5 3 2 2 8" xfId="2733" xr:uid="{00000000-0005-0000-0000-0000B00C0000}"/>
    <cellStyle name="Currency 5 3 2 2 9" xfId="2814" xr:uid="{00000000-0005-0000-0000-0000B10C0000}"/>
    <cellStyle name="Currency 5 3 2 2 9 2" xfId="7039" xr:uid="{00000000-0005-0000-0000-0000B20C0000}"/>
    <cellStyle name="Currency 5 3 2 2 9 2 2" xfId="15468" xr:uid="{82169067-8D5E-4D63-BC5D-45B5F2B4881D}"/>
    <cellStyle name="Currency 5 3 2 2 9 3" xfId="11250" xr:uid="{627BE835-C368-431B-9659-81042BCC25BE}"/>
    <cellStyle name="Currency 5 3 2 3" xfId="213" xr:uid="{00000000-0005-0000-0000-0000B30C0000}"/>
    <cellStyle name="Currency 5 3 2 3 10" xfId="8869" xr:uid="{CB8F9BBB-5336-4937-B675-4C03D98FE764}"/>
    <cellStyle name="Currency 5 3 2 3 2" xfId="740" xr:uid="{00000000-0005-0000-0000-0000B40C0000}"/>
    <cellStyle name="Currency 5 3 2 3 2 2" xfId="2993" xr:uid="{00000000-0005-0000-0000-0000B50C0000}"/>
    <cellStyle name="Currency 5 3 2 3 2 2 2" xfId="7217" xr:uid="{00000000-0005-0000-0000-0000B60C0000}"/>
    <cellStyle name="Currency 5 3 2 3 2 2 2 2" xfId="15646" xr:uid="{EB5FEC91-AB0A-48B8-9B6E-5C8D34A2D934}"/>
    <cellStyle name="Currency 5 3 2 3 2 2 3" xfId="11428" xr:uid="{41C33B32-86C2-4C9F-B597-D32F0B0D87C4}"/>
    <cellStyle name="Currency 5 3 2 3 2 3" xfId="5072" xr:uid="{00000000-0005-0000-0000-0000B70C0000}"/>
    <cellStyle name="Currency 5 3 2 3 2 3 2" xfId="13501" xr:uid="{07F385B0-9839-4A98-A8A5-BA03F9AB5924}"/>
    <cellStyle name="Currency 5 3 2 3 2 4" xfId="9283" xr:uid="{6B11D273-8297-47CE-B5A9-894C9BF62862}"/>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2 2 2" xfId="16059" xr:uid="{4025A8E4-93CB-4D10-83F7-1CB447555375}"/>
    <cellStyle name="Currency 5 3 2 3 3 2 3" xfId="11841" xr:uid="{5F2D68D7-BE71-4D73-988E-A5E728BEA04C}"/>
    <cellStyle name="Currency 5 3 2 3 3 3" xfId="5485" xr:uid="{00000000-0005-0000-0000-0000BB0C0000}"/>
    <cellStyle name="Currency 5 3 2 3 3 3 2" xfId="13914" xr:uid="{770A42AE-CF22-42D4-8770-0A7A9CC7406D}"/>
    <cellStyle name="Currency 5 3 2 3 3 4" xfId="9696" xr:uid="{93085781-1AA3-4675-8EA3-6D54C0E6298F}"/>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2 2 2" xfId="16472" xr:uid="{4DBAF2AE-B1AD-4400-9DA2-CC17A544DDB7}"/>
    <cellStyle name="Currency 5 3 2 3 4 2 3" xfId="12254" xr:uid="{AC6ABBD2-09BC-497C-8839-07416809C27C}"/>
    <cellStyle name="Currency 5 3 2 3 4 3" xfId="5898" xr:uid="{00000000-0005-0000-0000-0000BF0C0000}"/>
    <cellStyle name="Currency 5 3 2 3 4 3 2" xfId="14327" xr:uid="{3AC92AF2-DA5E-4656-BA31-A4250561F59D}"/>
    <cellStyle name="Currency 5 3 2 3 4 4" xfId="10109" xr:uid="{DEC050EA-31D3-44F1-9FB7-40E61717C08B}"/>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2 2 2" xfId="16885" xr:uid="{2B0466FD-6F4C-463E-8A67-78531BD7453E}"/>
    <cellStyle name="Currency 5 3 2 3 5 2 3" xfId="12667" xr:uid="{78C904A5-9769-4E5D-9DBD-B7E1B27F54F7}"/>
    <cellStyle name="Currency 5 3 2 3 5 3" xfId="6311" xr:uid="{00000000-0005-0000-0000-0000C30C0000}"/>
    <cellStyle name="Currency 5 3 2 3 5 3 2" xfId="14740" xr:uid="{856DA9E5-5372-42EB-8A5B-A6F93B6E8837}"/>
    <cellStyle name="Currency 5 3 2 3 5 4" xfId="10522" xr:uid="{1AC396EA-BDE7-43FB-9531-281FA2C96726}"/>
    <cellStyle name="Currency 5 3 2 3 6" xfId="2438" xr:uid="{00000000-0005-0000-0000-0000C40C0000}"/>
    <cellStyle name="Currency 5 3 2 3 6 2" xfId="6724" xr:uid="{00000000-0005-0000-0000-0000C50C0000}"/>
    <cellStyle name="Currency 5 3 2 3 6 2 2" xfId="15153" xr:uid="{AAD2C3A5-C653-48CB-A47B-DEF161CDCEF9}"/>
    <cellStyle name="Currency 5 3 2 3 6 3" xfId="10935" xr:uid="{9475B3A6-B4EC-477A-B7DB-49D5F8C87A9F}"/>
    <cellStyle name="Currency 5 3 2 3 7" xfId="2735" xr:uid="{00000000-0005-0000-0000-0000C60C0000}"/>
    <cellStyle name="Currency 5 3 2 3 8" xfId="2816" xr:uid="{00000000-0005-0000-0000-0000C70C0000}"/>
    <cellStyle name="Currency 5 3 2 3 8 2" xfId="7041" xr:uid="{00000000-0005-0000-0000-0000C80C0000}"/>
    <cellStyle name="Currency 5 3 2 3 8 2 2" xfId="15470" xr:uid="{807A73E6-27A4-45A9-8E0E-9AC1E0ECB5B1}"/>
    <cellStyle name="Currency 5 3 2 3 8 3" xfId="11252" xr:uid="{73D86216-0DCD-46D7-A538-F4B3FB22200E}"/>
    <cellStyle name="Currency 5 3 2 3 9" xfId="4658" xr:uid="{00000000-0005-0000-0000-0000C90C0000}"/>
    <cellStyle name="Currency 5 3 2 3 9 2" xfId="13087" xr:uid="{416B5799-49F6-4BFC-B693-4ADA5824D396}"/>
    <cellStyle name="Currency 5 3 2 4" xfId="737" xr:uid="{00000000-0005-0000-0000-0000CA0C0000}"/>
    <cellStyle name="Currency 5 3 2 4 2" xfId="2990" xr:uid="{00000000-0005-0000-0000-0000CB0C0000}"/>
    <cellStyle name="Currency 5 3 2 4 2 2" xfId="7214" xr:uid="{00000000-0005-0000-0000-0000CC0C0000}"/>
    <cellStyle name="Currency 5 3 2 4 2 2 2" xfId="15643" xr:uid="{78BEB535-342B-4AB5-8EB9-5C8752B43809}"/>
    <cellStyle name="Currency 5 3 2 4 2 3" xfId="11425" xr:uid="{1910BFDF-B46B-4560-A19A-C1BA6725589B}"/>
    <cellStyle name="Currency 5 3 2 4 3" xfId="5069" xr:uid="{00000000-0005-0000-0000-0000CD0C0000}"/>
    <cellStyle name="Currency 5 3 2 4 3 2" xfId="13498" xr:uid="{B049F77C-FB52-4A92-BA49-0C7A2DB51BE2}"/>
    <cellStyle name="Currency 5 3 2 4 4" xfId="9280" xr:uid="{6A39498F-D916-42E2-BD38-D7C9D21FA132}"/>
    <cellStyle name="Currency 5 3 2 5" xfId="1172" xr:uid="{00000000-0005-0000-0000-0000CE0C0000}"/>
    <cellStyle name="Currency 5 3 2 5 2" xfId="3403" xr:uid="{00000000-0005-0000-0000-0000CF0C0000}"/>
    <cellStyle name="Currency 5 3 2 5 2 2" xfId="7627" xr:uid="{00000000-0005-0000-0000-0000D00C0000}"/>
    <cellStyle name="Currency 5 3 2 5 2 2 2" xfId="16056" xr:uid="{C875905F-DD7F-4F7A-9BC5-707138A61A70}"/>
    <cellStyle name="Currency 5 3 2 5 2 3" xfId="11838" xr:uid="{5BCB0651-4556-410A-A66C-DD28A890F12D}"/>
    <cellStyle name="Currency 5 3 2 5 3" xfId="5482" xr:uid="{00000000-0005-0000-0000-0000D10C0000}"/>
    <cellStyle name="Currency 5 3 2 5 3 2" xfId="13911" xr:uid="{1B8F554D-DB8E-4EE4-87EE-CEA5BF07A8CC}"/>
    <cellStyle name="Currency 5 3 2 5 4" xfId="9693" xr:uid="{121C159F-5B19-4F05-B1CC-C122856219DC}"/>
    <cellStyle name="Currency 5 3 2 6" xfId="1586" xr:uid="{00000000-0005-0000-0000-0000D20C0000}"/>
    <cellStyle name="Currency 5 3 2 6 2" xfId="3816" xr:uid="{00000000-0005-0000-0000-0000D30C0000}"/>
    <cellStyle name="Currency 5 3 2 6 2 2" xfId="8040" xr:uid="{00000000-0005-0000-0000-0000D40C0000}"/>
    <cellStyle name="Currency 5 3 2 6 2 2 2" xfId="16469" xr:uid="{E6499D2A-08A3-49B9-B1AC-2F9666783C03}"/>
    <cellStyle name="Currency 5 3 2 6 2 3" xfId="12251" xr:uid="{7A8B4DEA-79E0-4725-A915-AF36261E0650}"/>
    <cellStyle name="Currency 5 3 2 6 3" xfId="5895" xr:uid="{00000000-0005-0000-0000-0000D50C0000}"/>
    <cellStyle name="Currency 5 3 2 6 3 2" xfId="14324" xr:uid="{338292FE-A812-4F7E-9228-540A247586BE}"/>
    <cellStyle name="Currency 5 3 2 6 4" xfId="10106" xr:uid="{E694F43E-460A-49C8-8E3F-6F7E91749C1C}"/>
    <cellStyle name="Currency 5 3 2 7" xfId="2000" xr:uid="{00000000-0005-0000-0000-0000D60C0000}"/>
    <cellStyle name="Currency 5 3 2 7 2" xfId="4229" xr:uid="{00000000-0005-0000-0000-0000D70C0000}"/>
    <cellStyle name="Currency 5 3 2 7 2 2" xfId="8453" xr:uid="{00000000-0005-0000-0000-0000D80C0000}"/>
    <cellStyle name="Currency 5 3 2 7 2 2 2" xfId="16882" xr:uid="{78358F5A-3F23-41F4-9BE4-5F9D2B066AE3}"/>
    <cellStyle name="Currency 5 3 2 7 2 3" xfId="12664" xr:uid="{CE02589C-070E-4692-B9E9-8CB4A902F86A}"/>
    <cellStyle name="Currency 5 3 2 7 3" xfId="6308" xr:uid="{00000000-0005-0000-0000-0000D90C0000}"/>
    <cellStyle name="Currency 5 3 2 7 3 2" xfId="14737" xr:uid="{430748D5-85DB-42F0-8A46-A5FBE79A9F8C}"/>
    <cellStyle name="Currency 5 3 2 7 4" xfId="10519" xr:uid="{0F4B0E47-C454-4400-8E69-4F54B9CA56B8}"/>
    <cellStyle name="Currency 5 3 2 8" xfId="2435" xr:uid="{00000000-0005-0000-0000-0000DA0C0000}"/>
    <cellStyle name="Currency 5 3 2 8 2" xfId="6721" xr:uid="{00000000-0005-0000-0000-0000DB0C0000}"/>
    <cellStyle name="Currency 5 3 2 8 2 2" xfId="15150" xr:uid="{69AF9568-9559-4E0C-B2A3-2D8988558724}"/>
    <cellStyle name="Currency 5 3 2 8 3" xfId="10932" xr:uid="{709DCA0B-EEE8-4354-83CD-47433AD3D2C3}"/>
    <cellStyle name="Currency 5 3 2 9" xfId="2732" xr:uid="{00000000-0005-0000-0000-0000DC0C0000}"/>
    <cellStyle name="Currency 5 3 3" xfId="214" xr:uid="{00000000-0005-0000-0000-0000DD0C0000}"/>
    <cellStyle name="Currency 5 3 3 10" xfId="4659" xr:uid="{00000000-0005-0000-0000-0000DE0C0000}"/>
    <cellStyle name="Currency 5 3 3 10 2" xfId="13088" xr:uid="{6E807FD1-33D6-465E-AB12-3826D28EF677}"/>
    <cellStyle name="Currency 5 3 3 11" xfId="8870" xr:uid="{4036800E-8817-4066-AD23-2B44B307B968}"/>
    <cellStyle name="Currency 5 3 3 2" xfId="215" xr:uid="{00000000-0005-0000-0000-0000DF0C0000}"/>
    <cellStyle name="Currency 5 3 3 2 10" xfId="8871" xr:uid="{7F7BF05F-93A9-473E-BCB3-D02296104521}"/>
    <cellStyle name="Currency 5 3 3 2 2" xfId="742" xr:uid="{00000000-0005-0000-0000-0000E00C0000}"/>
    <cellStyle name="Currency 5 3 3 2 2 2" xfId="2995" xr:uid="{00000000-0005-0000-0000-0000E10C0000}"/>
    <cellStyle name="Currency 5 3 3 2 2 2 2" xfId="7219" xr:uid="{00000000-0005-0000-0000-0000E20C0000}"/>
    <cellStyle name="Currency 5 3 3 2 2 2 2 2" xfId="15648" xr:uid="{422034C7-BD1D-4292-8BF2-BF28F710AB12}"/>
    <cellStyle name="Currency 5 3 3 2 2 2 3" xfId="11430" xr:uid="{B03C0563-F18F-4DD0-99B8-F6980E8A7605}"/>
    <cellStyle name="Currency 5 3 3 2 2 3" xfId="5074" xr:uid="{00000000-0005-0000-0000-0000E30C0000}"/>
    <cellStyle name="Currency 5 3 3 2 2 3 2" xfId="13503" xr:uid="{C63C1379-A790-4E73-BB2C-022185192766}"/>
    <cellStyle name="Currency 5 3 3 2 2 4" xfId="9285" xr:uid="{BC33245B-ABF2-4720-BC51-DF3E46230C84}"/>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2 2 2" xfId="16061" xr:uid="{6EB74D79-0F02-4EE9-AFB4-F7FC455534DB}"/>
    <cellStyle name="Currency 5 3 3 2 3 2 3" xfId="11843" xr:uid="{3A12DE3C-B3BE-4DFC-A096-4F713D880C00}"/>
    <cellStyle name="Currency 5 3 3 2 3 3" xfId="5487" xr:uid="{00000000-0005-0000-0000-0000E70C0000}"/>
    <cellStyle name="Currency 5 3 3 2 3 3 2" xfId="13916" xr:uid="{2858DDEA-159E-4277-A8B3-F9C80668280A}"/>
    <cellStyle name="Currency 5 3 3 2 3 4" xfId="9698" xr:uid="{B6CF30AF-2B69-4ADA-8F66-6F0255554999}"/>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2 2 2" xfId="16474" xr:uid="{2FEC4A38-DC6F-4D82-ABF3-4D8921B45F02}"/>
    <cellStyle name="Currency 5 3 3 2 4 2 3" xfId="12256" xr:uid="{46A106CE-61BE-43A7-9171-0927F9E3E666}"/>
    <cellStyle name="Currency 5 3 3 2 4 3" xfId="5900" xr:uid="{00000000-0005-0000-0000-0000EB0C0000}"/>
    <cellStyle name="Currency 5 3 3 2 4 3 2" xfId="14329" xr:uid="{BFA562F0-88E8-4D0C-8119-0C5BF587595D}"/>
    <cellStyle name="Currency 5 3 3 2 4 4" xfId="10111" xr:uid="{AA1511F5-673B-4B82-BF6E-0524E18DE9AA}"/>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2 2 2" xfId="16887" xr:uid="{2D1CC2E0-6F83-45FC-8866-9A0645780D21}"/>
    <cellStyle name="Currency 5 3 3 2 5 2 3" xfId="12669" xr:uid="{9A8F5E09-3FED-4697-AEA9-63E4FBB7A25E}"/>
    <cellStyle name="Currency 5 3 3 2 5 3" xfId="6313" xr:uid="{00000000-0005-0000-0000-0000EF0C0000}"/>
    <cellStyle name="Currency 5 3 3 2 5 3 2" xfId="14742" xr:uid="{6B700205-73E7-4467-82B2-52F86B13FE22}"/>
    <cellStyle name="Currency 5 3 3 2 5 4" xfId="10524" xr:uid="{95B560A6-75E0-40E3-A4F5-39A00A810593}"/>
    <cellStyle name="Currency 5 3 3 2 6" xfId="2440" xr:uid="{00000000-0005-0000-0000-0000F00C0000}"/>
    <cellStyle name="Currency 5 3 3 2 6 2" xfId="6726" xr:uid="{00000000-0005-0000-0000-0000F10C0000}"/>
    <cellStyle name="Currency 5 3 3 2 6 2 2" xfId="15155" xr:uid="{6456ED21-DA6E-4CEE-BBC2-BB72CC79338D}"/>
    <cellStyle name="Currency 5 3 3 2 6 3" xfId="10937" xr:uid="{55189FD6-DB9F-4FD6-AA5C-949D8F9688B6}"/>
    <cellStyle name="Currency 5 3 3 2 7" xfId="2737" xr:uid="{00000000-0005-0000-0000-0000F20C0000}"/>
    <cellStyle name="Currency 5 3 3 2 8" xfId="2818" xr:uid="{00000000-0005-0000-0000-0000F30C0000}"/>
    <cellStyle name="Currency 5 3 3 2 8 2" xfId="7043" xr:uid="{00000000-0005-0000-0000-0000F40C0000}"/>
    <cellStyle name="Currency 5 3 3 2 8 2 2" xfId="15472" xr:uid="{DAC046B1-E87E-4772-8A54-892D576E9898}"/>
    <cellStyle name="Currency 5 3 3 2 8 3" xfId="11254" xr:uid="{8E4FD4A1-85B6-41E2-948A-12C73410045E}"/>
    <cellStyle name="Currency 5 3 3 2 9" xfId="4660" xr:uid="{00000000-0005-0000-0000-0000F50C0000}"/>
    <cellStyle name="Currency 5 3 3 2 9 2" xfId="13089" xr:uid="{9DDCEA30-9C6B-4343-AEE6-A6BAEC146E67}"/>
    <cellStyle name="Currency 5 3 3 3" xfId="741" xr:uid="{00000000-0005-0000-0000-0000F60C0000}"/>
    <cellStyle name="Currency 5 3 3 3 2" xfId="2994" xr:uid="{00000000-0005-0000-0000-0000F70C0000}"/>
    <cellStyle name="Currency 5 3 3 3 2 2" xfId="7218" xr:uid="{00000000-0005-0000-0000-0000F80C0000}"/>
    <cellStyle name="Currency 5 3 3 3 2 2 2" xfId="15647" xr:uid="{36B06385-D7C5-4EEB-85AC-C126A133D30C}"/>
    <cellStyle name="Currency 5 3 3 3 2 3" xfId="11429" xr:uid="{17ADAFE1-2AE1-4988-A874-D66EAA2018F5}"/>
    <cellStyle name="Currency 5 3 3 3 3" xfId="5073" xr:uid="{00000000-0005-0000-0000-0000F90C0000}"/>
    <cellStyle name="Currency 5 3 3 3 3 2" xfId="13502" xr:uid="{C09A3284-23EB-481A-A6E2-E71B29553EE4}"/>
    <cellStyle name="Currency 5 3 3 3 4" xfId="9284" xr:uid="{8B43EDC7-C730-4BFA-97A0-FB0D4BE3DC3F}"/>
    <cellStyle name="Currency 5 3 3 4" xfId="1176" xr:uid="{00000000-0005-0000-0000-0000FA0C0000}"/>
    <cellStyle name="Currency 5 3 3 4 2" xfId="3407" xr:uid="{00000000-0005-0000-0000-0000FB0C0000}"/>
    <cellStyle name="Currency 5 3 3 4 2 2" xfId="7631" xr:uid="{00000000-0005-0000-0000-0000FC0C0000}"/>
    <cellStyle name="Currency 5 3 3 4 2 2 2" xfId="16060" xr:uid="{6CABF6DD-4277-4A15-8B8F-F2735BA58BA2}"/>
    <cellStyle name="Currency 5 3 3 4 2 3" xfId="11842" xr:uid="{20C106A9-E824-4520-BCCE-4D0ED99B1098}"/>
    <cellStyle name="Currency 5 3 3 4 3" xfId="5486" xr:uid="{00000000-0005-0000-0000-0000FD0C0000}"/>
    <cellStyle name="Currency 5 3 3 4 3 2" xfId="13915" xr:uid="{B3A0D519-9955-4ED4-B338-32F1E5F62F95}"/>
    <cellStyle name="Currency 5 3 3 4 4" xfId="9697" xr:uid="{E17D134D-2649-4FC0-8DA3-CD1750DF6F28}"/>
    <cellStyle name="Currency 5 3 3 5" xfId="1590" xr:uid="{00000000-0005-0000-0000-0000FE0C0000}"/>
    <cellStyle name="Currency 5 3 3 5 2" xfId="3820" xr:uid="{00000000-0005-0000-0000-0000FF0C0000}"/>
    <cellStyle name="Currency 5 3 3 5 2 2" xfId="8044" xr:uid="{00000000-0005-0000-0000-0000000D0000}"/>
    <cellStyle name="Currency 5 3 3 5 2 2 2" xfId="16473" xr:uid="{AF83BA16-9079-4B16-BDC7-610D66BCD414}"/>
    <cellStyle name="Currency 5 3 3 5 2 3" xfId="12255" xr:uid="{B324ED3F-6B8C-464D-84E4-338F672AC3DE}"/>
    <cellStyle name="Currency 5 3 3 5 3" xfId="5899" xr:uid="{00000000-0005-0000-0000-0000010D0000}"/>
    <cellStyle name="Currency 5 3 3 5 3 2" xfId="14328" xr:uid="{A130F42C-FAF1-46D2-932E-10B39E9A9E7F}"/>
    <cellStyle name="Currency 5 3 3 5 4" xfId="10110" xr:uid="{BBF4119E-FDA2-4FEA-9A73-7380530E3EFA}"/>
    <cellStyle name="Currency 5 3 3 6" xfId="2004" xr:uid="{00000000-0005-0000-0000-0000020D0000}"/>
    <cellStyle name="Currency 5 3 3 6 2" xfId="4233" xr:uid="{00000000-0005-0000-0000-0000030D0000}"/>
    <cellStyle name="Currency 5 3 3 6 2 2" xfId="8457" xr:uid="{00000000-0005-0000-0000-0000040D0000}"/>
    <cellStyle name="Currency 5 3 3 6 2 2 2" xfId="16886" xr:uid="{51D51228-543A-42BB-99D0-052938CCDFE6}"/>
    <cellStyle name="Currency 5 3 3 6 2 3" xfId="12668" xr:uid="{BC1460EE-3BED-4BCA-81BD-A6C12B6F39E9}"/>
    <cellStyle name="Currency 5 3 3 6 3" xfId="6312" xr:uid="{00000000-0005-0000-0000-0000050D0000}"/>
    <cellStyle name="Currency 5 3 3 6 3 2" xfId="14741" xr:uid="{59377EC5-00A8-4A4C-BE98-74D49040E769}"/>
    <cellStyle name="Currency 5 3 3 6 4" xfId="10523" xr:uid="{6AAB63DD-7495-4AB6-A1B5-CE454284E08C}"/>
    <cellStyle name="Currency 5 3 3 7" xfId="2439" xr:uid="{00000000-0005-0000-0000-0000060D0000}"/>
    <cellStyle name="Currency 5 3 3 7 2" xfId="6725" xr:uid="{00000000-0005-0000-0000-0000070D0000}"/>
    <cellStyle name="Currency 5 3 3 7 2 2" xfId="15154" xr:uid="{E04C6FA5-0EEB-4B07-82B4-518FE26A7CB9}"/>
    <cellStyle name="Currency 5 3 3 7 3" xfId="10936" xr:uid="{5149718F-0427-4C49-A867-FBE7A092F7B1}"/>
    <cellStyle name="Currency 5 3 3 8" xfId="2736" xr:uid="{00000000-0005-0000-0000-0000080D0000}"/>
    <cellStyle name="Currency 5 3 3 9" xfId="2817" xr:uid="{00000000-0005-0000-0000-0000090D0000}"/>
    <cellStyle name="Currency 5 3 3 9 2" xfId="7042" xr:uid="{00000000-0005-0000-0000-00000A0D0000}"/>
    <cellStyle name="Currency 5 3 3 9 2 2" xfId="15471" xr:uid="{DB77BEEC-5268-4A42-AB11-E5AEB615955D}"/>
    <cellStyle name="Currency 5 3 3 9 3" xfId="11253" xr:uid="{875E7EFA-19C0-4932-B559-8C5F9BDFE376}"/>
    <cellStyle name="Currency 5 3 4" xfId="216" xr:uid="{00000000-0005-0000-0000-00000B0D0000}"/>
    <cellStyle name="Currency 5 3 4 10" xfId="8872" xr:uid="{E16C6E72-22BC-4F78-B25E-386009E6E0E9}"/>
    <cellStyle name="Currency 5 3 4 2" xfId="743" xr:uid="{00000000-0005-0000-0000-00000C0D0000}"/>
    <cellStyle name="Currency 5 3 4 2 2" xfId="2996" xr:uid="{00000000-0005-0000-0000-00000D0D0000}"/>
    <cellStyle name="Currency 5 3 4 2 2 2" xfId="7220" xr:uid="{00000000-0005-0000-0000-00000E0D0000}"/>
    <cellStyle name="Currency 5 3 4 2 2 2 2" xfId="15649" xr:uid="{76A9629B-3D6A-4D1B-A015-4B4167B6C525}"/>
    <cellStyle name="Currency 5 3 4 2 2 3" xfId="11431" xr:uid="{31049D0B-C189-4968-8DF3-DE57FA3004A0}"/>
    <cellStyle name="Currency 5 3 4 2 3" xfId="5075" xr:uid="{00000000-0005-0000-0000-00000F0D0000}"/>
    <cellStyle name="Currency 5 3 4 2 3 2" xfId="13504" xr:uid="{74EF7A48-E2E3-483A-ADDC-5CF954C04F4D}"/>
    <cellStyle name="Currency 5 3 4 2 4" xfId="9286" xr:uid="{9BE48731-19BD-4B0D-9217-D1DAA589B213}"/>
    <cellStyle name="Currency 5 3 4 3" xfId="1178" xr:uid="{00000000-0005-0000-0000-0000100D0000}"/>
    <cellStyle name="Currency 5 3 4 3 2" xfId="3409" xr:uid="{00000000-0005-0000-0000-0000110D0000}"/>
    <cellStyle name="Currency 5 3 4 3 2 2" xfId="7633" xr:uid="{00000000-0005-0000-0000-0000120D0000}"/>
    <cellStyle name="Currency 5 3 4 3 2 2 2" xfId="16062" xr:uid="{A1AD4E6B-85FB-4B2C-B47F-8D9BA2CDA688}"/>
    <cellStyle name="Currency 5 3 4 3 2 3" xfId="11844" xr:uid="{5A142F58-BC59-4AB8-BC15-22E2F0B501A5}"/>
    <cellStyle name="Currency 5 3 4 3 3" xfId="5488" xr:uid="{00000000-0005-0000-0000-0000130D0000}"/>
    <cellStyle name="Currency 5 3 4 3 3 2" xfId="13917" xr:uid="{28739AED-045F-40CE-B0F9-378CA50F228B}"/>
    <cellStyle name="Currency 5 3 4 3 4" xfId="9699" xr:uid="{4CDD616B-2498-4B37-837F-5A2ABB2786B5}"/>
    <cellStyle name="Currency 5 3 4 4" xfId="1592" xr:uid="{00000000-0005-0000-0000-0000140D0000}"/>
    <cellStyle name="Currency 5 3 4 4 2" xfId="3822" xr:uid="{00000000-0005-0000-0000-0000150D0000}"/>
    <cellStyle name="Currency 5 3 4 4 2 2" xfId="8046" xr:uid="{00000000-0005-0000-0000-0000160D0000}"/>
    <cellStyle name="Currency 5 3 4 4 2 2 2" xfId="16475" xr:uid="{3ABEA9EB-91F0-447E-A4E1-E60820986AFE}"/>
    <cellStyle name="Currency 5 3 4 4 2 3" xfId="12257" xr:uid="{AA527188-C374-4EDD-94BD-931A65C74A8A}"/>
    <cellStyle name="Currency 5 3 4 4 3" xfId="5901" xr:uid="{00000000-0005-0000-0000-0000170D0000}"/>
    <cellStyle name="Currency 5 3 4 4 3 2" xfId="14330" xr:uid="{7C30D5EB-45D4-44EE-8F35-8D0DB179313C}"/>
    <cellStyle name="Currency 5 3 4 4 4" xfId="10112" xr:uid="{752BCDF0-537E-4D51-BDE1-FB708E4D6A5D}"/>
    <cellStyle name="Currency 5 3 4 5" xfId="2006" xr:uid="{00000000-0005-0000-0000-0000180D0000}"/>
    <cellStyle name="Currency 5 3 4 5 2" xfId="4235" xr:uid="{00000000-0005-0000-0000-0000190D0000}"/>
    <cellStyle name="Currency 5 3 4 5 2 2" xfId="8459" xr:uid="{00000000-0005-0000-0000-00001A0D0000}"/>
    <cellStyle name="Currency 5 3 4 5 2 2 2" xfId="16888" xr:uid="{E7F0C1FB-AB04-4120-B217-EEBB750CEA0C}"/>
    <cellStyle name="Currency 5 3 4 5 2 3" xfId="12670" xr:uid="{20BBDB3F-1F9A-4A9E-8A85-C8F3C5D0A315}"/>
    <cellStyle name="Currency 5 3 4 5 3" xfId="6314" xr:uid="{00000000-0005-0000-0000-00001B0D0000}"/>
    <cellStyle name="Currency 5 3 4 5 3 2" xfId="14743" xr:uid="{EE5CBC8B-DBC1-4ACD-AFB4-314BAC50D736}"/>
    <cellStyle name="Currency 5 3 4 5 4" xfId="10525" xr:uid="{D51B9D16-9FD3-4E6E-815D-40FD7FD6C62C}"/>
    <cellStyle name="Currency 5 3 4 6" xfId="2441" xr:uid="{00000000-0005-0000-0000-00001C0D0000}"/>
    <cellStyle name="Currency 5 3 4 6 2" xfId="6727" xr:uid="{00000000-0005-0000-0000-00001D0D0000}"/>
    <cellStyle name="Currency 5 3 4 6 2 2" xfId="15156" xr:uid="{5E8D5448-3535-4C03-A426-F1E66D9ED7B3}"/>
    <cellStyle name="Currency 5 3 4 6 3" xfId="10938" xr:uid="{F81DE3BE-694A-45E0-902E-ED8C8A70BF58}"/>
    <cellStyle name="Currency 5 3 4 7" xfId="2738" xr:uid="{00000000-0005-0000-0000-00001E0D0000}"/>
    <cellStyle name="Currency 5 3 4 8" xfId="2819" xr:uid="{00000000-0005-0000-0000-00001F0D0000}"/>
    <cellStyle name="Currency 5 3 4 8 2" xfId="7044" xr:uid="{00000000-0005-0000-0000-0000200D0000}"/>
    <cellStyle name="Currency 5 3 4 8 2 2" xfId="15473" xr:uid="{172DD7B4-4530-494F-A0BE-9070FF32A80D}"/>
    <cellStyle name="Currency 5 3 4 8 3" xfId="11255" xr:uid="{93DDC079-30D7-42D8-BB2E-98886D001592}"/>
    <cellStyle name="Currency 5 3 4 9" xfId="4661" xr:uid="{00000000-0005-0000-0000-0000210D0000}"/>
    <cellStyle name="Currency 5 3 4 9 2" xfId="13090" xr:uid="{87F673E7-7589-4E1E-A426-E3B1951762C2}"/>
    <cellStyle name="Currency 5 3 5" xfId="217" xr:uid="{00000000-0005-0000-0000-0000220D0000}"/>
    <cellStyle name="Currency 5 3 5 10" xfId="8873" xr:uid="{C49968E3-6D70-432B-9682-B9159D35DD28}"/>
    <cellStyle name="Currency 5 3 5 2" xfId="744" xr:uid="{00000000-0005-0000-0000-0000230D0000}"/>
    <cellStyle name="Currency 5 3 5 2 2" xfId="2997" xr:uid="{00000000-0005-0000-0000-0000240D0000}"/>
    <cellStyle name="Currency 5 3 5 2 2 2" xfId="7221" xr:uid="{00000000-0005-0000-0000-0000250D0000}"/>
    <cellStyle name="Currency 5 3 5 2 2 2 2" xfId="15650" xr:uid="{71CD15E6-A85E-44C4-9534-4839FA36B23B}"/>
    <cellStyle name="Currency 5 3 5 2 2 3" xfId="11432" xr:uid="{126DC86D-081F-4D2D-BEC4-9A0918A9AA9F}"/>
    <cellStyle name="Currency 5 3 5 2 3" xfId="5076" xr:uid="{00000000-0005-0000-0000-0000260D0000}"/>
    <cellStyle name="Currency 5 3 5 2 3 2" xfId="13505" xr:uid="{C56BB478-512A-4843-948C-5A944EDBD329}"/>
    <cellStyle name="Currency 5 3 5 2 4" xfId="9287" xr:uid="{F913A68A-A673-4CB1-AFA3-6E4107D23305}"/>
    <cellStyle name="Currency 5 3 5 3" xfId="1179" xr:uid="{00000000-0005-0000-0000-0000270D0000}"/>
    <cellStyle name="Currency 5 3 5 3 2" xfId="3410" xr:uid="{00000000-0005-0000-0000-0000280D0000}"/>
    <cellStyle name="Currency 5 3 5 3 2 2" xfId="7634" xr:uid="{00000000-0005-0000-0000-0000290D0000}"/>
    <cellStyle name="Currency 5 3 5 3 2 2 2" xfId="16063" xr:uid="{DA51E7F2-4E66-4C37-9E0F-4059599C13D0}"/>
    <cellStyle name="Currency 5 3 5 3 2 3" xfId="11845" xr:uid="{E118AE7F-C22F-498B-987F-C8E66F7F6D2B}"/>
    <cellStyle name="Currency 5 3 5 3 3" xfId="5489" xr:uid="{00000000-0005-0000-0000-00002A0D0000}"/>
    <cellStyle name="Currency 5 3 5 3 3 2" xfId="13918" xr:uid="{169795DF-0CF1-49CB-BD52-0028A0CF8AD6}"/>
    <cellStyle name="Currency 5 3 5 3 4" xfId="9700" xr:uid="{D07401DF-EC08-4B03-9702-FF96B3D6B385}"/>
    <cellStyle name="Currency 5 3 5 4" xfId="1593" xr:uid="{00000000-0005-0000-0000-00002B0D0000}"/>
    <cellStyle name="Currency 5 3 5 4 2" xfId="3823" xr:uid="{00000000-0005-0000-0000-00002C0D0000}"/>
    <cellStyle name="Currency 5 3 5 4 2 2" xfId="8047" xr:uid="{00000000-0005-0000-0000-00002D0D0000}"/>
    <cellStyle name="Currency 5 3 5 4 2 2 2" xfId="16476" xr:uid="{DD2EB170-A1D7-4170-BB75-682FCEBE46EB}"/>
    <cellStyle name="Currency 5 3 5 4 2 3" xfId="12258" xr:uid="{BF87C41F-69BD-48F9-AE5F-6CAD452E9076}"/>
    <cellStyle name="Currency 5 3 5 4 3" xfId="5902" xr:uid="{00000000-0005-0000-0000-00002E0D0000}"/>
    <cellStyle name="Currency 5 3 5 4 3 2" xfId="14331" xr:uid="{7285B62D-1D55-4F4D-BA32-0CF8A1F6F2B4}"/>
    <cellStyle name="Currency 5 3 5 4 4" xfId="10113" xr:uid="{DACCCC27-1513-4124-8D78-EC30133CAB17}"/>
    <cellStyle name="Currency 5 3 5 5" xfId="2007" xr:uid="{00000000-0005-0000-0000-00002F0D0000}"/>
    <cellStyle name="Currency 5 3 5 5 2" xfId="4236" xr:uid="{00000000-0005-0000-0000-0000300D0000}"/>
    <cellStyle name="Currency 5 3 5 5 2 2" xfId="8460" xr:uid="{00000000-0005-0000-0000-0000310D0000}"/>
    <cellStyle name="Currency 5 3 5 5 2 2 2" xfId="16889" xr:uid="{A3D77C01-B385-402C-A03C-388D503865F0}"/>
    <cellStyle name="Currency 5 3 5 5 2 3" xfId="12671" xr:uid="{58C827CE-440C-4E43-9B20-7C6492AEDC61}"/>
    <cellStyle name="Currency 5 3 5 5 3" xfId="6315" xr:uid="{00000000-0005-0000-0000-0000320D0000}"/>
    <cellStyle name="Currency 5 3 5 5 3 2" xfId="14744" xr:uid="{84424DD6-A5DB-4306-845C-BD420628F24A}"/>
    <cellStyle name="Currency 5 3 5 5 4" xfId="10526" xr:uid="{02DE4C8E-E6B3-42ED-8FC8-95E4E5858D39}"/>
    <cellStyle name="Currency 5 3 5 6" xfId="2442" xr:uid="{00000000-0005-0000-0000-0000330D0000}"/>
    <cellStyle name="Currency 5 3 5 6 2" xfId="6728" xr:uid="{00000000-0005-0000-0000-0000340D0000}"/>
    <cellStyle name="Currency 5 3 5 6 2 2" xfId="15157" xr:uid="{695D9441-A68B-4FFF-A924-626400335801}"/>
    <cellStyle name="Currency 5 3 5 6 3" xfId="10939" xr:uid="{8209057E-A6F4-44C9-BF7D-8122BD92CF08}"/>
    <cellStyle name="Currency 5 3 5 7" xfId="2739" xr:uid="{00000000-0005-0000-0000-0000350D0000}"/>
    <cellStyle name="Currency 5 3 5 8" xfId="2820" xr:uid="{00000000-0005-0000-0000-0000360D0000}"/>
    <cellStyle name="Currency 5 3 5 8 2" xfId="7045" xr:uid="{00000000-0005-0000-0000-0000370D0000}"/>
    <cellStyle name="Currency 5 3 5 8 2 2" xfId="15474" xr:uid="{3606E7B4-CD87-4888-B688-D4B99D9787DF}"/>
    <cellStyle name="Currency 5 3 5 8 3" xfId="11256" xr:uid="{47C6E868-234A-44A2-B339-AD4C5213B84A}"/>
    <cellStyle name="Currency 5 3 5 9" xfId="4662" xr:uid="{00000000-0005-0000-0000-0000380D0000}"/>
    <cellStyle name="Currency 5 3 5 9 2" xfId="13091" xr:uid="{F7D35047-C8AC-4E5E-B4B9-ACEC0D2F2C0C}"/>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10 2" xfId="13092" xr:uid="{3A5B10CB-F732-4B96-A80D-0ECC6F822735}"/>
    <cellStyle name="Currency 5 5 11" xfId="8874" xr:uid="{DF6463A2-D5AA-4BE0-AB0D-396D7FEAA8DD}"/>
    <cellStyle name="Currency 5 5 2" xfId="220" xr:uid="{00000000-0005-0000-0000-00003D0D0000}"/>
    <cellStyle name="Currency 5 5 2 10" xfId="8875" xr:uid="{52827FEF-DA9E-4022-B236-1BC035CE9CE1}"/>
    <cellStyle name="Currency 5 5 2 2" xfId="747" xr:uid="{00000000-0005-0000-0000-00003E0D0000}"/>
    <cellStyle name="Currency 5 5 2 2 2" xfId="2999" xr:uid="{00000000-0005-0000-0000-00003F0D0000}"/>
    <cellStyle name="Currency 5 5 2 2 2 2" xfId="7223" xr:uid="{00000000-0005-0000-0000-0000400D0000}"/>
    <cellStyle name="Currency 5 5 2 2 2 2 2" xfId="15652" xr:uid="{A9E57129-9A8C-44B3-AED4-224D81197A41}"/>
    <cellStyle name="Currency 5 5 2 2 2 3" xfId="11434" xr:uid="{6F672D43-2F3E-4AFC-A03B-13226730216D}"/>
    <cellStyle name="Currency 5 5 2 2 3" xfId="5078" xr:uid="{00000000-0005-0000-0000-0000410D0000}"/>
    <cellStyle name="Currency 5 5 2 2 3 2" xfId="13507" xr:uid="{547DA112-932A-44AC-9676-A7A54EEDCE22}"/>
    <cellStyle name="Currency 5 5 2 2 4" xfId="9289" xr:uid="{6408E6FF-1360-46A6-B868-A112F0451F7F}"/>
    <cellStyle name="Currency 5 5 2 3" xfId="1181" xr:uid="{00000000-0005-0000-0000-0000420D0000}"/>
    <cellStyle name="Currency 5 5 2 3 2" xfId="3412" xr:uid="{00000000-0005-0000-0000-0000430D0000}"/>
    <cellStyle name="Currency 5 5 2 3 2 2" xfId="7636" xr:uid="{00000000-0005-0000-0000-0000440D0000}"/>
    <cellStyle name="Currency 5 5 2 3 2 2 2" xfId="16065" xr:uid="{72849ACA-9E93-4542-9B5D-278AA8E4FE50}"/>
    <cellStyle name="Currency 5 5 2 3 2 3" xfId="11847" xr:uid="{F53F6622-4F14-4369-927F-3EB3000F7E96}"/>
    <cellStyle name="Currency 5 5 2 3 3" xfId="5491" xr:uid="{00000000-0005-0000-0000-0000450D0000}"/>
    <cellStyle name="Currency 5 5 2 3 3 2" xfId="13920" xr:uid="{7C788988-3FE6-4ABD-827E-09B9FC5378EE}"/>
    <cellStyle name="Currency 5 5 2 3 4" xfId="9702" xr:uid="{ECC81A78-E94D-40AA-82ED-C7A3AB77D096}"/>
    <cellStyle name="Currency 5 5 2 4" xfId="1595" xr:uid="{00000000-0005-0000-0000-0000460D0000}"/>
    <cellStyle name="Currency 5 5 2 4 2" xfId="3825" xr:uid="{00000000-0005-0000-0000-0000470D0000}"/>
    <cellStyle name="Currency 5 5 2 4 2 2" xfId="8049" xr:uid="{00000000-0005-0000-0000-0000480D0000}"/>
    <cellStyle name="Currency 5 5 2 4 2 2 2" xfId="16478" xr:uid="{025F515B-24D6-4816-B0C8-103A16561393}"/>
    <cellStyle name="Currency 5 5 2 4 2 3" xfId="12260" xr:uid="{3010829E-7300-4AF7-85C4-80F424B4353F}"/>
    <cellStyle name="Currency 5 5 2 4 3" xfId="5904" xr:uid="{00000000-0005-0000-0000-0000490D0000}"/>
    <cellStyle name="Currency 5 5 2 4 3 2" xfId="14333" xr:uid="{5FC168B6-144D-48AE-B39D-69BD9D6BADB7}"/>
    <cellStyle name="Currency 5 5 2 4 4" xfId="10115" xr:uid="{47E7078F-0E6C-4856-AE29-62AB2F50C7C0}"/>
    <cellStyle name="Currency 5 5 2 5" xfId="2009" xr:uid="{00000000-0005-0000-0000-00004A0D0000}"/>
    <cellStyle name="Currency 5 5 2 5 2" xfId="4238" xr:uid="{00000000-0005-0000-0000-00004B0D0000}"/>
    <cellStyle name="Currency 5 5 2 5 2 2" xfId="8462" xr:uid="{00000000-0005-0000-0000-00004C0D0000}"/>
    <cellStyle name="Currency 5 5 2 5 2 2 2" xfId="16891" xr:uid="{AC3FEB03-672A-41D9-B8D0-E4D69928EB0E}"/>
    <cellStyle name="Currency 5 5 2 5 2 3" xfId="12673" xr:uid="{F31094AF-774C-49EA-8689-9CC09456C21C}"/>
    <cellStyle name="Currency 5 5 2 5 3" xfId="6317" xr:uid="{00000000-0005-0000-0000-00004D0D0000}"/>
    <cellStyle name="Currency 5 5 2 5 3 2" xfId="14746" xr:uid="{DB311560-2B57-47F2-84EF-BEC51A61A94F}"/>
    <cellStyle name="Currency 5 5 2 5 4" xfId="10528" xr:uid="{25BEAB62-BF75-407C-A3BC-1A3E6FD62471}"/>
    <cellStyle name="Currency 5 5 2 6" xfId="2444" xr:uid="{00000000-0005-0000-0000-00004E0D0000}"/>
    <cellStyle name="Currency 5 5 2 6 2" xfId="6730" xr:uid="{00000000-0005-0000-0000-00004F0D0000}"/>
    <cellStyle name="Currency 5 5 2 6 2 2" xfId="15159" xr:uid="{46567675-A2AD-41D5-B665-4930D1730CE6}"/>
    <cellStyle name="Currency 5 5 2 6 3" xfId="10941" xr:uid="{385B02AF-D5A0-42D3-91CE-C9801605F486}"/>
    <cellStyle name="Currency 5 5 2 7" xfId="2741" xr:uid="{00000000-0005-0000-0000-0000500D0000}"/>
    <cellStyle name="Currency 5 5 2 8" xfId="2822" xr:uid="{00000000-0005-0000-0000-0000510D0000}"/>
    <cellStyle name="Currency 5 5 2 8 2" xfId="7047" xr:uid="{00000000-0005-0000-0000-0000520D0000}"/>
    <cellStyle name="Currency 5 5 2 8 2 2" xfId="15476" xr:uid="{37274C80-04D0-48D3-B149-BC9C326F456E}"/>
    <cellStyle name="Currency 5 5 2 8 3" xfId="11258" xr:uid="{7208B07C-F368-4C9D-B799-5C04D4C7FCCC}"/>
    <cellStyle name="Currency 5 5 2 9" xfId="4664" xr:uid="{00000000-0005-0000-0000-0000530D0000}"/>
    <cellStyle name="Currency 5 5 2 9 2" xfId="13093" xr:uid="{4932C0EA-13C2-4A26-A801-BC3AEE7337E0}"/>
    <cellStyle name="Currency 5 5 3" xfId="746" xr:uid="{00000000-0005-0000-0000-0000540D0000}"/>
    <cellStyle name="Currency 5 5 3 2" xfId="2998" xr:uid="{00000000-0005-0000-0000-0000550D0000}"/>
    <cellStyle name="Currency 5 5 3 2 2" xfId="7222" xr:uid="{00000000-0005-0000-0000-0000560D0000}"/>
    <cellStyle name="Currency 5 5 3 2 2 2" xfId="15651" xr:uid="{3D40644A-1415-4B71-8C0E-8F5097298DFE}"/>
    <cellStyle name="Currency 5 5 3 2 3" xfId="11433" xr:uid="{B0ACB14C-11F2-42C5-8E90-793AF1E02CF6}"/>
    <cellStyle name="Currency 5 5 3 3" xfId="5077" xr:uid="{00000000-0005-0000-0000-0000570D0000}"/>
    <cellStyle name="Currency 5 5 3 3 2" xfId="13506" xr:uid="{C32ADE70-4DAC-4026-B4D8-6CDC80E61A24}"/>
    <cellStyle name="Currency 5 5 3 4" xfId="9288" xr:uid="{EB308ABD-2395-406F-86EA-AFEAE8F3C6DE}"/>
    <cellStyle name="Currency 5 5 4" xfId="1180" xr:uid="{00000000-0005-0000-0000-0000580D0000}"/>
    <cellStyle name="Currency 5 5 4 2" xfId="3411" xr:uid="{00000000-0005-0000-0000-0000590D0000}"/>
    <cellStyle name="Currency 5 5 4 2 2" xfId="7635" xr:uid="{00000000-0005-0000-0000-00005A0D0000}"/>
    <cellStyle name="Currency 5 5 4 2 2 2" xfId="16064" xr:uid="{CB4A9903-76DE-47D6-A87A-F8B27631F461}"/>
    <cellStyle name="Currency 5 5 4 2 3" xfId="11846" xr:uid="{C40B7427-21BA-4528-8C38-E9C5F6200344}"/>
    <cellStyle name="Currency 5 5 4 3" xfId="5490" xr:uid="{00000000-0005-0000-0000-00005B0D0000}"/>
    <cellStyle name="Currency 5 5 4 3 2" xfId="13919" xr:uid="{F810E6A8-F586-4B8F-A69C-2F0CDB8A0036}"/>
    <cellStyle name="Currency 5 5 4 4" xfId="9701" xr:uid="{16158851-3620-4DEB-8CB9-352F3427E92B}"/>
    <cellStyle name="Currency 5 5 5" xfId="1594" xr:uid="{00000000-0005-0000-0000-00005C0D0000}"/>
    <cellStyle name="Currency 5 5 5 2" xfId="3824" xr:uid="{00000000-0005-0000-0000-00005D0D0000}"/>
    <cellStyle name="Currency 5 5 5 2 2" xfId="8048" xr:uid="{00000000-0005-0000-0000-00005E0D0000}"/>
    <cellStyle name="Currency 5 5 5 2 2 2" xfId="16477" xr:uid="{4F81CED3-5E98-4D19-BE2B-FD2D667D68F6}"/>
    <cellStyle name="Currency 5 5 5 2 3" xfId="12259" xr:uid="{63808760-864A-4D34-8FCC-F0D102C6B3D1}"/>
    <cellStyle name="Currency 5 5 5 3" xfId="5903" xr:uid="{00000000-0005-0000-0000-00005F0D0000}"/>
    <cellStyle name="Currency 5 5 5 3 2" xfId="14332" xr:uid="{4A5A2DC0-FE6E-43CD-BF72-17419650198A}"/>
    <cellStyle name="Currency 5 5 5 4" xfId="10114" xr:uid="{C0DCA017-2972-406F-9863-C34443AAE4D9}"/>
    <cellStyle name="Currency 5 5 6" xfId="2008" xr:uid="{00000000-0005-0000-0000-0000600D0000}"/>
    <cellStyle name="Currency 5 5 6 2" xfId="4237" xr:uid="{00000000-0005-0000-0000-0000610D0000}"/>
    <cellStyle name="Currency 5 5 6 2 2" xfId="8461" xr:uid="{00000000-0005-0000-0000-0000620D0000}"/>
    <cellStyle name="Currency 5 5 6 2 2 2" xfId="16890" xr:uid="{68C9D11D-B30E-4C19-870A-C40FCA267347}"/>
    <cellStyle name="Currency 5 5 6 2 3" xfId="12672" xr:uid="{9578B503-7651-4D40-9C08-7240F9F6D673}"/>
    <cellStyle name="Currency 5 5 6 3" xfId="6316" xr:uid="{00000000-0005-0000-0000-0000630D0000}"/>
    <cellStyle name="Currency 5 5 6 3 2" xfId="14745" xr:uid="{6A7F007B-FF1B-4E8B-8AA5-EB2E328CB2E4}"/>
    <cellStyle name="Currency 5 5 6 4" xfId="10527" xr:uid="{229B3B52-316A-4F7B-88A4-AD52A2C93359}"/>
    <cellStyle name="Currency 5 5 7" xfId="2443" xr:uid="{00000000-0005-0000-0000-0000640D0000}"/>
    <cellStyle name="Currency 5 5 7 2" xfId="6729" xr:uid="{00000000-0005-0000-0000-0000650D0000}"/>
    <cellStyle name="Currency 5 5 7 2 2" xfId="15158" xr:uid="{27C3307B-670F-41D0-8FFB-B4EA5F75DAE7}"/>
    <cellStyle name="Currency 5 5 7 3" xfId="10940" xr:uid="{A7C4A966-C604-4300-AED3-5A0DE5D831A4}"/>
    <cellStyle name="Currency 5 5 8" xfId="2740" xr:uid="{00000000-0005-0000-0000-0000660D0000}"/>
    <cellStyle name="Currency 5 5 9" xfId="2821" xr:uid="{00000000-0005-0000-0000-0000670D0000}"/>
    <cellStyle name="Currency 5 5 9 2" xfId="7046" xr:uid="{00000000-0005-0000-0000-0000680D0000}"/>
    <cellStyle name="Currency 5 5 9 2 2" xfId="15475" xr:uid="{7E8A42CE-B2E2-4C06-85F6-6AE5548AD5B8}"/>
    <cellStyle name="Currency 5 5 9 3" xfId="11257" xr:uid="{4EADAC60-447F-428B-8EC9-5E4E0B8D526C}"/>
    <cellStyle name="Currency 5 6" xfId="221" xr:uid="{00000000-0005-0000-0000-0000690D0000}"/>
    <cellStyle name="Currency 5 6 10" xfId="8876" xr:uid="{66FFB354-A321-47D8-84F0-00A1EFD18D1C}"/>
    <cellStyle name="Currency 5 6 2" xfId="748" xr:uid="{00000000-0005-0000-0000-00006A0D0000}"/>
    <cellStyle name="Currency 5 6 2 2" xfId="3000" xr:uid="{00000000-0005-0000-0000-00006B0D0000}"/>
    <cellStyle name="Currency 5 6 2 2 2" xfId="7224" xr:uid="{00000000-0005-0000-0000-00006C0D0000}"/>
    <cellStyle name="Currency 5 6 2 2 2 2" xfId="15653" xr:uid="{F1AD8248-D9F9-42D2-8942-C6A4379323F6}"/>
    <cellStyle name="Currency 5 6 2 2 3" xfId="11435" xr:uid="{4D08AAF0-B16B-423B-B8DE-08E771BC7FA5}"/>
    <cellStyle name="Currency 5 6 2 3" xfId="5079" xr:uid="{00000000-0005-0000-0000-00006D0D0000}"/>
    <cellStyle name="Currency 5 6 2 3 2" xfId="13508" xr:uid="{357697A7-109C-4832-A3FC-226CE635F016}"/>
    <cellStyle name="Currency 5 6 2 4" xfId="9290" xr:uid="{0FAEFB1C-9404-4A1C-A794-D41F2E509F92}"/>
    <cellStyle name="Currency 5 6 3" xfId="1182" xr:uid="{00000000-0005-0000-0000-00006E0D0000}"/>
    <cellStyle name="Currency 5 6 3 2" xfId="3413" xr:uid="{00000000-0005-0000-0000-00006F0D0000}"/>
    <cellStyle name="Currency 5 6 3 2 2" xfId="7637" xr:uid="{00000000-0005-0000-0000-0000700D0000}"/>
    <cellStyle name="Currency 5 6 3 2 2 2" xfId="16066" xr:uid="{724976DE-9857-465C-90B0-AC67EAF30970}"/>
    <cellStyle name="Currency 5 6 3 2 3" xfId="11848" xr:uid="{4FD8ED19-2381-4AEB-B1E7-824F2A90A585}"/>
    <cellStyle name="Currency 5 6 3 3" xfId="5492" xr:uid="{00000000-0005-0000-0000-0000710D0000}"/>
    <cellStyle name="Currency 5 6 3 3 2" xfId="13921" xr:uid="{B282A1F3-653B-49F1-AA86-307F447DB4A1}"/>
    <cellStyle name="Currency 5 6 3 4" xfId="9703" xr:uid="{0FF5E105-D669-4E1C-9C95-92EA83DA0914}"/>
    <cellStyle name="Currency 5 6 4" xfId="1596" xr:uid="{00000000-0005-0000-0000-0000720D0000}"/>
    <cellStyle name="Currency 5 6 4 2" xfId="3826" xr:uid="{00000000-0005-0000-0000-0000730D0000}"/>
    <cellStyle name="Currency 5 6 4 2 2" xfId="8050" xr:uid="{00000000-0005-0000-0000-0000740D0000}"/>
    <cellStyle name="Currency 5 6 4 2 2 2" xfId="16479" xr:uid="{91582AA7-FA6B-4967-983C-4B5E9B814884}"/>
    <cellStyle name="Currency 5 6 4 2 3" xfId="12261" xr:uid="{D83ECC2A-D553-4E58-8E1A-CCE708942836}"/>
    <cellStyle name="Currency 5 6 4 3" xfId="5905" xr:uid="{00000000-0005-0000-0000-0000750D0000}"/>
    <cellStyle name="Currency 5 6 4 3 2" xfId="14334" xr:uid="{E6C3AFB4-E9F6-45B0-B90C-B2BD081667F9}"/>
    <cellStyle name="Currency 5 6 4 4" xfId="10116" xr:uid="{DB46CB0C-F3B6-4713-998D-6B88CFC603DE}"/>
    <cellStyle name="Currency 5 6 5" xfId="2010" xr:uid="{00000000-0005-0000-0000-0000760D0000}"/>
    <cellStyle name="Currency 5 6 5 2" xfId="4239" xr:uid="{00000000-0005-0000-0000-0000770D0000}"/>
    <cellStyle name="Currency 5 6 5 2 2" xfId="8463" xr:uid="{00000000-0005-0000-0000-0000780D0000}"/>
    <cellStyle name="Currency 5 6 5 2 2 2" xfId="16892" xr:uid="{93EF3EB9-1048-44E9-BB7E-5B4C8240A7F8}"/>
    <cellStyle name="Currency 5 6 5 2 3" xfId="12674" xr:uid="{9F494BAB-C893-4C12-A538-F147E500DA47}"/>
    <cellStyle name="Currency 5 6 5 3" xfId="6318" xr:uid="{00000000-0005-0000-0000-0000790D0000}"/>
    <cellStyle name="Currency 5 6 5 3 2" xfId="14747" xr:uid="{F69563F2-60A6-43BA-8A93-09CB5DA61B61}"/>
    <cellStyle name="Currency 5 6 5 4" xfId="10529" xr:uid="{F5FEEA9F-72AE-4224-9615-EA9AB699E0D2}"/>
    <cellStyle name="Currency 5 6 6" xfId="2445" xr:uid="{00000000-0005-0000-0000-00007A0D0000}"/>
    <cellStyle name="Currency 5 6 6 2" xfId="6731" xr:uid="{00000000-0005-0000-0000-00007B0D0000}"/>
    <cellStyle name="Currency 5 6 6 2 2" xfId="15160" xr:uid="{4F45254A-E126-46A6-BCE0-B2A8C27557C7}"/>
    <cellStyle name="Currency 5 6 6 3" xfId="10942" xr:uid="{F7A46E29-E97C-469C-B52E-39A271AD40EF}"/>
    <cellStyle name="Currency 5 6 7" xfId="2742" xr:uid="{00000000-0005-0000-0000-00007C0D0000}"/>
    <cellStyle name="Currency 5 6 8" xfId="2823" xr:uid="{00000000-0005-0000-0000-00007D0D0000}"/>
    <cellStyle name="Currency 5 6 8 2" xfId="7048" xr:uid="{00000000-0005-0000-0000-00007E0D0000}"/>
    <cellStyle name="Currency 5 6 8 2 2" xfId="15477" xr:uid="{92006993-BD7F-46F0-B220-9AE4F86AAF8F}"/>
    <cellStyle name="Currency 5 6 8 3" xfId="11259" xr:uid="{BFAD2F83-5A1B-42DA-8140-60FD17956B04}"/>
    <cellStyle name="Currency 5 6 9" xfId="4665" xr:uid="{00000000-0005-0000-0000-00007F0D0000}"/>
    <cellStyle name="Currency 5 6 9 2" xfId="13094" xr:uid="{1FA90CCD-BA47-4528-A8BF-F5865A8EEED2}"/>
    <cellStyle name="Currency 5 7" xfId="222" xr:uid="{00000000-0005-0000-0000-0000800D0000}"/>
    <cellStyle name="Currency 5 7 10" xfId="8877" xr:uid="{31DC221D-FA5C-4F8B-A255-E056D2E87126}"/>
    <cellStyle name="Currency 5 7 2" xfId="749" xr:uid="{00000000-0005-0000-0000-0000810D0000}"/>
    <cellStyle name="Currency 5 7 2 2" xfId="3001" xr:uid="{00000000-0005-0000-0000-0000820D0000}"/>
    <cellStyle name="Currency 5 7 2 2 2" xfId="7225" xr:uid="{00000000-0005-0000-0000-0000830D0000}"/>
    <cellStyle name="Currency 5 7 2 2 2 2" xfId="15654" xr:uid="{8B8CE63F-C3F5-400D-B3F5-D2A524778A6B}"/>
    <cellStyle name="Currency 5 7 2 2 3" xfId="11436" xr:uid="{0C2C9F51-80FE-47B6-B994-D804A21BA5BB}"/>
    <cellStyle name="Currency 5 7 2 3" xfId="5080" xr:uid="{00000000-0005-0000-0000-0000840D0000}"/>
    <cellStyle name="Currency 5 7 2 3 2" xfId="13509" xr:uid="{F778CF24-1A8D-4621-9674-7B5D73FC2F6A}"/>
    <cellStyle name="Currency 5 7 2 4" xfId="9291" xr:uid="{BD2045A0-EA87-4EFF-BDDD-D30ECAE6F74E}"/>
    <cellStyle name="Currency 5 7 3" xfId="1183" xr:uid="{00000000-0005-0000-0000-0000850D0000}"/>
    <cellStyle name="Currency 5 7 3 2" xfId="3414" xr:uid="{00000000-0005-0000-0000-0000860D0000}"/>
    <cellStyle name="Currency 5 7 3 2 2" xfId="7638" xr:uid="{00000000-0005-0000-0000-0000870D0000}"/>
    <cellStyle name="Currency 5 7 3 2 2 2" xfId="16067" xr:uid="{D5BFC87B-4248-4FF7-8B57-A2E1D0B9FB0F}"/>
    <cellStyle name="Currency 5 7 3 2 3" xfId="11849" xr:uid="{B483BD4E-6F4D-47D4-9881-7F83F1F465D2}"/>
    <cellStyle name="Currency 5 7 3 3" xfId="5493" xr:uid="{00000000-0005-0000-0000-0000880D0000}"/>
    <cellStyle name="Currency 5 7 3 3 2" xfId="13922" xr:uid="{9B7E56DE-E795-4E53-830E-34423D77A2AE}"/>
    <cellStyle name="Currency 5 7 3 4" xfId="9704" xr:uid="{539D51F2-B019-47A6-902B-3FE738E07513}"/>
    <cellStyle name="Currency 5 7 4" xfId="1597" xr:uid="{00000000-0005-0000-0000-0000890D0000}"/>
    <cellStyle name="Currency 5 7 4 2" xfId="3827" xr:uid="{00000000-0005-0000-0000-00008A0D0000}"/>
    <cellStyle name="Currency 5 7 4 2 2" xfId="8051" xr:uid="{00000000-0005-0000-0000-00008B0D0000}"/>
    <cellStyle name="Currency 5 7 4 2 2 2" xfId="16480" xr:uid="{67960441-0362-4C53-B3DD-7F08E8E21478}"/>
    <cellStyle name="Currency 5 7 4 2 3" xfId="12262" xr:uid="{1D8A7A88-CC58-439B-8C74-2FE4A3BEE504}"/>
    <cellStyle name="Currency 5 7 4 3" xfId="5906" xr:uid="{00000000-0005-0000-0000-00008C0D0000}"/>
    <cellStyle name="Currency 5 7 4 3 2" xfId="14335" xr:uid="{BCA3CE2D-F41F-4E20-B4CB-B435DEA29817}"/>
    <cellStyle name="Currency 5 7 4 4" xfId="10117" xr:uid="{EB6C0BEA-E6CB-4CA6-97F3-CF065F8D6B85}"/>
    <cellStyle name="Currency 5 7 5" xfId="2011" xr:uid="{00000000-0005-0000-0000-00008D0D0000}"/>
    <cellStyle name="Currency 5 7 5 2" xfId="4240" xr:uid="{00000000-0005-0000-0000-00008E0D0000}"/>
    <cellStyle name="Currency 5 7 5 2 2" xfId="8464" xr:uid="{00000000-0005-0000-0000-00008F0D0000}"/>
    <cellStyle name="Currency 5 7 5 2 2 2" xfId="16893" xr:uid="{1BEBBCDD-3DC1-4EF7-A7CA-575300E3B7CE}"/>
    <cellStyle name="Currency 5 7 5 2 3" xfId="12675" xr:uid="{488657A9-203F-4A22-9BE3-6E42EE3B6C68}"/>
    <cellStyle name="Currency 5 7 5 3" xfId="6319" xr:uid="{00000000-0005-0000-0000-0000900D0000}"/>
    <cellStyle name="Currency 5 7 5 3 2" xfId="14748" xr:uid="{111A6EB0-4A1C-47F9-8EB5-FCB682927CEF}"/>
    <cellStyle name="Currency 5 7 5 4" xfId="10530" xr:uid="{AD8AB5E6-D78D-40B3-8B64-529597B8BDF7}"/>
    <cellStyle name="Currency 5 7 6" xfId="2446" xr:uid="{00000000-0005-0000-0000-0000910D0000}"/>
    <cellStyle name="Currency 5 7 6 2" xfId="6732" xr:uid="{00000000-0005-0000-0000-0000920D0000}"/>
    <cellStyle name="Currency 5 7 6 2 2" xfId="15161" xr:uid="{13549BB3-506D-4539-B83A-EC8320DA7D18}"/>
    <cellStyle name="Currency 5 7 6 3" xfId="10943" xr:uid="{57D3EB20-0F3C-49FE-9D74-4081B6010EEB}"/>
    <cellStyle name="Currency 5 7 7" xfId="2743" xr:uid="{00000000-0005-0000-0000-0000930D0000}"/>
    <cellStyle name="Currency 5 7 8" xfId="2824" xr:uid="{00000000-0005-0000-0000-0000940D0000}"/>
    <cellStyle name="Currency 5 7 8 2" xfId="7049" xr:uid="{00000000-0005-0000-0000-0000950D0000}"/>
    <cellStyle name="Currency 5 7 8 2 2" xfId="15478" xr:uid="{4A22B735-F751-4E9D-B00C-D4C5CD8AF5D2}"/>
    <cellStyle name="Currency 5 7 8 3" xfId="11260" xr:uid="{F0BB2F3C-E650-4D76-AD9F-51682845BE53}"/>
    <cellStyle name="Currency 5 7 9" xfId="4666" xr:uid="{00000000-0005-0000-0000-0000960D0000}"/>
    <cellStyle name="Currency 5 7 9 2" xfId="13095" xr:uid="{46209C99-CE51-4450-BADC-F08FE8A23875}"/>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0 2 2" xfId="15162" xr:uid="{35EC5F29-3630-40B5-85EE-8EDA692AF473}"/>
    <cellStyle name="Normal 12 10 3" xfId="10944" xr:uid="{F553CCA5-5AD5-4905-9D0B-F0AE785191F2}"/>
    <cellStyle name="Normal 12 11" xfId="4667" xr:uid="{00000000-0005-0000-0000-0000CC0D0000}"/>
    <cellStyle name="Normal 12 11 2" xfId="13096" xr:uid="{278EB67C-F3AE-4659-B36B-F43489655A44}"/>
    <cellStyle name="Normal 12 12" xfId="8878" xr:uid="{2636B4BD-6AB3-4EDE-8617-0BF0A745775C}"/>
    <cellStyle name="Normal 12 2" xfId="260" xr:uid="{00000000-0005-0000-0000-0000CD0D0000}"/>
    <cellStyle name="Normal 12 2 10" xfId="8879" xr:uid="{C2ABE5E7-E6C6-4F70-97C7-728557CAEDCE}"/>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2 2 2" xfId="15658" xr:uid="{11D8C307-AC0E-4280-AFE1-BA1445D87638}"/>
    <cellStyle name="Normal 12 2 2 2 2 2 3" xfId="11440" xr:uid="{1E65880E-E356-4932-9E49-A2028C005D66}"/>
    <cellStyle name="Normal 12 2 2 2 2 3" xfId="5084" xr:uid="{00000000-0005-0000-0000-0000D30D0000}"/>
    <cellStyle name="Normal 12 2 2 2 2 3 2" xfId="13513" xr:uid="{5748FF34-01F2-48EF-8613-81DC59905C38}"/>
    <cellStyle name="Normal 12 2 2 2 2 4" xfId="9295" xr:uid="{E572E953-D2A0-41BA-BB10-13D29F838B2A}"/>
    <cellStyle name="Normal 12 2 2 2 3" xfId="1187" xr:uid="{00000000-0005-0000-0000-0000D40D0000}"/>
    <cellStyle name="Normal 12 2 2 2 3 2" xfId="3418" xr:uid="{00000000-0005-0000-0000-0000D50D0000}"/>
    <cellStyle name="Normal 12 2 2 2 3 2 2" xfId="7642" xr:uid="{00000000-0005-0000-0000-0000D60D0000}"/>
    <cellStyle name="Normal 12 2 2 2 3 2 2 2" xfId="16071" xr:uid="{3434F8B1-BE91-4EBB-970D-B7630A3288B0}"/>
    <cellStyle name="Normal 12 2 2 2 3 2 3" xfId="11853" xr:uid="{6B89462C-8C4D-47DD-A60A-B2D5F7CA3679}"/>
    <cellStyle name="Normal 12 2 2 2 3 3" xfId="5497" xr:uid="{00000000-0005-0000-0000-0000D70D0000}"/>
    <cellStyle name="Normal 12 2 2 2 3 3 2" xfId="13926" xr:uid="{390E1969-609D-4A42-A9F5-18244CEFD647}"/>
    <cellStyle name="Normal 12 2 2 2 3 4" xfId="9708" xr:uid="{E99B5685-B3BC-4358-A394-FDFC4D833018}"/>
    <cellStyle name="Normal 12 2 2 2 4" xfId="1601" xr:uid="{00000000-0005-0000-0000-0000D80D0000}"/>
    <cellStyle name="Normal 12 2 2 2 4 2" xfId="3831" xr:uid="{00000000-0005-0000-0000-0000D90D0000}"/>
    <cellStyle name="Normal 12 2 2 2 4 2 2" xfId="8055" xr:uid="{00000000-0005-0000-0000-0000DA0D0000}"/>
    <cellStyle name="Normal 12 2 2 2 4 2 2 2" xfId="16484" xr:uid="{0EA968F2-D83D-4B54-9DA0-5024CDD34905}"/>
    <cellStyle name="Normal 12 2 2 2 4 2 3" xfId="12266" xr:uid="{D30F8FAD-B5A7-463D-8C00-819530400233}"/>
    <cellStyle name="Normal 12 2 2 2 4 3" xfId="5910" xr:uid="{00000000-0005-0000-0000-0000DB0D0000}"/>
    <cellStyle name="Normal 12 2 2 2 4 3 2" xfId="14339" xr:uid="{2F378F28-2C7E-43D0-8736-7EB506807E6C}"/>
    <cellStyle name="Normal 12 2 2 2 4 4" xfId="10121" xr:uid="{46392A86-FF59-45C2-A6AC-74CAC50A8DDB}"/>
    <cellStyle name="Normal 12 2 2 2 5" xfId="2015" xr:uid="{00000000-0005-0000-0000-0000DC0D0000}"/>
    <cellStyle name="Normal 12 2 2 2 5 2" xfId="4244" xr:uid="{00000000-0005-0000-0000-0000DD0D0000}"/>
    <cellStyle name="Normal 12 2 2 2 5 2 2" xfId="8468" xr:uid="{00000000-0005-0000-0000-0000DE0D0000}"/>
    <cellStyle name="Normal 12 2 2 2 5 2 2 2" xfId="16897" xr:uid="{14AD7A21-8CF1-45C2-A1CE-EDBCB81495CA}"/>
    <cellStyle name="Normal 12 2 2 2 5 2 3" xfId="12679" xr:uid="{41943029-ED75-426D-9FFE-5228076EEB82}"/>
    <cellStyle name="Normal 12 2 2 2 5 3" xfId="6323" xr:uid="{00000000-0005-0000-0000-0000DF0D0000}"/>
    <cellStyle name="Normal 12 2 2 2 5 3 2" xfId="14752" xr:uid="{F4A940BB-4A94-4AEB-98EA-FE5D0531C014}"/>
    <cellStyle name="Normal 12 2 2 2 5 4" xfId="10534" xr:uid="{9DF0236A-05F8-4942-A8E9-D54B518F740B}"/>
    <cellStyle name="Normal 12 2 2 2 6" xfId="2451" xr:uid="{00000000-0005-0000-0000-0000E00D0000}"/>
    <cellStyle name="Normal 12 2 2 2 6 2" xfId="6736" xr:uid="{00000000-0005-0000-0000-0000E10D0000}"/>
    <cellStyle name="Normal 12 2 2 2 6 2 2" xfId="15165" xr:uid="{13A8A2A8-9AE9-4D73-AF1C-E1E41E708238}"/>
    <cellStyle name="Normal 12 2 2 2 6 3" xfId="10947" xr:uid="{F461285B-F451-41B1-9AAC-5A9B63730660}"/>
    <cellStyle name="Normal 12 2 2 2 7" xfId="4670" xr:uid="{00000000-0005-0000-0000-0000E20D0000}"/>
    <cellStyle name="Normal 12 2 2 2 7 2" xfId="13099" xr:uid="{EFB2EF78-5CD4-4CB1-B17D-872C2E064DEE}"/>
    <cellStyle name="Normal 12 2 2 2 8" xfId="8881" xr:uid="{9AB2A94D-99BD-43C0-9D43-0D80E8F237E9}"/>
    <cellStyle name="Normal 12 2 2 3" xfId="763" xr:uid="{00000000-0005-0000-0000-0000E30D0000}"/>
    <cellStyle name="Normal 12 2 2 3 2" xfId="3004" xr:uid="{00000000-0005-0000-0000-0000E40D0000}"/>
    <cellStyle name="Normal 12 2 2 3 2 2" xfId="7228" xr:uid="{00000000-0005-0000-0000-0000E50D0000}"/>
    <cellStyle name="Normal 12 2 2 3 2 2 2" xfId="15657" xr:uid="{F112AA7E-A86F-4F5F-8F06-B2207BC1EBC8}"/>
    <cellStyle name="Normal 12 2 2 3 2 3" xfId="11439" xr:uid="{A36F8EBE-70CE-4386-8E34-6E32C19D246C}"/>
    <cellStyle name="Normal 12 2 2 3 3" xfId="5083" xr:uid="{00000000-0005-0000-0000-0000E60D0000}"/>
    <cellStyle name="Normal 12 2 2 3 3 2" xfId="13512" xr:uid="{487E516A-9BDC-4AFF-A772-385D6714D5AE}"/>
    <cellStyle name="Normal 12 2 2 3 4" xfId="9294" xr:uid="{FCA1F876-B3E0-4236-85A9-C94F8F498CA2}"/>
    <cellStyle name="Normal 12 2 2 4" xfId="1186" xr:uid="{00000000-0005-0000-0000-0000E70D0000}"/>
    <cellStyle name="Normal 12 2 2 4 2" xfId="3417" xr:uid="{00000000-0005-0000-0000-0000E80D0000}"/>
    <cellStyle name="Normal 12 2 2 4 2 2" xfId="7641" xr:uid="{00000000-0005-0000-0000-0000E90D0000}"/>
    <cellStyle name="Normal 12 2 2 4 2 2 2" xfId="16070" xr:uid="{A601B999-602F-40D8-8F3A-A6C6D3D87ED6}"/>
    <cellStyle name="Normal 12 2 2 4 2 3" xfId="11852" xr:uid="{7D8917F5-468F-4A9C-83F1-8AF543BCDF91}"/>
    <cellStyle name="Normal 12 2 2 4 3" xfId="5496" xr:uid="{00000000-0005-0000-0000-0000EA0D0000}"/>
    <cellStyle name="Normal 12 2 2 4 3 2" xfId="13925" xr:uid="{6EB20ACD-3C40-47D8-B7B9-1D6F6C5FB1AB}"/>
    <cellStyle name="Normal 12 2 2 4 4" xfId="9707" xr:uid="{68029A74-5155-4F9B-87D1-EE3273741EBB}"/>
    <cellStyle name="Normal 12 2 2 5" xfId="1600" xr:uid="{00000000-0005-0000-0000-0000EB0D0000}"/>
    <cellStyle name="Normal 12 2 2 5 2" xfId="3830" xr:uid="{00000000-0005-0000-0000-0000EC0D0000}"/>
    <cellStyle name="Normal 12 2 2 5 2 2" xfId="8054" xr:uid="{00000000-0005-0000-0000-0000ED0D0000}"/>
    <cellStyle name="Normal 12 2 2 5 2 2 2" xfId="16483" xr:uid="{11E339E5-655F-43EA-A7EC-86572FCD21E3}"/>
    <cellStyle name="Normal 12 2 2 5 2 3" xfId="12265" xr:uid="{8619E891-C898-4959-8D9D-EF3023A564E7}"/>
    <cellStyle name="Normal 12 2 2 5 3" xfId="5909" xr:uid="{00000000-0005-0000-0000-0000EE0D0000}"/>
    <cellStyle name="Normal 12 2 2 5 3 2" xfId="14338" xr:uid="{4224C0A7-2293-452B-922B-EE48CD4B64FC}"/>
    <cellStyle name="Normal 12 2 2 5 4" xfId="10120" xr:uid="{55795834-BFC2-4FD1-B512-13823CB7A22C}"/>
    <cellStyle name="Normal 12 2 2 6" xfId="2014" xr:uid="{00000000-0005-0000-0000-0000EF0D0000}"/>
    <cellStyle name="Normal 12 2 2 6 2" xfId="4243" xr:uid="{00000000-0005-0000-0000-0000F00D0000}"/>
    <cellStyle name="Normal 12 2 2 6 2 2" xfId="8467" xr:uid="{00000000-0005-0000-0000-0000F10D0000}"/>
    <cellStyle name="Normal 12 2 2 6 2 2 2" xfId="16896" xr:uid="{70E32108-0500-4B14-A367-2A34C932A7DF}"/>
    <cellStyle name="Normal 12 2 2 6 2 3" xfId="12678" xr:uid="{0BB74505-1F4C-4E84-A891-A71998EF3234}"/>
    <cellStyle name="Normal 12 2 2 6 3" xfId="6322" xr:uid="{00000000-0005-0000-0000-0000F20D0000}"/>
    <cellStyle name="Normal 12 2 2 6 3 2" xfId="14751" xr:uid="{FB7F5E36-D4DC-469F-BCA7-C8555E4B238B}"/>
    <cellStyle name="Normal 12 2 2 6 4" xfId="10533" xr:uid="{59D41299-CA2E-4CD8-937B-8DB61593F701}"/>
    <cellStyle name="Normal 12 2 2 7" xfId="2450" xr:uid="{00000000-0005-0000-0000-0000F30D0000}"/>
    <cellStyle name="Normal 12 2 2 7 2" xfId="6735" xr:uid="{00000000-0005-0000-0000-0000F40D0000}"/>
    <cellStyle name="Normal 12 2 2 7 2 2" xfId="15164" xr:uid="{B16E16FC-2BDF-49BF-A12E-1018E0915B52}"/>
    <cellStyle name="Normal 12 2 2 7 3" xfId="10946" xr:uid="{C534F654-553A-4D19-B453-B55DE90E4D80}"/>
    <cellStyle name="Normal 12 2 2 8" xfId="4669" xr:uid="{00000000-0005-0000-0000-0000F50D0000}"/>
    <cellStyle name="Normal 12 2 2 8 2" xfId="13098" xr:uid="{5BFD87D5-7744-4D80-A87F-6E952420086B}"/>
    <cellStyle name="Normal 12 2 2 9" xfId="8880" xr:uid="{B4438B3A-6845-490F-BF33-D43083EF4049}"/>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2 2 2" xfId="15659" xr:uid="{465608FC-768B-4D9F-8D8B-D00EB782C369}"/>
    <cellStyle name="Normal 12 2 3 2 2 3" xfId="11441" xr:uid="{1EB9256C-4218-4FE2-B5AA-02CFFF0440A5}"/>
    <cellStyle name="Normal 12 2 3 2 3" xfId="5085" xr:uid="{00000000-0005-0000-0000-0000FA0D0000}"/>
    <cellStyle name="Normal 12 2 3 2 3 2" xfId="13514" xr:uid="{A3FB0293-AC3C-46EE-8F98-4B963AF73C92}"/>
    <cellStyle name="Normal 12 2 3 2 4" xfId="9296" xr:uid="{8096635F-4765-4D00-847D-87E88A7201FD}"/>
    <cellStyle name="Normal 12 2 3 3" xfId="1188" xr:uid="{00000000-0005-0000-0000-0000FB0D0000}"/>
    <cellStyle name="Normal 12 2 3 3 2" xfId="3419" xr:uid="{00000000-0005-0000-0000-0000FC0D0000}"/>
    <cellStyle name="Normal 12 2 3 3 2 2" xfId="7643" xr:uid="{00000000-0005-0000-0000-0000FD0D0000}"/>
    <cellStyle name="Normal 12 2 3 3 2 2 2" xfId="16072" xr:uid="{B876777B-6CC5-4CB3-8CAE-F74F875CA226}"/>
    <cellStyle name="Normal 12 2 3 3 2 3" xfId="11854" xr:uid="{457C6B97-C03C-495A-9383-29EBA867AD2C}"/>
    <cellStyle name="Normal 12 2 3 3 3" xfId="5498" xr:uid="{00000000-0005-0000-0000-0000FE0D0000}"/>
    <cellStyle name="Normal 12 2 3 3 3 2" xfId="13927" xr:uid="{7E965CC7-D56F-49C7-A1B7-CE60415D8888}"/>
    <cellStyle name="Normal 12 2 3 3 4" xfId="9709" xr:uid="{97A1A33F-54CA-43B3-B403-47AD7DB11006}"/>
    <cellStyle name="Normal 12 2 3 4" xfId="1602" xr:uid="{00000000-0005-0000-0000-0000FF0D0000}"/>
    <cellStyle name="Normal 12 2 3 4 2" xfId="3832" xr:uid="{00000000-0005-0000-0000-0000000E0000}"/>
    <cellStyle name="Normal 12 2 3 4 2 2" xfId="8056" xr:uid="{00000000-0005-0000-0000-0000010E0000}"/>
    <cellStyle name="Normal 12 2 3 4 2 2 2" xfId="16485" xr:uid="{FD8ED9F6-AD2F-4ED7-9F51-F41E62EA0092}"/>
    <cellStyle name="Normal 12 2 3 4 2 3" xfId="12267" xr:uid="{D499D66E-1CEE-4A17-A9EB-8F9AB421BE38}"/>
    <cellStyle name="Normal 12 2 3 4 3" xfId="5911" xr:uid="{00000000-0005-0000-0000-0000020E0000}"/>
    <cellStyle name="Normal 12 2 3 4 3 2" xfId="14340" xr:uid="{8D6F94DF-217E-4152-ADBB-82F7FED0E1B4}"/>
    <cellStyle name="Normal 12 2 3 4 4" xfId="10122" xr:uid="{3AF40694-8EED-40EC-8B6F-014C779C5AB4}"/>
    <cellStyle name="Normal 12 2 3 5" xfId="2016" xr:uid="{00000000-0005-0000-0000-0000030E0000}"/>
    <cellStyle name="Normal 12 2 3 5 2" xfId="4245" xr:uid="{00000000-0005-0000-0000-0000040E0000}"/>
    <cellStyle name="Normal 12 2 3 5 2 2" xfId="8469" xr:uid="{00000000-0005-0000-0000-0000050E0000}"/>
    <cellStyle name="Normal 12 2 3 5 2 2 2" xfId="16898" xr:uid="{53B77D56-3496-401A-AF04-44220A551557}"/>
    <cellStyle name="Normal 12 2 3 5 2 3" xfId="12680" xr:uid="{57C5B528-657C-4B12-8E8D-7EA8ED53BD39}"/>
    <cellStyle name="Normal 12 2 3 5 3" xfId="6324" xr:uid="{00000000-0005-0000-0000-0000060E0000}"/>
    <cellStyle name="Normal 12 2 3 5 3 2" xfId="14753" xr:uid="{5729C2CF-D671-4B9B-BDAD-A4F544B74F67}"/>
    <cellStyle name="Normal 12 2 3 5 4" xfId="10535" xr:uid="{D8CF8CCB-F787-4CDF-8A47-65986BAA2921}"/>
    <cellStyle name="Normal 12 2 3 6" xfId="2452" xr:uid="{00000000-0005-0000-0000-0000070E0000}"/>
    <cellStyle name="Normal 12 2 3 6 2" xfId="6737" xr:uid="{00000000-0005-0000-0000-0000080E0000}"/>
    <cellStyle name="Normal 12 2 3 6 2 2" xfId="15166" xr:uid="{026F76F2-4DF3-4777-B114-24470EFC27C5}"/>
    <cellStyle name="Normal 12 2 3 6 3" xfId="10948" xr:uid="{0B4F2453-609F-40DE-88A3-B05240967998}"/>
    <cellStyle name="Normal 12 2 3 7" xfId="4671" xr:uid="{00000000-0005-0000-0000-0000090E0000}"/>
    <cellStyle name="Normal 12 2 3 7 2" xfId="13100" xr:uid="{61EFBFB2-C020-419E-BDCD-2816BD8E6C8C}"/>
    <cellStyle name="Normal 12 2 3 8" xfId="8882" xr:uid="{6830A806-DF36-48D9-87D3-F679F537820E}"/>
    <cellStyle name="Normal 12 2 4" xfId="762" xr:uid="{00000000-0005-0000-0000-00000A0E0000}"/>
    <cellStyle name="Normal 12 2 4 2" xfId="3003" xr:uid="{00000000-0005-0000-0000-00000B0E0000}"/>
    <cellStyle name="Normal 12 2 4 2 2" xfId="7227" xr:uid="{00000000-0005-0000-0000-00000C0E0000}"/>
    <cellStyle name="Normal 12 2 4 2 2 2" xfId="15656" xr:uid="{652D5436-056E-412A-86F5-BB7083FE1C44}"/>
    <cellStyle name="Normal 12 2 4 2 3" xfId="11438" xr:uid="{B30C2018-B8B9-456D-91A4-2AD7775CF3F5}"/>
    <cellStyle name="Normal 12 2 4 3" xfId="5082" xr:uid="{00000000-0005-0000-0000-00000D0E0000}"/>
    <cellStyle name="Normal 12 2 4 3 2" xfId="13511" xr:uid="{DC75CF33-FB34-4D40-A4FF-721879E3A556}"/>
    <cellStyle name="Normal 12 2 4 4" xfId="9293" xr:uid="{BA535273-08D3-4FB9-8E51-1D671E6E0D81}"/>
    <cellStyle name="Normal 12 2 5" xfId="1185" xr:uid="{00000000-0005-0000-0000-00000E0E0000}"/>
    <cellStyle name="Normal 12 2 5 2" xfId="3416" xr:uid="{00000000-0005-0000-0000-00000F0E0000}"/>
    <cellStyle name="Normal 12 2 5 2 2" xfId="7640" xr:uid="{00000000-0005-0000-0000-0000100E0000}"/>
    <cellStyle name="Normal 12 2 5 2 2 2" xfId="16069" xr:uid="{15CEC420-3B43-4381-80C9-A5827F6D6848}"/>
    <cellStyle name="Normal 12 2 5 2 3" xfId="11851" xr:uid="{6E3F887D-CF4B-4D69-959E-73C76A6F32B6}"/>
    <cellStyle name="Normal 12 2 5 3" xfId="5495" xr:uid="{00000000-0005-0000-0000-0000110E0000}"/>
    <cellStyle name="Normal 12 2 5 3 2" xfId="13924" xr:uid="{72B0C40C-DF92-4BA9-AC1E-ECE14F7058E1}"/>
    <cellStyle name="Normal 12 2 5 4" xfId="9706" xr:uid="{F89C1830-F7B8-40FA-A39A-09CB37FBDEF8}"/>
    <cellStyle name="Normal 12 2 6" xfId="1599" xr:uid="{00000000-0005-0000-0000-0000120E0000}"/>
    <cellStyle name="Normal 12 2 6 2" xfId="3829" xr:uid="{00000000-0005-0000-0000-0000130E0000}"/>
    <cellStyle name="Normal 12 2 6 2 2" xfId="8053" xr:uid="{00000000-0005-0000-0000-0000140E0000}"/>
    <cellStyle name="Normal 12 2 6 2 2 2" xfId="16482" xr:uid="{B873EBB3-059C-4769-A572-E536F8A2D848}"/>
    <cellStyle name="Normal 12 2 6 2 3" xfId="12264" xr:uid="{91EBD819-3759-4160-B080-EC09B1EA233F}"/>
    <cellStyle name="Normal 12 2 6 3" xfId="5908" xr:uid="{00000000-0005-0000-0000-0000150E0000}"/>
    <cellStyle name="Normal 12 2 6 3 2" xfId="14337" xr:uid="{2CA6DC88-6ACA-4DF0-9478-3CE3357557DE}"/>
    <cellStyle name="Normal 12 2 6 4" xfId="10119" xr:uid="{E3348F7F-02CC-4683-B0AE-4034816DE20A}"/>
    <cellStyle name="Normal 12 2 7" xfId="2013" xr:uid="{00000000-0005-0000-0000-0000160E0000}"/>
    <cellStyle name="Normal 12 2 7 2" xfId="4242" xr:uid="{00000000-0005-0000-0000-0000170E0000}"/>
    <cellStyle name="Normal 12 2 7 2 2" xfId="8466" xr:uid="{00000000-0005-0000-0000-0000180E0000}"/>
    <cellStyle name="Normal 12 2 7 2 2 2" xfId="16895" xr:uid="{EF7575A8-7BAD-4A11-9A26-1EC8D7BBF1C2}"/>
    <cellStyle name="Normal 12 2 7 2 3" xfId="12677" xr:uid="{9D5D2441-16FC-4AA9-B7BE-D48DA5B2D683}"/>
    <cellStyle name="Normal 12 2 7 3" xfId="6321" xr:uid="{00000000-0005-0000-0000-0000190E0000}"/>
    <cellStyle name="Normal 12 2 7 3 2" xfId="14750" xr:uid="{78CFCC46-6DD1-4AF0-B772-39EAD39B9608}"/>
    <cellStyle name="Normal 12 2 7 4" xfId="10532" xr:uid="{1E7C71F3-83FD-40D1-87FA-BB926C30AED6}"/>
    <cellStyle name="Normal 12 2 8" xfId="2449" xr:uid="{00000000-0005-0000-0000-00001A0E0000}"/>
    <cellStyle name="Normal 12 2 8 2" xfId="6734" xr:uid="{00000000-0005-0000-0000-00001B0E0000}"/>
    <cellStyle name="Normal 12 2 8 2 2" xfId="15163" xr:uid="{84748FBD-F9E7-4501-A29D-8E06E1793F4C}"/>
    <cellStyle name="Normal 12 2 8 3" xfId="10945" xr:uid="{B891EFFD-E22A-4093-BCFC-892F2C31E6E8}"/>
    <cellStyle name="Normal 12 2 9" xfId="4668" xr:uid="{00000000-0005-0000-0000-00001C0E0000}"/>
    <cellStyle name="Normal 12 2 9 2" xfId="13097" xr:uid="{0494AA2A-A3D6-40DB-BBF0-25EE4E6D06C6}"/>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2 2 2" xfId="15661" xr:uid="{5E97222A-3B90-411B-8363-C66D58481C02}"/>
    <cellStyle name="Normal 12 3 2 2 2 3" xfId="11443" xr:uid="{1AE058C0-667E-469F-AC3F-8137BD0D0CE6}"/>
    <cellStyle name="Normal 12 3 2 2 3" xfId="5087" xr:uid="{00000000-0005-0000-0000-0000220E0000}"/>
    <cellStyle name="Normal 12 3 2 2 3 2" xfId="13516" xr:uid="{49C6E743-3879-43F8-A9DF-87483E0F278E}"/>
    <cellStyle name="Normal 12 3 2 2 4" xfId="9298" xr:uid="{F70F6EED-68EF-45B7-AAB9-0F44E74E3434}"/>
    <cellStyle name="Normal 12 3 2 3" xfId="1190" xr:uid="{00000000-0005-0000-0000-0000230E0000}"/>
    <cellStyle name="Normal 12 3 2 3 2" xfId="3421" xr:uid="{00000000-0005-0000-0000-0000240E0000}"/>
    <cellStyle name="Normal 12 3 2 3 2 2" xfId="7645" xr:uid="{00000000-0005-0000-0000-0000250E0000}"/>
    <cellStyle name="Normal 12 3 2 3 2 2 2" xfId="16074" xr:uid="{CD8214FC-06F1-42D1-996A-5AF9D4FB6ADB}"/>
    <cellStyle name="Normal 12 3 2 3 2 3" xfId="11856" xr:uid="{CC9E91F6-9EF6-4382-93B8-D3C31F56B89A}"/>
    <cellStyle name="Normal 12 3 2 3 3" xfId="5500" xr:uid="{00000000-0005-0000-0000-0000260E0000}"/>
    <cellStyle name="Normal 12 3 2 3 3 2" xfId="13929" xr:uid="{2561851A-C4CF-4B9C-AE30-34649756D12E}"/>
    <cellStyle name="Normal 12 3 2 3 4" xfId="9711" xr:uid="{24E9471D-8062-4624-B906-D16B4BCABFF9}"/>
    <cellStyle name="Normal 12 3 2 4" xfId="1604" xr:uid="{00000000-0005-0000-0000-0000270E0000}"/>
    <cellStyle name="Normal 12 3 2 4 2" xfId="3834" xr:uid="{00000000-0005-0000-0000-0000280E0000}"/>
    <cellStyle name="Normal 12 3 2 4 2 2" xfId="8058" xr:uid="{00000000-0005-0000-0000-0000290E0000}"/>
    <cellStyle name="Normal 12 3 2 4 2 2 2" xfId="16487" xr:uid="{A8102658-39C6-4FDA-A0A6-8DF07929D929}"/>
    <cellStyle name="Normal 12 3 2 4 2 3" xfId="12269" xr:uid="{74BF4018-0C31-4488-B585-B86AD343EC45}"/>
    <cellStyle name="Normal 12 3 2 4 3" xfId="5913" xr:uid="{00000000-0005-0000-0000-00002A0E0000}"/>
    <cellStyle name="Normal 12 3 2 4 3 2" xfId="14342" xr:uid="{F9337E3C-C57E-4B65-A9BB-A1F48245A6A8}"/>
    <cellStyle name="Normal 12 3 2 4 4" xfId="10124" xr:uid="{ACAF71BD-F6BC-43B4-823F-4869492B1BA4}"/>
    <cellStyle name="Normal 12 3 2 5" xfId="2018" xr:uid="{00000000-0005-0000-0000-00002B0E0000}"/>
    <cellStyle name="Normal 12 3 2 5 2" xfId="4247" xr:uid="{00000000-0005-0000-0000-00002C0E0000}"/>
    <cellStyle name="Normal 12 3 2 5 2 2" xfId="8471" xr:uid="{00000000-0005-0000-0000-00002D0E0000}"/>
    <cellStyle name="Normal 12 3 2 5 2 2 2" xfId="16900" xr:uid="{B92307C4-872E-4552-8BFD-248DD267BE5B}"/>
    <cellStyle name="Normal 12 3 2 5 2 3" xfId="12682" xr:uid="{70541128-7D3B-41BD-B443-37F99D4F3927}"/>
    <cellStyle name="Normal 12 3 2 5 3" xfId="6326" xr:uid="{00000000-0005-0000-0000-00002E0E0000}"/>
    <cellStyle name="Normal 12 3 2 5 3 2" xfId="14755" xr:uid="{E04548CE-DBAB-4FB8-AFD3-D6D21F70A60A}"/>
    <cellStyle name="Normal 12 3 2 5 4" xfId="10537" xr:uid="{F6AF6988-16B1-4F6E-9231-0B568D80AB81}"/>
    <cellStyle name="Normal 12 3 2 6" xfId="2454" xr:uid="{00000000-0005-0000-0000-00002F0E0000}"/>
    <cellStyle name="Normal 12 3 2 6 2" xfId="6739" xr:uid="{00000000-0005-0000-0000-0000300E0000}"/>
    <cellStyle name="Normal 12 3 2 6 2 2" xfId="15168" xr:uid="{749FE50D-4F07-439E-B8A2-2C711BEB42F6}"/>
    <cellStyle name="Normal 12 3 2 6 3" xfId="10950" xr:uid="{8A58765A-D69C-4619-912D-0DF661DD73E2}"/>
    <cellStyle name="Normal 12 3 2 7" xfId="4673" xr:uid="{00000000-0005-0000-0000-0000310E0000}"/>
    <cellStyle name="Normal 12 3 2 7 2" xfId="13102" xr:uid="{F99CCC80-3F8D-4A5C-9BBB-0C0D550C16FB}"/>
    <cellStyle name="Normal 12 3 2 8" xfId="8884" xr:uid="{D1532E33-0B70-412F-854D-3FCA3C5F1AA2}"/>
    <cellStyle name="Normal 12 3 3" xfId="766" xr:uid="{00000000-0005-0000-0000-0000320E0000}"/>
    <cellStyle name="Normal 12 3 3 2" xfId="3007" xr:uid="{00000000-0005-0000-0000-0000330E0000}"/>
    <cellStyle name="Normal 12 3 3 2 2" xfId="7231" xr:uid="{00000000-0005-0000-0000-0000340E0000}"/>
    <cellStyle name="Normal 12 3 3 2 2 2" xfId="15660" xr:uid="{EFCB933F-7DC4-4202-8D63-3B4036C7BE7A}"/>
    <cellStyle name="Normal 12 3 3 2 3" xfId="11442" xr:uid="{9A82AE71-5BB3-4FC2-956B-9054E017339F}"/>
    <cellStyle name="Normal 12 3 3 3" xfId="5086" xr:uid="{00000000-0005-0000-0000-0000350E0000}"/>
    <cellStyle name="Normal 12 3 3 3 2" xfId="13515" xr:uid="{2ECBE5BB-3040-4A11-8B32-FA5E9EF57291}"/>
    <cellStyle name="Normal 12 3 3 4" xfId="9297" xr:uid="{5D28C910-67B4-4704-9BE6-730C980FA83F}"/>
    <cellStyle name="Normal 12 3 4" xfId="1189" xr:uid="{00000000-0005-0000-0000-0000360E0000}"/>
    <cellStyle name="Normal 12 3 4 2" xfId="3420" xr:uid="{00000000-0005-0000-0000-0000370E0000}"/>
    <cellStyle name="Normal 12 3 4 2 2" xfId="7644" xr:uid="{00000000-0005-0000-0000-0000380E0000}"/>
    <cellStyle name="Normal 12 3 4 2 2 2" xfId="16073" xr:uid="{E855BBB6-35EE-4F03-84AC-B455802895E9}"/>
    <cellStyle name="Normal 12 3 4 2 3" xfId="11855" xr:uid="{36626659-29AC-4718-A37F-A543577BEEEF}"/>
    <cellStyle name="Normal 12 3 4 3" xfId="5499" xr:uid="{00000000-0005-0000-0000-0000390E0000}"/>
    <cellStyle name="Normal 12 3 4 3 2" xfId="13928" xr:uid="{036D8242-5C62-4C23-ABA9-45C4F7FEF218}"/>
    <cellStyle name="Normal 12 3 4 4" xfId="9710" xr:uid="{108DF888-A977-4C79-B7E6-EB1CD1489D05}"/>
    <cellStyle name="Normal 12 3 5" xfId="1603" xr:uid="{00000000-0005-0000-0000-00003A0E0000}"/>
    <cellStyle name="Normal 12 3 5 2" xfId="3833" xr:uid="{00000000-0005-0000-0000-00003B0E0000}"/>
    <cellStyle name="Normal 12 3 5 2 2" xfId="8057" xr:uid="{00000000-0005-0000-0000-00003C0E0000}"/>
    <cellStyle name="Normal 12 3 5 2 2 2" xfId="16486" xr:uid="{32FD2556-7271-4043-9B8B-D67958E46520}"/>
    <cellStyle name="Normal 12 3 5 2 3" xfId="12268" xr:uid="{15A79E24-503E-4CE4-BD59-2B8643091AB2}"/>
    <cellStyle name="Normal 12 3 5 3" xfId="5912" xr:uid="{00000000-0005-0000-0000-00003D0E0000}"/>
    <cellStyle name="Normal 12 3 5 3 2" xfId="14341" xr:uid="{F8220CA6-5084-4AEC-AACC-7692F36E136B}"/>
    <cellStyle name="Normal 12 3 5 4" xfId="10123" xr:uid="{36CE510A-59F2-4940-B235-103AEB8A02C2}"/>
    <cellStyle name="Normal 12 3 6" xfId="2017" xr:uid="{00000000-0005-0000-0000-00003E0E0000}"/>
    <cellStyle name="Normal 12 3 6 2" xfId="4246" xr:uid="{00000000-0005-0000-0000-00003F0E0000}"/>
    <cellStyle name="Normal 12 3 6 2 2" xfId="8470" xr:uid="{00000000-0005-0000-0000-0000400E0000}"/>
    <cellStyle name="Normal 12 3 6 2 2 2" xfId="16899" xr:uid="{0D165E3C-0A72-4D61-8C3E-99BC3E7353F0}"/>
    <cellStyle name="Normal 12 3 6 2 3" xfId="12681" xr:uid="{7F5F509E-03E2-4DDF-A0D0-02188364A3AB}"/>
    <cellStyle name="Normal 12 3 6 3" xfId="6325" xr:uid="{00000000-0005-0000-0000-0000410E0000}"/>
    <cellStyle name="Normal 12 3 6 3 2" xfId="14754" xr:uid="{36E7337B-4CCA-490C-9158-CD8DA729F7D1}"/>
    <cellStyle name="Normal 12 3 6 4" xfId="10536" xr:uid="{2E29AED9-09D8-4C51-B1FA-384367513F30}"/>
    <cellStyle name="Normal 12 3 7" xfId="2453" xr:uid="{00000000-0005-0000-0000-0000420E0000}"/>
    <cellStyle name="Normal 12 3 7 2" xfId="6738" xr:uid="{00000000-0005-0000-0000-0000430E0000}"/>
    <cellStyle name="Normal 12 3 7 2 2" xfId="15167" xr:uid="{1E0ED25B-E9A8-4873-8187-3BD1AFC3DA09}"/>
    <cellStyle name="Normal 12 3 7 3" xfId="10949" xr:uid="{9A395B14-B692-41BB-A180-D29DAB917660}"/>
    <cellStyle name="Normal 12 3 8" xfId="4672" xr:uid="{00000000-0005-0000-0000-0000440E0000}"/>
    <cellStyle name="Normal 12 3 8 2" xfId="13101" xr:uid="{88BFBF91-3595-437E-A30A-3262113B25CC}"/>
    <cellStyle name="Normal 12 3 9" xfId="8883" xr:uid="{A2679A0F-97AE-4F26-B8C0-CE7709B31A31}"/>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2 2 2" xfId="15662" xr:uid="{6BBAC371-596D-464C-9100-51FA5E10D2FE}"/>
    <cellStyle name="Normal 12 4 2 2 3" xfId="11444" xr:uid="{A82896C8-7D7D-40B1-AF9B-EE3C35BCDE56}"/>
    <cellStyle name="Normal 12 4 2 3" xfId="5088" xr:uid="{00000000-0005-0000-0000-0000490E0000}"/>
    <cellStyle name="Normal 12 4 2 3 2" xfId="13517" xr:uid="{B167B122-19AD-41C7-B542-7BFDEF4523DB}"/>
    <cellStyle name="Normal 12 4 2 4" xfId="9299" xr:uid="{42032D29-B192-48B8-9903-2CB32D5629AE}"/>
    <cellStyle name="Normal 12 4 3" xfId="1191" xr:uid="{00000000-0005-0000-0000-00004A0E0000}"/>
    <cellStyle name="Normal 12 4 3 2" xfId="3422" xr:uid="{00000000-0005-0000-0000-00004B0E0000}"/>
    <cellStyle name="Normal 12 4 3 2 2" xfId="7646" xr:uid="{00000000-0005-0000-0000-00004C0E0000}"/>
    <cellStyle name="Normal 12 4 3 2 2 2" xfId="16075" xr:uid="{7661A474-2F68-486A-AA0A-4A494F085520}"/>
    <cellStyle name="Normal 12 4 3 2 3" xfId="11857" xr:uid="{474B2D51-F3A8-4A95-91FE-07512ACF0B31}"/>
    <cellStyle name="Normal 12 4 3 3" xfId="5501" xr:uid="{00000000-0005-0000-0000-00004D0E0000}"/>
    <cellStyle name="Normal 12 4 3 3 2" xfId="13930" xr:uid="{67F03CC3-F0AD-4B63-8B64-A2E8D4A8587F}"/>
    <cellStyle name="Normal 12 4 3 4" xfId="9712" xr:uid="{0B5F03B9-C379-403D-9B7D-2751E010AA38}"/>
    <cellStyle name="Normal 12 4 4" xfId="1605" xr:uid="{00000000-0005-0000-0000-00004E0E0000}"/>
    <cellStyle name="Normal 12 4 4 2" xfId="3835" xr:uid="{00000000-0005-0000-0000-00004F0E0000}"/>
    <cellStyle name="Normal 12 4 4 2 2" xfId="8059" xr:uid="{00000000-0005-0000-0000-0000500E0000}"/>
    <cellStyle name="Normal 12 4 4 2 2 2" xfId="16488" xr:uid="{0643170E-6DB4-485A-B5CF-70AEA0596E87}"/>
    <cellStyle name="Normal 12 4 4 2 3" xfId="12270" xr:uid="{40511AB2-D538-42BD-ABCE-F2EF8E9D6AC5}"/>
    <cellStyle name="Normal 12 4 4 3" xfId="5914" xr:uid="{00000000-0005-0000-0000-0000510E0000}"/>
    <cellStyle name="Normal 12 4 4 3 2" xfId="14343" xr:uid="{40B042E6-9794-47DF-ADAA-8EE2AD0EA400}"/>
    <cellStyle name="Normal 12 4 4 4" xfId="10125" xr:uid="{7461D2A8-AB0C-4B79-8596-95151DBEF20D}"/>
    <cellStyle name="Normal 12 4 5" xfId="2019" xr:uid="{00000000-0005-0000-0000-0000520E0000}"/>
    <cellStyle name="Normal 12 4 5 2" xfId="4248" xr:uid="{00000000-0005-0000-0000-0000530E0000}"/>
    <cellStyle name="Normal 12 4 5 2 2" xfId="8472" xr:uid="{00000000-0005-0000-0000-0000540E0000}"/>
    <cellStyle name="Normal 12 4 5 2 2 2" xfId="16901" xr:uid="{18C051D1-B4FD-4543-8027-5FE9ED2526D7}"/>
    <cellStyle name="Normal 12 4 5 2 3" xfId="12683" xr:uid="{55FCC8F7-4036-4AE5-9766-D1ADE5E02884}"/>
    <cellStyle name="Normal 12 4 5 3" xfId="6327" xr:uid="{00000000-0005-0000-0000-0000550E0000}"/>
    <cellStyle name="Normal 12 4 5 3 2" xfId="14756" xr:uid="{1D12AF14-097C-40B2-940E-61A55300D47F}"/>
    <cellStyle name="Normal 12 4 5 4" xfId="10538" xr:uid="{98574D04-CD19-43B1-A0EE-987A69568D23}"/>
    <cellStyle name="Normal 12 4 6" xfId="2455" xr:uid="{00000000-0005-0000-0000-0000560E0000}"/>
    <cellStyle name="Normal 12 4 6 2" xfId="6740" xr:uid="{00000000-0005-0000-0000-0000570E0000}"/>
    <cellStyle name="Normal 12 4 6 2 2" xfId="15169" xr:uid="{F0F07E8D-6119-4827-B68C-1A1CB32CA5DA}"/>
    <cellStyle name="Normal 12 4 6 3" xfId="10951" xr:uid="{1E53CC18-301F-4CF5-B076-0948DDF5A5D0}"/>
    <cellStyle name="Normal 12 4 7" xfId="4674" xr:uid="{00000000-0005-0000-0000-0000580E0000}"/>
    <cellStyle name="Normal 12 4 7 2" xfId="13103" xr:uid="{FC0F99F3-573C-41D1-A3B9-8B02EBBC7216}"/>
    <cellStyle name="Normal 12 4 8" xfId="8885" xr:uid="{8AA2F091-AD00-4B0A-8F6D-502D28CD6D9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2 2 2" xfId="15655" xr:uid="{C44A62B6-7E42-43A2-B2EA-AC56F2BC5A24}"/>
    <cellStyle name="Normal 12 6 2 3" xfId="11437" xr:uid="{6503C144-F49D-42EA-B198-15B969DFC9B4}"/>
    <cellStyle name="Normal 12 6 3" xfId="5081" xr:uid="{00000000-0005-0000-0000-00005D0E0000}"/>
    <cellStyle name="Normal 12 6 3 2" xfId="13510" xr:uid="{A80290AA-B4F5-4D6A-BF79-5651387183C9}"/>
    <cellStyle name="Normal 12 6 4" xfId="9292" xr:uid="{1725D832-7765-435E-B3B9-6504738718D4}"/>
    <cellStyle name="Normal 12 7" xfId="1184" xr:uid="{00000000-0005-0000-0000-00005E0E0000}"/>
    <cellStyle name="Normal 12 7 2" xfId="3415" xr:uid="{00000000-0005-0000-0000-00005F0E0000}"/>
    <cellStyle name="Normal 12 7 2 2" xfId="7639" xr:uid="{00000000-0005-0000-0000-0000600E0000}"/>
    <cellStyle name="Normal 12 7 2 2 2" xfId="16068" xr:uid="{F3056F21-6237-435B-9A64-36181AEBCA36}"/>
    <cellStyle name="Normal 12 7 2 3" xfId="11850" xr:uid="{4BFD6F06-7A87-49EC-B0C0-1E72B0EC7A3A}"/>
    <cellStyle name="Normal 12 7 3" xfId="5494" xr:uid="{00000000-0005-0000-0000-0000610E0000}"/>
    <cellStyle name="Normal 12 7 3 2" xfId="13923" xr:uid="{8A865360-7DA3-4C04-B5C0-1A1FF3EC17F2}"/>
    <cellStyle name="Normal 12 7 4" xfId="9705" xr:uid="{6989571D-E805-43C1-8CE8-77F203818024}"/>
    <cellStyle name="Normal 12 8" xfId="1598" xr:uid="{00000000-0005-0000-0000-0000620E0000}"/>
    <cellStyle name="Normal 12 8 2" xfId="3828" xr:uid="{00000000-0005-0000-0000-0000630E0000}"/>
    <cellStyle name="Normal 12 8 2 2" xfId="8052" xr:uid="{00000000-0005-0000-0000-0000640E0000}"/>
    <cellStyle name="Normal 12 8 2 2 2" xfId="16481" xr:uid="{99FF9390-2D53-491F-9F48-F6D247AB9272}"/>
    <cellStyle name="Normal 12 8 2 3" xfId="12263" xr:uid="{24EC39C0-5071-4025-AFD3-4745331A2B5A}"/>
    <cellStyle name="Normal 12 8 3" xfId="5907" xr:uid="{00000000-0005-0000-0000-0000650E0000}"/>
    <cellStyle name="Normal 12 8 3 2" xfId="14336" xr:uid="{0D5F1A54-30C8-42D6-971A-6F183FB67C36}"/>
    <cellStyle name="Normal 12 8 4" xfId="10118" xr:uid="{72D5B747-BE83-4AB1-8D27-D50C4CC32C44}"/>
    <cellStyle name="Normal 12 9" xfId="2012" xr:uid="{00000000-0005-0000-0000-0000660E0000}"/>
    <cellStyle name="Normal 12 9 2" xfId="4241" xr:uid="{00000000-0005-0000-0000-0000670E0000}"/>
    <cellStyle name="Normal 12 9 2 2" xfId="8465" xr:uid="{00000000-0005-0000-0000-0000680E0000}"/>
    <cellStyle name="Normal 12 9 2 2 2" xfId="16894" xr:uid="{29B73DF6-D1BE-4FFD-9AC6-BF736F2C4378}"/>
    <cellStyle name="Normal 12 9 2 3" xfId="12676" xr:uid="{50545DA5-FBA6-4558-84EF-FD547FFF4D2C}"/>
    <cellStyle name="Normal 12 9 3" xfId="6320" xr:uid="{00000000-0005-0000-0000-0000690E0000}"/>
    <cellStyle name="Normal 12 9 3 2" xfId="14749" xr:uid="{D4BEE827-3A1B-4A8C-B7C2-CC5E61C59CF6}"/>
    <cellStyle name="Normal 12 9 4" xfId="10531" xr:uid="{1F4377AA-E67E-428D-BC4A-D6F8F95E311D}"/>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2 2 2" xfId="15663" xr:uid="{E24AB4A6-6DB0-4D2C-BAC7-A9682797761A}"/>
    <cellStyle name="Normal 14 2 2 3" xfId="11445" xr:uid="{2981E125-A9C2-4959-AF38-1B7EC45A6DC3}"/>
    <cellStyle name="Normal 14 2 3" xfId="5089" xr:uid="{00000000-0005-0000-0000-0000700E0000}"/>
    <cellStyle name="Normal 14 2 3 2" xfId="13518" xr:uid="{6F72015D-9AFB-428F-A138-D0219B2E6EEB}"/>
    <cellStyle name="Normal 14 2 4" xfId="9300" xr:uid="{C3B253BB-6204-423E-9396-038E1744E0B0}"/>
    <cellStyle name="Normal 14 3" xfId="1192" xr:uid="{00000000-0005-0000-0000-0000710E0000}"/>
    <cellStyle name="Normal 14 3 2" xfId="3423" xr:uid="{00000000-0005-0000-0000-0000720E0000}"/>
    <cellStyle name="Normal 14 3 2 2" xfId="7647" xr:uid="{00000000-0005-0000-0000-0000730E0000}"/>
    <cellStyle name="Normal 14 3 2 2 2" xfId="16076" xr:uid="{946F8FE7-B152-4000-874F-32E014D77CEA}"/>
    <cellStyle name="Normal 14 3 2 3" xfId="11858" xr:uid="{B49B7390-8B7A-4D08-8F21-ADAD1BEB8183}"/>
    <cellStyle name="Normal 14 3 3" xfId="5502" xr:uid="{00000000-0005-0000-0000-0000740E0000}"/>
    <cellStyle name="Normal 14 3 3 2" xfId="13931" xr:uid="{A8681D74-53C5-4186-87BB-7CF1CC908D4F}"/>
    <cellStyle name="Normal 14 3 4" xfId="9713" xr:uid="{A7C46D83-BAD2-4799-A12D-893E45F8A3A7}"/>
    <cellStyle name="Normal 14 4" xfId="1606" xr:uid="{00000000-0005-0000-0000-0000750E0000}"/>
    <cellStyle name="Normal 14 4 2" xfId="3836" xr:uid="{00000000-0005-0000-0000-0000760E0000}"/>
    <cellStyle name="Normal 14 4 2 2" xfId="8060" xr:uid="{00000000-0005-0000-0000-0000770E0000}"/>
    <cellStyle name="Normal 14 4 2 2 2" xfId="16489" xr:uid="{9B364E60-06DA-46C9-AF33-8E4D03AD7BF4}"/>
    <cellStyle name="Normal 14 4 2 3" xfId="12271" xr:uid="{41505A2C-637A-4AB1-9121-4D6AA358B1A1}"/>
    <cellStyle name="Normal 14 4 3" xfId="5915" xr:uid="{00000000-0005-0000-0000-0000780E0000}"/>
    <cellStyle name="Normal 14 4 3 2" xfId="14344" xr:uid="{55A41E72-211C-4BE9-BE39-F0A244B5E111}"/>
    <cellStyle name="Normal 14 4 4" xfId="10126" xr:uid="{D8680142-D1E9-42D1-8857-193690C5D0A3}"/>
    <cellStyle name="Normal 14 5" xfId="2020" xr:uid="{00000000-0005-0000-0000-0000790E0000}"/>
    <cellStyle name="Normal 14 5 2" xfId="4249" xr:uid="{00000000-0005-0000-0000-00007A0E0000}"/>
    <cellStyle name="Normal 14 5 2 2" xfId="8473" xr:uid="{00000000-0005-0000-0000-00007B0E0000}"/>
    <cellStyle name="Normal 14 5 2 2 2" xfId="16902" xr:uid="{966AFF82-1144-43BF-9FAC-9413EE911AC3}"/>
    <cellStyle name="Normal 14 5 2 3" xfId="12684" xr:uid="{9B6BCF0A-8DF3-4E46-94F7-4A46CFB05732}"/>
    <cellStyle name="Normal 14 5 3" xfId="6328" xr:uid="{00000000-0005-0000-0000-00007C0E0000}"/>
    <cellStyle name="Normal 14 5 3 2" xfId="14757" xr:uid="{51837D36-58E8-4616-AF22-D7D7B2C4D568}"/>
    <cellStyle name="Normal 14 5 4" xfId="10539" xr:uid="{DA1AC1DB-9602-4A89-832B-ADF10199A1AC}"/>
    <cellStyle name="Normal 14 6" xfId="2456" xr:uid="{00000000-0005-0000-0000-00007D0E0000}"/>
    <cellStyle name="Normal 14 6 2" xfId="6741" xr:uid="{00000000-0005-0000-0000-00007E0E0000}"/>
    <cellStyle name="Normal 14 6 2 2" xfId="15170" xr:uid="{FB50EFF8-8D72-44D1-9566-98E86CEF8255}"/>
    <cellStyle name="Normal 14 6 3" xfId="10952" xr:uid="{D4F012DA-1436-4B57-BB94-6C7EA576E3FA}"/>
    <cellStyle name="Normal 14 7" xfId="4675" xr:uid="{00000000-0005-0000-0000-00007F0E0000}"/>
    <cellStyle name="Normal 14 7 2" xfId="13104" xr:uid="{492AB1D2-6950-4ECD-AAB7-05F52EA92ED8}"/>
    <cellStyle name="Normal 14 8" xfId="8886" xr:uid="{D4C8389B-A265-4FA0-95F4-E39DB3442CF1}"/>
    <cellStyle name="Normal 15" xfId="4497" xr:uid="{00000000-0005-0000-0000-0000800E0000}"/>
    <cellStyle name="Normal 15 2" xfId="12930" xr:uid="{001A9A19-8B83-4CBE-8BB0-0553EBD0835C}"/>
    <cellStyle name="Normal 16" xfId="4501" xr:uid="{00000000-0005-0000-0000-0000810E0000}"/>
    <cellStyle name="Normal 16 2" xfId="12933" xr:uid="{6FF6278C-83E9-4E85-A5D5-C0ED2E81CFBF}"/>
    <cellStyle name="Normal 17" xfId="17147" xr:uid="{D2A0E886-C14B-4235-9525-22FA791A04D2}"/>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2 2 2" xfId="16903" xr:uid="{86B9B924-DE62-4C5D-A7FE-E9352B80CF8C}"/>
    <cellStyle name="Normal 2 4 2 10 2 3" xfId="12685" xr:uid="{908DB2A1-8F36-4429-82DC-1CEF6B225709}"/>
    <cellStyle name="Normal 2 4 2 10 3" xfId="6329" xr:uid="{00000000-0005-0000-0000-0000900E0000}"/>
    <cellStyle name="Normal 2 4 2 10 3 2" xfId="14758" xr:uid="{85584DC4-8C6D-4470-B362-B186B2867DB8}"/>
    <cellStyle name="Normal 2 4 2 10 4" xfId="10540" xr:uid="{5D7F5B3A-AAF3-4AFD-A809-9FE68BB9F92A}"/>
    <cellStyle name="Normal 2 4 2 11" xfId="2457" xr:uid="{00000000-0005-0000-0000-0000910E0000}"/>
    <cellStyle name="Normal 2 4 2 11 2" xfId="6742" xr:uid="{00000000-0005-0000-0000-0000920E0000}"/>
    <cellStyle name="Normal 2 4 2 11 2 2" xfId="15171" xr:uid="{132C30EA-69F0-4DC9-A411-B794CAF19B4C}"/>
    <cellStyle name="Normal 2 4 2 11 3" xfId="10953" xr:uid="{FB9C11A7-41DD-4752-BDBC-216571B338A5}"/>
    <cellStyle name="Normal 2 4 2 12" xfId="4676" xr:uid="{00000000-0005-0000-0000-0000930E0000}"/>
    <cellStyle name="Normal 2 4 2 12 2" xfId="13105" xr:uid="{B12297DA-AD9C-4FBD-A317-49047A267DA7}"/>
    <cellStyle name="Normal 2 4 2 13" xfId="8887" xr:uid="{5094C826-B6FF-479B-94C6-4834A1BEF529}"/>
    <cellStyle name="Normal 2 4 2 2" xfId="280" xr:uid="{00000000-0005-0000-0000-0000940E0000}"/>
    <cellStyle name="Normal 2 4 2 3" xfId="281" xr:uid="{00000000-0005-0000-0000-0000950E0000}"/>
    <cellStyle name="Normal 2 4 2 3 10" xfId="4677" xr:uid="{00000000-0005-0000-0000-0000960E0000}"/>
    <cellStyle name="Normal 2 4 2 3 10 2" xfId="13106" xr:uid="{9FA7FB9B-6A25-417E-8A13-89E381DEF848}"/>
    <cellStyle name="Normal 2 4 2 3 11" xfId="8888" xr:uid="{B6295483-528C-404D-BB53-24F9BAFE2FA1}"/>
    <cellStyle name="Normal 2 4 2 3 2" xfId="282" xr:uid="{00000000-0005-0000-0000-0000970E0000}"/>
    <cellStyle name="Normal 2 4 2 3 2 10" xfId="8889" xr:uid="{1DD4A550-3E31-47CD-B588-78AD375F6A31}"/>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2 2 2" xfId="15668" xr:uid="{7B128043-EF37-497D-B928-CEDB49BEF2A5}"/>
    <cellStyle name="Normal 2 4 2 3 2 2 2 2 2 3" xfId="11450" xr:uid="{B6A0976E-A1E0-48FE-A70F-242FB0E68BCA}"/>
    <cellStyle name="Normal 2 4 2 3 2 2 2 2 3" xfId="5094" xr:uid="{00000000-0005-0000-0000-00009D0E0000}"/>
    <cellStyle name="Normal 2 4 2 3 2 2 2 2 3 2" xfId="13523" xr:uid="{C36854CA-AC44-4EC7-A8E3-019ECE950505}"/>
    <cellStyle name="Normal 2 4 2 3 2 2 2 2 4" xfId="9305" xr:uid="{AA833C2E-692C-4CCA-AF71-11A6893FF074}"/>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2 2 2" xfId="16081" xr:uid="{8ABD63CB-6204-495E-A573-6C658ADF3EF4}"/>
    <cellStyle name="Normal 2 4 2 3 2 2 2 3 2 3" xfId="11863" xr:uid="{B21F0A5C-7A9C-4086-A30C-E31697405ECC}"/>
    <cellStyle name="Normal 2 4 2 3 2 2 2 3 3" xfId="5507" xr:uid="{00000000-0005-0000-0000-0000A10E0000}"/>
    <cellStyle name="Normal 2 4 2 3 2 2 2 3 3 2" xfId="13936" xr:uid="{E89CCD83-9883-401F-A6CE-797A9F3E823D}"/>
    <cellStyle name="Normal 2 4 2 3 2 2 2 3 4" xfId="9718" xr:uid="{1791F4EB-CEF8-4DC1-B67D-8304FCDB073A}"/>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2 2 2" xfId="16494" xr:uid="{0C4F35F1-F8CA-418E-B692-396DD958BFF2}"/>
    <cellStyle name="Normal 2 4 2 3 2 2 2 4 2 3" xfId="12276" xr:uid="{8F82457C-4AEC-414A-8A00-494D1941DC21}"/>
    <cellStyle name="Normal 2 4 2 3 2 2 2 4 3" xfId="5920" xr:uid="{00000000-0005-0000-0000-0000A50E0000}"/>
    <cellStyle name="Normal 2 4 2 3 2 2 2 4 3 2" xfId="14349" xr:uid="{B0823AC5-0127-4349-B1BC-C82C68D05896}"/>
    <cellStyle name="Normal 2 4 2 3 2 2 2 4 4" xfId="10131" xr:uid="{708D427D-870E-4F1A-9CD5-BF3259A4045D}"/>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2 2 2" xfId="16907" xr:uid="{59050AB1-0C1C-4EDB-8EEE-749000E072ED}"/>
    <cellStyle name="Normal 2 4 2 3 2 2 2 5 2 3" xfId="12689" xr:uid="{63779F72-CFDC-4072-AE81-D75832A10491}"/>
    <cellStyle name="Normal 2 4 2 3 2 2 2 5 3" xfId="6333" xr:uid="{00000000-0005-0000-0000-0000A90E0000}"/>
    <cellStyle name="Normal 2 4 2 3 2 2 2 5 3 2" xfId="14762" xr:uid="{90C20DFB-F5AC-4654-B120-9524422B5713}"/>
    <cellStyle name="Normal 2 4 2 3 2 2 2 5 4" xfId="10544" xr:uid="{D66E8C94-8B84-456C-990B-D031DC63BA1F}"/>
    <cellStyle name="Normal 2 4 2 3 2 2 2 6" xfId="2461" xr:uid="{00000000-0005-0000-0000-0000AA0E0000}"/>
    <cellStyle name="Normal 2 4 2 3 2 2 2 6 2" xfId="6746" xr:uid="{00000000-0005-0000-0000-0000AB0E0000}"/>
    <cellStyle name="Normal 2 4 2 3 2 2 2 6 2 2" xfId="15175" xr:uid="{F496F25E-7049-46A0-861D-65D7CEB950FD}"/>
    <cellStyle name="Normal 2 4 2 3 2 2 2 6 3" xfId="10957" xr:uid="{5F637C78-FACB-415C-8400-79E4F58B018D}"/>
    <cellStyle name="Normal 2 4 2 3 2 2 2 7" xfId="4680" xr:uid="{00000000-0005-0000-0000-0000AC0E0000}"/>
    <cellStyle name="Normal 2 4 2 3 2 2 2 7 2" xfId="13109" xr:uid="{E95028E1-F454-43BE-BAB0-78C93D44B9BE}"/>
    <cellStyle name="Normal 2 4 2 3 2 2 2 8" xfId="8891" xr:uid="{FDB2D1CE-D84E-4386-828E-8426FCCC0D58}"/>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2 2 2" xfId="15667" xr:uid="{646D7DE1-999A-48D0-AA28-095A785525E6}"/>
    <cellStyle name="Normal 2 4 2 3 2 2 3 2 3" xfId="11449" xr:uid="{4E8C8E0E-78F4-4C19-85F8-70E98E8CE810}"/>
    <cellStyle name="Normal 2 4 2 3 2 2 3 3" xfId="5093" xr:uid="{00000000-0005-0000-0000-0000B00E0000}"/>
    <cellStyle name="Normal 2 4 2 3 2 2 3 3 2" xfId="13522" xr:uid="{51C4BEDD-3198-4EB3-8EDD-09D867900CA1}"/>
    <cellStyle name="Normal 2 4 2 3 2 2 3 4" xfId="9304" xr:uid="{6E772699-60A1-4BFF-88F3-68071974F6F3}"/>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2 2 2" xfId="16080" xr:uid="{E35BB293-4F5C-48C4-A884-D03E89E9479D}"/>
    <cellStyle name="Normal 2 4 2 3 2 2 4 2 3" xfId="11862" xr:uid="{DBB865E6-62B1-4DF5-BC29-2815ED1BFC1D}"/>
    <cellStyle name="Normal 2 4 2 3 2 2 4 3" xfId="5506" xr:uid="{00000000-0005-0000-0000-0000B40E0000}"/>
    <cellStyle name="Normal 2 4 2 3 2 2 4 3 2" xfId="13935" xr:uid="{F02DADBF-FFA6-4419-99AD-C5146D2AB2B1}"/>
    <cellStyle name="Normal 2 4 2 3 2 2 4 4" xfId="9717" xr:uid="{2F0A7103-8E0E-4970-8133-208422BC748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2 2 2" xfId="16493" xr:uid="{64B2F5F0-4C4C-4986-A56D-10C0A8C5EEFC}"/>
    <cellStyle name="Normal 2 4 2 3 2 2 5 2 3" xfId="12275" xr:uid="{5E424062-B643-4275-9507-274D6E5E41F9}"/>
    <cellStyle name="Normal 2 4 2 3 2 2 5 3" xfId="5919" xr:uid="{00000000-0005-0000-0000-0000B80E0000}"/>
    <cellStyle name="Normal 2 4 2 3 2 2 5 3 2" xfId="14348" xr:uid="{175EDFDA-F898-43C1-97CD-CBCE976A0430}"/>
    <cellStyle name="Normal 2 4 2 3 2 2 5 4" xfId="10130" xr:uid="{348E8ECD-5DE7-49B8-8E30-A1256D0A7953}"/>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2 2 2" xfId="16906" xr:uid="{0CB0622E-5044-410B-B405-01D05391A33F}"/>
    <cellStyle name="Normal 2 4 2 3 2 2 6 2 3" xfId="12688" xr:uid="{D5A56899-AD0A-40E6-B76D-938A54D73D51}"/>
    <cellStyle name="Normal 2 4 2 3 2 2 6 3" xfId="6332" xr:uid="{00000000-0005-0000-0000-0000BC0E0000}"/>
    <cellStyle name="Normal 2 4 2 3 2 2 6 3 2" xfId="14761" xr:uid="{4B5C0D59-8308-4870-A08F-E125830A08CB}"/>
    <cellStyle name="Normal 2 4 2 3 2 2 6 4" xfId="10543" xr:uid="{C1E00088-8056-4A53-AFDE-D6AEDB383964}"/>
    <cellStyle name="Normal 2 4 2 3 2 2 7" xfId="2460" xr:uid="{00000000-0005-0000-0000-0000BD0E0000}"/>
    <cellStyle name="Normal 2 4 2 3 2 2 7 2" xfId="6745" xr:uid="{00000000-0005-0000-0000-0000BE0E0000}"/>
    <cellStyle name="Normal 2 4 2 3 2 2 7 2 2" xfId="15174" xr:uid="{9D3560E9-6B7D-4C2D-A009-AFFA0D88F720}"/>
    <cellStyle name="Normal 2 4 2 3 2 2 7 3" xfId="10956" xr:uid="{EB155F56-9BB3-4B62-995B-903DEB7C4CEB}"/>
    <cellStyle name="Normal 2 4 2 3 2 2 8" xfId="4679" xr:uid="{00000000-0005-0000-0000-0000BF0E0000}"/>
    <cellStyle name="Normal 2 4 2 3 2 2 8 2" xfId="13108" xr:uid="{98346EE4-1E35-45B0-A7BE-45B9BFF6298C}"/>
    <cellStyle name="Normal 2 4 2 3 2 2 9" xfId="8890" xr:uid="{0CC8C8B8-FB94-4E8B-99C6-CA3C867A887E}"/>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2 2 2" xfId="15669" xr:uid="{EB6970E3-5BC2-41E9-A113-D09139C491EE}"/>
    <cellStyle name="Normal 2 4 2 3 2 3 2 2 3" xfId="11451" xr:uid="{62DD7093-CE70-4B70-89CF-CB82BF17A114}"/>
    <cellStyle name="Normal 2 4 2 3 2 3 2 3" xfId="5095" xr:uid="{00000000-0005-0000-0000-0000C40E0000}"/>
    <cellStyle name="Normal 2 4 2 3 2 3 2 3 2" xfId="13524" xr:uid="{10C793C7-80C3-4936-9325-3D6D6E7D950B}"/>
    <cellStyle name="Normal 2 4 2 3 2 3 2 4" xfId="9306" xr:uid="{79844E6A-9661-4B7D-9A2A-585190B1FB25}"/>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2 2 2" xfId="16082" xr:uid="{EE66013D-AA1A-4A48-9D2A-8A7D2F4DDC6E}"/>
    <cellStyle name="Normal 2 4 2 3 2 3 3 2 3" xfId="11864" xr:uid="{767FE5E6-2BF5-4C94-87A0-539EB88237B9}"/>
    <cellStyle name="Normal 2 4 2 3 2 3 3 3" xfId="5508" xr:uid="{00000000-0005-0000-0000-0000C80E0000}"/>
    <cellStyle name="Normal 2 4 2 3 2 3 3 3 2" xfId="13937" xr:uid="{F1DC8C59-6C5A-4C6B-AA40-A0DE1D9E2DB9}"/>
    <cellStyle name="Normal 2 4 2 3 2 3 3 4" xfId="9719" xr:uid="{D282A4EF-0F7E-4524-9BDF-009DF215A29E}"/>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2 2 2" xfId="16495" xr:uid="{951A544C-4B45-47E2-8044-2453A908B5CD}"/>
    <cellStyle name="Normal 2 4 2 3 2 3 4 2 3" xfId="12277" xr:uid="{D8726A1D-165D-47A9-B8AC-89D4B709CD8B}"/>
    <cellStyle name="Normal 2 4 2 3 2 3 4 3" xfId="5921" xr:uid="{00000000-0005-0000-0000-0000CC0E0000}"/>
    <cellStyle name="Normal 2 4 2 3 2 3 4 3 2" xfId="14350" xr:uid="{6926C9BF-A1F4-401C-AC5C-E00B02150DCA}"/>
    <cellStyle name="Normal 2 4 2 3 2 3 4 4" xfId="10132" xr:uid="{89667D31-740F-4810-8944-C1FD5C6E6A4D}"/>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2 2 2" xfId="16908" xr:uid="{21D5AB9C-5F35-4A5D-9AC9-63F397C8A356}"/>
    <cellStyle name="Normal 2 4 2 3 2 3 5 2 3" xfId="12690" xr:uid="{D81C5F3F-1B3E-4D5B-9093-1948E46C2319}"/>
    <cellStyle name="Normal 2 4 2 3 2 3 5 3" xfId="6334" xr:uid="{00000000-0005-0000-0000-0000D00E0000}"/>
    <cellStyle name="Normal 2 4 2 3 2 3 5 3 2" xfId="14763" xr:uid="{1CF7CFED-5422-4B04-BB97-D31F8F7E7F14}"/>
    <cellStyle name="Normal 2 4 2 3 2 3 5 4" xfId="10545" xr:uid="{81336B71-965F-4664-8C3D-9D6539D331B4}"/>
    <cellStyle name="Normal 2 4 2 3 2 3 6" xfId="2462" xr:uid="{00000000-0005-0000-0000-0000D10E0000}"/>
    <cellStyle name="Normal 2 4 2 3 2 3 6 2" xfId="6747" xr:uid="{00000000-0005-0000-0000-0000D20E0000}"/>
    <cellStyle name="Normal 2 4 2 3 2 3 6 2 2" xfId="15176" xr:uid="{A5CCED64-61E9-4109-8E8C-D801164911DB}"/>
    <cellStyle name="Normal 2 4 2 3 2 3 6 3" xfId="10958" xr:uid="{B1251C0D-E474-42C8-A505-EEA20EB81110}"/>
    <cellStyle name="Normal 2 4 2 3 2 3 7" xfId="4681" xr:uid="{00000000-0005-0000-0000-0000D30E0000}"/>
    <cellStyle name="Normal 2 4 2 3 2 3 7 2" xfId="13110" xr:uid="{93F69E15-BBCF-42DE-A0E1-196F00ACB1C1}"/>
    <cellStyle name="Normal 2 4 2 3 2 3 8" xfId="8892" xr:uid="{2ED822DC-F501-4148-9929-C2CDD8E48161}"/>
    <cellStyle name="Normal 2 4 2 3 2 4" xfId="774" xr:uid="{00000000-0005-0000-0000-0000D40E0000}"/>
    <cellStyle name="Normal 2 4 2 3 2 4 2" xfId="3013" xr:uid="{00000000-0005-0000-0000-0000D50E0000}"/>
    <cellStyle name="Normal 2 4 2 3 2 4 2 2" xfId="7237" xr:uid="{00000000-0005-0000-0000-0000D60E0000}"/>
    <cellStyle name="Normal 2 4 2 3 2 4 2 2 2" xfId="15666" xr:uid="{E52D0F56-FEDD-4419-A5FC-ED1BAD05FEAD}"/>
    <cellStyle name="Normal 2 4 2 3 2 4 2 3" xfId="11448" xr:uid="{6CAB3933-E07D-459A-929F-1C8F46C37129}"/>
    <cellStyle name="Normal 2 4 2 3 2 4 3" xfId="5092" xr:uid="{00000000-0005-0000-0000-0000D70E0000}"/>
    <cellStyle name="Normal 2 4 2 3 2 4 3 2" xfId="13521" xr:uid="{CBF335A3-07BD-40A4-B484-E3395CB0BFA1}"/>
    <cellStyle name="Normal 2 4 2 3 2 4 4" xfId="9303" xr:uid="{B668722C-D7AE-4037-B8FD-23848D5E8072}"/>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2 2 2" xfId="16079" xr:uid="{484A6BBC-8981-48E8-992F-CE7928BD3033}"/>
    <cellStyle name="Normal 2 4 2 3 2 5 2 3" xfId="11861" xr:uid="{03AF4DE5-E5D9-46D2-991F-43A76A528297}"/>
    <cellStyle name="Normal 2 4 2 3 2 5 3" xfId="5505" xr:uid="{00000000-0005-0000-0000-0000DB0E0000}"/>
    <cellStyle name="Normal 2 4 2 3 2 5 3 2" xfId="13934" xr:uid="{A995BBFD-415B-4411-8B6C-AC0263366CC0}"/>
    <cellStyle name="Normal 2 4 2 3 2 5 4" xfId="9716" xr:uid="{1573E181-483A-4BBF-919A-FD23447745A6}"/>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2 2 2" xfId="16492" xr:uid="{DD203EB7-70C4-4B9E-928F-9CA4C7BBC912}"/>
    <cellStyle name="Normal 2 4 2 3 2 6 2 3" xfId="12274" xr:uid="{3F5D4A17-35EA-4B3B-A579-386868A5AD6D}"/>
    <cellStyle name="Normal 2 4 2 3 2 6 3" xfId="5918" xr:uid="{00000000-0005-0000-0000-0000DF0E0000}"/>
    <cellStyle name="Normal 2 4 2 3 2 6 3 2" xfId="14347" xr:uid="{93EACE95-83BE-45A4-9790-81DCCE3B111A}"/>
    <cellStyle name="Normal 2 4 2 3 2 6 4" xfId="10129" xr:uid="{D787B392-8305-417D-9708-D286B160F5A7}"/>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2 2 2" xfId="16905" xr:uid="{CAAE4FF6-E1FD-4FC0-9DA4-5311A85556E7}"/>
    <cellStyle name="Normal 2 4 2 3 2 7 2 3" xfId="12687" xr:uid="{096BAF3F-137B-42DC-96ED-5D532E4EC54C}"/>
    <cellStyle name="Normal 2 4 2 3 2 7 3" xfId="6331" xr:uid="{00000000-0005-0000-0000-0000E30E0000}"/>
    <cellStyle name="Normal 2 4 2 3 2 7 3 2" xfId="14760" xr:uid="{EB10D516-81FC-4CC3-962C-5E09D15436DC}"/>
    <cellStyle name="Normal 2 4 2 3 2 7 4" xfId="10542" xr:uid="{08BA5A5C-B88E-444A-9C0E-10574D9B728E}"/>
    <cellStyle name="Normal 2 4 2 3 2 8" xfId="2459" xr:uid="{00000000-0005-0000-0000-0000E40E0000}"/>
    <cellStyle name="Normal 2 4 2 3 2 8 2" xfId="6744" xr:uid="{00000000-0005-0000-0000-0000E50E0000}"/>
    <cellStyle name="Normal 2 4 2 3 2 8 2 2" xfId="15173" xr:uid="{FEAA9628-B25A-47CF-8C62-CA2AC49CC935}"/>
    <cellStyle name="Normal 2 4 2 3 2 8 3" xfId="10955" xr:uid="{E480D86C-862D-46A8-8D95-8AB6E9E38C44}"/>
    <cellStyle name="Normal 2 4 2 3 2 9" xfId="4678" xr:uid="{00000000-0005-0000-0000-0000E60E0000}"/>
    <cellStyle name="Normal 2 4 2 3 2 9 2" xfId="13107" xr:uid="{17244EB2-6601-4F01-BF83-3E7A0D83297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2 2 2" xfId="15671" xr:uid="{32DDC870-9CEF-4D69-862A-8360DB1C0AA7}"/>
    <cellStyle name="Normal 2 4 2 3 3 2 2 2 3" xfId="11453" xr:uid="{029FDC28-4276-46AC-BBD5-5933F2278672}"/>
    <cellStyle name="Normal 2 4 2 3 3 2 2 3" xfId="5097" xr:uid="{00000000-0005-0000-0000-0000EC0E0000}"/>
    <cellStyle name="Normal 2 4 2 3 3 2 2 3 2" xfId="13526" xr:uid="{BC42CF38-39B7-47A8-BC68-7ADD4DD7CECB}"/>
    <cellStyle name="Normal 2 4 2 3 3 2 2 4" xfId="9308" xr:uid="{9D4D67F2-914F-4325-B495-EF2CC485F8DC}"/>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2 2 2" xfId="16084" xr:uid="{8AA10237-94C0-4517-B84F-6F86F844464B}"/>
    <cellStyle name="Normal 2 4 2 3 3 2 3 2 3" xfId="11866" xr:uid="{BA1348B3-9061-44E6-899A-9A54AAF37EA2}"/>
    <cellStyle name="Normal 2 4 2 3 3 2 3 3" xfId="5510" xr:uid="{00000000-0005-0000-0000-0000F00E0000}"/>
    <cellStyle name="Normal 2 4 2 3 3 2 3 3 2" xfId="13939" xr:uid="{59A72CD1-F38D-4AAC-919B-FBCED964E388}"/>
    <cellStyle name="Normal 2 4 2 3 3 2 3 4" xfId="9721" xr:uid="{7C38D125-BF21-477E-AE6A-2A05DEA85D9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2 2 2" xfId="16497" xr:uid="{270C2D92-E8F6-4E07-92B4-35B1F29A956E}"/>
    <cellStyle name="Normal 2 4 2 3 3 2 4 2 3" xfId="12279" xr:uid="{22036484-C184-46BB-82CB-5BBBC44E3CB9}"/>
    <cellStyle name="Normal 2 4 2 3 3 2 4 3" xfId="5923" xr:uid="{00000000-0005-0000-0000-0000F40E0000}"/>
    <cellStyle name="Normal 2 4 2 3 3 2 4 3 2" xfId="14352" xr:uid="{990F8DE3-7B00-44A0-A511-2FDA5D3D01C6}"/>
    <cellStyle name="Normal 2 4 2 3 3 2 4 4" xfId="10134" xr:uid="{3748241C-C639-4E7B-B6DF-5D8A289CBDDB}"/>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2 2 2" xfId="16910" xr:uid="{0F8BF08A-29D6-4043-88FD-4383BF220DF1}"/>
    <cellStyle name="Normal 2 4 2 3 3 2 5 2 3" xfId="12692" xr:uid="{81DA1202-5A68-401D-8271-38BDFCE01480}"/>
    <cellStyle name="Normal 2 4 2 3 3 2 5 3" xfId="6336" xr:uid="{00000000-0005-0000-0000-0000F80E0000}"/>
    <cellStyle name="Normal 2 4 2 3 3 2 5 3 2" xfId="14765" xr:uid="{B30D1DBD-7EBC-4C0F-B03F-ABC67289216B}"/>
    <cellStyle name="Normal 2 4 2 3 3 2 5 4" xfId="10547" xr:uid="{7C809C85-A6DA-4FBE-AF2E-6450FDC009A3}"/>
    <cellStyle name="Normal 2 4 2 3 3 2 6" xfId="2464" xr:uid="{00000000-0005-0000-0000-0000F90E0000}"/>
    <cellStyle name="Normal 2 4 2 3 3 2 6 2" xfId="6749" xr:uid="{00000000-0005-0000-0000-0000FA0E0000}"/>
    <cellStyle name="Normal 2 4 2 3 3 2 6 2 2" xfId="15178" xr:uid="{300A988E-51F8-4518-B5DE-90A6E3C62393}"/>
    <cellStyle name="Normal 2 4 2 3 3 2 6 3" xfId="10960" xr:uid="{EDA9CC2F-F817-47BA-AF5B-FFADD6EE59FF}"/>
    <cellStyle name="Normal 2 4 2 3 3 2 7" xfId="4683" xr:uid="{00000000-0005-0000-0000-0000FB0E0000}"/>
    <cellStyle name="Normal 2 4 2 3 3 2 7 2" xfId="13112" xr:uid="{877CE0A1-A06D-4AB8-9F1A-28971526658D}"/>
    <cellStyle name="Normal 2 4 2 3 3 2 8" xfId="8894" xr:uid="{F3B43DAE-2420-497F-9728-2E31D813F448}"/>
    <cellStyle name="Normal 2 4 2 3 3 3" xfId="778" xr:uid="{00000000-0005-0000-0000-0000FC0E0000}"/>
    <cellStyle name="Normal 2 4 2 3 3 3 2" xfId="3017" xr:uid="{00000000-0005-0000-0000-0000FD0E0000}"/>
    <cellStyle name="Normal 2 4 2 3 3 3 2 2" xfId="7241" xr:uid="{00000000-0005-0000-0000-0000FE0E0000}"/>
    <cellStyle name="Normal 2 4 2 3 3 3 2 2 2" xfId="15670" xr:uid="{088BEB38-334F-4EE5-B405-F46BD5B82D01}"/>
    <cellStyle name="Normal 2 4 2 3 3 3 2 3" xfId="11452" xr:uid="{C3104087-A593-4B22-9C8C-7949D1E9894B}"/>
    <cellStyle name="Normal 2 4 2 3 3 3 3" xfId="5096" xr:uid="{00000000-0005-0000-0000-0000FF0E0000}"/>
    <cellStyle name="Normal 2 4 2 3 3 3 3 2" xfId="13525" xr:uid="{C91081EE-05ED-4677-AC2C-56B5DF05854E}"/>
    <cellStyle name="Normal 2 4 2 3 3 3 4" xfId="9307" xr:uid="{5FF8A943-1FC6-4B1E-8EA7-8A1E9B6325AF}"/>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2 2 2" xfId="16083" xr:uid="{71A28D64-A224-4CDD-8CC0-0C3D85365277}"/>
    <cellStyle name="Normal 2 4 2 3 3 4 2 3" xfId="11865" xr:uid="{E4371B75-BE3B-4475-BD47-0D821D8EB540}"/>
    <cellStyle name="Normal 2 4 2 3 3 4 3" xfId="5509" xr:uid="{00000000-0005-0000-0000-0000030F0000}"/>
    <cellStyle name="Normal 2 4 2 3 3 4 3 2" xfId="13938" xr:uid="{0E71BAB8-375A-4CE9-A0F4-DA5C83C8A9C1}"/>
    <cellStyle name="Normal 2 4 2 3 3 4 4" xfId="9720" xr:uid="{ADE84209-4315-4D55-9903-D78274E3BCE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2 2 2" xfId="16496" xr:uid="{E610460E-F34C-4C2E-A506-F2A52E6AE3DA}"/>
    <cellStyle name="Normal 2 4 2 3 3 5 2 3" xfId="12278" xr:uid="{C34DD6FE-E8DF-42A3-A65C-C87EA915D3CB}"/>
    <cellStyle name="Normal 2 4 2 3 3 5 3" xfId="5922" xr:uid="{00000000-0005-0000-0000-0000070F0000}"/>
    <cellStyle name="Normal 2 4 2 3 3 5 3 2" xfId="14351" xr:uid="{519F0E73-A84D-4ADF-BAC2-373828F1B8F3}"/>
    <cellStyle name="Normal 2 4 2 3 3 5 4" xfId="10133" xr:uid="{2E749C90-36BF-462D-ABF3-99692CBC22B4}"/>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2 2 2" xfId="16909" xr:uid="{1E4D26DE-E6E2-42CC-9D8E-0DB68991BEDE}"/>
    <cellStyle name="Normal 2 4 2 3 3 6 2 3" xfId="12691" xr:uid="{6B8962A1-BC19-4908-BF33-5906324179D9}"/>
    <cellStyle name="Normal 2 4 2 3 3 6 3" xfId="6335" xr:uid="{00000000-0005-0000-0000-00000B0F0000}"/>
    <cellStyle name="Normal 2 4 2 3 3 6 3 2" xfId="14764" xr:uid="{47376E1A-4D0C-4E58-9697-C80459FC7566}"/>
    <cellStyle name="Normal 2 4 2 3 3 6 4" xfId="10546" xr:uid="{75DAE881-16CD-4DBC-87CB-A95F24E8DD7A}"/>
    <cellStyle name="Normal 2 4 2 3 3 7" xfId="2463" xr:uid="{00000000-0005-0000-0000-00000C0F0000}"/>
    <cellStyle name="Normal 2 4 2 3 3 7 2" xfId="6748" xr:uid="{00000000-0005-0000-0000-00000D0F0000}"/>
    <cellStyle name="Normal 2 4 2 3 3 7 2 2" xfId="15177" xr:uid="{13357651-50D3-4F6A-B313-F28E7897BFFE}"/>
    <cellStyle name="Normal 2 4 2 3 3 7 3" xfId="10959" xr:uid="{BD024128-0FA9-49A0-BB51-04CB0C79706D}"/>
    <cellStyle name="Normal 2 4 2 3 3 8" xfId="4682" xr:uid="{00000000-0005-0000-0000-00000E0F0000}"/>
    <cellStyle name="Normal 2 4 2 3 3 8 2" xfId="13111" xr:uid="{88996F00-B83A-4F92-839D-A5892DCB01DD}"/>
    <cellStyle name="Normal 2 4 2 3 3 9" xfId="8893" xr:uid="{9D64D41F-1BD0-4AFF-9A7A-DB400D913E36}"/>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2 2 2" xfId="15672" xr:uid="{50F8054C-8AA0-4F08-AFE6-06EB26CCDA0B}"/>
    <cellStyle name="Normal 2 4 2 3 4 2 2 3" xfId="11454" xr:uid="{B2691B79-B0EF-450B-8F8B-4C04A06F8EA9}"/>
    <cellStyle name="Normal 2 4 2 3 4 2 3" xfId="5098" xr:uid="{00000000-0005-0000-0000-0000130F0000}"/>
    <cellStyle name="Normal 2 4 2 3 4 2 3 2" xfId="13527" xr:uid="{44FFFD3F-647C-4BCB-9B65-5451ACBA3527}"/>
    <cellStyle name="Normal 2 4 2 3 4 2 4" xfId="9309" xr:uid="{B109B386-0BF7-4198-B4E7-02407E14B601}"/>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2 2 2" xfId="16085" xr:uid="{11C889C3-E899-47A9-A237-3EA1B57E6354}"/>
    <cellStyle name="Normal 2 4 2 3 4 3 2 3" xfId="11867" xr:uid="{EE111B99-B0C4-4A5A-9D2D-CFD6CA582201}"/>
    <cellStyle name="Normal 2 4 2 3 4 3 3" xfId="5511" xr:uid="{00000000-0005-0000-0000-0000170F0000}"/>
    <cellStyle name="Normal 2 4 2 3 4 3 3 2" xfId="13940" xr:uid="{13030F6D-3147-4C20-9D79-D406DB9171A2}"/>
    <cellStyle name="Normal 2 4 2 3 4 3 4" xfId="9722" xr:uid="{79B96791-D755-45C9-9163-BA633F95E7EC}"/>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2 2 2" xfId="16498" xr:uid="{9858EE93-F40D-49AE-A379-974A88616D50}"/>
    <cellStyle name="Normal 2 4 2 3 4 4 2 3" xfId="12280" xr:uid="{C89E0ECB-AAA1-4863-8B74-44978408610E}"/>
    <cellStyle name="Normal 2 4 2 3 4 4 3" xfId="5924" xr:uid="{00000000-0005-0000-0000-00001B0F0000}"/>
    <cellStyle name="Normal 2 4 2 3 4 4 3 2" xfId="14353" xr:uid="{8AEBC43E-FBEA-4036-B1BE-E50EB40F7750}"/>
    <cellStyle name="Normal 2 4 2 3 4 4 4" xfId="10135" xr:uid="{B809BB73-B4B6-4BB8-A00A-C4AA7965F9C1}"/>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2 2 2" xfId="16911" xr:uid="{87FD962A-5B66-4121-BBF0-08B6E4E47E20}"/>
    <cellStyle name="Normal 2 4 2 3 4 5 2 3" xfId="12693" xr:uid="{77587781-13D2-4BCE-A2E9-0B2BEE79B613}"/>
    <cellStyle name="Normal 2 4 2 3 4 5 3" xfId="6337" xr:uid="{00000000-0005-0000-0000-00001F0F0000}"/>
    <cellStyle name="Normal 2 4 2 3 4 5 3 2" xfId="14766" xr:uid="{DAEF90AE-827F-48C5-AEA7-2E1502F02017}"/>
    <cellStyle name="Normal 2 4 2 3 4 5 4" xfId="10548" xr:uid="{06B13386-9423-4EFC-8CBF-62F0C0FB4225}"/>
    <cellStyle name="Normal 2 4 2 3 4 6" xfId="2465" xr:uid="{00000000-0005-0000-0000-0000200F0000}"/>
    <cellStyle name="Normal 2 4 2 3 4 6 2" xfId="6750" xr:uid="{00000000-0005-0000-0000-0000210F0000}"/>
    <cellStyle name="Normal 2 4 2 3 4 6 2 2" xfId="15179" xr:uid="{D4B2FA94-A89C-4049-B173-3C232CF9B612}"/>
    <cellStyle name="Normal 2 4 2 3 4 6 3" xfId="10961" xr:uid="{3B1F1060-630D-4770-96AA-255438D18F96}"/>
    <cellStyle name="Normal 2 4 2 3 4 7" xfId="4684" xr:uid="{00000000-0005-0000-0000-0000220F0000}"/>
    <cellStyle name="Normal 2 4 2 3 4 7 2" xfId="13113" xr:uid="{67A924D8-7996-4CDB-9A48-59CBE7CE7224}"/>
    <cellStyle name="Normal 2 4 2 3 4 8" xfId="8895" xr:uid="{7E77003C-0B46-40B9-AEB1-CF9626FBABFF}"/>
    <cellStyle name="Normal 2 4 2 3 5" xfId="773" xr:uid="{00000000-0005-0000-0000-0000230F0000}"/>
    <cellStyle name="Normal 2 4 2 3 5 2" xfId="3012" xr:uid="{00000000-0005-0000-0000-0000240F0000}"/>
    <cellStyle name="Normal 2 4 2 3 5 2 2" xfId="7236" xr:uid="{00000000-0005-0000-0000-0000250F0000}"/>
    <cellStyle name="Normal 2 4 2 3 5 2 2 2" xfId="15665" xr:uid="{30F0DFC4-BB18-468B-A937-1D7673A6050A}"/>
    <cellStyle name="Normal 2 4 2 3 5 2 3" xfId="11447" xr:uid="{3F804B07-06B5-4344-ACA8-F1C09ACCD1EE}"/>
    <cellStyle name="Normal 2 4 2 3 5 3" xfId="5091" xr:uid="{00000000-0005-0000-0000-0000260F0000}"/>
    <cellStyle name="Normal 2 4 2 3 5 3 2" xfId="13520" xr:uid="{9795C4CB-EF40-4961-9DD7-05D4E3DECD01}"/>
    <cellStyle name="Normal 2 4 2 3 5 4" xfId="9302" xr:uid="{9287D722-D9D2-41B0-B2D6-80F0454D9EB3}"/>
    <cellStyle name="Normal 2 4 2 3 6" xfId="1195" xr:uid="{00000000-0005-0000-0000-0000270F0000}"/>
    <cellStyle name="Normal 2 4 2 3 6 2" xfId="3425" xr:uid="{00000000-0005-0000-0000-0000280F0000}"/>
    <cellStyle name="Normal 2 4 2 3 6 2 2" xfId="7649" xr:uid="{00000000-0005-0000-0000-0000290F0000}"/>
    <cellStyle name="Normal 2 4 2 3 6 2 2 2" xfId="16078" xr:uid="{BA37FF53-8AE0-474D-B44A-5BB84592E1EA}"/>
    <cellStyle name="Normal 2 4 2 3 6 2 3" xfId="11860" xr:uid="{7A4B7E5E-AB3D-4ECD-AEAC-60197C7B070C}"/>
    <cellStyle name="Normal 2 4 2 3 6 3" xfId="5504" xr:uid="{00000000-0005-0000-0000-00002A0F0000}"/>
    <cellStyle name="Normal 2 4 2 3 6 3 2" xfId="13933" xr:uid="{279155ED-3696-4405-8873-A6E6D4C14F33}"/>
    <cellStyle name="Normal 2 4 2 3 6 4" xfId="9715" xr:uid="{B4A182E0-EE8A-4E90-80D7-411BA2363B14}"/>
    <cellStyle name="Normal 2 4 2 3 7" xfId="1608" xr:uid="{00000000-0005-0000-0000-00002B0F0000}"/>
    <cellStyle name="Normal 2 4 2 3 7 2" xfId="3838" xr:uid="{00000000-0005-0000-0000-00002C0F0000}"/>
    <cellStyle name="Normal 2 4 2 3 7 2 2" xfId="8062" xr:uid="{00000000-0005-0000-0000-00002D0F0000}"/>
    <cellStyle name="Normal 2 4 2 3 7 2 2 2" xfId="16491" xr:uid="{018D64DE-A0C7-46B7-9C05-03BD1EACC07E}"/>
    <cellStyle name="Normal 2 4 2 3 7 2 3" xfId="12273" xr:uid="{255228CD-976C-4E10-B624-D5DC0C3971DC}"/>
    <cellStyle name="Normal 2 4 2 3 7 3" xfId="5917" xr:uid="{00000000-0005-0000-0000-00002E0F0000}"/>
    <cellStyle name="Normal 2 4 2 3 7 3 2" xfId="14346" xr:uid="{C3474DB1-7B02-49A9-AC53-C51CADC93038}"/>
    <cellStyle name="Normal 2 4 2 3 7 4" xfId="10128" xr:uid="{ED9BD94F-83F5-4C9B-89D6-3D26BE2EDD82}"/>
    <cellStyle name="Normal 2 4 2 3 8" xfId="2022" xr:uid="{00000000-0005-0000-0000-00002F0F0000}"/>
    <cellStyle name="Normal 2 4 2 3 8 2" xfId="4251" xr:uid="{00000000-0005-0000-0000-0000300F0000}"/>
    <cellStyle name="Normal 2 4 2 3 8 2 2" xfId="8475" xr:uid="{00000000-0005-0000-0000-0000310F0000}"/>
    <cellStyle name="Normal 2 4 2 3 8 2 2 2" xfId="16904" xr:uid="{8E3E01D2-D211-43F0-82A3-88CC8D4EE5D5}"/>
    <cellStyle name="Normal 2 4 2 3 8 2 3" xfId="12686" xr:uid="{922FCA15-32C5-4828-A63A-8DE35E6359BD}"/>
    <cellStyle name="Normal 2 4 2 3 8 3" xfId="6330" xr:uid="{00000000-0005-0000-0000-0000320F0000}"/>
    <cellStyle name="Normal 2 4 2 3 8 3 2" xfId="14759" xr:uid="{4AD58F22-39A7-4401-89AE-B2C090D553F9}"/>
    <cellStyle name="Normal 2 4 2 3 8 4" xfId="10541" xr:uid="{BACDF35B-AFDF-4D36-A7EE-EAA3CD50D5E6}"/>
    <cellStyle name="Normal 2 4 2 3 9" xfId="2458" xr:uid="{00000000-0005-0000-0000-0000330F0000}"/>
    <cellStyle name="Normal 2 4 2 3 9 2" xfId="6743" xr:uid="{00000000-0005-0000-0000-0000340F0000}"/>
    <cellStyle name="Normal 2 4 2 3 9 2 2" xfId="15172" xr:uid="{2508F796-2A53-4659-9A9F-99F9254324B3}"/>
    <cellStyle name="Normal 2 4 2 3 9 3" xfId="10954" xr:uid="{92715705-D780-4A20-82EC-6BE6998A224D}"/>
    <cellStyle name="Normal 2 4 2 4" xfId="289" xr:uid="{00000000-0005-0000-0000-0000350F0000}"/>
    <cellStyle name="Normal 2 4 2 4 10" xfId="8896" xr:uid="{6A1468F1-E084-4D19-8787-7FF8DB2E95BC}"/>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2 2 2" xfId="15675" xr:uid="{DBD4BB4F-F460-43F2-979E-76450A4996AB}"/>
    <cellStyle name="Normal 2 4 2 4 2 2 2 2 3" xfId="11457" xr:uid="{AF179A69-C958-4159-9FDF-D2ED76AA779B}"/>
    <cellStyle name="Normal 2 4 2 4 2 2 2 3" xfId="5101" xr:uid="{00000000-0005-0000-0000-00003B0F0000}"/>
    <cellStyle name="Normal 2 4 2 4 2 2 2 3 2" xfId="13530" xr:uid="{AFD630A3-0188-45AE-A70B-AF3FAB3291EA}"/>
    <cellStyle name="Normal 2 4 2 4 2 2 2 4" xfId="9312" xr:uid="{8815C122-0E24-4EE5-B8B7-FCD2F6A1AE68}"/>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2 2 2" xfId="16088" xr:uid="{A5181EE6-B628-4A16-A54F-3A0990F4CE6D}"/>
    <cellStyle name="Normal 2 4 2 4 2 2 3 2 3" xfId="11870" xr:uid="{0C68B15D-A86C-475B-B8DB-3777B833F50D}"/>
    <cellStyle name="Normal 2 4 2 4 2 2 3 3" xfId="5514" xr:uid="{00000000-0005-0000-0000-00003F0F0000}"/>
    <cellStyle name="Normal 2 4 2 4 2 2 3 3 2" xfId="13943" xr:uid="{253425D1-86AF-4F4A-990A-8300E74ABCF8}"/>
    <cellStyle name="Normal 2 4 2 4 2 2 3 4" xfId="9725" xr:uid="{560F24A9-0A1D-4C45-A3CF-6AC1F451949F}"/>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2 2 2" xfId="16501" xr:uid="{ABBE8F46-4A34-43B7-AF39-C34CB63BBD7E}"/>
    <cellStyle name="Normal 2 4 2 4 2 2 4 2 3" xfId="12283" xr:uid="{BF59BE18-C4DF-4E01-8E30-9B74953550B0}"/>
    <cellStyle name="Normal 2 4 2 4 2 2 4 3" xfId="5927" xr:uid="{00000000-0005-0000-0000-0000430F0000}"/>
    <cellStyle name="Normal 2 4 2 4 2 2 4 3 2" xfId="14356" xr:uid="{A4977EDA-D620-4CD4-B0E0-C71ABBE49DEB}"/>
    <cellStyle name="Normal 2 4 2 4 2 2 4 4" xfId="10138" xr:uid="{8CEC0242-F094-4FCF-A23E-FEB25599D53C}"/>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2 2 2" xfId="16914" xr:uid="{2AA1556F-56E4-4434-AB99-909866C13113}"/>
    <cellStyle name="Normal 2 4 2 4 2 2 5 2 3" xfId="12696" xr:uid="{F3B68F65-5716-4FB4-A997-D16608F456F3}"/>
    <cellStyle name="Normal 2 4 2 4 2 2 5 3" xfId="6340" xr:uid="{00000000-0005-0000-0000-0000470F0000}"/>
    <cellStyle name="Normal 2 4 2 4 2 2 5 3 2" xfId="14769" xr:uid="{79D459B0-648C-4F8C-A36F-1EC3E65E53A2}"/>
    <cellStyle name="Normal 2 4 2 4 2 2 5 4" xfId="10551" xr:uid="{4CBFACDE-1DAB-4F48-9D3E-11DA5F0CB9E9}"/>
    <cellStyle name="Normal 2 4 2 4 2 2 6" xfId="2468" xr:uid="{00000000-0005-0000-0000-0000480F0000}"/>
    <cellStyle name="Normal 2 4 2 4 2 2 6 2" xfId="6753" xr:uid="{00000000-0005-0000-0000-0000490F0000}"/>
    <cellStyle name="Normal 2 4 2 4 2 2 6 2 2" xfId="15182" xr:uid="{BE2BA99E-8D2B-490B-AD0B-B465A6F4F1EB}"/>
    <cellStyle name="Normal 2 4 2 4 2 2 6 3" xfId="10964" xr:uid="{012049CA-63F4-4082-B7CF-5D495406B25F}"/>
    <cellStyle name="Normal 2 4 2 4 2 2 7" xfId="4687" xr:uid="{00000000-0005-0000-0000-00004A0F0000}"/>
    <cellStyle name="Normal 2 4 2 4 2 2 7 2" xfId="13116" xr:uid="{A5E3BE2A-1097-450D-98A8-768CC5B36363}"/>
    <cellStyle name="Normal 2 4 2 4 2 2 8" xfId="8898" xr:uid="{782017B6-226F-4B5A-A2A3-7981E9DE5689}"/>
    <cellStyle name="Normal 2 4 2 4 2 3" xfId="782" xr:uid="{00000000-0005-0000-0000-00004B0F0000}"/>
    <cellStyle name="Normal 2 4 2 4 2 3 2" xfId="3021" xr:uid="{00000000-0005-0000-0000-00004C0F0000}"/>
    <cellStyle name="Normal 2 4 2 4 2 3 2 2" xfId="7245" xr:uid="{00000000-0005-0000-0000-00004D0F0000}"/>
    <cellStyle name="Normal 2 4 2 4 2 3 2 2 2" xfId="15674" xr:uid="{7C82DC2A-4EFD-4BC8-A643-9E4D863DA2E7}"/>
    <cellStyle name="Normal 2 4 2 4 2 3 2 3" xfId="11456" xr:uid="{B25C9AFE-D5D8-46D5-B2C7-907806317975}"/>
    <cellStyle name="Normal 2 4 2 4 2 3 3" xfId="5100" xr:uid="{00000000-0005-0000-0000-00004E0F0000}"/>
    <cellStyle name="Normal 2 4 2 4 2 3 3 2" xfId="13529" xr:uid="{62C65CAA-A7D4-4A2A-81F8-42A37ACD0ED3}"/>
    <cellStyle name="Normal 2 4 2 4 2 3 4" xfId="9311" xr:uid="{B7E39786-695F-454D-A4F0-1DBBFC22B893}"/>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2 2 2" xfId="16087" xr:uid="{816217BB-C8A2-45FA-B0F4-6334785C32BA}"/>
    <cellStyle name="Normal 2 4 2 4 2 4 2 3" xfId="11869" xr:uid="{17AE7FD5-9B0E-4350-9CE4-8980B97E5035}"/>
    <cellStyle name="Normal 2 4 2 4 2 4 3" xfId="5513" xr:uid="{00000000-0005-0000-0000-0000520F0000}"/>
    <cellStyle name="Normal 2 4 2 4 2 4 3 2" xfId="13942" xr:uid="{5D5E41B6-A3C4-44CE-9E56-D1A7981C54E1}"/>
    <cellStyle name="Normal 2 4 2 4 2 4 4" xfId="9724" xr:uid="{60C7991A-22C6-401B-A864-7C5FB1EB1BA5}"/>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2 2 2" xfId="16500" xr:uid="{65E217A8-AD23-414C-9C94-0BA801A6D03A}"/>
    <cellStyle name="Normal 2 4 2 4 2 5 2 3" xfId="12282" xr:uid="{B0B02214-9243-42E1-A261-C67B9593A31E}"/>
    <cellStyle name="Normal 2 4 2 4 2 5 3" xfId="5926" xr:uid="{00000000-0005-0000-0000-0000560F0000}"/>
    <cellStyle name="Normal 2 4 2 4 2 5 3 2" xfId="14355" xr:uid="{4589C827-070D-4272-BFE1-1811E7FDA70E}"/>
    <cellStyle name="Normal 2 4 2 4 2 5 4" xfId="10137" xr:uid="{54FDFE4D-1200-4DAE-B547-2170FFCF3DE2}"/>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2 2 2" xfId="16913" xr:uid="{B5C8C027-BE7A-4F41-964C-B258A4EBB4A6}"/>
    <cellStyle name="Normal 2 4 2 4 2 6 2 3" xfId="12695" xr:uid="{F4BC4EA1-2C31-494B-927B-AC5B66352ECB}"/>
    <cellStyle name="Normal 2 4 2 4 2 6 3" xfId="6339" xr:uid="{00000000-0005-0000-0000-00005A0F0000}"/>
    <cellStyle name="Normal 2 4 2 4 2 6 3 2" xfId="14768" xr:uid="{D449BC38-B58F-40F7-9ED2-FE4BDD0D5DDB}"/>
    <cellStyle name="Normal 2 4 2 4 2 6 4" xfId="10550" xr:uid="{49EC24E1-79EE-45F8-BB36-D3583EF623B4}"/>
    <cellStyle name="Normal 2 4 2 4 2 7" xfId="2467" xr:uid="{00000000-0005-0000-0000-00005B0F0000}"/>
    <cellStyle name="Normal 2 4 2 4 2 7 2" xfId="6752" xr:uid="{00000000-0005-0000-0000-00005C0F0000}"/>
    <cellStyle name="Normal 2 4 2 4 2 7 2 2" xfId="15181" xr:uid="{C3533F07-150D-4C6E-ABFB-EA10E1B2620E}"/>
    <cellStyle name="Normal 2 4 2 4 2 7 3" xfId="10963" xr:uid="{15ECF5F1-BAC9-484D-88AA-1E59DB271FD7}"/>
    <cellStyle name="Normal 2 4 2 4 2 8" xfId="4686" xr:uid="{00000000-0005-0000-0000-00005D0F0000}"/>
    <cellStyle name="Normal 2 4 2 4 2 8 2" xfId="13115" xr:uid="{05DBB056-C5C4-41C8-8C7D-0EE6252A996D}"/>
    <cellStyle name="Normal 2 4 2 4 2 9" xfId="8897" xr:uid="{620AB1B0-8581-4641-9ABC-307336DCD286}"/>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2 2 2" xfId="15676" xr:uid="{C0BE66A9-2F43-4C25-928B-B3F997FC847B}"/>
    <cellStyle name="Normal 2 4 2 4 3 2 2 3" xfId="11458" xr:uid="{660297B7-2900-41B3-B009-792914C6416C}"/>
    <cellStyle name="Normal 2 4 2 4 3 2 3" xfId="5102" xr:uid="{00000000-0005-0000-0000-0000620F0000}"/>
    <cellStyle name="Normal 2 4 2 4 3 2 3 2" xfId="13531" xr:uid="{CBF37376-F17E-4536-851F-C365BE81CCFF}"/>
    <cellStyle name="Normal 2 4 2 4 3 2 4" xfId="9313" xr:uid="{6D5BA731-3062-4AB6-BE47-A2F655F5F574}"/>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2 2 2" xfId="16089" xr:uid="{77BE73B3-D97B-4F5C-A07E-50A95042EEE1}"/>
    <cellStyle name="Normal 2 4 2 4 3 3 2 3" xfId="11871" xr:uid="{15F0504F-52DE-4B5E-ADC0-F8C15F49D783}"/>
    <cellStyle name="Normal 2 4 2 4 3 3 3" xfId="5515" xr:uid="{00000000-0005-0000-0000-0000660F0000}"/>
    <cellStyle name="Normal 2 4 2 4 3 3 3 2" xfId="13944" xr:uid="{BA2C1848-F2C5-41FB-BD04-17DAA72F53F4}"/>
    <cellStyle name="Normal 2 4 2 4 3 3 4" xfId="9726" xr:uid="{1271E19E-0197-42D8-8BDE-5F0F958D67BA}"/>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2 2 2" xfId="16502" xr:uid="{EBB5D57F-D83F-42DA-8A41-596D1AC40227}"/>
    <cellStyle name="Normal 2 4 2 4 3 4 2 3" xfId="12284" xr:uid="{385E0AFE-1846-4498-955B-B0B1EF305E33}"/>
    <cellStyle name="Normal 2 4 2 4 3 4 3" xfId="5928" xr:uid="{00000000-0005-0000-0000-00006A0F0000}"/>
    <cellStyle name="Normal 2 4 2 4 3 4 3 2" xfId="14357" xr:uid="{A1BDB3B1-E9C4-4413-B117-D00E71F3CE47}"/>
    <cellStyle name="Normal 2 4 2 4 3 4 4" xfId="10139" xr:uid="{A689D0A4-6CFE-411D-89A6-858CEEB145BF}"/>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2 2 2" xfId="16915" xr:uid="{E4E0D23F-27A5-4B45-96C0-1D85E7AA49D4}"/>
    <cellStyle name="Normal 2 4 2 4 3 5 2 3" xfId="12697" xr:uid="{5B96A5ED-08AC-45FF-9230-D7DD350F75EE}"/>
    <cellStyle name="Normal 2 4 2 4 3 5 3" xfId="6341" xr:uid="{00000000-0005-0000-0000-00006E0F0000}"/>
    <cellStyle name="Normal 2 4 2 4 3 5 3 2" xfId="14770" xr:uid="{8EA92116-01B8-4E36-A7AC-C31E523311A2}"/>
    <cellStyle name="Normal 2 4 2 4 3 5 4" xfId="10552" xr:uid="{62F0C4E9-3ED0-4432-889A-B4D8AAD2A9A5}"/>
    <cellStyle name="Normal 2 4 2 4 3 6" xfId="2469" xr:uid="{00000000-0005-0000-0000-00006F0F0000}"/>
    <cellStyle name="Normal 2 4 2 4 3 6 2" xfId="6754" xr:uid="{00000000-0005-0000-0000-0000700F0000}"/>
    <cellStyle name="Normal 2 4 2 4 3 6 2 2" xfId="15183" xr:uid="{C83F31CF-DD4A-4259-A409-B8F03F8322AD}"/>
    <cellStyle name="Normal 2 4 2 4 3 6 3" xfId="10965" xr:uid="{DDEFD9E0-98BB-4CC0-839B-F54CAC912D1C}"/>
    <cellStyle name="Normal 2 4 2 4 3 7" xfId="4688" xr:uid="{00000000-0005-0000-0000-0000710F0000}"/>
    <cellStyle name="Normal 2 4 2 4 3 7 2" xfId="13117" xr:uid="{A65AB71C-8C38-40E7-800E-CC003589BF34}"/>
    <cellStyle name="Normal 2 4 2 4 3 8" xfId="8899" xr:uid="{EFE96E56-2195-4C6E-AAD5-45CEB63CEB9F}"/>
    <cellStyle name="Normal 2 4 2 4 4" xfId="781" xr:uid="{00000000-0005-0000-0000-0000720F0000}"/>
    <cellStyle name="Normal 2 4 2 4 4 2" xfId="3020" xr:uid="{00000000-0005-0000-0000-0000730F0000}"/>
    <cellStyle name="Normal 2 4 2 4 4 2 2" xfId="7244" xr:uid="{00000000-0005-0000-0000-0000740F0000}"/>
    <cellStyle name="Normal 2 4 2 4 4 2 2 2" xfId="15673" xr:uid="{7251FAEB-ED90-4A02-8F97-EC08000B066C}"/>
    <cellStyle name="Normal 2 4 2 4 4 2 3" xfId="11455" xr:uid="{5FA8BE4C-2F28-456C-A756-5C2174E6C2BC}"/>
    <cellStyle name="Normal 2 4 2 4 4 3" xfId="5099" xr:uid="{00000000-0005-0000-0000-0000750F0000}"/>
    <cellStyle name="Normal 2 4 2 4 4 3 2" xfId="13528" xr:uid="{D864147A-D0C1-45D6-BF64-D5CC5BF14A8A}"/>
    <cellStyle name="Normal 2 4 2 4 4 4" xfId="9310" xr:uid="{DB3F332D-DE1D-47A9-A58F-6205847743B9}"/>
    <cellStyle name="Normal 2 4 2 4 5" xfId="1203" xr:uid="{00000000-0005-0000-0000-0000760F0000}"/>
    <cellStyle name="Normal 2 4 2 4 5 2" xfId="3433" xr:uid="{00000000-0005-0000-0000-0000770F0000}"/>
    <cellStyle name="Normal 2 4 2 4 5 2 2" xfId="7657" xr:uid="{00000000-0005-0000-0000-0000780F0000}"/>
    <cellStyle name="Normal 2 4 2 4 5 2 2 2" xfId="16086" xr:uid="{A4FB3FCE-9DBF-4855-8A10-09650050E9ED}"/>
    <cellStyle name="Normal 2 4 2 4 5 2 3" xfId="11868" xr:uid="{A273382F-0A58-4B04-B2F5-8723EA252CDB}"/>
    <cellStyle name="Normal 2 4 2 4 5 3" xfId="5512" xr:uid="{00000000-0005-0000-0000-0000790F0000}"/>
    <cellStyle name="Normal 2 4 2 4 5 3 2" xfId="13941" xr:uid="{86880EDE-85C8-46C9-AA0B-9FE2CF7A0D1E}"/>
    <cellStyle name="Normal 2 4 2 4 5 4" xfId="9723" xr:uid="{08DA1120-EE31-44F3-8A40-38716A36252D}"/>
    <cellStyle name="Normal 2 4 2 4 6" xfId="1616" xr:uid="{00000000-0005-0000-0000-00007A0F0000}"/>
    <cellStyle name="Normal 2 4 2 4 6 2" xfId="3846" xr:uid="{00000000-0005-0000-0000-00007B0F0000}"/>
    <cellStyle name="Normal 2 4 2 4 6 2 2" xfId="8070" xr:uid="{00000000-0005-0000-0000-00007C0F0000}"/>
    <cellStyle name="Normal 2 4 2 4 6 2 2 2" xfId="16499" xr:uid="{A949D223-482B-41FA-AFA1-6964FE3429E9}"/>
    <cellStyle name="Normal 2 4 2 4 6 2 3" xfId="12281" xr:uid="{F59CA440-AB89-48F2-BC81-1897D8497DCF}"/>
    <cellStyle name="Normal 2 4 2 4 6 3" xfId="5925" xr:uid="{00000000-0005-0000-0000-00007D0F0000}"/>
    <cellStyle name="Normal 2 4 2 4 6 3 2" xfId="14354" xr:uid="{CF98FF1D-8BD6-447B-A0B1-6634B752ABBE}"/>
    <cellStyle name="Normal 2 4 2 4 6 4" xfId="10136" xr:uid="{8668D0EB-A5A3-42E8-A1E0-9AA936D44453}"/>
    <cellStyle name="Normal 2 4 2 4 7" xfId="2030" xr:uid="{00000000-0005-0000-0000-00007E0F0000}"/>
    <cellStyle name="Normal 2 4 2 4 7 2" xfId="4259" xr:uid="{00000000-0005-0000-0000-00007F0F0000}"/>
    <cellStyle name="Normal 2 4 2 4 7 2 2" xfId="8483" xr:uid="{00000000-0005-0000-0000-0000800F0000}"/>
    <cellStyle name="Normal 2 4 2 4 7 2 2 2" xfId="16912" xr:uid="{8C1EB3F1-8424-4228-9DCE-B5A2BEF75AFE}"/>
    <cellStyle name="Normal 2 4 2 4 7 2 3" xfId="12694" xr:uid="{B32C4AAA-6A7D-4F68-B023-DB7CDD2B7F92}"/>
    <cellStyle name="Normal 2 4 2 4 7 3" xfId="6338" xr:uid="{00000000-0005-0000-0000-0000810F0000}"/>
    <cellStyle name="Normal 2 4 2 4 7 3 2" xfId="14767" xr:uid="{99FD8A4B-37F0-4A1B-BE60-22A8D39BECE8}"/>
    <cellStyle name="Normal 2 4 2 4 7 4" xfId="10549" xr:uid="{985521B0-3A10-46E3-BA64-F95D1C454B82}"/>
    <cellStyle name="Normal 2 4 2 4 8" xfId="2466" xr:uid="{00000000-0005-0000-0000-0000820F0000}"/>
    <cellStyle name="Normal 2 4 2 4 8 2" xfId="6751" xr:uid="{00000000-0005-0000-0000-0000830F0000}"/>
    <cellStyle name="Normal 2 4 2 4 8 2 2" xfId="15180" xr:uid="{41521FE7-4A08-484E-9DD3-D490EE916E6C}"/>
    <cellStyle name="Normal 2 4 2 4 8 3" xfId="10962" xr:uid="{237CE696-BF9D-4FA6-BA26-7F6D374939C4}"/>
    <cellStyle name="Normal 2 4 2 4 9" xfId="4685" xr:uid="{00000000-0005-0000-0000-0000840F0000}"/>
    <cellStyle name="Normal 2 4 2 4 9 2" xfId="13114" xr:uid="{909437D1-7BD9-4642-A646-5FEC812559E8}"/>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2 2 2" xfId="15678" xr:uid="{42DD30E6-7882-49FD-8CF6-459E47CEE30B}"/>
    <cellStyle name="Normal 2 4 2 5 2 2 2 3" xfId="11460" xr:uid="{BF5D112C-FCCF-4C57-8272-93080FCC8B02}"/>
    <cellStyle name="Normal 2 4 2 5 2 2 3" xfId="5104" xr:uid="{00000000-0005-0000-0000-00008A0F0000}"/>
    <cellStyle name="Normal 2 4 2 5 2 2 3 2" xfId="13533" xr:uid="{185E0AB6-BCD4-4A69-BE03-EF0FB884370D}"/>
    <cellStyle name="Normal 2 4 2 5 2 2 4" xfId="9315" xr:uid="{E2363162-4226-4A49-A732-BF7C38FB98B5}"/>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2 2 2" xfId="16091" xr:uid="{45720156-C2E3-4536-8085-412E73DF6B88}"/>
    <cellStyle name="Normal 2 4 2 5 2 3 2 3" xfId="11873" xr:uid="{3700B8DD-C1F7-45E5-9DF5-13B990EBD0DB}"/>
    <cellStyle name="Normal 2 4 2 5 2 3 3" xfId="5517" xr:uid="{00000000-0005-0000-0000-00008E0F0000}"/>
    <cellStyle name="Normal 2 4 2 5 2 3 3 2" xfId="13946" xr:uid="{65CA3241-B154-4462-A3E7-D00BA8A2DDCA}"/>
    <cellStyle name="Normal 2 4 2 5 2 3 4" xfId="9728" xr:uid="{0D55D7B1-4F82-4407-B686-4CC3C44CE403}"/>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2 2 2" xfId="16504" xr:uid="{CCFF6260-F10F-43FB-AE61-D6927E4DDB11}"/>
    <cellStyle name="Normal 2 4 2 5 2 4 2 3" xfId="12286" xr:uid="{A24C18B9-06D9-4B48-98CC-364F0561ED2E}"/>
    <cellStyle name="Normal 2 4 2 5 2 4 3" xfId="5930" xr:uid="{00000000-0005-0000-0000-0000920F0000}"/>
    <cellStyle name="Normal 2 4 2 5 2 4 3 2" xfId="14359" xr:uid="{80B6FD78-BCEC-4B08-ADB2-F9D9942FAFE0}"/>
    <cellStyle name="Normal 2 4 2 5 2 4 4" xfId="10141" xr:uid="{BD36E140-893C-4DE5-93B5-D3671A5CAF87}"/>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2 2 2" xfId="16917" xr:uid="{D4811235-729A-49F1-BAB6-EF02D2A20FF4}"/>
    <cellStyle name="Normal 2 4 2 5 2 5 2 3" xfId="12699" xr:uid="{047DF6B3-4FEB-496C-A18A-100E9EB07D36}"/>
    <cellStyle name="Normal 2 4 2 5 2 5 3" xfId="6343" xr:uid="{00000000-0005-0000-0000-0000960F0000}"/>
    <cellStyle name="Normal 2 4 2 5 2 5 3 2" xfId="14772" xr:uid="{9AB8B85B-E930-4833-BB76-9992CCAA7C7B}"/>
    <cellStyle name="Normal 2 4 2 5 2 5 4" xfId="10554" xr:uid="{C107A7C8-31C0-4B11-ACC2-D180C4B34E30}"/>
    <cellStyle name="Normal 2 4 2 5 2 6" xfId="2471" xr:uid="{00000000-0005-0000-0000-0000970F0000}"/>
    <cellStyle name="Normal 2 4 2 5 2 6 2" xfId="6756" xr:uid="{00000000-0005-0000-0000-0000980F0000}"/>
    <cellStyle name="Normal 2 4 2 5 2 6 2 2" xfId="15185" xr:uid="{44884772-EBCC-4F8B-B469-A8DC3604653A}"/>
    <cellStyle name="Normal 2 4 2 5 2 6 3" xfId="10967" xr:uid="{E772F61B-11FA-4972-89E2-88FEC1C66B16}"/>
    <cellStyle name="Normal 2 4 2 5 2 7" xfId="4690" xr:uid="{00000000-0005-0000-0000-0000990F0000}"/>
    <cellStyle name="Normal 2 4 2 5 2 7 2" xfId="13119" xr:uid="{F6017169-849D-4A97-9E93-BA4955C97828}"/>
    <cellStyle name="Normal 2 4 2 5 2 8" xfId="8901" xr:uid="{34A5864E-65E2-4488-8CE3-6F433FD5C21F}"/>
    <cellStyle name="Normal 2 4 2 5 3" xfId="785" xr:uid="{00000000-0005-0000-0000-00009A0F0000}"/>
    <cellStyle name="Normal 2 4 2 5 3 2" xfId="3024" xr:uid="{00000000-0005-0000-0000-00009B0F0000}"/>
    <cellStyle name="Normal 2 4 2 5 3 2 2" xfId="7248" xr:uid="{00000000-0005-0000-0000-00009C0F0000}"/>
    <cellStyle name="Normal 2 4 2 5 3 2 2 2" xfId="15677" xr:uid="{3B4A4AA2-E644-4C34-BAD9-F49B7E540336}"/>
    <cellStyle name="Normal 2 4 2 5 3 2 3" xfId="11459" xr:uid="{55EDAE3E-6820-414B-B568-A35EABB892AE}"/>
    <cellStyle name="Normal 2 4 2 5 3 3" xfId="5103" xr:uid="{00000000-0005-0000-0000-00009D0F0000}"/>
    <cellStyle name="Normal 2 4 2 5 3 3 2" xfId="13532" xr:uid="{41F4E943-DD7F-4927-BA1B-D2EC03F4D3D6}"/>
    <cellStyle name="Normal 2 4 2 5 3 4" xfId="9314" xr:uid="{57D3BD25-39D5-48CA-98B5-2DC150FCFEE5}"/>
    <cellStyle name="Normal 2 4 2 5 4" xfId="1207" xr:uid="{00000000-0005-0000-0000-00009E0F0000}"/>
    <cellStyle name="Normal 2 4 2 5 4 2" xfId="3437" xr:uid="{00000000-0005-0000-0000-00009F0F0000}"/>
    <cellStyle name="Normal 2 4 2 5 4 2 2" xfId="7661" xr:uid="{00000000-0005-0000-0000-0000A00F0000}"/>
    <cellStyle name="Normal 2 4 2 5 4 2 2 2" xfId="16090" xr:uid="{0B276DD0-C522-40D7-B0AF-F593618B5940}"/>
    <cellStyle name="Normal 2 4 2 5 4 2 3" xfId="11872" xr:uid="{D5740EC0-D4C8-4B34-BEF0-708B4A9E085A}"/>
    <cellStyle name="Normal 2 4 2 5 4 3" xfId="5516" xr:uid="{00000000-0005-0000-0000-0000A10F0000}"/>
    <cellStyle name="Normal 2 4 2 5 4 3 2" xfId="13945" xr:uid="{F89D4405-AEFF-4B9C-BFC8-67CE577E618F}"/>
    <cellStyle name="Normal 2 4 2 5 4 4" xfId="9727" xr:uid="{9537192B-BEA3-46F8-868E-7B68B874048F}"/>
    <cellStyle name="Normal 2 4 2 5 5" xfId="1620" xr:uid="{00000000-0005-0000-0000-0000A20F0000}"/>
    <cellStyle name="Normal 2 4 2 5 5 2" xfId="3850" xr:uid="{00000000-0005-0000-0000-0000A30F0000}"/>
    <cellStyle name="Normal 2 4 2 5 5 2 2" xfId="8074" xr:uid="{00000000-0005-0000-0000-0000A40F0000}"/>
    <cellStyle name="Normal 2 4 2 5 5 2 2 2" xfId="16503" xr:uid="{0B41A258-89B2-410A-ABA2-32B2D46B6D73}"/>
    <cellStyle name="Normal 2 4 2 5 5 2 3" xfId="12285" xr:uid="{7C564AE0-BD7C-4E4C-8E27-81E70BF948F9}"/>
    <cellStyle name="Normal 2 4 2 5 5 3" xfId="5929" xr:uid="{00000000-0005-0000-0000-0000A50F0000}"/>
    <cellStyle name="Normal 2 4 2 5 5 3 2" xfId="14358" xr:uid="{0041E7B7-B6B1-40B5-9F8B-53E3F27AF6CC}"/>
    <cellStyle name="Normal 2 4 2 5 5 4" xfId="10140" xr:uid="{F1899AB9-EB1A-4A38-805B-A435BFA19689}"/>
    <cellStyle name="Normal 2 4 2 5 6" xfId="2034" xr:uid="{00000000-0005-0000-0000-0000A60F0000}"/>
    <cellStyle name="Normal 2 4 2 5 6 2" xfId="4263" xr:uid="{00000000-0005-0000-0000-0000A70F0000}"/>
    <cellStyle name="Normal 2 4 2 5 6 2 2" xfId="8487" xr:uid="{00000000-0005-0000-0000-0000A80F0000}"/>
    <cellStyle name="Normal 2 4 2 5 6 2 2 2" xfId="16916" xr:uid="{BF002052-E5B5-4A27-B705-511F6CA73236}"/>
    <cellStyle name="Normal 2 4 2 5 6 2 3" xfId="12698" xr:uid="{50B3C1D3-B75A-49A8-A0AA-CCC1CBA09D90}"/>
    <cellStyle name="Normal 2 4 2 5 6 3" xfId="6342" xr:uid="{00000000-0005-0000-0000-0000A90F0000}"/>
    <cellStyle name="Normal 2 4 2 5 6 3 2" xfId="14771" xr:uid="{8614A981-664C-49B7-8872-5C0FF6AD4FB8}"/>
    <cellStyle name="Normal 2 4 2 5 6 4" xfId="10553" xr:uid="{2E539C09-2DB6-4653-96A7-0F270E4E40B5}"/>
    <cellStyle name="Normal 2 4 2 5 7" xfId="2470" xr:uid="{00000000-0005-0000-0000-0000AA0F0000}"/>
    <cellStyle name="Normal 2 4 2 5 7 2" xfId="6755" xr:uid="{00000000-0005-0000-0000-0000AB0F0000}"/>
    <cellStyle name="Normal 2 4 2 5 7 2 2" xfId="15184" xr:uid="{F071C04C-AA97-41E6-AF78-412BBBED2AE9}"/>
    <cellStyle name="Normal 2 4 2 5 7 3" xfId="10966" xr:uid="{0B133807-8EBC-40F4-A7B9-957D0FACFB61}"/>
    <cellStyle name="Normal 2 4 2 5 8" xfId="4689" xr:uid="{00000000-0005-0000-0000-0000AC0F0000}"/>
    <cellStyle name="Normal 2 4 2 5 8 2" xfId="13118" xr:uid="{AA854DA2-EC3B-4E31-B673-E82EC6906CA7}"/>
    <cellStyle name="Normal 2 4 2 5 9" xfId="8900" xr:uid="{96394252-192A-43D1-A759-FA1954AE0A17}"/>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2 2 2" xfId="15679" xr:uid="{38B64C16-BE67-424C-9409-163B4D76CE5D}"/>
    <cellStyle name="Normal 2 4 2 6 2 2 3" xfId="11461" xr:uid="{FCFAD0DB-06B4-4A0A-961A-7D9CE2E39395}"/>
    <cellStyle name="Normal 2 4 2 6 2 3" xfId="5105" xr:uid="{00000000-0005-0000-0000-0000B10F0000}"/>
    <cellStyle name="Normal 2 4 2 6 2 3 2" xfId="13534" xr:uid="{10B47BE1-0523-4060-B42A-DCA04B016ABE}"/>
    <cellStyle name="Normal 2 4 2 6 2 4" xfId="9316" xr:uid="{F23A8245-0B9D-45B7-B6E3-A7EDF7C9502A}"/>
    <cellStyle name="Normal 2 4 2 6 3" xfId="1209" xr:uid="{00000000-0005-0000-0000-0000B20F0000}"/>
    <cellStyle name="Normal 2 4 2 6 3 2" xfId="3439" xr:uid="{00000000-0005-0000-0000-0000B30F0000}"/>
    <cellStyle name="Normal 2 4 2 6 3 2 2" xfId="7663" xr:uid="{00000000-0005-0000-0000-0000B40F0000}"/>
    <cellStyle name="Normal 2 4 2 6 3 2 2 2" xfId="16092" xr:uid="{4557155A-8D48-443D-A07F-3F52CDE9CB83}"/>
    <cellStyle name="Normal 2 4 2 6 3 2 3" xfId="11874" xr:uid="{16E9F635-26D4-4711-9FB0-7FFD2AB0FC5A}"/>
    <cellStyle name="Normal 2 4 2 6 3 3" xfId="5518" xr:uid="{00000000-0005-0000-0000-0000B50F0000}"/>
    <cellStyle name="Normal 2 4 2 6 3 3 2" xfId="13947" xr:uid="{46D467F0-119C-403B-9421-71AB9B6AC3A0}"/>
    <cellStyle name="Normal 2 4 2 6 3 4" xfId="9729" xr:uid="{76ABD571-F655-42AE-A42F-5CC7EA7D209A}"/>
    <cellStyle name="Normal 2 4 2 6 4" xfId="1622" xr:uid="{00000000-0005-0000-0000-0000B60F0000}"/>
    <cellStyle name="Normal 2 4 2 6 4 2" xfId="3852" xr:uid="{00000000-0005-0000-0000-0000B70F0000}"/>
    <cellStyle name="Normal 2 4 2 6 4 2 2" xfId="8076" xr:uid="{00000000-0005-0000-0000-0000B80F0000}"/>
    <cellStyle name="Normal 2 4 2 6 4 2 2 2" xfId="16505" xr:uid="{F5409FC8-A52A-4B8C-B98F-901DEC6093DD}"/>
    <cellStyle name="Normal 2 4 2 6 4 2 3" xfId="12287" xr:uid="{B0463661-348A-445A-A639-D5A1BF02D556}"/>
    <cellStyle name="Normal 2 4 2 6 4 3" xfId="5931" xr:uid="{00000000-0005-0000-0000-0000B90F0000}"/>
    <cellStyle name="Normal 2 4 2 6 4 3 2" xfId="14360" xr:uid="{DA85A47B-BB9D-4A47-9A17-2C5CF53BC7D6}"/>
    <cellStyle name="Normal 2 4 2 6 4 4" xfId="10142" xr:uid="{388E0EAB-78BA-4D4C-9F73-950DCE118A5E}"/>
    <cellStyle name="Normal 2 4 2 6 5" xfId="2036" xr:uid="{00000000-0005-0000-0000-0000BA0F0000}"/>
    <cellStyle name="Normal 2 4 2 6 5 2" xfId="4265" xr:uid="{00000000-0005-0000-0000-0000BB0F0000}"/>
    <cellStyle name="Normal 2 4 2 6 5 2 2" xfId="8489" xr:uid="{00000000-0005-0000-0000-0000BC0F0000}"/>
    <cellStyle name="Normal 2 4 2 6 5 2 2 2" xfId="16918" xr:uid="{C3953B54-F722-401B-B50A-5B90B1998ED7}"/>
    <cellStyle name="Normal 2 4 2 6 5 2 3" xfId="12700" xr:uid="{7ED86C38-D237-4D91-BF80-F25C21E0B65D}"/>
    <cellStyle name="Normal 2 4 2 6 5 3" xfId="6344" xr:uid="{00000000-0005-0000-0000-0000BD0F0000}"/>
    <cellStyle name="Normal 2 4 2 6 5 3 2" xfId="14773" xr:uid="{C042C656-C401-47FF-AC4C-F56C41B37A88}"/>
    <cellStyle name="Normal 2 4 2 6 5 4" xfId="10555" xr:uid="{535356CA-FF67-4FED-A72F-4FBB4BC60137}"/>
    <cellStyle name="Normal 2 4 2 6 6" xfId="2472" xr:uid="{00000000-0005-0000-0000-0000BE0F0000}"/>
    <cellStyle name="Normal 2 4 2 6 6 2" xfId="6757" xr:uid="{00000000-0005-0000-0000-0000BF0F0000}"/>
    <cellStyle name="Normal 2 4 2 6 6 2 2" xfId="15186" xr:uid="{BA20CAB1-99B3-4D2B-A9D5-D4C0A57293FF}"/>
    <cellStyle name="Normal 2 4 2 6 6 3" xfId="10968" xr:uid="{871E3FBD-9B8A-4A39-83BE-89DDC7B9CFB2}"/>
    <cellStyle name="Normal 2 4 2 6 7" xfId="4691" xr:uid="{00000000-0005-0000-0000-0000C00F0000}"/>
    <cellStyle name="Normal 2 4 2 6 7 2" xfId="13120" xr:uid="{71423A37-59B6-40A9-B1B6-264C50DC811C}"/>
    <cellStyle name="Normal 2 4 2 6 8" xfId="8902" xr:uid="{8300A9E3-81B2-473B-ACF1-5CC66BA01C43}"/>
    <cellStyle name="Normal 2 4 2 7" xfId="772" xr:uid="{00000000-0005-0000-0000-0000C10F0000}"/>
    <cellStyle name="Normal 2 4 2 7 2" xfId="3011" xr:uid="{00000000-0005-0000-0000-0000C20F0000}"/>
    <cellStyle name="Normal 2 4 2 7 2 2" xfId="7235" xr:uid="{00000000-0005-0000-0000-0000C30F0000}"/>
    <cellStyle name="Normal 2 4 2 7 2 2 2" xfId="15664" xr:uid="{4A4E3B47-77F7-4903-A23A-D6513EAB8665}"/>
    <cellStyle name="Normal 2 4 2 7 2 3" xfId="11446" xr:uid="{D491F97C-8A49-4E54-81C5-834A0E1B356F}"/>
    <cellStyle name="Normal 2 4 2 7 3" xfId="5090" xr:uid="{00000000-0005-0000-0000-0000C40F0000}"/>
    <cellStyle name="Normal 2 4 2 7 3 2" xfId="13519" xr:uid="{9239F792-01B7-4B12-9EC9-E9A4EB36C338}"/>
    <cellStyle name="Normal 2 4 2 7 4" xfId="9301" xr:uid="{94D8CF08-6C3B-4223-93E1-BB8A52A00414}"/>
    <cellStyle name="Normal 2 4 2 8" xfId="1194" xr:uid="{00000000-0005-0000-0000-0000C50F0000}"/>
    <cellStyle name="Normal 2 4 2 8 2" xfId="3424" xr:uid="{00000000-0005-0000-0000-0000C60F0000}"/>
    <cellStyle name="Normal 2 4 2 8 2 2" xfId="7648" xr:uid="{00000000-0005-0000-0000-0000C70F0000}"/>
    <cellStyle name="Normal 2 4 2 8 2 2 2" xfId="16077" xr:uid="{0598F8C9-ABB2-42D4-955F-44455040F694}"/>
    <cellStyle name="Normal 2 4 2 8 2 3" xfId="11859" xr:uid="{5EF9E1EC-19A9-4F1B-8A7D-AF988C671F6F}"/>
    <cellStyle name="Normal 2 4 2 8 3" xfId="5503" xr:uid="{00000000-0005-0000-0000-0000C80F0000}"/>
    <cellStyle name="Normal 2 4 2 8 3 2" xfId="13932" xr:uid="{44AB27F9-5767-45E5-B9BE-B1E00EDF9CD3}"/>
    <cellStyle name="Normal 2 4 2 8 4" xfId="9714" xr:uid="{16F5FD6D-5E6C-4C3D-B631-0DABA1F05C35}"/>
    <cellStyle name="Normal 2 4 2 9" xfId="1607" xr:uid="{00000000-0005-0000-0000-0000C90F0000}"/>
    <cellStyle name="Normal 2 4 2 9 2" xfId="3837" xr:uid="{00000000-0005-0000-0000-0000CA0F0000}"/>
    <cellStyle name="Normal 2 4 2 9 2 2" xfId="8061" xr:uid="{00000000-0005-0000-0000-0000CB0F0000}"/>
    <cellStyle name="Normal 2 4 2 9 2 2 2" xfId="16490" xr:uid="{F37E4442-4744-4D4F-967D-756D46714329}"/>
    <cellStyle name="Normal 2 4 2 9 2 3" xfId="12272" xr:uid="{FA9AD1EE-CD4B-476C-A420-755B69B43C75}"/>
    <cellStyle name="Normal 2 4 2 9 3" xfId="5916" xr:uid="{00000000-0005-0000-0000-0000CC0F0000}"/>
    <cellStyle name="Normal 2 4 2 9 3 2" xfId="14345" xr:uid="{74F76BDF-7CD3-4843-BD5F-02FA922F615C}"/>
    <cellStyle name="Normal 2 4 2 9 4" xfId="10127" xr:uid="{7BB75DF5-80CA-4B18-BA79-4B62CB61940A}"/>
    <cellStyle name="Normal 2 4 3" xfId="296" xr:uid="{00000000-0005-0000-0000-0000CD0F0000}"/>
    <cellStyle name="Normal 2 4 3 10" xfId="8903" xr:uid="{BC4D0F70-DDF9-4281-A4A5-C2A704DBF5FD}"/>
    <cellStyle name="Normal 2 4 3 2" xfId="297" xr:uid="{00000000-0005-0000-0000-0000CE0F0000}"/>
    <cellStyle name="Normal 2 4 3 3" xfId="298" xr:uid="{00000000-0005-0000-0000-0000CF0F0000}"/>
    <cellStyle name="Normal 2 4 3 3 10" xfId="8904" xr:uid="{F47B33BF-C289-4537-9C97-CBF5AB0A9E61}"/>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2 2 2" xfId="15683" xr:uid="{AD55483C-967E-4355-A02C-4EA71DB243D4}"/>
    <cellStyle name="Normal 2 4 3 3 2 2 2 2 3" xfId="11465" xr:uid="{7FD9D394-B10F-42B7-B300-9A7BDDD6C8B9}"/>
    <cellStyle name="Normal 2 4 3 3 2 2 2 3" xfId="5109" xr:uid="{00000000-0005-0000-0000-0000D50F0000}"/>
    <cellStyle name="Normal 2 4 3 3 2 2 2 3 2" xfId="13538" xr:uid="{FC8B2062-FA49-4778-BE4F-0717DF60950E}"/>
    <cellStyle name="Normal 2 4 3 3 2 2 2 4" xfId="9320" xr:uid="{98AA6B75-29BA-40F0-959B-18CFC9469CFA}"/>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2 2 2" xfId="16096" xr:uid="{64E96991-0E3D-458D-B7D8-DEB3954E22EC}"/>
    <cellStyle name="Normal 2 4 3 3 2 2 3 2 3" xfId="11878" xr:uid="{A1DB6F3C-C3EA-4543-8E8D-AFF7A55C8270}"/>
    <cellStyle name="Normal 2 4 3 3 2 2 3 3" xfId="5522" xr:uid="{00000000-0005-0000-0000-0000D90F0000}"/>
    <cellStyle name="Normal 2 4 3 3 2 2 3 3 2" xfId="13951" xr:uid="{5C16915C-3FF3-47CA-AAAE-6B6E5F2D1106}"/>
    <cellStyle name="Normal 2 4 3 3 2 2 3 4" xfId="9733" xr:uid="{0E4235D9-13E0-4072-98CB-98437A3039A1}"/>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2 2 2" xfId="16509" xr:uid="{ED2E8577-EE7C-450D-9822-8DB94C68BA5D}"/>
    <cellStyle name="Normal 2 4 3 3 2 2 4 2 3" xfId="12291" xr:uid="{27871441-01DF-4F7A-99FF-673B020697E4}"/>
    <cellStyle name="Normal 2 4 3 3 2 2 4 3" xfId="5935" xr:uid="{00000000-0005-0000-0000-0000DD0F0000}"/>
    <cellStyle name="Normal 2 4 3 3 2 2 4 3 2" xfId="14364" xr:uid="{77AF4C66-B6E5-4B8F-A025-3362CC946A75}"/>
    <cellStyle name="Normal 2 4 3 3 2 2 4 4" xfId="10146" xr:uid="{9CCBC93A-7DCF-4807-84F1-DFEC99B5D4B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2 2 2" xfId="16922" xr:uid="{D3BA2C27-8462-48D8-BFDC-45D07517A55F}"/>
    <cellStyle name="Normal 2 4 3 3 2 2 5 2 3" xfId="12704" xr:uid="{9485E643-3DDC-4D24-A0C4-7421DB87C4F1}"/>
    <cellStyle name="Normal 2 4 3 3 2 2 5 3" xfId="6348" xr:uid="{00000000-0005-0000-0000-0000E10F0000}"/>
    <cellStyle name="Normal 2 4 3 3 2 2 5 3 2" xfId="14777" xr:uid="{140468C3-06B2-466C-AF03-5EA27FD1C32A}"/>
    <cellStyle name="Normal 2 4 3 3 2 2 5 4" xfId="10559" xr:uid="{A9D8CBC0-740C-4FAB-ADC8-2D37EF7D310D}"/>
    <cellStyle name="Normal 2 4 3 3 2 2 6" xfId="2476" xr:uid="{00000000-0005-0000-0000-0000E20F0000}"/>
    <cellStyle name="Normal 2 4 3 3 2 2 6 2" xfId="6761" xr:uid="{00000000-0005-0000-0000-0000E30F0000}"/>
    <cellStyle name="Normal 2 4 3 3 2 2 6 2 2" xfId="15190" xr:uid="{825AE459-8931-4676-A3C3-FF1402E6F230}"/>
    <cellStyle name="Normal 2 4 3 3 2 2 6 3" xfId="10972" xr:uid="{9D199A8A-C1A5-49C8-81F7-402110B46D8C}"/>
    <cellStyle name="Normal 2 4 3 3 2 2 7" xfId="4695" xr:uid="{00000000-0005-0000-0000-0000E40F0000}"/>
    <cellStyle name="Normal 2 4 3 3 2 2 7 2" xfId="13124" xr:uid="{705A2B57-0810-40F3-980D-627CFAF129E2}"/>
    <cellStyle name="Normal 2 4 3 3 2 2 8" xfId="8906" xr:uid="{8C3B3FCE-AB50-4B04-8A15-187FF2487F9E}"/>
    <cellStyle name="Normal 2 4 3 3 2 3" xfId="790" xr:uid="{00000000-0005-0000-0000-0000E50F0000}"/>
    <cellStyle name="Normal 2 4 3 3 2 3 2" xfId="3029" xr:uid="{00000000-0005-0000-0000-0000E60F0000}"/>
    <cellStyle name="Normal 2 4 3 3 2 3 2 2" xfId="7253" xr:uid="{00000000-0005-0000-0000-0000E70F0000}"/>
    <cellStyle name="Normal 2 4 3 3 2 3 2 2 2" xfId="15682" xr:uid="{0E8EF004-8624-46E3-BEB5-8532E1488AB5}"/>
    <cellStyle name="Normal 2 4 3 3 2 3 2 3" xfId="11464" xr:uid="{EDF7A107-7FCB-47AD-BD2C-599C2B873994}"/>
    <cellStyle name="Normal 2 4 3 3 2 3 3" xfId="5108" xr:uid="{00000000-0005-0000-0000-0000E80F0000}"/>
    <cellStyle name="Normal 2 4 3 3 2 3 3 2" xfId="13537" xr:uid="{CB5D8C76-E6A7-4D70-B8DE-11EDEA4C7475}"/>
    <cellStyle name="Normal 2 4 3 3 2 3 4" xfId="9319" xr:uid="{E59F1D7B-080F-444F-84D4-39215FC31E8F}"/>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2 2 2" xfId="16095" xr:uid="{74FB665A-CF6E-44CB-88E3-889FF6B58049}"/>
    <cellStyle name="Normal 2 4 3 3 2 4 2 3" xfId="11877" xr:uid="{760983FD-5D7B-433D-BED1-8F6C37C4C029}"/>
    <cellStyle name="Normal 2 4 3 3 2 4 3" xfId="5521" xr:uid="{00000000-0005-0000-0000-0000EC0F0000}"/>
    <cellStyle name="Normal 2 4 3 3 2 4 3 2" xfId="13950" xr:uid="{23149BC6-BDEB-4550-98F9-ED45B7801D72}"/>
    <cellStyle name="Normal 2 4 3 3 2 4 4" xfId="9732" xr:uid="{5456B9D9-7471-414B-BE4B-117C8DE807E3}"/>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2 2 2" xfId="16508" xr:uid="{36818D4A-B581-4E05-B89F-3D4B76F45BF6}"/>
    <cellStyle name="Normal 2 4 3 3 2 5 2 3" xfId="12290" xr:uid="{82B4F505-2377-4021-BA8F-991234EA2702}"/>
    <cellStyle name="Normal 2 4 3 3 2 5 3" xfId="5934" xr:uid="{00000000-0005-0000-0000-0000F00F0000}"/>
    <cellStyle name="Normal 2 4 3 3 2 5 3 2" xfId="14363" xr:uid="{FCB715E0-CEA7-4A38-8239-5539D8AE34E5}"/>
    <cellStyle name="Normal 2 4 3 3 2 5 4" xfId="10145" xr:uid="{9C21387B-0847-47DA-94C1-CE83D2410405}"/>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2 2 2" xfId="16921" xr:uid="{E073ADA2-D732-46D4-870D-AAC8BB09DF6A}"/>
    <cellStyle name="Normal 2 4 3 3 2 6 2 3" xfId="12703" xr:uid="{BA6AD2EF-D1E2-40B4-AE94-D7E9ECDD5804}"/>
    <cellStyle name="Normal 2 4 3 3 2 6 3" xfId="6347" xr:uid="{00000000-0005-0000-0000-0000F40F0000}"/>
    <cellStyle name="Normal 2 4 3 3 2 6 3 2" xfId="14776" xr:uid="{B730210C-AE56-4FE5-9B05-EFBF7265947F}"/>
    <cellStyle name="Normal 2 4 3 3 2 6 4" xfId="10558" xr:uid="{70895FBC-0AE5-4AEF-B4B4-31F928A8C4DB}"/>
    <cellStyle name="Normal 2 4 3 3 2 7" xfId="2475" xr:uid="{00000000-0005-0000-0000-0000F50F0000}"/>
    <cellStyle name="Normal 2 4 3 3 2 7 2" xfId="6760" xr:uid="{00000000-0005-0000-0000-0000F60F0000}"/>
    <cellStyle name="Normal 2 4 3 3 2 7 2 2" xfId="15189" xr:uid="{52AE3994-2669-4836-84C1-8B82C1644A19}"/>
    <cellStyle name="Normal 2 4 3 3 2 7 3" xfId="10971" xr:uid="{BBEB36E7-6283-44AE-A663-B3B91096F3FD}"/>
    <cellStyle name="Normal 2 4 3 3 2 8" xfId="4694" xr:uid="{00000000-0005-0000-0000-0000F70F0000}"/>
    <cellStyle name="Normal 2 4 3 3 2 8 2" xfId="13123" xr:uid="{3AE5172F-3E3D-4490-B9ED-E98D752F3A60}"/>
    <cellStyle name="Normal 2 4 3 3 2 9" xfId="8905" xr:uid="{8CFF40FD-E4A8-4394-BB8D-EB5DDE39E4E8}"/>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2 2 2" xfId="15684" xr:uid="{CDB10F4E-4B7F-44FF-B71F-2CBED99C4AB8}"/>
    <cellStyle name="Normal 2 4 3 3 3 2 2 3" xfId="11466" xr:uid="{102A3431-E7DA-4AF6-9F90-0AC2D66DE09A}"/>
    <cellStyle name="Normal 2 4 3 3 3 2 3" xfId="5110" xr:uid="{00000000-0005-0000-0000-0000FC0F0000}"/>
    <cellStyle name="Normal 2 4 3 3 3 2 3 2" xfId="13539" xr:uid="{48D93E49-76EA-4C38-B32C-5204FC31E368}"/>
    <cellStyle name="Normal 2 4 3 3 3 2 4" xfId="9321" xr:uid="{F5C9DB6F-33A1-4EB2-8649-01171D37EF27}"/>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2 2 2" xfId="16097" xr:uid="{A564722D-3E96-4ABD-8C3E-992D6FBD256A}"/>
    <cellStyle name="Normal 2 4 3 3 3 3 2 3" xfId="11879" xr:uid="{4AD18DDE-E092-4B93-9791-F12B862F24C1}"/>
    <cellStyle name="Normal 2 4 3 3 3 3 3" xfId="5523" xr:uid="{00000000-0005-0000-0000-000000100000}"/>
    <cellStyle name="Normal 2 4 3 3 3 3 3 2" xfId="13952" xr:uid="{1273028B-1DB2-4B43-84F5-0FE8BA266104}"/>
    <cellStyle name="Normal 2 4 3 3 3 3 4" xfId="9734" xr:uid="{3CB60B45-D0DD-408E-A081-A19D351D4CBC}"/>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2 2 2" xfId="16510" xr:uid="{F568648D-3697-4C43-8066-997BE4248324}"/>
    <cellStyle name="Normal 2 4 3 3 3 4 2 3" xfId="12292" xr:uid="{1952BF7B-9DD4-4B3A-9F52-27F4F4E693D8}"/>
    <cellStyle name="Normal 2 4 3 3 3 4 3" xfId="5936" xr:uid="{00000000-0005-0000-0000-000004100000}"/>
    <cellStyle name="Normal 2 4 3 3 3 4 3 2" xfId="14365" xr:uid="{D0015C91-F066-4AD6-AE05-FCFA6278E602}"/>
    <cellStyle name="Normal 2 4 3 3 3 4 4" xfId="10147" xr:uid="{D27F1EF8-7C7F-45C3-9D3F-95960AF421B5}"/>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2 2 2" xfId="16923" xr:uid="{0036FDE6-6DC4-4C17-A8A5-75C5665A31E9}"/>
    <cellStyle name="Normal 2 4 3 3 3 5 2 3" xfId="12705" xr:uid="{FF9A081D-A5C4-4168-AAED-BDA9A5A07EEF}"/>
    <cellStyle name="Normal 2 4 3 3 3 5 3" xfId="6349" xr:uid="{00000000-0005-0000-0000-000008100000}"/>
    <cellStyle name="Normal 2 4 3 3 3 5 3 2" xfId="14778" xr:uid="{03800FE9-28DD-47DD-8220-F0C6A1E4CC9D}"/>
    <cellStyle name="Normal 2 4 3 3 3 5 4" xfId="10560" xr:uid="{B4D42706-97D2-4D0A-8875-2CBEC43154CB}"/>
    <cellStyle name="Normal 2 4 3 3 3 6" xfId="2477" xr:uid="{00000000-0005-0000-0000-000009100000}"/>
    <cellStyle name="Normal 2 4 3 3 3 6 2" xfId="6762" xr:uid="{00000000-0005-0000-0000-00000A100000}"/>
    <cellStyle name="Normal 2 4 3 3 3 6 2 2" xfId="15191" xr:uid="{7415B062-8B42-4478-A31A-C5C77720FABC}"/>
    <cellStyle name="Normal 2 4 3 3 3 6 3" xfId="10973" xr:uid="{714C1731-17C6-4254-A2F6-19E73D62A728}"/>
    <cellStyle name="Normal 2 4 3 3 3 7" xfId="4696" xr:uid="{00000000-0005-0000-0000-00000B100000}"/>
    <cellStyle name="Normal 2 4 3 3 3 7 2" xfId="13125" xr:uid="{53F2CAF8-9EA7-4D4E-91FA-1B5B1D8B533C}"/>
    <cellStyle name="Normal 2 4 3 3 3 8" xfId="8907" xr:uid="{219BE892-BAF6-47EA-BB01-4D20D873A591}"/>
    <cellStyle name="Normal 2 4 3 3 4" xfId="789" xr:uid="{00000000-0005-0000-0000-00000C100000}"/>
    <cellStyle name="Normal 2 4 3 3 4 2" xfId="3028" xr:uid="{00000000-0005-0000-0000-00000D100000}"/>
    <cellStyle name="Normal 2 4 3 3 4 2 2" xfId="7252" xr:uid="{00000000-0005-0000-0000-00000E100000}"/>
    <cellStyle name="Normal 2 4 3 3 4 2 2 2" xfId="15681" xr:uid="{2BFB865F-E0C4-41FE-B10C-ADE9499E0F70}"/>
    <cellStyle name="Normal 2 4 3 3 4 2 3" xfId="11463" xr:uid="{2EBE8457-8BD5-4086-AEFC-FEBEDF8CC52A}"/>
    <cellStyle name="Normal 2 4 3 3 4 3" xfId="5107" xr:uid="{00000000-0005-0000-0000-00000F100000}"/>
    <cellStyle name="Normal 2 4 3 3 4 3 2" xfId="13536" xr:uid="{6CE3E5BA-2078-4740-955F-5C2BE6898CF4}"/>
    <cellStyle name="Normal 2 4 3 3 4 4" xfId="9318" xr:uid="{B377D587-74A6-4BEA-8A63-8217C0DC6DE0}"/>
    <cellStyle name="Normal 2 4 3 3 5" xfId="1211" xr:uid="{00000000-0005-0000-0000-000010100000}"/>
    <cellStyle name="Normal 2 4 3 3 5 2" xfId="3441" xr:uid="{00000000-0005-0000-0000-000011100000}"/>
    <cellStyle name="Normal 2 4 3 3 5 2 2" xfId="7665" xr:uid="{00000000-0005-0000-0000-000012100000}"/>
    <cellStyle name="Normal 2 4 3 3 5 2 2 2" xfId="16094" xr:uid="{CD82F08A-848F-4DB2-B21E-A88376FECAEE}"/>
    <cellStyle name="Normal 2 4 3 3 5 2 3" xfId="11876" xr:uid="{E715E84F-1A81-4FF6-AA87-7BBA41BE07F5}"/>
    <cellStyle name="Normal 2 4 3 3 5 3" xfId="5520" xr:uid="{00000000-0005-0000-0000-000013100000}"/>
    <cellStyle name="Normal 2 4 3 3 5 3 2" xfId="13949" xr:uid="{4932C514-8487-4B55-B7EA-5FC2CB12E6F4}"/>
    <cellStyle name="Normal 2 4 3 3 5 4" xfId="9731" xr:uid="{40756C73-CBD0-48C1-907A-E5FAD08E9A06}"/>
    <cellStyle name="Normal 2 4 3 3 6" xfId="1624" xr:uid="{00000000-0005-0000-0000-000014100000}"/>
    <cellStyle name="Normal 2 4 3 3 6 2" xfId="3854" xr:uid="{00000000-0005-0000-0000-000015100000}"/>
    <cellStyle name="Normal 2 4 3 3 6 2 2" xfId="8078" xr:uid="{00000000-0005-0000-0000-000016100000}"/>
    <cellStyle name="Normal 2 4 3 3 6 2 2 2" xfId="16507" xr:uid="{3E5C1DC2-40C3-4431-B3DF-F446EFFF0F1F}"/>
    <cellStyle name="Normal 2 4 3 3 6 2 3" xfId="12289" xr:uid="{A8C57F64-2E40-40CD-A6B2-38935354E9BA}"/>
    <cellStyle name="Normal 2 4 3 3 6 3" xfId="5933" xr:uid="{00000000-0005-0000-0000-000017100000}"/>
    <cellStyle name="Normal 2 4 3 3 6 3 2" xfId="14362" xr:uid="{4A960D0F-0941-4AE2-8A8D-8221618B5EFF}"/>
    <cellStyle name="Normal 2 4 3 3 6 4" xfId="10144" xr:uid="{60E0934C-2828-497E-92B7-B75DB837E24B}"/>
    <cellStyle name="Normal 2 4 3 3 7" xfId="2038" xr:uid="{00000000-0005-0000-0000-000018100000}"/>
    <cellStyle name="Normal 2 4 3 3 7 2" xfId="4267" xr:uid="{00000000-0005-0000-0000-000019100000}"/>
    <cellStyle name="Normal 2 4 3 3 7 2 2" xfId="8491" xr:uid="{00000000-0005-0000-0000-00001A100000}"/>
    <cellStyle name="Normal 2 4 3 3 7 2 2 2" xfId="16920" xr:uid="{AA46216B-2AE3-4B8C-94D5-120A454726DB}"/>
    <cellStyle name="Normal 2 4 3 3 7 2 3" xfId="12702" xr:uid="{0F7203E3-2E0F-4AFA-ABFD-2694C3E656DF}"/>
    <cellStyle name="Normal 2 4 3 3 7 3" xfId="6346" xr:uid="{00000000-0005-0000-0000-00001B100000}"/>
    <cellStyle name="Normal 2 4 3 3 7 3 2" xfId="14775" xr:uid="{45117124-CBA5-45ED-B1B4-079059DD0343}"/>
    <cellStyle name="Normal 2 4 3 3 7 4" xfId="10557" xr:uid="{2D23F954-7C33-4D84-9414-CA5DC1590F1B}"/>
    <cellStyle name="Normal 2 4 3 3 8" xfId="2474" xr:uid="{00000000-0005-0000-0000-00001C100000}"/>
    <cellStyle name="Normal 2 4 3 3 8 2" xfId="6759" xr:uid="{00000000-0005-0000-0000-00001D100000}"/>
    <cellStyle name="Normal 2 4 3 3 8 2 2" xfId="15188" xr:uid="{47E69DE8-EDE0-43C8-9656-B1CEAC9123A9}"/>
    <cellStyle name="Normal 2 4 3 3 8 3" xfId="10970" xr:uid="{09909D32-2B8E-48F1-A562-B3A4DDC420C6}"/>
    <cellStyle name="Normal 2 4 3 3 9" xfId="4693" xr:uid="{00000000-0005-0000-0000-00001E100000}"/>
    <cellStyle name="Normal 2 4 3 3 9 2" xfId="13122" xr:uid="{5460F601-CC15-477C-8654-BEC91148CC33}"/>
    <cellStyle name="Normal 2 4 3 4" xfId="788" xr:uid="{00000000-0005-0000-0000-00001F100000}"/>
    <cellStyle name="Normal 2 4 3 4 2" xfId="3027" xr:uid="{00000000-0005-0000-0000-000020100000}"/>
    <cellStyle name="Normal 2 4 3 4 2 2" xfId="7251" xr:uid="{00000000-0005-0000-0000-000021100000}"/>
    <cellStyle name="Normal 2 4 3 4 2 2 2" xfId="15680" xr:uid="{3B1915BC-1920-45B6-97ED-3CA29A324839}"/>
    <cellStyle name="Normal 2 4 3 4 2 3" xfId="11462" xr:uid="{C20A7BA3-D35E-48CF-882E-CA70EE4FFE08}"/>
    <cellStyle name="Normal 2 4 3 4 3" xfId="5106" xr:uid="{00000000-0005-0000-0000-000022100000}"/>
    <cellStyle name="Normal 2 4 3 4 3 2" xfId="13535" xr:uid="{FFCD41D9-89EC-4CAB-9D73-7D7956DB886E}"/>
    <cellStyle name="Normal 2 4 3 4 4" xfId="9317" xr:uid="{AE6770CC-0BAE-40B4-A26B-9AFEE183996A}"/>
    <cellStyle name="Normal 2 4 3 5" xfId="1210" xr:uid="{00000000-0005-0000-0000-000023100000}"/>
    <cellStyle name="Normal 2 4 3 5 2" xfId="3440" xr:uid="{00000000-0005-0000-0000-000024100000}"/>
    <cellStyle name="Normal 2 4 3 5 2 2" xfId="7664" xr:uid="{00000000-0005-0000-0000-000025100000}"/>
    <cellStyle name="Normal 2 4 3 5 2 2 2" xfId="16093" xr:uid="{1FBC439D-D57C-4A36-B03B-7564C4BFF46F}"/>
    <cellStyle name="Normal 2 4 3 5 2 3" xfId="11875" xr:uid="{5DEA0270-2D20-47C7-A7AE-4AE3FE63D4D5}"/>
    <cellStyle name="Normal 2 4 3 5 3" xfId="5519" xr:uid="{00000000-0005-0000-0000-000026100000}"/>
    <cellStyle name="Normal 2 4 3 5 3 2" xfId="13948" xr:uid="{825B1A1B-880E-4031-957D-434F269D235E}"/>
    <cellStyle name="Normal 2 4 3 5 4" xfId="9730" xr:uid="{7F25424E-FE85-4E2B-A574-64FDB66E32BB}"/>
    <cellStyle name="Normal 2 4 3 6" xfId="1623" xr:uid="{00000000-0005-0000-0000-000027100000}"/>
    <cellStyle name="Normal 2 4 3 6 2" xfId="3853" xr:uid="{00000000-0005-0000-0000-000028100000}"/>
    <cellStyle name="Normal 2 4 3 6 2 2" xfId="8077" xr:uid="{00000000-0005-0000-0000-000029100000}"/>
    <cellStyle name="Normal 2 4 3 6 2 2 2" xfId="16506" xr:uid="{4207BC17-9A0F-4C0D-B6F6-FBB09AFCA026}"/>
    <cellStyle name="Normal 2 4 3 6 2 3" xfId="12288" xr:uid="{4CBCACEC-404E-4C5A-9EFB-923D0EAD2E2E}"/>
    <cellStyle name="Normal 2 4 3 6 3" xfId="5932" xr:uid="{00000000-0005-0000-0000-00002A100000}"/>
    <cellStyle name="Normal 2 4 3 6 3 2" xfId="14361" xr:uid="{5BE1827F-3756-444E-A0BA-86F05B926A1A}"/>
    <cellStyle name="Normal 2 4 3 6 4" xfId="10143" xr:uid="{9727F179-EB67-4EAB-A5BC-96589BED44D3}"/>
    <cellStyle name="Normal 2 4 3 7" xfId="2037" xr:uid="{00000000-0005-0000-0000-00002B100000}"/>
    <cellStyle name="Normal 2 4 3 7 2" xfId="4266" xr:uid="{00000000-0005-0000-0000-00002C100000}"/>
    <cellStyle name="Normal 2 4 3 7 2 2" xfId="8490" xr:uid="{00000000-0005-0000-0000-00002D100000}"/>
    <cellStyle name="Normal 2 4 3 7 2 2 2" xfId="16919" xr:uid="{80412E65-CC57-4543-AC1F-B48E6B0370A6}"/>
    <cellStyle name="Normal 2 4 3 7 2 3" xfId="12701" xr:uid="{D2A983E9-7BB7-42A1-BFA0-0369623E9F28}"/>
    <cellStyle name="Normal 2 4 3 7 3" xfId="6345" xr:uid="{00000000-0005-0000-0000-00002E100000}"/>
    <cellStyle name="Normal 2 4 3 7 3 2" xfId="14774" xr:uid="{EC5F7598-8BDC-46D7-9C36-F200198360A2}"/>
    <cellStyle name="Normal 2 4 3 7 4" xfId="10556" xr:uid="{4762EBD7-7986-4DDD-BD1C-8899CD46AD74}"/>
    <cellStyle name="Normal 2 4 3 8" xfId="2473" xr:uid="{00000000-0005-0000-0000-00002F100000}"/>
    <cellStyle name="Normal 2 4 3 8 2" xfId="6758" xr:uid="{00000000-0005-0000-0000-000030100000}"/>
    <cellStyle name="Normal 2 4 3 8 2 2" xfId="15187" xr:uid="{E07C52AA-EF8E-4CCD-8A94-CAE843A7C17F}"/>
    <cellStyle name="Normal 2 4 3 8 3" xfId="10969" xr:uid="{F259A569-51D6-4F60-AE5C-4205CE11104C}"/>
    <cellStyle name="Normal 2 4 3 9" xfId="4692" xr:uid="{00000000-0005-0000-0000-000031100000}"/>
    <cellStyle name="Normal 2 4 3 9 2" xfId="13121" xr:uid="{D8FC1CB6-96E9-4377-AC58-E224C80CE114}"/>
    <cellStyle name="Normal 2 4 4" xfId="302" xr:uid="{00000000-0005-0000-0000-000032100000}"/>
    <cellStyle name="Normal 2 4 5" xfId="303" xr:uid="{00000000-0005-0000-0000-000033100000}"/>
    <cellStyle name="Normal 2 4 5 10" xfId="4697" xr:uid="{00000000-0005-0000-0000-000034100000}"/>
    <cellStyle name="Normal 2 4 5 10 2" xfId="13126" xr:uid="{94A40634-21C7-44D2-8F94-05CEF217E2A7}"/>
    <cellStyle name="Normal 2 4 5 11" xfId="8908" xr:uid="{F36F3750-CB23-4C53-9EAA-F6056E9853EA}"/>
    <cellStyle name="Normal 2 4 5 2" xfId="304" xr:uid="{00000000-0005-0000-0000-000035100000}"/>
    <cellStyle name="Normal 2 4 5 2 10" xfId="8909" xr:uid="{09E9407B-34ED-4041-BCBF-E6BFAC138A63}"/>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2 2 2" xfId="15688" xr:uid="{7A1A0E52-62EB-4500-BE91-9C53808D975E}"/>
    <cellStyle name="Normal 2 4 5 2 2 2 2 2 3" xfId="11470" xr:uid="{EB8534AF-F07E-4641-AE2A-D6A19FEDF440}"/>
    <cellStyle name="Normal 2 4 5 2 2 2 2 3" xfId="5114" xr:uid="{00000000-0005-0000-0000-00003B100000}"/>
    <cellStyle name="Normal 2 4 5 2 2 2 2 3 2" xfId="13543" xr:uid="{A61B3667-E8AE-42C2-83F1-EBEBE0C50C0A}"/>
    <cellStyle name="Normal 2 4 5 2 2 2 2 4" xfId="9325" xr:uid="{069A4C04-2DE3-4648-942B-B299F1426089}"/>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2 2 2" xfId="16101" xr:uid="{D1DE3B58-A027-45C2-9200-CB0D134E4311}"/>
    <cellStyle name="Normal 2 4 5 2 2 2 3 2 3" xfId="11883" xr:uid="{9D48BD56-45E6-4263-8B2C-C50A8E0591EC}"/>
    <cellStyle name="Normal 2 4 5 2 2 2 3 3" xfId="5527" xr:uid="{00000000-0005-0000-0000-00003F100000}"/>
    <cellStyle name="Normal 2 4 5 2 2 2 3 3 2" xfId="13956" xr:uid="{0FFBEA9D-886E-40AF-A701-9A12AF2BB141}"/>
    <cellStyle name="Normal 2 4 5 2 2 2 3 4" xfId="9738" xr:uid="{EE066621-9E41-455F-93E3-6FC37C2A6B8C}"/>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2 2 2" xfId="16514" xr:uid="{A79EBC09-2022-45B5-AA99-7B4A0A76D182}"/>
    <cellStyle name="Normal 2 4 5 2 2 2 4 2 3" xfId="12296" xr:uid="{A28E8911-5161-48AA-A1A1-226BE5958F75}"/>
    <cellStyle name="Normal 2 4 5 2 2 2 4 3" xfId="5940" xr:uid="{00000000-0005-0000-0000-000043100000}"/>
    <cellStyle name="Normal 2 4 5 2 2 2 4 3 2" xfId="14369" xr:uid="{F73C6F78-4166-40A0-8AED-3ABD85EBE266}"/>
    <cellStyle name="Normal 2 4 5 2 2 2 4 4" xfId="10151" xr:uid="{35B724EE-4D1B-4BDA-B167-FD15A2593B2F}"/>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2 2 2" xfId="16927" xr:uid="{A0552FF9-E39A-4510-925C-EFCE35FF015D}"/>
    <cellStyle name="Normal 2 4 5 2 2 2 5 2 3" xfId="12709" xr:uid="{44E52BC5-40D8-43B7-90D0-2077AD86C360}"/>
    <cellStyle name="Normal 2 4 5 2 2 2 5 3" xfId="6353" xr:uid="{00000000-0005-0000-0000-000047100000}"/>
    <cellStyle name="Normal 2 4 5 2 2 2 5 3 2" xfId="14782" xr:uid="{83012528-25B6-47A8-BCBF-9995855066B1}"/>
    <cellStyle name="Normal 2 4 5 2 2 2 5 4" xfId="10564" xr:uid="{F485DFA1-410F-4E7A-BDB5-6CFE2B6BA6FA}"/>
    <cellStyle name="Normal 2 4 5 2 2 2 6" xfId="2481" xr:uid="{00000000-0005-0000-0000-000048100000}"/>
    <cellStyle name="Normal 2 4 5 2 2 2 6 2" xfId="6766" xr:uid="{00000000-0005-0000-0000-000049100000}"/>
    <cellStyle name="Normal 2 4 5 2 2 2 6 2 2" xfId="15195" xr:uid="{EAF27E60-D0DD-45D8-B365-59E8860C2649}"/>
    <cellStyle name="Normal 2 4 5 2 2 2 6 3" xfId="10977" xr:uid="{B3EFC806-5536-41F6-9E2F-8165AAEAFDAE}"/>
    <cellStyle name="Normal 2 4 5 2 2 2 7" xfId="4700" xr:uid="{00000000-0005-0000-0000-00004A100000}"/>
    <cellStyle name="Normal 2 4 5 2 2 2 7 2" xfId="13129" xr:uid="{582912A8-0573-45E6-85F2-E8BA536B04FD}"/>
    <cellStyle name="Normal 2 4 5 2 2 2 8" xfId="8911" xr:uid="{D2368A08-E50F-4DA7-8F19-6D39D05326C3}"/>
    <cellStyle name="Normal 2 4 5 2 2 3" xfId="795" xr:uid="{00000000-0005-0000-0000-00004B100000}"/>
    <cellStyle name="Normal 2 4 5 2 2 3 2" xfId="3034" xr:uid="{00000000-0005-0000-0000-00004C100000}"/>
    <cellStyle name="Normal 2 4 5 2 2 3 2 2" xfId="7258" xr:uid="{00000000-0005-0000-0000-00004D100000}"/>
    <cellStyle name="Normal 2 4 5 2 2 3 2 2 2" xfId="15687" xr:uid="{042108E3-2AD9-416F-A575-39C0D96F0C64}"/>
    <cellStyle name="Normal 2 4 5 2 2 3 2 3" xfId="11469" xr:uid="{7F8433D2-BD90-4AD5-B2EF-1DAA90E3C818}"/>
    <cellStyle name="Normal 2 4 5 2 2 3 3" xfId="5113" xr:uid="{00000000-0005-0000-0000-00004E100000}"/>
    <cellStyle name="Normal 2 4 5 2 2 3 3 2" xfId="13542" xr:uid="{A91A1A36-5AF3-4ED3-8C2A-3B1CA0506EED}"/>
    <cellStyle name="Normal 2 4 5 2 2 3 4" xfId="9324" xr:uid="{D672191A-9677-469F-99B1-18D47764F8CA}"/>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2 2 2" xfId="16100" xr:uid="{91CB149F-A8C9-4F5B-A6C0-19428D796E5B}"/>
    <cellStyle name="Normal 2 4 5 2 2 4 2 3" xfId="11882" xr:uid="{E6240185-F78B-4AA8-A15D-3C72991F3419}"/>
    <cellStyle name="Normal 2 4 5 2 2 4 3" xfId="5526" xr:uid="{00000000-0005-0000-0000-000052100000}"/>
    <cellStyle name="Normal 2 4 5 2 2 4 3 2" xfId="13955" xr:uid="{C204A791-4AFA-4A2F-B36F-102967425889}"/>
    <cellStyle name="Normal 2 4 5 2 2 4 4" xfId="9737" xr:uid="{1AE2B0E0-402E-4AC6-BCCE-82DE15F0A626}"/>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2 2 2" xfId="16513" xr:uid="{2064E930-A6A4-43EC-9F11-2DDC462EFA7A}"/>
    <cellStyle name="Normal 2 4 5 2 2 5 2 3" xfId="12295" xr:uid="{8A66B2CA-2045-476F-8BD9-C3DD6F3080FF}"/>
    <cellStyle name="Normal 2 4 5 2 2 5 3" xfId="5939" xr:uid="{00000000-0005-0000-0000-000056100000}"/>
    <cellStyle name="Normal 2 4 5 2 2 5 3 2" xfId="14368" xr:uid="{42DD0441-FA75-463D-84B7-974C79C1C7E5}"/>
    <cellStyle name="Normal 2 4 5 2 2 5 4" xfId="10150" xr:uid="{89F5F807-7359-42A5-8FDF-41A1F137F767}"/>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2 2 2" xfId="16926" xr:uid="{0DFCB15D-AC2B-4062-8FB6-1E046415C359}"/>
    <cellStyle name="Normal 2 4 5 2 2 6 2 3" xfId="12708" xr:uid="{83A1E26A-E70B-44A3-9596-BC778E3E9D59}"/>
    <cellStyle name="Normal 2 4 5 2 2 6 3" xfId="6352" xr:uid="{00000000-0005-0000-0000-00005A100000}"/>
    <cellStyle name="Normal 2 4 5 2 2 6 3 2" xfId="14781" xr:uid="{B1FEDF72-F23F-4AC7-9910-59118A2E6077}"/>
    <cellStyle name="Normal 2 4 5 2 2 6 4" xfId="10563" xr:uid="{D7D84781-FB8C-4209-A57D-469E195F8B68}"/>
    <cellStyle name="Normal 2 4 5 2 2 7" xfId="2480" xr:uid="{00000000-0005-0000-0000-00005B100000}"/>
    <cellStyle name="Normal 2 4 5 2 2 7 2" xfId="6765" xr:uid="{00000000-0005-0000-0000-00005C100000}"/>
    <cellStyle name="Normal 2 4 5 2 2 7 2 2" xfId="15194" xr:uid="{E230A2DB-5403-45CF-B028-88B51F47E1A2}"/>
    <cellStyle name="Normal 2 4 5 2 2 7 3" xfId="10976" xr:uid="{625C9AE1-1A5E-48EC-A341-0F2E43F91164}"/>
    <cellStyle name="Normal 2 4 5 2 2 8" xfId="4699" xr:uid="{00000000-0005-0000-0000-00005D100000}"/>
    <cellStyle name="Normal 2 4 5 2 2 8 2" xfId="13128" xr:uid="{5B804BDC-DAD7-4362-90C1-36E4C5CC90FD}"/>
    <cellStyle name="Normal 2 4 5 2 2 9" xfId="8910" xr:uid="{561F75E9-D302-40EE-A680-D69DE1C25E31}"/>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2 2 2" xfId="15689" xr:uid="{44258391-5C2A-4EB2-AAC3-55D6622E0E2F}"/>
    <cellStyle name="Normal 2 4 5 2 3 2 2 3" xfId="11471" xr:uid="{10118901-FAF5-4583-BD9D-5156EC3916AC}"/>
    <cellStyle name="Normal 2 4 5 2 3 2 3" xfId="5115" xr:uid="{00000000-0005-0000-0000-000062100000}"/>
    <cellStyle name="Normal 2 4 5 2 3 2 3 2" xfId="13544" xr:uid="{340F91E8-1E04-4F60-91E8-1E6D34059D53}"/>
    <cellStyle name="Normal 2 4 5 2 3 2 4" xfId="9326" xr:uid="{A0C18499-C5E0-4333-B25D-B1719308BD07}"/>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2 2 2" xfId="16102" xr:uid="{AC54CC2B-68A7-4809-BD88-02B108D74302}"/>
    <cellStyle name="Normal 2 4 5 2 3 3 2 3" xfId="11884" xr:uid="{6844E805-4FB3-4A24-AA1D-DA980D286604}"/>
    <cellStyle name="Normal 2 4 5 2 3 3 3" xfId="5528" xr:uid="{00000000-0005-0000-0000-000066100000}"/>
    <cellStyle name="Normal 2 4 5 2 3 3 3 2" xfId="13957" xr:uid="{39E6B1E7-4C20-47ED-BDB9-8D5E5E7B8F23}"/>
    <cellStyle name="Normal 2 4 5 2 3 3 4" xfId="9739" xr:uid="{27C5639D-EA3F-41E2-BF43-2C9338658A24}"/>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2 2 2" xfId="16515" xr:uid="{3BE91C0A-DC52-40BB-9981-32C8C6516590}"/>
    <cellStyle name="Normal 2 4 5 2 3 4 2 3" xfId="12297" xr:uid="{DA7D158F-A882-44D8-BCD3-093643C70970}"/>
    <cellStyle name="Normal 2 4 5 2 3 4 3" xfId="5941" xr:uid="{00000000-0005-0000-0000-00006A100000}"/>
    <cellStyle name="Normal 2 4 5 2 3 4 3 2" xfId="14370" xr:uid="{02405204-6482-43CC-8F61-B95686E4C76B}"/>
    <cellStyle name="Normal 2 4 5 2 3 4 4" xfId="10152" xr:uid="{93219669-2417-4CD0-AC5C-C72D3ECB9B42}"/>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2 2 2" xfId="16928" xr:uid="{FA6CCDCB-9D70-4CAA-B678-E244152796BD}"/>
    <cellStyle name="Normal 2 4 5 2 3 5 2 3" xfId="12710" xr:uid="{255CEC37-A6FD-464F-888F-5F174EF779C0}"/>
    <cellStyle name="Normal 2 4 5 2 3 5 3" xfId="6354" xr:uid="{00000000-0005-0000-0000-00006E100000}"/>
    <cellStyle name="Normal 2 4 5 2 3 5 3 2" xfId="14783" xr:uid="{C5707959-E441-476A-8FE4-0477F40B6328}"/>
    <cellStyle name="Normal 2 4 5 2 3 5 4" xfId="10565" xr:uid="{820F484F-AD50-44F0-B28F-0F24FA627370}"/>
    <cellStyle name="Normal 2 4 5 2 3 6" xfId="2482" xr:uid="{00000000-0005-0000-0000-00006F100000}"/>
    <cellStyle name="Normal 2 4 5 2 3 6 2" xfId="6767" xr:uid="{00000000-0005-0000-0000-000070100000}"/>
    <cellStyle name="Normal 2 4 5 2 3 6 2 2" xfId="15196" xr:uid="{FAA6A42A-E053-4F50-AD8A-820E3ED0B7C2}"/>
    <cellStyle name="Normal 2 4 5 2 3 6 3" xfId="10978" xr:uid="{9CF20B9D-66A5-46C8-A39F-EF20C6BFA5CC}"/>
    <cellStyle name="Normal 2 4 5 2 3 7" xfId="4701" xr:uid="{00000000-0005-0000-0000-000071100000}"/>
    <cellStyle name="Normal 2 4 5 2 3 7 2" xfId="13130" xr:uid="{5A57C357-9E7D-4F80-9CF1-6701ED52A6F2}"/>
    <cellStyle name="Normal 2 4 5 2 3 8" xfId="8912" xr:uid="{35343675-BC85-4D83-816C-E0E53AD93C0E}"/>
    <cellStyle name="Normal 2 4 5 2 4" xfId="794" xr:uid="{00000000-0005-0000-0000-000072100000}"/>
    <cellStyle name="Normal 2 4 5 2 4 2" xfId="3033" xr:uid="{00000000-0005-0000-0000-000073100000}"/>
    <cellStyle name="Normal 2 4 5 2 4 2 2" xfId="7257" xr:uid="{00000000-0005-0000-0000-000074100000}"/>
    <cellStyle name="Normal 2 4 5 2 4 2 2 2" xfId="15686" xr:uid="{C42B1447-C58C-4602-89E6-618A31A0B428}"/>
    <cellStyle name="Normal 2 4 5 2 4 2 3" xfId="11468" xr:uid="{8BDE3526-652F-4234-96D4-A259D910D89A}"/>
    <cellStyle name="Normal 2 4 5 2 4 3" xfId="5112" xr:uid="{00000000-0005-0000-0000-000075100000}"/>
    <cellStyle name="Normal 2 4 5 2 4 3 2" xfId="13541" xr:uid="{4D37CF38-1E4A-4A4F-AE6C-60F91B6B78DC}"/>
    <cellStyle name="Normal 2 4 5 2 4 4" xfId="9323" xr:uid="{36B2368C-B8E0-4409-85A8-C219D7389A51}"/>
    <cellStyle name="Normal 2 4 5 2 5" xfId="1216" xr:uid="{00000000-0005-0000-0000-000076100000}"/>
    <cellStyle name="Normal 2 4 5 2 5 2" xfId="3446" xr:uid="{00000000-0005-0000-0000-000077100000}"/>
    <cellStyle name="Normal 2 4 5 2 5 2 2" xfId="7670" xr:uid="{00000000-0005-0000-0000-000078100000}"/>
    <cellStyle name="Normal 2 4 5 2 5 2 2 2" xfId="16099" xr:uid="{044FE371-2AAE-4007-A1A8-4CB5DDD625DD}"/>
    <cellStyle name="Normal 2 4 5 2 5 2 3" xfId="11881" xr:uid="{A8BB491C-8A77-47DA-933F-6C1F74424228}"/>
    <cellStyle name="Normal 2 4 5 2 5 3" xfId="5525" xr:uid="{00000000-0005-0000-0000-000079100000}"/>
    <cellStyle name="Normal 2 4 5 2 5 3 2" xfId="13954" xr:uid="{D5A8BE7E-900E-46ED-89F5-DB9F1467F4BB}"/>
    <cellStyle name="Normal 2 4 5 2 5 4" xfId="9736" xr:uid="{BAA581B8-7054-45E3-A59A-901B3260EFDE}"/>
    <cellStyle name="Normal 2 4 5 2 6" xfId="1629" xr:uid="{00000000-0005-0000-0000-00007A100000}"/>
    <cellStyle name="Normal 2 4 5 2 6 2" xfId="3859" xr:uid="{00000000-0005-0000-0000-00007B100000}"/>
    <cellStyle name="Normal 2 4 5 2 6 2 2" xfId="8083" xr:uid="{00000000-0005-0000-0000-00007C100000}"/>
    <cellStyle name="Normal 2 4 5 2 6 2 2 2" xfId="16512" xr:uid="{77087FB2-8F35-4347-B52C-1FB78EB3F7DD}"/>
    <cellStyle name="Normal 2 4 5 2 6 2 3" xfId="12294" xr:uid="{DD2123C3-AC41-42BB-B49C-A94BC939DE10}"/>
    <cellStyle name="Normal 2 4 5 2 6 3" xfId="5938" xr:uid="{00000000-0005-0000-0000-00007D100000}"/>
    <cellStyle name="Normal 2 4 5 2 6 3 2" xfId="14367" xr:uid="{634D507F-186A-41DD-9F9A-525FA4D5D40A}"/>
    <cellStyle name="Normal 2 4 5 2 6 4" xfId="10149" xr:uid="{AC60662E-C7E3-48F3-B8FE-FB96E6E2F116}"/>
    <cellStyle name="Normal 2 4 5 2 7" xfId="2043" xr:uid="{00000000-0005-0000-0000-00007E100000}"/>
    <cellStyle name="Normal 2 4 5 2 7 2" xfId="4272" xr:uid="{00000000-0005-0000-0000-00007F100000}"/>
    <cellStyle name="Normal 2 4 5 2 7 2 2" xfId="8496" xr:uid="{00000000-0005-0000-0000-000080100000}"/>
    <cellStyle name="Normal 2 4 5 2 7 2 2 2" xfId="16925" xr:uid="{0AAC2FD2-B77D-4F11-8C4C-1835A10ED91B}"/>
    <cellStyle name="Normal 2 4 5 2 7 2 3" xfId="12707" xr:uid="{BC0C31D6-E883-4C0D-B5CD-FD3037EE7F6C}"/>
    <cellStyle name="Normal 2 4 5 2 7 3" xfId="6351" xr:uid="{00000000-0005-0000-0000-000081100000}"/>
    <cellStyle name="Normal 2 4 5 2 7 3 2" xfId="14780" xr:uid="{EE44F10C-AF26-4123-8C67-7DB2F72F0496}"/>
    <cellStyle name="Normal 2 4 5 2 7 4" xfId="10562" xr:uid="{300960C5-DFBE-4F49-A394-70467E406DDB}"/>
    <cellStyle name="Normal 2 4 5 2 8" xfId="2479" xr:uid="{00000000-0005-0000-0000-000082100000}"/>
    <cellStyle name="Normal 2 4 5 2 8 2" xfId="6764" xr:uid="{00000000-0005-0000-0000-000083100000}"/>
    <cellStyle name="Normal 2 4 5 2 8 2 2" xfId="15193" xr:uid="{3941C8BA-94CA-4600-8AB8-9B54B0FABE6D}"/>
    <cellStyle name="Normal 2 4 5 2 8 3" xfId="10975" xr:uid="{87A9809C-B338-491C-A46C-A46D74765AFF}"/>
    <cellStyle name="Normal 2 4 5 2 9" xfId="4698" xr:uid="{00000000-0005-0000-0000-000084100000}"/>
    <cellStyle name="Normal 2 4 5 2 9 2" xfId="13127" xr:uid="{F7AFA137-0012-4073-9BB6-D5309357FE2D}"/>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2 2 2" xfId="15691" xr:uid="{EACF4E2B-CF90-4B74-BB3B-6364399D85CA}"/>
    <cellStyle name="Normal 2 4 5 3 2 2 2 3" xfId="11473" xr:uid="{117E5D96-BDE1-4427-A028-E7D5D7016E8F}"/>
    <cellStyle name="Normal 2 4 5 3 2 2 3" xfId="5117" xr:uid="{00000000-0005-0000-0000-00008A100000}"/>
    <cellStyle name="Normal 2 4 5 3 2 2 3 2" xfId="13546" xr:uid="{DFADC942-132A-4615-83B5-EBF456D87B98}"/>
    <cellStyle name="Normal 2 4 5 3 2 2 4" xfId="9328" xr:uid="{AD61FFCE-4973-420E-8C9B-AA272A34184C}"/>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2 2 2" xfId="16104" xr:uid="{42676A1C-2D30-45AC-A3C4-B68A5201567C}"/>
    <cellStyle name="Normal 2 4 5 3 2 3 2 3" xfId="11886" xr:uid="{467662A0-CAC8-4904-995D-04E60353BA70}"/>
    <cellStyle name="Normal 2 4 5 3 2 3 3" xfId="5530" xr:uid="{00000000-0005-0000-0000-00008E100000}"/>
    <cellStyle name="Normal 2 4 5 3 2 3 3 2" xfId="13959" xr:uid="{AFD5F6A9-A149-438B-8D27-EDA2E6FF2ABD}"/>
    <cellStyle name="Normal 2 4 5 3 2 3 4" xfId="9741" xr:uid="{F77FA526-01C2-4D22-A200-8E88106A2122}"/>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2 2 2" xfId="16517" xr:uid="{FAA37602-E870-4803-8888-2774459C082B}"/>
    <cellStyle name="Normal 2 4 5 3 2 4 2 3" xfId="12299" xr:uid="{E6DC5F67-1E18-4F50-9719-B64A755FA65C}"/>
    <cellStyle name="Normal 2 4 5 3 2 4 3" xfId="5943" xr:uid="{00000000-0005-0000-0000-000092100000}"/>
    <cellStyle name="Normal 2 4 5 3 2 4 3 2" xfId="14372" xr:uid="{2FB3FF00-EAD2-45B5-8CA9-472E85A6A927}"/>
    <cellStyle name="Normal 2 4 5 3 2 4 4" xfId="10154" xr:uid="{401850FA-F8C8-4CF0-8376-2DEA81316253}"/>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2 2 2" xfId="16930" xr:uid="{B5DE8958-BFD0-4D47-AD59-CCC28947AC2D}"/>
    <cellStyle name="Normal 2 4 5 3 2 5 2 3" xfId="12712" xr:uid="{4EF8187F-6217-4470-9F52-90814A709B65}"/>
    <cellStyle name="Normal 2 4 5 3 2 5 3" xfId="6356" xr:uid="{00000000-0005-0000-0000-000096100000}"/>
    <cellStyle name="Normal 2 4 5 3 2 5 3 2" xfId="14785" xr:uid="{D033ADB8-C06B-426B-9BFC-DA746EAC2107}"/>
    <cellStyle name="Normal 2 4 5 3 2 5 4" xfId="10567" xr:uid="{FD6BCA95-B285-41ED-A865-692226F34C2E}"/>
    <cellStyle name="Normal 2 4 5 3 2 6" xfId="2484" xr:uid="{00000000-0005-0000-0000-000097100000}"/>
    <cellStyle name="Normal 2 4 5 3 2 6 2" xfId="6769" xr:uid="{00000000-0005-0000-0000-000098100000}"/>
    <cellStyle name="Normal 2 4 5 3 2 6 2 2" xfId="15198" xr:uid="{E203DD69-68E4-4C8C-91B4-FB46F6403BAF}"/>
    <cellStyle name="Normal 2 4 5 3 2 6 3" xfId="10980" xr:uid="{30F44A02-38C8-43A9-A7A8-589B21238D22}"/>
    <cellStyle name="Normal 2 4 5 3 2 7" xfId="4703" xr:uid="{00000000-0005-0000-0000-000099100000}"/>
    <cellStyle name="Normal 2 4 5 3 2 7 2" xfId="13132" xr:uid="{8B00D244-AE79-419D-B962-E4CD5B0D4106}"/>
    <cellStyle name="Normal 2 4 5 3 2 8" xfId="8914" xr:uid="{E0878FDB-EC02-4057-978B-472150397AEC}"/>
    <cellStyle name="Normal 2 4 5 3 3" xfId="798" xr:uid="{00000000-0005-0000-0000-00009A100000}"/>
    <cellStyle name="Normal 2 4 5 3 3 2" xfId="3037" xr:uid="{00000000-0005-0000-0000-00009B100000}"/>
    <cellStyle name="Normal 2 4 5 3 3 2 2" xfId="7261" xr:uid="{00000000-0005-0000-0000-00009C100000}"/>
    <cellStyle name="Normal 2 4 5 3 3 2 2 2" xfId="15690" xr:uid="{2D0BEA9F-5746-44D4-908D-CA5644E5AF99}"/>
    <cellStyle name="Normal 2 4 5 3 3 2 3" xfId="11472" xr:uid="{7563020B-19E9-4C7E-A58E-1C0495EA38F9}"/>
    <cellStyle name="Normal 2 4 5 3 3 3" xfId="5116" xr:uid="{00000000-0005-0000-0000-00009D100000}"/>
    <cellStyle name="Normal 2 4 5 3 3 3 2" xfId="13545" xr:uid="{7D8ABB49-6BA4-43F0-8977-DB03B774E3A9}"/>
    <cellStyle name="Normal 2 4 5 3 3 4" xfId="9327" xr:uid="{6CF7DAEE-CA4D-431C-A7A9-D01E5F99433E}"/>
    <cellStyle name="Normal 2 4 5 3 4" xfId="1220" xr:uid="{00000000-0005-0000-0000-00009E100000}"/>
    <cellStyle name="Normal 2 4 5 3 4 2" xfId="3450" xr:uid="{00000000-0005-0000-0000-00009F100000}"/>
    <cellStyle name="Normal 2 4 5 3 4 2 2" xfId="7674" xr:uid="{00000000-0005-0000-0000-0000A0100000}"/>
    <cellStyle name="Normal 2 4 5 3 4 2 2 2" xfId="16103" xr:uid="{2E15DE65-8541-4915-AFEC-37CC0AB54E2C}"/>
    <cellStyle name="Normal 2 4 5 3 4 2 3" xfId="11885" xr:uid="{C2706512-2725-4C04-9986-F1910DEE71F2}"/>
    <cellStyle name="Normal 2 4 5 3 4 3" xfId="5529" xr:uid="{00000000-0005-0000-0000-0000A1100000}"/>
    <cellStyle name="Normal 2 4 5 3 4 3 2" xfId="13958" xr:uid="{592722F9-63BD-48E4-9BD2-C4E42970E463}"/>
    <cellStyle name="Normal 2 4 5 3 4 4" xfId="9740" xr:uid="{A12F7E66-6D6E-4ED5-AC8C-8B0A19E76F81}"/>
    <cellStyle name="Normal 2 4 5 3 5" xfId="1633" xr:uid="{00000000-0005-0000-0000-0000A2100000}"/>
    <cellStyle name="Normal 2 4 5 3 5 2" xfId="3863" xr:uid="{00000000-0005-0000-0000-0000A3100000}"/>
    <cellStyle name="Normal 2 4 5 3 5 2 2" xfId="8087" xr:uid="{00000000-0005-0000-0000-0000A4100000}"/>
    <cellStyle name="Normal 2 4 5 3 5 2 2 2" xfId="16516" xr:uid="{793B99BF-0984-490F-BFC2-124D2766D013}"/>
    <cellStyle name="Normal 2 4 5 3 5 2 3" xfId="12298" xr:uid="{6B6AD25A-6863-478B-8592-C28E54BEF2FD}"/>
    <cellStyle name="Normal 2 4 5 3 5 3" xfId="5942" xr:uid="{00000000-0005-0000-0000-0000A5100000}"/>
    <cellStyle name="Normal 2 4 5 3 5 3 2" xfId="14371" xr:uid="{AE7A8E06-3CE1-401F-8968-59FAC7698AC6}"/>
    <cellStyle name="Normal 2 4 5 3 5 4" xfId="10153" xr:uid="{73809ACB-5D26-4568-AA66-63846DF4015A}"/>
    <cellStyle name="Normal 2 4 5 3 6" xfId="2047" xr:uid="{00000000-0005-0000-0000-0000A6100000}"/>
    <cellStyle name="Normal 2 4 5 3 6 2" xfId="4276" xr:uid="{00000000-0005-0000-0000-0000A7100000}"/>
    <cellStyle name="Normal 2 4 5 3 6 2 2" xfId="8500" xr:uid="{00000000-0005-0000-0000-0000A8100000}"/>
    <cellStyle name="Normal 2 4 5 3 6 2 2 2" xfId="16929" xr:uid="{C40EA455-21E3-431D-A8F1-8ED7FF2D8B9F}"/>
    <cellStyle name="Normal 2 4 5 3 6 2 3" xfId="12711" xr:uid="{FC33C030-57C3-463E-B7E4-1E30C5C80CEE}"/>
    <cellStyle name="Normal 2 4 5 3 6 3" xfId="6355" xr:uid="{00000000-0005-0000-0000-0000A9100000}"/>
    <cellStyle name="Normal 2 4 5 3 6 3 2" xfId="14784" xr:uid="{9D05D803-C0A1-4809-A678-E74896F2C164}"/>
    <cellStyle name="Normal 2 4 5 3 6 4" xfId="10566" xr:uid="{F6FE4D87-923E-47DD-880A-9D4FA584D9DC}"/>
    <cellStyle name="Normal 2 4 5 3 7" xfId="2483" xr:uid="{00000000-0005-0000-0000-0000AA100000}"/>
    <cellStyle name="Normal 2 4 5 3 7 2" xfId="6768" xr:uid="{00000000-0005-0000-0000-0000AB100000}"/>
    <cellStyle name="Normal 2 4 5 3 7 2 2" xfId="15197" xr:uid="{7292FD3A-84B8-4DAF-8949-2AB45DD4A343}"/>
    <cellStyle name="Normal 2 4 5 3 7 3" xfId="10979" xr:uid="{CF5FD69F-FF92-49CA-8D81-D1B36DCAC807}"/>
    <cellStyle name="Normal 2 4 5 3 8" xfId="4702" xr:uid="{00000000-0005-0000-0000-0000AC100000}"/>
    <cellStyle name="Normal 2 4 5 3 8 2" xfId="13131" xr:uid="{A874F388-9853-49EA-A1F8-CE836360EBEF}"/>
    <cellStyle name="Normal 2 4 5 3 9" xfId="8913" xr:uid="{3A2B9CF6-0EA2-4FF6-88D0-2114A1AE6E83}"/>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2 2 2" xfId="15692" xr:uid="{F74946D7-6343-405D-B90D-31BF77D72E4A}"/>
    <cellStyle name="Normal 2 4 5 4 2 2 3" xfId="11474" xr:uid="{28FA1F60-AE44-492D-9CBF-822B4250110C}"/>
    <cellStyle name="Normal 2 4 5 4 2 3" xfId="5118" xr:uid="{00000000-0005-0000-0000-0000B1100000}"/>
    <cellStyle name="Normal 2 4 5 4 2 3 2" xfId="13547" xr:uid="{04DD9C83-5DDA-4C26-9A3F-779C77B7A985}"/>
    <cellStyle name="Normal 2 4 5 4 2 4" xfId="9329" xr:uid="{03A0894F-F449-4A6C-8970-C2FEF31A8C90}"/>
    <cellStyle name="Normal 2 4 5 4 3" xfId="1222" xr:uid="{00000000-0005-0000-0000-0000B2100000}"/>
    <cellStyle name="Normal 2 4 5 4 3 2" xfId="3452" xr:uid="{00000000-0005-0000-0000-0000B3100000}"/>
    <cellStyle name="Normal 2 4 5 4 3 2 2" xfId="7676" xr:uid="{00000000-0005-0000-0000-0000B4100000}"/>
    <cellStyle name="Normal 2 4 5 4 3 2 2 2" xfId="16105" xr:uid="{6F0E1511-2E4B-4B37-9B3E-99AD651BD4A1}"/>
    <cellStyle name="Normal 2 4 5 4 3 2 3" xfId="11887" xr:uid="{02D91D1B-7D2F-4450-A087-5BC9AB2872AB}"/>
    <cellStyle name="Normal 2 4 5 4 3 3" xfId="5531" xr:uid="{00000000-0005-0000-0000-0000B5100000}"/>
    <cellStyle name="Normal 2 4 5 4 3 3 2" xfId="13960" xr:uid="{11A2ADAC-14FB-4840-ACEC-2CC64255711A}"/>
    <cellStyle name="Normal 2 4 5 4 3 4" xfId="9742" xr:uid="{5071E899-295F-458F-BA8E-C14B6EC039F4}"/>
    <cellStyle name="Normal 2 4 5 4 4" xfId="1635" xr:uid="{00000000-0005-0000-0000-0000B6100000}"/>
    <cellStyle name="Normal 2 4 5 4 4 2" xfId="3865" xr:uid="{00000000-0005-0000-0000-0000B7100000}"/>
    <cellStyle name="Normal 2 4 5 4 4 2 2" xfId="8089" xr:uid="{00000000-0005-0000-0000-0000B8100000}"/>
    <cellStyle name="Normal 2 4 5 4 4 2 2 2" xfId="16518" xr:uid="{4F0D5BD7-4607-4BD1-961A-F61DB2BC3E1F}"/>
    <cellStyle name="Normal 2 4 5 4 4 2 3" xfId="12300" xr:uid="{CE23DEC7-5DB5-4284-AED6-651B4BD63E77}"/>
    <cellStyle name="Normal 2 4 5 4 4 3" xfId="5944" xr:uid="{00000000-0005-0000-0000-0000B9100000}"/>
    <cellStyle name="Normal 2 4 5 4 4 3 2" xfId="14373" xr:uid="{95D7B040-6CFF-4B8F-82AC-23A25D09A55E}"/>
    <cellStyle name="Normal 2 4 5 4 4 4" xfId="10155" xr:uid="{60FDA328-72B8-4D68-ACC0-A5D53CB51C30}"/>
    <cellStyle name="Normal 2 4 5 4 5" xfId="2049" xr:uid="{00000000-0005-0000-0000-0000BA100000}"/>
    <cellStyle name="Normal 2 4 5 4 5 2" xfId="4278" xr:uid="{00000000-0005-0000-0000-0000BB100000}"/>
    <cellStyle name="Normal 2 4 5 4 5 2 2" xfId="8502" xr:uid="{00000000-0005-0000-0000-0000BC100000}"/>
    <cellStyle name="Normal 2 4 5 4 5 2 2 2" xfId="16931" xr:uid="{5202B811-9CE3-4695-9103-A9484FEFEECC}"/>
    <cellStyle name="Normal 2 4 5 4 5 2 3" xfId="12713" xr:uid="{D5B08F73-5ACF-4EE0-A3DB-B379D44B38B1}"/>
    <cellStyle name="Normal 2 4 5 4 5 3" xfId="6357" xr:uid="{00000000-0005-0000-0000-0000BD100000}"/>
    <cellStyle name="Normal 2 4 5 4 5 3 2" xfId="14786" xr:uid="{22587406-3695-4479-81AA-6C1AD12F7D3D}"/>
    <cellStyle name="Normal 2 4 5 4 5 4" xfId="10568" xr:uid="{84957F80-757B-4D98-99AC-00E808D19308}"/>
    <cellStyle name="Normal 2 4 5 4 6" xfId="2485" xr:uid="{00000000-0005-0000-0000-0000BE100000}"/>
    <cellStyle name="Normal 2 4 5 4 6 2" xfId="6770" xr:uid="{00000000-0005-0000-0000-0000BF100000}"/>
    <cellStyle name="Normal 2 4 5 4 6 2 2" xfId="15199" xr:uid="{65CE5F46-48D3-44A0-B6B5-83181B43DD5B}"/>
    <cellStyle name="Normal 2 4 5 4 6 3" xfId="10981" xr:uid="{6225F211-0468-4D8A-8FD2-E57D6EC9FE84}"/>
    <cellStyle name="Normal 2 4 5 4 7" xfId="4704" xr:uid="{00000000-0005-0000-0000-0000C0100000}"/>
    <cellStyle name="Normal 2 4 5 4 7 2" xfId="13133" xr:uid="{EAA8F95F-F680-48AF-973C-279A748D9B31}"/>
    <cellStyle name="Normal 2 4 5 4 8" xfId="8915" xr:uid="{F4A12FA1-A05C-4DF8-B614-8FBB190473B7}"/>
    <cellStyle name="Normal 2 4 5 5" xfId="793" xr:uid="{00000000-0005-0000-0000-0000C1100000}"/>
    <cellStyle name="Normal 2 4 5 5 2" xfId="3032" xr:uid="{00000000-0005-0000-0000-0000C2100000}"/>
    <cellStyle name="Normal 2 4 5 5 2 2" xfId="7256" xr:uid="{00000000-0005-0000-0000-0000C3100000}"/>
    <cellStyle name="Normal 2 4 5 5 2 2 2" xfId="15685" xr:uid="{64074D91-0785-42F6-B69C-451CB0F76879}"/>
    <cellStyle name="Normal 2 4 5 5 2 3" xfId="11467" xr:uid="{5C3DA350-B227-4C39-B465-F5A4281A686C}"/>
    <cellStyle name="Normal 2 4 5 5 3" xfId="5111" xr:uid="{00000000-0005-0000-0000-0000C4100000}"/>
    <cellStyle name="Normal 2 4 5 5 3 2" xfId="13540" xr:uid="{F209E656-B60C-466E-B117-56E8F458F2AB}"/>
    <cellStyle name="Normal 2 4 5 5 4" xfId="9322" xr:uid="{106E695C-C4F0-40A1-A2A6-4904716A5917}"/>
    <cellStyle name="Normal 2 4 5 6" xfId="1215" xr:uid="{00000000-0005-0000-0000-0000C5100000}"/>
    <cellStyle name="Normal 2 4 5 6 2" xfId="3445" xr:uid="{00000000-0005-0000-0000-0000C6100000}"/>
    <cellStyle name="Normal 2 4 5 6 2 2" xfId="7669" xr:uid="{00000000-0005-0000-0000-0000C7100000}"/>
    <cellStyle name="Normal 2 4 5 6 2 2 2" xfId="16098" xr:uid="{463F1D3D-32F3-403E-9455-A7D15899F88C}"/>
    <cellStyle name="Normal 2 4 5 6 2 3" xfId="11880" xr:uid="{699EA5CF-93B0-43CB-8D40-D22FEF0E6008}"/>
    <cellStyle name="Normal 2 4 5 6 3" xfId="5524" xr:uid="{00000000-0005-0000-0000-0000C8100000}"/>
    <cellStyle name="Normal 2 4 5 6 3 2" xfId="13953" xr:uid="{1204D1E6-A157-4E07-B528-BB6ECB192DB8}"/>
    <cellStyle name="Normal 2 4 5 6 4" xfId="9735" xr:uid="{82E333A3-9EA8-436B-9BD2-A976ADA8B879}"/>
    <cellStyle name="Normal 2 4 5 7" xfId="1628" xr:uid="{00000000-0005-0000-0000-0000C9100000}"/>
    <cellStyle name="Normal 2 4 5 7 2" xfId="3858" xr:uid="{00000000-0005-0000-0000-0000CA100000}"/>
    <cellStyle name="Normal 2 4 5 7 2 2" xfId="8082" xr:uid="{00000000-0005-0000-0000-0000CB100000}"/>
    <cellStyle name="Normal 2 4 5 7 2 2 2" xfId="16511" xr:uid="{1F2B7DEC-309B-4189-81C5-0693417CBC3F}"/>
    <cellStyle name="Normal 2 4 5 7 2 3" xfId="12293" xr:uid="{5093D176-94DD-4F27-BE86-3E994BEC6536}"/>
    <cellStyle name="Normal 2 4 5 7 3" xfId="5937" xr:uid="{00000000-0005-0000-0000-0000CC100000}"/>
    <cellStyle name="Normal 2 4 5 7 3 2" xfId="14366" xr:uid="{68DBB929-81C1-4331-BE58-5D726F7A6A61}"/>
    <cellStyle name="Normal 2 4 5 7 4" xfId="10148" xr:uid="{6B7A0742-3E49-49FF-ABF2-F895D1519B6D}"/>
    <cellStyle name="Normal 2 4 5 8" xfId="2042" xr:uid="{00000000-0005-0000-0000-0000CD100000}"/>
    <cellStyle name="Normal 2 4 5 8 2" xfId="4271" xr:uid="{00000000-0005-0000-0000-0000CE100000}"/>
    <cellStyle name="Normal 2 4 5 8 2 2" xfId="8495" xr:uid="{00000000-0005-0000-0000-0000CF100000}"/>
    <cellStyle name="Normal 2 4 5 8 2 2 2" xfId="16924" xr:uid="{07381746-03F4-4316-8017-BDB0AB2F9B56}"/>
    <cellStyle name="Normal 2 4 5 8 2 3" xfId="12706" xr:uid="{51B110C7-AC46-4461-93F1-E85D2340FA89}"/>
    <cellStyle name="Normal 2 4 5 8 3" xfId="6350" xr:uid="{00000000-0005-0000-0000-0000D0100000}"/>
    <cellStyle name="Normal 2 4 5 8 3 2" xfId="14779" xr:uid="{B7F4AA1E-0163-4647-BB06-B0ACEADD0C7B}"/>
    <cellStyle name="Normal 2 4 5 8 4" xfId="10561" xr:uid="{2A2A39FA-BF24-4C35-B668-8A99A8260CB7}"/>
    <cellStyle name="Normal 2 4 5 9" xfId="2478" xr:uid="{00000000-0005-0000-0000-0000D1100000}"/>
    <cellStyle name="Normal 2 4 5 9 2" xfId="6763" xr:uid="{00000000-0005-0000-0000-0000D2100000}"/>
    <cellStyle name="Normal 2 4 5 9 2 2" xfId="15192" xr:uid="{81EE1BB6-2FE0-4E66-87D3-415F9FD4A289}"/>
    <cellStyle name="Normal 2 4 5 9 3" xfId="10974" xr:uid="{BA705D84-086E-40F0-AAE3-3D1A6A173AF2}"/>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2 2 2" xfId="15694" xr:uid="{1FEFC5E4-8B41-4D5C-B896-325E7AF070E2}"/>
    <cellStyle name="Normal 2 4 7 2 2 2 3" xfId="11476" xr:uid="{026DAC16-4C88-4C12-B393-07915D081655}"/>
    <cellStyle name="Normal 2 4 7 2 2 3" xfId="5120" xr:uid="{00000000-0005-0000-0000-0000D9100000}"/>
    <cellStyle name="Normal 2 4 7 2 2 3 2" xfId="13549" xr:uid="{5392F85C-4F19-448D-A2DA-0E44A22EE404}"/>
    <cellStyle name="Normal 2 4 7 2 2 4" xfId="9331" xr:uid="{4376D2CC-D807-45C2-8204-93E17F7AE0F9}"/>
    <cellStyle name="Normal 2 4 7 2 3" xfId="1224" xr:uid="{00000000-0005-0000-0000-0000DA100000}"/>
    <cellStyle name="Normal 2 4 7 2 3 2" xfId="3454" xr:uid="{00000000-0005-0000-0000-0000DB100000}"/>
    <cellStyle name="Normal 2 4 7 2 3 2 2" xfId="7678" xr:uid="{00000000-0005-0000-0000-0000DC100000}"/>
    <cellStyle name="Normal 2 4 7 2 3 2 2 2" xfId="16107" xr:uid="{BE546491-9985-40FF-8D1B-92B0494349E3}"/>
    <cellStyle name="Normal 2 4 7 2 3 2 3" xfId="11889" xr:uid="{E6C18CFF-21B0-456F-98CE-90D70D344155}"/>
    <cellStyle name="Normal 2 4 7 2 3 3" xfId="5533" xr:uid="{00000000-0005-0000-0000-0000DD100000}"/>
    <cellStyle name="Normal 2 4 7 2 3 3 2" xfId="13962" xr:uid="{9DF3AE63-E805-4AF8-AE0C-F7BDECD5718D}"/>
    <cellStyle name="Normal 2 4 7 2 3 4" xfId="9744" xr:uid="{1B9E5361-88FA-4EA8-8C07-F600976D2B86}"/>
    <cellStyle name="Normal 2 4 7 2 4" xfId="1637" xr:uid="{00000000-0005-0000-0000-0000DE100000}"/>
    <cellStyle name="Normal 2 4 7 2 4 2" xfId="3867" xr:uid="{00000000-0005-0000-0000-0000DF100000}"/>
    <cellStyle name="Normal 2 4 7 2 4 2 2" xfId="8091" xr:uid="{00000000-0005-0000-0000-0000E0100000}"/>
    <cellStyle name="Normal 2 4 7 2 4 2 2 2" xfId="16520" xr:uid="{29C3C416-C641-4FBC-8823-E6943B62E049}"/>
    <cellStyle name="Normal 2 4 7 2 4 2 3" xfId="12302" xr:uid="{BD99521E-423A-487D-BFE4-07F6A44BAFA9}"/>
    <cellStyle name="Normal 2 4 7 2 4 3" xfId="5946" xr:uid="{00000000-0005-0000-0000-0000E1100000}"/>
    <cellStyle name="Normal 2 4 7 2 4 3 2" xfId="14375" xr:uid="{3EF58E7A-2856-41F5-A0A3-FBBF17E9A20D}"/>
    <cellStyle name="Normal 2 4 7 2 4 4" xfId="10157" xr:uid="{49445DEB-4AA5-40BE-A301-CC8B0404FE62}"/>
    <cellStyle name="Normal 2 4 7 2 5" xfId="2051" xr:uid="{00000000-0005-0000-0000-0000E2100000}"/>
    <cellStyle name="Normal 2 4 7 2 5 2" xfId="4280" xr:uid="{00000000-0005-0000-0000-0000E3100000}"/>
    <cellStyle name="Normal 2 4 7 2 5 2 2" xfId="8504" xr:uid="{00000000-0005-0000-0000-0000E4100000}"/>
    <cellStyle name="Normal 2 4 7 2 5 2 2 2" xfId="16933" xr:uid="{1826215E-7D4C-4F74-A6CF-3128BC9F6539}"/>
    <cellStyle name="Normal 2 4 7 2 5 2 3" xfId="12715" xr:uid="{DFBDC54A-57F3-4412-B21E-3A0C88599F19}"/>
    <cellStyle name="Normal 2 4 7 2 5 3" xfId="6359" xr:uid="{00000000-0005-0000-0000-0000E5100000}"/>
    <cellStyle name="Normal 2 4 7 2 5 3 2" xfId="14788" xr:uid="{7BCB0624-C4A2-440D-ACED-2EF5C5C15DEE}"/>
    <cellStyle name="Normal 2 4 7 2 5 4" xfId="10570" xr:uid="{8AB327B5-D1C0-48B0-9CB0-0E110D01B3B4}"/>
    <cellStyle name="Normal 2 4 7 2 6" xfId="2487" xr:uid="{00000000-0005-0000-0000-0000E6100000}"/>
    <cellStyle name="Normal 2 4 7 2 6 2" xfId="6772" xr:uid="{00000000-0005-0000-0000-0000E7100000}"/>
    <cellStyle name="Normal 2 4 7 2 6 2 2" xfId="15201" xr:uid="{1141CCEB-B78A-482F-A0E6-236134B50D27}"/>
    <cellStyle name="Normal 2 4 7 2 6 3" xfId="10983" xr:uid="{C2B30C0C-E83B-41E0-A374-95A5A70342DC}"/>
    <cellStyle name="Normal 2 4 7 2 7" xfId="4706" xr:uid="{00000000-0005-0000-0000-0000E8100000}"/>
    <cellStyle name="Normal 2 4 7 2 7 2" xfId="13135" xr:uid="{2D3CF1FA-F67B-4D55-B836-1927D9CF0C64}"/>
    <cellStyle name="Normal 2 4 7 2 8" xfId="8917" xr:uid="{F2B72167-8AA6-4D7C-B381-AE5506DB65CD}"/>
    <cellStyle name="Normal 2 4 7 3" xfId="801" xr:uid="{00000000-0005-0000-0000-0000E9100000}"/>
    <cellStyle name="Normal 2 4 7 3 2" xfId="3040" xr:uid="{00000000-0005-0000-0000-0000EA100000}"/>
    <cellStyle name="Normal 2 4 7 3 2 2" xfId="7264" xr:uid="{00000000-0005-0000-0000-0000EB100000}"/>
    <cellStyle name="Normal 2 4 7 3 2 2 2" xfId="15693" xr:uid="{B3827346-195E-41D4-A990-905289981EFD}"/>
    <cellStyle name="Normal 2 4 7 3 2 3" xfId="11475" xr:uid="{47FB4706-EAFD-4939-BD6E-4B8ADC4CD2CB}"/>
    <cellStyle name="Normal 2 4 7 3 3" xfId="5119" xr:uid="{00000000-0005-0000-0000-0000EC100000}"/>
    <cellStyle name="Normal 2 4 7 3 3 2" xfId="13548" xr:uid="{84EDBAD8-370D-439A-89B0-A5906992E515}"/>
    <cellStyle name="Normal 2 4 7 3 4" xfId="9330" xr:uid="{FD8C6DBD-6B95-40FF-A521-987E3B97D0D4}"/>
    <cellStyle name="Normal 2 4 7 4" xfId="1223" xr:uid="{00000000-0005-0000-0000-0000ED100000}"/>
    <cellStyle name="Normal 2 4 7 4 2" xfId="3453" xr:uid="{00000000-0005-0000-0000-0000EE100000}"/>
    <cellStyle name="Normal 2 4 7 4 2 2" xfId="7677" xr:uid="{00000000-0005-0000-0000-0000EF100000}"/>
    <cellStyle name="Normal 2 4 7 4 2 2 2" xfId="16106" xr:uid="{2A1A3D7C-56B0-4352-9982-5129FE55E128}"/>
    <cellStyle name="Normal 2 4 7 4 2 3" xfId="11888" xr:uid="{47245136-7EEE-42F5-AB1B-607E5DFFBB7C}"/>
    <cellStyle name="Normal 2 4 7 4 3" xfId="5532" xr:uid="{00000000-0005-0000-0000-0000F0100000}"/>
    <cellStyle name="Normal 2 4 7 4 3 2" xfId="13961" xr:uid="{99B95164-6C1B-4736-A5A6-C0294B41C07F}"/>
    <cellStyle name="Normal 2 4 7 4 4" xfId="9743" xr:uid="{791CF86D-21D1-498F-A6BB-BC2C3106274E}"/>
    <cellStyle name="Normal 2 4 7 5" xfId="1636" xr:uid="{00000000-0005-0000-0000-0000F1100000}"/>
    <cellStyle name="Normal 2 4 7 5 2" xfId="3866" xr:uid="{00000000-0005-0000-0000-0000F2100000}"/>
    <cellStyle name="Normal 2 4 7 5 2 2" xfId="8090" xr:uid="{00000000-0005-0000-0000-0000F3100000}"/>
    <cellStyle name="Normal 2 4 7 5 2 2 2" xfId="16519" xr:uid="{1B95D623-4E9C-43F5-931F-6991A1F38553}"/>
    <cellStyle name="Normal 2 4 7 5 2 3" xfId="12301" xr:uid="{9FCABD86-E906-47E9-95A1-6E7BA226950E}"/>
    <cellStyle name="Normal 2 4 7 5 3" xfId="5945" xr:uid="{00000000-0005-0000-0000-0000F4100000}"/>
    <cellStyle name="Normal 2 4 7 5 3 2" xfId="14374" xr:uid="{616E04DF-22FA-472D-AC98-433160B9CEB7}"/>
    <cellStyle name="Normal 2 4 7 5 4" xfId="10156" xr:uid="{917AB836-CA3C-488D-8777-DECC98599338}"/>
    <cellStyle name="Normal 2 4 7 6" xfId="2050" xr:uid="{00000000-0005-0000-0000-0000F5100000}"/>
    <cellStyle name="Normal 2 4 7 6 2" xfId="4279" xr:uid="{00000000-0005-0000-0000-0000F6100000}"/>
    <cellStyle name="Normal 2 4 7 6 2 2" xfId="8503" xr:uid="{00000000-0005-0000-0000-0000F7100000}"/>
    <cellStyle name="Normal 2 4 7 6 2 2 2" xfId="16932" xr:uid="{AAFED581-995E-4ABE-B573-729BDED03996}"/>
    <cellStyle name="Normal 2 4 7 6 2 3" xfId="12714" xr:uid="{60E7E5B6-42EA-4506-BA48-6DF4D6AEACA6}"/>
    <cellStyle name="Normal 2 4 7 6 3" xfId="6358" xr:uid="{00000000-0005-0000-0000-0000F8100000}"/>
    <cellStyle name="Normal 2 4 7 6 3 2" xfId="14787" xr:uid="{D7F6C18E-5884-4625-9487-F8743BB8FC7E}"/>
    <cellStyle name="Normal 2 4 7 6 4" xfId="10569" xr:uid="{6A32020F-0311-4934-827D-1E1869D28E0A}"/>
    <cellStyle name="Normal 2 4 7 7" xfId="2486" xr:uid="{00000000-0005-0000-0000-0000F9100000}"/>
    <cellStyle name="Normal 2 4 7 7 2" xfId="6771" xr:uid="{00000000-0005-0000-0000-0000FA100000}"/>
    <cellStyle name="Normal 2 4 7 7 2 2" xfId="15200" xr:uid="{6A1D7726-B4A6-4D22-8008-6CB1F0413AD1}"/>
    <cellStyle name="Normal 2 4 7 7 3" xfId="10982" xr:uid="{4A019645-0DF3-4830-BAB2-CFC83AF4085F}"/>
    <cellStyle name="Normal 2 4 7 8" xfId="4705" xr:uid="{00000000-0005-0000-0000-0000FB100000}"/>
    <cellStyle name="Normal 2 4 7 8 2" xfId="13134" xr:uid="{E7A2F288-8F7D-415E-9863-433210E30C44}"/>
    <cellStyle name="Normal 2 4 7 9" xfId="8916" xr:uid="{4EBAB06D-5F61-40AC-A5B4-90B69DFDE4C4}"/>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2 2 2" xfId="15695" xr:uid="{C0CB9D7D-3006-4CA2-ABB2-9FD280BA068B}"/>
    <cellStyle name="Normal 2 4 8 2 2 3" xfId="11477" xr:uid="{162BD3D0-CAE1-46E4-8BEF-BF2094780E57}"/>
    <cellStyle name="Normal 2 4 8 2 3" xfId="5121" xr:uid="{00000000-0005-0000-0000-000000110000}"/>
    <cellStyle name="Normal 2 4 8 2 3 2" xfId="13550" xr:uid="{C131D530-7331-4472-B81D-81C009F7EF85}"/>
    <cellStyle name="Normal 2 4 8 2 4" xfId="9332" xr:uid="{A8278CCD-2C83-47B7-BB45-554B79354567}"/>
    <cellStyle name="Normal 2 4 8 3" xfId="1225" xr:uid="{00000000-0005-0000-0000-000001110000}"/>
    <cellStyle name="Normal 2 4 8 3 2" xfId="3455" xr:uid="{00000000-0005-0000-0000-000002110000}"/>
    <cellStyle name="Normal 2 4 8 3 2 2" xfId="7679" xr:uid="{00000000-0005-0000-0000-000003110000}"/>
    <cellStyle name="Normal 2 4 8 3 2 2 2" xfId="16108" xr:uid="{E3051970-EEAB-42CE-A56C-4103974A020B}"/>
    <cellStyle name="Normal 2 4 8 3 2 3" xfId="11890" xr:uid="{AC70D01C-8E5F-4897-BE95-08E0CD556F5E}"/>
    <cellStyle name="Normal 2 4 8 3 3" xfId="5534" xr:uid="{00000000-0005-0000-0000-000004110000}"/>
    <cellStyle name="Normal 2 4 8 3 3 2" xfId="13963" xr:uid="{2909704E-52AB-4FE8-AA19-B1F7A62C6CC0}"/>
    <cellStyle name="Normal 2 4 8 3 4" xfId="9745" xr:uid="{8B9BF1F4-7D5D-4993-97BF-831B6416C29F}"/>
    <cellStyle name="Normal 2 4 8 4" xfId="1638" xr:uid="{00000000-0005-0000-0000-000005110000}"/>
    <cellStyle name="Normal 2 4 8 4 2" xfId="3868" xr:uid="{00000000-0005-0000-0000-000006110000}"/>
    <cellStyle name="Normal 2 4 8 4 2 2" xfId="8092" xr:uid="{00000000-0005-0000-0000-000007110000}"/>
    <cellStyle name="Normal 2 4 8 4 2 2 2" xfId="16521" xr:uid="{A034A1F2-349F-46FA-B0AF-094A0291C220}"/>
    <cellStyle name="Normal 2 4 8 4 2 3" xfId="12303" xr:uid="{25862A3A-86E3-4B1E-ADE0-C04C2EDA843C}"/>
    <cellStyle name="Normal 2 4 8 4 3" xfId="5947" xr:uid="{00000000-0005-0000-0000-000008110000}"/>
    <cellStyle name="Normal 2 4 8 4 3 2" xfId="14376" xr:uid="{9278D973-F6D5-4DA8-948B-5AE28A83A266}"/>
    <cellStyle name="Normal 2 4 8 4 4" xfId="10158" xr:uid="{F7ACD75E-B2A4-41B4-BF8C-AC1D1A42AB10}"/>
    <cellStyle name="Normal 2 4 8 5" xfId="2052" xr:uid="{00000000-0005-0000-0000-000009110000}"/>
    <cellStyle name="Normal 2 4 8 5 2" xfId="4281" xr:uid="{00000000-0005-0000-0000-00000A110000}"/>
    <cellStyle name="Normal 2 4 8 5 2 2" xfId="8505" xr:uid="{00000000-0005-0000-0000-00000B110000}"/>
    <cellStyle name="Normal 2 4 8 5 2 2 2" xfId="16934" xr:uid="{CDB3FE8C-1F4B-4913-BDDE-81E3AFF63592}"/>
    <cellStyle name="Normal 2 4 8 5 2 3" xfId="12716" xr:uid="{A3712C2E-242A-4010-90AA-7CF7FB21DBEF}"/>
    <cellStyle name="Normal 2 4 8 5 3" xfId="6360" xr:uid="{00000000-0005-0000-0000-00000C110000}"/>
    <cellStyle name="Normal 2 4 8 5 3 2" xfId="14789" xr:uid="{361D7375-9A14-4AFA-94B0-872A16280343}"/>
    <cellStyle name="Normal 2 4 8 5 4" xfId="10571" xr:uid="{8BA5F857-7795-4411-98A4-D3C9B04CF486}"/>
    <cellStyle name="Normal 2 4 8 6" xfId="2488" xr:uid="{00000000-0005-0000-0000-00000D110000}"/>
    <cellStyle name="Normal 2 4 8 6 2" xfId="6773" xr:uid="{00000000-0005-0000-0000-00000E110000}"/>
    <cellStyle name="Normal 2 4 8 6 2 2" xfId="15202" xr:uid="{A1138F07-243B-429A-BC17-4466FC1BE6CD}"/>
    <cellStyle name="Normal 2 4 8 6 3" xfId="10984" xr:uid="{4D79568E-B67F-4EE6-8627-83316C82480A}"/>
    <cellStyle name="Normal 2 4 8 7" xfId="4707" xr:uid="{00000000-0005-0000-0000-00000F110000}"/>
    <cellStyle name="Normal 2 4 8 7 2" xfId="13136" xr:uid="{34EB3C97-780B-43B1-9FE4-5B8A396770BB}"/>
    <cellStyle name="Normal 2 4 8 8" xfId="8918" xr:uid="{9706DD37-A35B-4CDC-8343-F6D3E63AD216}"/>
    <cellStyle name="Normal 2 5" xfId="315" xr:uid="{00000000-0005-0000-0000-000010110000}"/>
    <cellStyle name="Normal 2 5 10" xfId="4708" xr:uid="{00000000-0005-0000-0000-000011110000}"/>
    <cellStyle name="Normal 2 5 10 2" xfId="13137" xr:uid="{F00F81F0-F69E-4711-BF38-EC3E9489016D}"/>
    <cellStyle name="Normal 2 5 11" xfId="8919" xr:uid="{85BE1E94-56C3-4FA2-8C6B-D3B4115CACBE}"/>
    <cellStyle name="Normal 2 5 2" xfId="316" xr:uid="{00000000-0005-0000-0000-000012110000}"/>
    <cellStyle name="Normal 2 5 3" xfId="317" xr:uid="{00000000-0005-0000-0000-000013110000}"/>
    <cellStyle name="Normal 2 5 4" xfId="318" xr:uid="{00000000-0005-0000-0000-000014110000}"/>
    <cellStyle name="Normal 2 5 4 10" xfId="8920" xr:uid="{8015FB23-B29C-468E-8B25-7C363E8010D1}"/>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2 2 2" xfId="15699" xr:uid="{3AD09DA0-9E4F-485E-9D3A-C8CC594F3101}"/>
    <cellStyle name="Normal 2 5 4 2 2 2 2 3" xfId="11481" xr:uid="{C541D256-83AE-4014-9479-1A4F10F92EEB}"/>
    <cellStyle name="Normal 2 5 4 2 2 2 3" xfId="5125" xr:uid="{00000000-0005-0000-0000-00001A110000}"/>
    <cellStyle name="Normal 2 5 4 2 2 2 3 2" xfId="13554" xr:uid="{7860E69D-CE58-4A9F-B8C3-0D263CAC7768}"/>
    <cellStyle name="Normal 2 5 4 2 2 2 4" xfId="9336" xr:uid="{6F2B7EF6-DA5A-41E7-908B-3912874C2A7B}"/>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2 2 2" xfId="16112" xr:uid="{0099DEF1-11C3-42CF-B41D-72C6B8B0FF60}"/>
    <cellStyle name="Normal 2 5 4 2 2 3 2 3" xfId="11894" xr:uid="{0B1D4C51-F77F-4219-8619-E5BC5FB073DA}"/>
    <cellStyle name="Normal 2 5 4 2 2 3 3" xfId="5538" xr:uid="{00000000-0005-0000-0000-00001E110000}"/>
    <cellStyle name="Normal 2 5 4 2 2 3 3 2" xfId="13967" xr:uid="{B1895D20-9985-4C81-9E55-0369C2FF3880}"/>
    <cellStyle name="Normal 2 5 4 2 2 3 4" xfId="9749" xr:uid="{8BE2E85C-E565-4F9E-89EA-30B2351FD0B3}"/>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2 2 2" xfId="16525" xr:uid="{E7711720-E34C-49FD-BC5E-CC3D3F1B3CD9}"/>
    <cellStyle name="Normal 2 5 4 2 2 4 2 3" xfId="12307" xr:uid="{F951233C-24B3-438A-9931-60B93A3AA5CB}"/>
    <cellStyle name="Normal 2 5 4 2 2 4 3" xfId="5951" xr:uid="{00000000-0005-0000-0000-000022110000}"/>
    <cellStyle name="Normal 2 5 4 2 2 4 3 2" xfId="14380" xr:uid="{1AB598E7-6810-45C6-B4D2-6206938C449D}"/>
    <cellStyle name="Normal 2 5 4 2 2 4 4" xfId="10162" xr:uid="{8FFFF5E5-88CC-4550-9B28-48B988750B09}"/>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2 2 2" xfId="16938" xr:uid="{26D7B5CD-3D4F-4C17-B3EA-4C8FE806B761}"/>
    <cellStyle name="Normal 2 5 4 2 2 5 2 3" xfId="12720" xr:uid="{BBBFB8F9-7898-4428-9F63-1FCBAEF95D57}"/>
    <cellStyle name="Normal 2 5 4 2 2 5 3" xfId="6364" xr:uid="{00000000-0005-0000-0000-000026110000}"/>
    <cellStyle name="Normal 2 5 4 2 2 5 3 2" xfId="14793" xr:uid="{36FE6ABD-80CD-4C05-B6B4-9BAD78AAC637}"/>
    <cellStyle name="Normal 2 5 4 2 2 5 4" xfId="10575" xr:uid="{2694000F-808E-499E-9B3B-A8BD39494135}"/>
    <cellStyle name="Normal 2 5 4 2 2 6" xfId="2492" xr:uid="{00000000-0005-0000-0000-000027110000}"/>
    <cellStyle name="Normal 2 5 4 2 2 6 2" xfId="6777" xr:uid="{00000000-0005-0000-0000-000028110000}"/>
    <cellStyle name="Normal 2 5 4 2 2 6 2 2" xfId="15206" xr:uid="{481FB782-4600-4DC1-8698-4989D19FDB5E}"/>
    <cellStyle name="Normal 2 5 4 2 2 6 3" xfId="10988" xr:uid="{6F483420-F3FE-4C37-B03E-7BBDB744C875}"/>
    <cellStyle name="Normal 2 5 4 2 2 7" xfId="4711" xr:uid="{00000000-0005-0000-0000-000029110000}"/>
    <cellStyle name="Normal 2 5 4 2 2 7 2" xfId="13140" xr:uid="{EC4FF962-CCB5-4563-B0A5-5554A59EBBC7}"/>
    <cellStyle name="Normal 2 5 4 2 2 8" xfId="8922" xr:uid="{CA03557F-54DC-483A-AA91-8E99B8DF6A26}"/>
    <cellStyle name="Normal 2 5 4 2 3" xfId="806" xr:uid="{00000000-0005-0000-0000-00002A110000}"/>
    <cellStyle name="Normal 2 5 4 2 3 2" xfId="3045" xr:uid="{00000000-0005-0000-0000-00002B110000}"/>
    <cellStyle name="Normal 2 5 4 2 3 2 2" xfId="7269" xr:uid="{00000000-0005-0000-0000-00002C110000}"/>
    <cellStyle name="Normal 2 5 4 2 3 2 2 2" xfId="15698" xr:uid="{6FDE984B-76D0-4FC3-9595-9BADE39FE0E3}"/>
    <cellStyle name="Normal 2 5 4 2 3 2 3" xfId="11480" xr:uid="{7A6C5DBE-8891-4736-88F5-9B48117B827D}"/>
    <cellStyle name="Normal 2 5 4 2 3 3" xfId="5124" xr:uid="{00000000-0005-0000-0000-00002D110000}"/>
    <cellStyle name="Normal 2 5 4 2 3 3 2" xfId="13553" xr:uid="{291579EF-7742-48C1-B041-4D7B3A072EE7}"/>
    <cellStyle name="Normal 2 5 4 2 3 4" xfId="9335" xr:uid="{A0521B3C-7D20-4EC4-87CE-E243BB600C43}"/>
    <cellStyle name="Normal 2 5 4 2 4" xfId="1228" xr:uid="{00000000-0005-0000-0000-00002E110000}"/>
    <cellStyle name="Normal 2 5 4 2 4 2" xfId="3458" xr:uid="{00000000-0005-0000-0000-00002F110000}"/>
    <cellStyle name="Normal 2 5 4 2 4 2 2" xfId="7682" xr:uid="{00000000-0005-0000-0000-000030110000}"/>
    <cellStyle name="Normal 2 5 4 2 4 2 2 2" xfId="16111" xr:uid="{70C130C5-ADF4-4F61-B017-E34B426D02C9}"/>
    <cellStyle name="Normal 2 5 4 2 4 2 3" xfId="11893" xr:uid="{DB931652-8C9A-43E3-9635-56BCF7B67FED}"/>
    <cellStyle name="Normal 2 5 4 2 4 3" xfId="5537" xr:uid="{00000000-0005-0000-0000-000031110000}"/>
    <cellStyle name="Normal 2 5 4 2 4 3 2" xfId="13966" xr:uid="{EFCC8068-4B7E-4BAF-8B75-936981B86495}"/>
    <cellStyle name="Normal 2 5 4 2 4 4" xfId="9748" xr:uid="{4FB88DB2-12D3-41CA-BE2F-DC62B0D0D9C1}"/>
    <cellStyle name="Normal 2 5 4 2 5" xfId="1641" xr:uid="{00000000-0005-0000-0000-000032110000}"/>
    <cellStyle name="Normal 2 5 4 2 5 2" xfId="3871" xr:uid="{00000000-0005-0000-0000-000033110000}"/>
    <cellStyle name="Normal 2 5 4 2 5 2 2" xfId="8095" xr:uid="{00000000-0005-0000-0000-000034110000}"/>
    <cellStyle name="Normal 2 5 4 2 5 2 2 2" xfId="16524" xr:uid="{23E46C17-F018-4BF4-B9E9-785429912D34}"/>
    <cellStyle name="Normal 2 5 4 2 5 2 3" xfId="12306" xr:uid="{E2AD80D0-3506-4318-A4B8-865183396AB0}"/>
    <cellStyle name="Normal 2 5 4 2 5 3" xfId="5950" xr:uid="{00000000-0005-0000-0000-000035110000}"/>
    <cellStyle name="Normal 2 5 4 2 5 3 2" xfId="14379" xr:uid="{9ECD2346-0DB1-4B74-B2CB-09637F5B554D}"/>
    <cellStyle name="Normal 2 5 4 2 5 4" xfId="10161" xr:uid="{AD9BA1D4-9CB8-45A7-9D49-4A16BACAD9D3}"/>
    <cellStyle name="Normal 2 5 4 2 6" xfId="2055" xr:uid="{00000000-0005-0000-0000-000036110000}"/>
    <cellStyle name="Normal 2 5 4 2 6 2" xfId="4284" xr:uid="{00000000-0005-0000-0000-000037110000}"/>
    <cellStyle name="Normal 2 5 4 2 6 2 2" xfId="8508" xr:uid="{00000000-0005-0000-0000-000038110000}"/>
    <cellStyle name="Normal 2 5 4 2 6 2 2 2" xfId="16937" xr:uid="{4A306231-EE6B-4B01-960D-3E1786831401}"/>
    <cellStyle name="Normal 2 5 4 2 6 2 3" xfId="12719" xr:uid="{0FFEEC65-2273-43E5-B85B-52BFF758C703}"/>
    <cellStyle name="Normal 2 5 4 2 6 3" xfId="6363" xr:uid="{00000000-0005-0000-0000-000039110000}"/>
    <cellStyle name="Normal 2 5 4 2 6 3 2" xfId="14792" xr:uid="{027C4828-3ED7-472E-80B9-01CC138395CE}"/>
    <cellStyle name="Normal 2 5 4 2 6 4" xfId="10574" xr:uid="{891DAFEB-3A7E-4A09-B4EC-B1B6D3500BF2}"/>
    <cellStyle name="Normal 2 5 4 2 7" xfId="2491" xr:uid="{00000000-0005-0000-0000-00003A110000}"/>
    <cellStyle name="Normal 2 5 4 2 7 2" xfId="6776" xr:uid="{00000000-0005-0000-0000-00003B110000}"/>
    <cellStyle name="Normal 2 5 4 2 7 2 2" xfId="15205" xr:uid="{E745EE85-FA35-4D28-96D2-206907CE92D0}"/>
    <cellStyle name="Normal 2 5 4 2 7 3" xfId="10987" xr:uid="{C273E38D-EA9E-4D6C-BE72-36A63479D1DA}"/>
    <cellStyle name="Normal 2 5 4 2 8" xfId="4710" xr:uid="{00000000-0005-0000-0000-00003C110000}"/>
    <cellStyle name="Normal 2 5 4 2 8 2" xfId="13139" xr:uid="{F790515C-4181-4100-94C2-89AAE15CFE47}"/>
    <cellStyle name="Normal 2 5 4 2 9" xfId="8921" xr:uid="{609A5CB0-90C3-417A-9AFB-1A3731888BB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2 2 2" xfId="15700" xr:uid="{583BA357-328C-4284-A7EF-6D07FCC086B8}"/>
    <cellStyle name="Normal 2 5 4 3 2 2 3" xfId="11482" xr:uid="{EFA0A0CB-B907-4484-A4F8-EF0B1825297E}"/>
    <cellStyle name="Normal 2 5 4 3 2 3" xfId="5126" xr:uid="{00000000-0005-0000-0000-000041110000}"/>
    <cellStyle name="Normal 2 5 4 3 2 3 2" xfId="13555" xr:uid="{BBF799E7-FDCA-4065-9A81-610ABE15EA62}"/>
    <cellStyle name="Normal 2 5 4 3 2 4" xfId="9337" xr:uid="{2A07AD76-C18B-4FA9-9BDE-681641B6A391}"/>
    <cellStyle name="Normal 2 5 4 3 3" xfId="1230" xr:uid="{00000000-0005-0000-0000-000042110000}"/>
    <cellStyle name="Normal 2 5 4 3 3 2" xfId="3460" xr:uid="{00000000-0005-0000-0000-000043110000}"/>
    <cellStyle name="Normal 2 5 4 3 3 2 2" xfId="7684" xr:uid="{00000000-0005-0000-0000-000044110000}"/>
    <cellStyle name="Normal 2 5 4 3 3 2 2 2" xfId="16113" xr:uid="{C1DB5BBB-72BB-412A-9320-A32EFC744225}"/>
    <cellStyle name="Normal 2 5 4 3 3 2 3" xfId="11895" xr:uid="{B90E3699-C88C-4526-A0E3-0C3036E7963B}"/>
    <cellStyle name="Normal 2 5 4 3 3 3" xfId="5539" xr:uid="{00000000-0005-0000-0000-000045110000}"/>
    <cellStyle name="Normal 2 5 4 3 3 3 2" xfId="13968" xr:uid="{FB3E1AFA-AF57-467A-9166-17DA5B978781}"/>
    <cellStyle name="Normal 2 5 4 3 3 4" xfId="9750" xr:uid="{A3195C32-4244-4957-8510-8ADEA0E38A77}"/>
    <cellStyle name="Normal 2 5 4 3 4" xfId="1643" xr:uid="{00000000-0005-0000-0000-000046110000}"/>
    <cellStyle name="Normal 2 5 4 3 4 2" xfId="3873" xr:uid="{00000000-0005-0000-0000-000047110000}"/>
    <cellStyle name="Normal 2 5 4 3 4 2 2" xfId="8097" xr:uid="{00000000-0005-0000-0000-000048110000}"/>
    <cellStyle name="Normal 2 5 4 3 4 2 2 2" xfId="16526" xr:uid="{F5F788C5-B347-42E4-A343-6F55201EF995}"/>
    <cellStyle name="Normal 2 5 4 3 4 2 3" xfId="12308" xr:uid="{0AF79E81-07D4-43B2-8E52-421DC5E7512D}"/>
    <cellStyle name="Normal 2 5 4 3 4 3" xfId="5952" xr:uid="{00000000-0005-0000-0000-000049110000}"/>
    <cellStyle name="Normal 2 5 4 3 4 3 2" xfId="14381" xr:uid="{2803EA01-E96A-4C83-8BA7-25AC75520C15}"/>
    <cellStyle name="Normal 2 5 4 3 4 4" xfId="10163" xr:uid="{95448466-A403-4222-AAAE-AD9526C65D20}"/>
    <cellStyle name="Normal 2 5 4 3 5" xfId="2057" xr:uid="{00000000-0005-0000-0000-00004A110000}"/>
    <cellStyle name="Normal 2 5 4 3 5 2" xfId="4286" xr:uid="{00000000-0005-0000-0000-00004B110000}"/>
    <cellStyle name="Normal 2 5 4 3 5 2 2" xfId="8510" xr:uid="{00000000-0005-0000-0000-00004C110000}"/>
    <cellStyle name="Normal 2 5 4 3 5 2 2 2" xfId="16939" xr:uid="{3A1199F0-686A-4321-8365-2E91DA0DFE5B}"/>
    <cellStyle name="Normal 2 5 4 3 5 2 3" xfId="12721" xr:uid="{EA4E39CD-2C06-4F9C-A9FD-FA97AC0A1993}"/>
    <cellStyle name="Normal 2 5 4 3 5 3" xfId="6365" xr:uid="{00000000-0005-0000-0000-00004D110000}"/>
    <cellStyle name="Normal 2 5 4 3 5 3 2" xfId="14794" xr:uid="{07BD0F47-BA30-4751-9879-C6BEDCF0C0D1}"/>
    <cellStyle name="Normal 2 5 4 3 5 4" xfId="10576" xr:uid="{8433F272-0B6B-4CF3-876C-AEBDDBC33053}"/>
    <cellStyle name="Normal 2 5 4 3 6" xfId="2493" xr:uid="{00000000-0005-0000-0000-00004E110000}"/>
    <cellStyle name="Normal 2 5 4 3 6 2" xfId="6778" xr:uid="{00000000-0005-0000-0000-00004F110000}"/>
    <cellStyle name="Normal 2 5 4 3 6 2 2" xfId="15207" xr:uid="{6E76CE20-8E39-401D-B713-90255DAA752F}"/>
    <cellStyle name="Normal 2 5 4 3 6 3" xfId="10989" xr:uid="{60DD5AB3-8EB6-4F40-A3A5-2DE4749EC5B5}"/>
    <cellStyle name="Normal 2 5 4 3 7" xfId="4712" xr:uid="{00000000-0005-0000-0000-000050110000}"/>
    <cellStyle name="Normal 2 5 4 3 7 2" xfId="13141" xr:uid="{3A00CFB9-FB5D-483C-9F82-0A4DA3B505A5}"/>
    <cellStyle name="Normal 2 5 4 3 8" xfId="8923" xr:uid="{E6FDB319-E5C0-443D-B69F-26BAF8BD1171}"/>
    <cellStyle name="Normal 2 5 4 4" xfId="805" xr:uid="{00000000-0005-0000-0000-000051110000}"/>
    <cellStyle name="Normal 2 5 4 4 2" xfId="3044" xr:uid="{00000000-0005-0000-0000-000052110000}"/>
    <cellStyle name="Normal 2 5 4 4 2 2" xfId="7268" xr:uid="{00000000-0005-0000-0000-000053110000}"/>
    <cellStyle name="Normal 2 5 4 4 2 2 2" xfId="15697" xr:uid="{C55A41CA-0D1B-4CAD-965A-FAC5B2CEBAD3}"/>
    <cellStyle name="Normal 2 5 4 4 2 3" xfId="11479" xr:uid="{31C7CFD0-1C25-4938-87D8-B832C2F733F2}"/>
    <cellStyle name="Normal 2 5 4 4 3" xfId="5123" xr:uid="{00000000-0005-0000-0000-000054110000}"/>
    <cellStyle name="Normal 2 5 4 4 3 2" xfId="13552" xr:uid="{22EB998F-DB82-4057-98EF-DF9E2FDE31DD}"/>
    <cellStyle name="Normal 2 5 4 4 4" xfId="9334" xr:uid="{18F7C305-7689-413F-B1CA-F35B253D0675}"/>
    <cellStyle name="Normal 2 5 4 5" xfId="1227" xr:uid="{00000000-0005-0000-0000-000055110000}"/>
    <cellStyle name="Normal 2 5 4 5 2" xfId="3457" xr:uid="{00000000-0005-0000-0000-000056110000}"/>
    <cellStyle name="Normal 2 5 4 5 2 2" xfId="7681" xr:uid="{00000000-0005-0000-0000-000057110000}"/>
    <cellStyle name="Normal 2 5 4 5 2 2 2" xfId="16110" xr:uid="{5A4F5E9C-11EC-4646-97E1-058180AA2E72}"/>
    <cellStyle name="Normal 2 5 4 5 2 3" xfId="11892" xr:uid="{81601422-DD93-4859-9E76-B0DB68EEBAC7}"/>
    <cellStyle name="Normal 2 5 4 5 3" xfId="5536" xr:uid="{00000000-0005-0000-0000-000058110000}"/>
    <cellStyle name="Normal 2 5 4 5 3 2" xfId="13965" xr:uid="{FBAA633A-8667-4CC0-9FE6-22E887BBD865}"/>
    <cellStyle name="Normal 2 5 4 5 4" xfId="9747" xr:uid="{7EBD6243-680F-4AF4-AAAA-8A33CE036CC1}"/>
    <cellStyle name="Normal 2 5 4 6" xfId="1640" xr:uid="{00000000-0005-0000-0000-000059110000}"/>
    <cellStyle name="Normal 2 5 4 6 2" xfId="3870" xr:uid="{00000000-0005-0000-0000-00005A110000}"/>
    <cellStyle name="Normal 2 5 4 6 2 2" xfId="8094" xr:uid="{00000000-0005-0000-0000-00005B110000}"/>
    <cellStyle name="Normal 2 5 4 6 2 2 2" xfId="16523" xr:uid="{ED5D7E76-0F58-4F3C-9B2E-0F8BE5C51D1D}"/>
    <cellStyle name="Normal 2 5 4 6 2 3" xfId="12305" xr:uid="{FF3D6C4A-6B10-4922-A076-D60157B4BEDA}"/>
    <cellStyle name="Normal 2 5 4 6 3" xfId="5949" xr:uid="{00000000-0005-0000-0000-00005C110000}"/>
    <cellStyle name="Normal 2 5 4 6 3 2" xfId="14378" xr:uid="{BBA9D6D6-DC9D-431D-A42C-2C2C57E814AC}"/>
    <cellStyle name="Normal 2 5 4 6 4" xfId="10160" xr:uid="{90D72F20-974D-41AC-A9E5-D25E9D0971A4}"/>
    <cellStyle name="Normal 2 5 4 7" xfId="2054" xr:uid="{00000000-0005-0000-0000-00005D110000}"/>
    <cellStyle name="Normal 2 5 4 7 2" xfId="4283" xr:uid="{00000000-0005-0000-0000-00005E110000}"/>
    <cellStyle name="Normal 2 5 4 7 2 2" xfId="8507" xr:uid="{00000000-0005-0000-0000-00005F110000}"/>
    <cellStyle name="Normal 2 5 4 7 2 2 2" xfId="16936" xr:uid="{C09E5B47-AB8C-4AE4-94A4-8B7C7093476D}"/>
    <cellStyle name="Normal 2 5 4 7 2 3" xfId="12718" xr:uid="{13E184D6-C1EB-4DC2-92B2-31083691C6F3}"/>
    <cellStyle name="Normal 2 5 4 7 3" xfId="6362" xr:uid="{00000000-0005-0000-0000-000060110000}"/>
    <cellStyle name="Normal 2 5 4 7 3 2" xfId="14791" xr:uid="{8B3761A9-A55E-4CCB-ABAF-EA50F9547FA9}"/>
    <cellStyle name="Normal 2 5 4 7 4" xfId="10573" xr:uid="{FC36BB72-594E-47EC-B135-AF6F3158A7DE}"/>
    <cellStyle name="Normal 2 5 4 8" xfId="2490" xr:uid="{00000000-0005-0000-0000-000061110000}"/>
    <cellStyle name="Normal 2 5 4 8 2" xfId="6775" xr:uid="{00000000-0005-0000-0000-000062110000}"/>
    <cellStyle name="Normal 2 5 4 8 2 2" xfId="15204" xr:uid="{BFE063D1-A6F6-4A1F-8617-FDE2F55F9FC1}"/>
    <cellStyle name="Normal 2 5 4 8 3" xfId="10986" xr:uid="{49D37DE5-4220-4509-B59C-64077C205F0F}"/>
    <cellStyle name="Normal 2 5 4 9" xfId="4709" xr:uid="{00000000-0005-0000-0000-000063110000}"/>
    <cellStyle name="Normal 2 5 4 9 2" xfId="13138" xr:uid="{B4DCE02D-CA45-483B-BEF4-F5C80D500A9C}"/>
    <cellStyle name="Normal 2 5 5" xfId="804" xr:uid="{00000000-0005-0000-0000-000064110000}"/>
    <cellStyle name="Normal 2 5 5 2" xfId="3043" xr:uid="{00000000-0005-0000-0000-000065110000}"/>
    <cellStyle name="Normal 2 5 5 2 2" xfId="7267" xr:uid="{00000000-0005-0000-0000-000066110000}"/>
    <cellStyle name="Normal 2 5 5 2 2 2" xfId="15696" xr:uid="{0694FFAF-6CA9-468E-9187-E060F370BBAE}"/>
    <cellStyle name="Normal 2 5 5 2 3" xfId="11478" xr:uid="{9CDF7E1F-025C-4723-8444-8F8616E9F1BE}"/>
    <cellStyle name="Normal 2 5 5 3" xfId="5122" xr:uid="{00000000-0005-0000-0000-000067110000}"/>
    <cellStyle name="Normal 2 5 5 3 2" xfId="13551" xr:uid="{C07C8D39-E449-4048-A2C8-3BCA6E34D1FB}"/>
    <cellStyle name="Normal 2 5 5 4" xfId="9333" xr:uid="{18A07323-A54B-4362-9B47-C8C5C067496E}"/>
    <cellStyle name="Normal 2 5 6" xfId="1226" xr:uid="{00000000-0005-0000-0000-000068110000}"/>
    <cellStyle name="Normal 2 5 6 2" xfId="3456" xr:uid="{00000000-0005-0000-0000-000069110000}"/>
    <cellStyle name="Normal 2 5 6 2 2" xfId="7680" xr:uid="{00000000-0005-0000-0000-00006A110000}"/>
    <cellStyle name="Normal 2 5 6 2 2 2" xfId="16109" xr:uid="{9937CC07-0A5D-4B13-A707-50E586BA173B}"/>
    <cellStyle name="Normal 2 5 6 2 3" xfId="11891" xr:uid="{32B3C475-EF24-49A3-934D-AD69349EEA62}"/>
    <cellStyle name="Normal 2 5 6 3" xfId="5535" xr:uid="{00000000-0005-0000-0000-00006B110000}"/>
    <cellStyle name="Normal 2 5 6 3 2" xfId="13964" xr:uid="{0B46A237-FAE8-44CF-A78A-3F02B6343B1C}"/>
    <cellStyle name="Normal 2 5 6 4" xfId="9746" xr:uid="{4DD81358-1103-47CA-8437-EF08AC7AC57E}"/>
    <cellStyle name="Normal 2 5 7" xfId="1639" xr:uid="{00000000-0005-0000-0000-00006C110000}"/>
    <cellStyle name="Normal 2 5 7 2" xfId="3869" xr:uid="{00000000-0005-0000-0000-00006D110000}"/>
    <cellStyle name="Normal 2 5 7 2 2" xfId="8093" xr:uid="{00000000-0005-0000-0000-00006E110000}"/>
    <cellStyle name="Normal 2 5 7 2 2 2" xfId="16522" xr:uid="{0DEA2CE9-7F19-44BB-AD03-CF1DF6CDAEF0}"/>
    <cellStyle name="Normal 2 5 7 2 3" xfId="12304" xr:uid="{3B576224-AC36-45E2-96ED-19355943BD3A}"/>
    <cellStyle name="Normal 2 5 7 3" xfId="5948" xr:uid="{00000000-0005-0000-0000-00006F110000}"/>
    <cellStyle name="Normal 2 5 7 3 2" xfId="14377" xr:uid="{E742282A-8B98-4C13-A609-6269465282AF}"/>
    <cellStyle name="Normal 2 5 7 4" xfId="10159" xr:uid="{F0604BF8-EC64-42DA-9097-D90219D82A4A}"/>
    <cellStyle name="Normal 2 5 8" xfId="2053" xr:uid="{00000000-0005-0000-0000-000070110000}"/>
    <cellStyle name="Normal 2 5 8 2" xfId="4282" xr:uid="{00000000-0005-0000-0000-000071110000}"/>
    <cellStyle name="Normal 2 5 8 2 2" xfId="8506" xr:uid="{00000000-0005-0000-0000-000072110000}"/>
    <cellStyle name="Normal 2 5 8 2 2 2" xfId="16935" xr:uid="{DC90B0A6-8F05-464E-BE12-BC637832EE10}"/>
    <cellStyle name="Normal 2 5 8 2 3" xfId="12717" xr:uid="{4A48D510-5F20-45D0-A4AD-86B8F9370ED7}"/>
    <cellStyle name="Normal 2 5 8 3" xfId="6361" xr:uid="{00000000-0005-0000-0000-000073110000}"/>
    <cellStyle name="Normal 2 5 8 3 2" xfId="14790" xr:uid="{2FE05722-8E30-49C7-9169-55582D2BAEB8}"/>
    <cellStyle name="Normal 2 5 8 4" xfId="10572" xr:uid="{080E8A5C-2304-40EB-8737-CE3075478290}"/>
    <cellStyle name="Normal 2 5 9" xfId="2489" xr:uid="{00000000-0005-0000-0000-000074110000}"/>
    <cellStyle name="Normal 2 5 9 2" xfId="6774" xr:uid="{00000000-0005-0000-0000-000075110000}"/>
    <cellStyle name="Normal 2 5 9 2 2" xfId="15203" xr:uid="{AB41B9ED-3946-4095-B5DA-4DA2BA71EA05}"/>
    <cellStyle name="Normal 2 5 9 3" xfId="10985" xr:uid="{A59C0CD1-B33E-4B6B-905D-3759B32606C0}"/>
    <cellStyle name="Normal 2 6" xfId="322" xr:uid="{00000000-0005-0000-0000-000076110000}"/>
    <cellStyle name="Normal 2 7" xfId="770" xr:uid="{00000000-0005-0000-0000-000077110000}"/>
    <cellStyle name="Normal 2 8" xfId="4496" xr:uid="{00000000-0005-0000-0000-000078110000}"/>
    <cellStyle name="Normal 2 8 2" xfId="12929" xr:uid="{5A135014-D156-4263-B23C-2AA4608077E3}"/>
    <cellStyle name="Normal 3" xfId="323" xr:uid="{00000000-0005-0000-0000-000079110000}"/>
    <cellStyle name="Normal 3 2" xfId="324" xr:uid="{00000000-0005-0000-0000-00007A110000}"/>
    <cellStyle name="Normal 3 2 10" xfId="8924" xr:uid="{45206006-2C55-403F-8ABE-2264A0EE0C3A}"/>
    <cellStyle name="Normal 3 2 2" xfId="325" xr:uid="{00000000-0005-0000-0000-00007B110000}"/>
    <cellStyle name="Normal 3 2 2 2" xfId="811" xr:uid="{00000000-0005-0000-0000-00007C110000}"/>
    <cellStyle name="Normal 3 2 3" xfId="326" xr:uid="{00000000-0005-0000-0000-00007D110000}"/>
    <cellStyle name="Normal 3 2 3 10" xfId="8925" xr:uid="{E6591BF7-E286-4FF0-94D2-2DC84442E194}"/>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2 2 2" xfId="15704" xr:uid="{0AF8F0C2-9F0B-4F99-A6F8-24E7CD97D069}"/>
    <cellStyle name="Normal 3 2 3 2 2 2 2 3" xfId="11486" xr:uid="{AB6947D4-B65E-4985-ABF3-C6162B65C716}"/>
    <cellStyle name="Normal 3 2 3 2 2 2 3" xfId="5130" xr:uid="{00000000-0005-0000-0000-000083110000}"/>
    <cellStyle name="Normal 3 2 3 2 2 2 3 2" xfId="13559" xr:uid="{88E9A8D6-6C18-4479-8F26-87A48E277521}"/>
    <cellStyle name="Normal 3 2 3 2 2 2 4" xfId="9341" xr:uid="{B097768F-6B3D-437A-8310-4F2BFBF8EB2C}"/>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2 2 2" xfId="16117" xr:uid="{FA7A2085-544D-4884-9B8D-529021D5FFD0}"/>
    <cellStyle name="Normal 3 2 3 2 2 3 2 3" xfId="11899" xr:uid="{33F22B59-BF51-4E1C-8667-BD8B60E6C1F4}"/>
    <cellStyle name="Normal 3 2 3 2 2 3 3" xfId="5543" xr:uid="{00000000-0005-0000-0000-000087110000}"/>
    <cellStyle name="Normal 3 2 3 2 2 3 3 2" xfId="13972" xr:uid="{CD2F61C1-7C10-4B80-A00B-7F5ACF5FA61F}"/>
    <cellStyle name="Normal 3 2 3 2 2 3 4" xfId="9754" xr:uid="{8D1BC5EF-0A65-412D-B225-F8EF55A40D12}"/>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2 2 2" xfId="16530" xr:uid="{3EBFCA48-BE2B-4845-AA03-85B4C358670A}"/>
    <cellStyle name="Normal 3 2 3 2 2 4 2 3" xfId="12312" xr:uid="{3F040801-568F-47C1-8D75-6B8A6A52BE2F}"/>
    <cellStyle name="Normal 3 2 3 2 2 4 3" xfId="5956" xr:uid="{00000000-0005-0000-0000-00008B110000}"/>
    <cellStyle name="Normal 3 2 3 2 2 4 3 2" xfId="14385" xr:uid="{A4D0B449-8EC1-4033-B74A-5650EDA996F8}"/>
    <cellStyle name="Normal 3 2 3 2 2 4 4" xfId="10167" xr:uid="{7C212360-5C76-4592-A3EE-CD5A3B35B5C9}"/>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2 2 2" xfId="16943" xr:uid="{53268E7B-3D94-486E-B88C-4FBB64F52A25}"/>
    <cellStyle name="Normal 3 2 3 2 2 5 2 3" xfId="12725" xr:uid="{38E60709-083C-4DFD-AB19-EC8CB6CFAF45}"/>
    <cellStyle name="Normal 3 2 3 2 2 5 3" xfId="6369" xr:uid="{00000000-0005-0000-0000-00008F110000}"/>
    <cellStyle name="Normal 3 2 3 2 2 5 3 2" xfId="14798" xr:uid="{7734F127-F5AA-4744-85D9-05EC3431FB45}"/>
    <cellStyle name="Normal 3 2 3 2 2 5 4" xfId="10580" xr:uid="{9D96FA24-8892-4D39-94BC-355518EFA461}"/>
    <cellStyle name="Normal 3 2 3 2 2 6" xfId="2497" xr:uid="{00000000-0005-0000-0000-000090110000}"/>
    <cellStyle name="Normal 3 2 3 2 2 6 2" xfId="6782" xr:uid="{00000000-0005-0000-0000-000091110000}"/>
    <cellStyle name="Normal 3 2 3 2 2 6 2 2" xfId="15211" xr:uid="{2F4AC595-0509-4073-A228-76AA43D5C167}"/>
    <cellStyle name="Normal 3 2 3 2 2 6 3" xfId="10993" xr:uid="{3244EBBD-6944-4ACE-8998-6CBD76568073}"/>
    <cellStyle name="Normal 3 2 3 2 2 7" xfId="4716" xr:uid="{00000000-0005-0000-0000-000092110000}"/>
    <cellStyle name="Normal 3 2 3 2 2 7 2" xfId="13145" xr:uid="{3ECBCBF1-9EC9-42A3-A964-5721A45BAFCF}"/>
    <cellStyle name="Normal 3 2 3 2 2 8" xfId="8927" xr:uid="{DA9C6131-9339-4300-82E6-3097D76DE2ED}"/>
    <cellStyle name="Normal 3 2 3 2 3" xfId="813" xr:uid="{00000000-0005-0000-0000-000093110000}"/>
    <cellStyle name="Normal 3 2 3 2 3 2" xfId="3050" xr:uid="{00000000-0005-0000-0000-000094110000}"/>
    <cellStyle name="Normal 3 2 3 2 3 2 2" xfId="7274" xr:uid="{00000000-0005-0000-0000-000095110000}"/>
    <cellStyle name="Normal 3 2 3 2 3 2 2 2" xfId="15703" xr:uid="{D6AA3B5A-C972-44F6-A6F0-E7C9755FD94B}"/>
    <cellStyle name="Normal 3 2 3 2 3 2 3" xfId="11485" xr:uid="{9BB9B333-20BB-4611-B5DA-CED1896C3ADF}"/>
    <cellStyle name="Normal 3 2 3 2 3 3" xfId="5129" xr:uid="{00000000-0005-0000-0000-000096110000}"/>
    <cellStyle name="Normal 3 2 3 2 3 3 2" xfId="13558" xr:uid="{BC0AB2BE-330B-4316-9694-80D101AC4C82}"/>
    <cellStyle name="Normal 3 2 3 2 3 4" xfId="9340" xr:uid="{D42A8A3F-8313-4982-BDC7-DCCED70E21EA}"/>
    <cellStyle name="Normal 3 2 3 2 4" xfId="1233" xr:uid="{00000000-0005-0000-0000-000097110000}"/>
    <cellStyle name="Normal 3 2 3 2 4 2" xfId="3463" xr:uid="{00000000-0005-0000-0000-000098110000}"/>
    <cellStyle name="Normal 3 2 3 2 4 2 2" xfId="7687" xr:uid="{00000000-0005-0000-0000-000099110000}"/>
    <cellStyle name="Normal 3 2 3 2 4 2 2 2" xfId="16116" xr:uid="{852388DC-A349-4F15-A8C4-5336E7CA66E3}"/>
    <cellStyle name="Normal 3 2 3 2 4 2 3" xfId="11898" xr:uid="{D7564281-23D6-40D0-BA5A-BEAF397E0DAF}"/>
    <cellStyle name="Normal 3 2 3 2 4 3" xfId="5542" xr:uid="{00000000-0005-0000-0000-00009A110000}"/>
    <cellStyle name="Normal 3 2 3 2 4 3 2" xfId="13971" xr:uid="{EE80F89A-48FC-4F7B-B50C-EEAAF991D30D}"/>
    <cellStyle name="Normal 3 2 3 2 4 4" xfId="9753" xr:uid="{C9179A04-7639-488E-9536-76D6EE86254D}"/>
    <cellStyle name="Normal 3 2 3 2 5" xfId="1646" xr:uid="{00000000-0005-0000-0000-00009B110000}"/>
    <cellStyle name="Normal 3 2 3 2 5 2" xfId="3876" xr:uid="{00000000-0005-0000-0000-00009C110000}"/>
    <cellStyle name="Normal 3 2 3 2 5 2 2" xfId="8100" xr:uid="{00000000-0005-0000-0000-00009D110000}"/>
    <cellStyle name="Normal 3 2 3 2 5 2 2 2" xfId="16529" xr:uid="{B9596463-1566-47A5-919C-38B388F5651A}"/>
    <cellStyle name="Normal 3 2 3 2 5 2 3" xfId="12311" xr:uid="{85D690FA-BE69-4B3F-8092-D4C22C534218}"/>
    <cellStyle name="Normal 3 2 3 2 5 3" xfId="5955" xr:uid="{00000000-0005-0000-0000-00009E110000}"/>
    <cellStyle name="Normal 3 2 3 2 5 3 2" xfId="14384" xr:uid="{4F39B143-10A4-4D81-8393-3EA022F1028F}"/>
    <cellStyle name="Normal 3 2 3 2 5 4" xfId="10166" xr:uid="{4E5BAE7B-E409-4D56-BC68-C0952E3F5609}"/>
    <cellStyle name="Normal 3 2 3 2 6" xfId="2060" xr:uid="{00000000-0005-0000-0000-00009F110000}"/>
    <cellStyle name="Normal 3 2 3 2 6 2" xfId="4289" xr:uid="{00000000-0005-0000-0000-0000A0110000}"/>
    <cellStyle name="Normal 3 2 3 2 6 2 2" xfId="8513" xr:uid="{00000000-0005-0000-0000-0000A1110000}"/>
    <cellStyle name="Normal 3 2 3 2 6 2 2 2" xfId="16942" xr:uid="{8D5C9A51-C2D9-4807-BA08-8834DF4F6939}"/>
    <cellStyle name="Normal 3 2 3 2 6 2 3" xfId="12724" xr:uid="{6CE7BDF0-4243-47A8-BFF5-18870F53B741}"/>
    <cellStyle name="Normal 3 2 3 2 6 3" xfId="6368" xr:uid="{00000000-0005-0000-0000-0000A2110000}"/>
    <cellStyle name="Normal 3 2 3 2 6 3 2" xfId="14797" xr:uid="{2438DE6F-9E50-4AC5-8B7C-D2F2EFCE4F57}"/>
    <cellStyle name="Normal 3 2 3 2 6 4" xfId="10579" xr:uid="{D50D3CDA-E4C7-45BA-B374-529962A9DB98}"/>
    <cellStyle name="Normal 3 2 3 2 7" xfId="2496" xr:uid="{00000000-0005-0000-0000-0000A3110000}"/>
    <cellStyle name="Normal 3 2 3 2 7 2" xfId="6781" xr:uid="{00000000-0005-0000-0000-0000A4110000}"/>
    <cellStyle name="Normal 3 2 3 2 7 2 2" xfId="15210" xr:uid="{4A94FE0D-4AAB-4C8D-8CEB-FC1A9670AA15}"/>
    <cellStyle name="Normal 3 2 3 2 7 3" xfId="10992" xr:uid="{3A5F4128-9875-43E2-8652-36F21E821566}"/>
    <cellStyle name="Normal 3 2 3 2 8" xfId="4715" xr:uid="{00000000-0005-0000-0000-0000A5110000}"/>
    <cellStyle name="Normal 3 2 3 2 8 2" xfId="13144" xr:uid="{A6453783-8698-4A98-9CAC-DFBB1C1D2A23}"/>
    <cellStyle name="Normal 3 2 3 2 9" xfId="8926" xr:uid="{1D8F46F2-B4C6-42AF-8B8C-EBC7649F7E85}"/>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2 2 2" xfId="15705" xr:uid="{C4A1F5B7-B75E-4131-B415-156272507D9D}"/>
    <cellStyle name="Normal 3 2 3 3 2 2 3" xfId="11487" xr:uid="{12E346CF-1836-451E-921F-96FFD318763C}"/>
    <cellStyle name="Normal 3 2 3 3 2 3" xfId="5131" xr:uid="{00000000-0005-0000-0000-0000AA110000}"/>
    <cellStyle name="Normal 3 2 3 3 2 3 2" xfId="13560" xr:uid="{7429EC6B-83BF-4158-B1D4-96628264FDC5}"/>
    <cellStyle name="Normal 3 2 3 3 2 4" xfId="9342" xr:uid="{E4F93B03-CC1F-4D20-A4AB-9E2849C7EE90}"/>
    <cellStyle name="Normal 3 2 3 3 3" xfId="1235" xr:uid="{00000000-0005-0000-0000-0000AB110000}"/>
    <cellStyle name="Normal 3 2 3 3 3 2" xfId="3465" xr:uid="{00000000-0005-0000-0000-0000AC110000}"/>
    <cellStyle name="Normal 3 2 3 3 3 2 2" xfId="7689" xr:uid="{00000000-0005-0000-0000-0000AD110000}"/>
    <cellStyle name="Normal 3 2 3 3 3 2 2 2" xfId="16118" xr:uid="{D9DE27BE-6BEB-439B-A451-99C13617FF84}"/>
    <cellStyle name="Normal 3 2 3 3 3 2 3" xfId="11900" xr:uid="{CF35C5BD-AB53-4D03-B677-CDDE8AB0FFCA}"/>
    <cellStyle name="Normal 3 2 3 3 3 3" xfId="5544" xr:uid="{00000000-0005-0000-0000-0000AE110000}"/>
    <cellStyle name="Normal 3 2 3 3 3 3 2" xfId="13973" xr:uid="{3BAF2CBD-5747-455F-BD3C-FC578F07C015}"/>
    <cellStyle name="Normal 3 2 3 3 3 4" xfId="9755" xr:uid="{1B4E1805-3899-43D6-AC09-49D06BCAB39E}"/>
    <cellStyle name="Normal 3 2 3 3 4" xfId="1648" xr:uid="{00000000-0005-0000-0000-0000AF110000}"/>
    <cellStyle name="Normal 3 2 3 3 4 2" xfId="3878" xr:uid="{00000000-0005-0000-0000-0000B0110000}"/>
    <cellStyle name="Normal 3 2 3 3 4 2 2" xfId="8102" xr:uid="{00000000-0005-0000-0000-0000B1110000}"/>
    <cellStyle name="Normal 3 2 3 3 4 2 2 2" xfId="16531" xr:uid="{19C983E1-1E9D-4308-95AD-F0682308A458}"/>
    <cellStyle name="Normal 3 2 3 3 4 2 3" xfId="12313" xr:uid="{8093144A-BB6B-47B8-93C9-CCE09396E359}"/>
    <cellStyle name="Normal 3 2 3 3 4 3" xfId="5957" xr:uid="{00000000-0005-0000-0000-0000B2110000}"/>
    <cellStyle name="Normal 3 2 3 3 4 3 2" xfId="14386" xr:uid="{92A7822F-40AE-4A4C-B179-B4FC00287CC3}"/>
    <cellStyle name="Normal 3 2 3 3 4 4" xfId="10168" xr:uid="{7DE867C3-A380-4958-9969-8550A9674D99}"/>
    <cellStyle name="Normal 3 2 3 3 5" xfId="2062" xr:uid="{00000000-0005-0000-0000-0000B3110000}"/>
    <cellStyle name="Normal 3 2 3 3 5 2" xfId="4291" xr:uid="{00000000-0005-0000-0000-0000B4110000}"/>
    <cellStyle name="Normal 3 2 3 3 5 2 2" xfId="8515" xr:uid="{00000000-0005-0000-0000-0000B5110000}"/>
    <cellStyle name="Normal 3 2 3 3 5 2 2 2" xfId="16944" xr:uid="{80C4E892-2553-4C8F-A49C-87617D9C428C}"/>
    <cellStyle name="Normal 3 2 3 3 5 2 3" xfId="12726" xr:uid="{9ACD68B5-2079-4960-A1A2-FF35FB907BEA}"/>
    <cellStyle name="Normal 3 2 3 3 5 3" xfId="6370" xr:uid="{00000000-0005-0000-0000-0000B6110000}"/>
    <cellStyle name="Normal 3 2 3 3 5 3 2" xfId="14799" xr:uid="{8590C053-7B7A-4520-BBD0-D7A52811BF6D}"/>
    <cellStyle name="Normal 3 2 3 3 5 4" xfId="10581" xr:uid="{F9241B97-98C9-4D14-9847-CD51EFD87718}"/>
    <cellStyle name="Normal 3 2 3 3 6" xfId="2498" xr:uid="{00000000-0005-0000-0000-0000B7110000}"/>
    <cellStyle name="Normal 3 2 3 3 6 2" xfId="6783" xr:uid="{00000000-0005-0000-0000-0000B8110000}"/>
    <cellStyle name="Normal 3 2 3 3 6 2 2" xfId="15212" xr:uid="{80F6CA98-2B5D-46BB-BEB4-DCF8F52FCCE4}"/>
    <cellStyle name="Normal 3 2 3 3 6 3" xfId="10994" xr:uid="{6907ABF1-0B96-47A8-8ECD-1093EF80EEE7}"/>
    <cellStyle name="Normal 3 2 3 3 7" xfId="4717" xr:uid="{00000000-0005-0000-0000-0000B9110000}"/>
    <cellStyle name="Normal 3 2 3 3 7 2" xfId="13146" xr:uid="{F1A39700-99CA-40AB-B7E4-6CEE52498814}"/>
    <cellStyle name="Normal 3 2 3 3 8" xfId="8928" xr:uid="{90168EB3-BEAB-4F4D-9F95-D314F0A1C5D0}"/>
    <cellStyle name="Normal 3 2 3 4" xfId="812" xr:uid="{00000000-0005-0000-0000-0000BA110000}"/>
    <cellStyle name="Normal 3 2 3 4 2" xfId="3049" xr:uid="{00000000-0005-0000-0000-0000BB110000}"/>
    <cellStyle name="Normal 3 2 3 4 2 2" xfId="7273" xr:uid="{00000000-0005-0000-0000-0000BC110000}"/>
    <cellStyle name="Normal 3 2 3 4 2 2 2" xfId="15702" xr:uid="{60C291E5-F735-4DBB-B2B6-5D3B538348AA}"/>
    <cellStyle name="Normal 3 2 3 4 2 3" xfId="11484" xr:uid="{F986B010-E996-4E39-8AE4-B8C10270A7A4}"/>
    <cellStyle name="Normal 3 2 3 4 3" xfId="5128" xr:uid="{00000000-0005-0000-0000-0000BD110000}"/>
    <cellStyle name="Normal 3 2 3 4 3 2" xfId="13557" xr:uid="{0C9CF918-32B3-4CC5-873A-BFDA500C0C02}"/>
    <cellStyle name="Normal 3 2 3 4 4" xfId="9339" xr:uid="{EFB54F4A-F999-48F4-986B-F1CB5FC3D1AE}"/>
    <cellStyle name="Normal 3 2 3 5" xfId="1232" xr:uid="{00000000-0005-0000-0000-0000BE110000}"/>
    <cellStyle name="Normal 3 2 3 5 2" xfId="3462" xr:uid="{00000000-0005-0000-0000-0000BF110000}"/>
    <cellStyle name="Normal 3 2 3 5 2 2" xfId="7686" xr:uid="{00000000-0005-0000-0000-0000C0110000}"/>
    <cellStyle name="Normal 3 2 3 5 2 2 2" xfId="16115" xr:uid="{40A982FD-7E26-409C-A499-9C78409CFA31}"/>
    <cellStyle name="Normal 3 2 3 5 2 3" xfId="11897" xr:uid="{1EFE5E6A-6122-448C-B45A-64C4B2FAD8D5}"/>
    <cellStyle name="Normal 3 2 3 5 3" xfId="5541" xr:uid="{00000000-0005-0000-0000-0000C1110000}"/>
    <cellStyle name="Normal 3 2 3 5 3 2" xfId="13970" xr:uid="{A0210F41-F30D-43FF-83D1-30B68783CA08}"/>
    <cellStyle name="Normal 3 2 3 5 4" xfId="9752" xr:uid="{A355655D-7FD0-49CC-98B9-46960DDA6919}"/>
    <cellStyle name="Normal 3 2 3 6" xfId="1645" xr:uid="{00000000-0005-0000-0000-0000C2110000}"/>
    <cellStyle name="Normal 3 2 3 6 2" xfId="3875" xr:uid="{00000000-0005-0000-0000-0000C3110000}"/>
    <cellStyle name="Normal 3 2 3 6 2 2" xfId="8099" xr:uid="{00000000-0005-0000-0000-0000C4110000}"/>
    <cellStyle name="Normal 3 2 3 6 2 2 2" xfId="16528" xr:uid="{D1F433B4-36E1-42A6-B451-0CC8212BB219}"/>
    <cellStyle name="Normal 3 2 3 6 2 3" xfId="12310" xr:uid="{5E42EEBE-C29F-4434-9B00-60E704AF6B4B}"/>
    <cellStyle name="Normal 3 2 3 6 3" xfId="5954" xr:uid="{00000000-0005-0000-0000-0000C5110000}"/>
    <cellStyle name="Normal 3 2 3 6 3 2" xfId="14383" xr:uid="{713C96C3-EAED-402A-9D1E-752C0409CE13}"/>
    <cellStyle name="Normal 3 2 3 6 4" xfId="10165" xr:uid="{BEB6835B-DAEA-4856-98D3-3ED5FF487EF2}"/>
    <cellStyle name="Normal 3 2 3 7" xfId="2059" xr:uid="{00000000-0005-0000-0000-0000C6110000}"/>
    <cellStyle name="Normal 3 2 3 7 2" xfId="4288" xr:uid="{00000000-0005-0000-0000-0000C7110000}"/>
    <cellStyle name="Normal 3 2 3 7 2 2" xfId="8512" xr:uid="{00000000-0005-0000-0000-0000C8110000}"/>
    <cellStyle name="Normal 3 2 3 7 2 2 2" xfId="16941" xr:uid="{0BA0DFED-1963-4368-A0FC-DA7B05C2E8AF}"/>
    <cellStyle name="Normal 3 2 3 7 2 3" xfId="12723" xr:uid="{38ED8C4A-2E98-46E5-B7CB-1BA17F0C4F14}"/>
    <cellStyle name="Normal 3 2 3 7 3" xfId="6367" xr:uid="{00000000-0005-0000-0000-0000C9110000}"/>
    <cellStyle name="Normal 3 2 3 7 3 2" xfId="14796" xr:uid="{D424D477-A207-41FD-A59B-89591EF9B898}"/>
    <cellStyle name="Normal 3 2 3 7 4" xfId="10578" xr:uid="{50C2B2BE-7462-43FD-88F6-661294F9CEFF}"/>
    <cellStyle name="Normal 3 2 3 8" xfId="2495" xr:uid="{00000000-0005-0000-0000-0000CA110000}"/>
    <cellStyle name="Normal 3 2 3 8 2" xfId="6780" xr:uid="{00000000-0005-0000-0000-0000CB110000}"/>
    <cellStyle name="Normal 3 2 3 8 2 2" xfId="15209" xr:uid="{6F58A30F-1C13-4099-9D26-3273601A1ECC}"/>
    <cellStyle name="Normal 3 2 3 8 3" xfId="10991" xr:uid="{60A3A0C8-2087-4240-918D-70A1CD6C18E9}"/>
    <cellStyle name="Normal 3 2 3 9" xfId="4714" xr:uid="{00000000-0005-0000-0000-0000CC110000}"/>
    <cellStyle name="Normal 3 2 3 9 2" xfId="13143" xr:uid="{97955C0F-0ED7-4162-99C9-17784C3E439C}"/>
    <cellStyle name="Normal 3 2 4" xfId="810" xr:uid="{00000000-0005-0000-0000-0000CD110000}"/>
    <cellStyle name="Normal 3 2 4 2" xfId="3048" xr:uid="{00000000-0005-0000-0000-0000CE110000}"/>
    <cellStyle name="Normal 3 2 4 2 2" xfId="7272" xr:uid="{00000000-0005-0000-0000-0000CF110000}"/>
    <cellStyle name="Normal 3 2 4 2 2 2" xfId="15701" xr:uid="{DAC887AF-7E02-42E8-8B0D-3F0FDB79C122}"/>
    <cellStyle name="Normal 3 2 4 2 3" xfId="11483" xr:uid="{5E71F855-C02F-4277-81BD-D68679DEF18F}"/>
    <cellStyle name="Normal 3 2 4 3" xfId="5127" xr:uid="{00000000-0005-0000-0000-0000D0110000}"/>
    <cellStyle name="Normal 3 2 4 3 2" xfId="13556" xr:uid="{DD7DCB6F-59AF-431F-9682-F7BD8A8D6D4F}"/>
    <cellStyle name="Normal 3 2 4 4" xfId="9338" xr:uid="{7E02F1B2-A869-43DD-BB39-C932198A07E0}"/>
    <cellStyle name="Normal 3 2 5" xfId="1231" xr:uid="{00000000-0005-0000-0000-0000D1110000}"/>
    <cellStyle name="Normal 3 2 5 2" xfId="3461" xr:uid="{00000000-0005-0000-0000-0000D2110000}"/>
    <cellStyle name="Normal 3 2 5 2 2" xfId="7685" xr:uid="{00000000-0005-0000-0000-0000D3110000}"/>
    <cellStyle name="Normal 3 2 5 2 2 2" xfId="16114" xr:uid="{A9C76D04-70F6-479E-A6EA-C9877C6BB36A}"/>
    <cellStyle name="Normal 3 2 5 2 3" xfId="11896" xr:uid="{8A55FD51-61C2-416A-9E08-12115DD02E71}"/>
    <cellStyle name="Normal 3 2 5 3" xfId="5540" xr:uid="{00000000-0005-0000-0000-0000D4110000}"/>
    <cellStyle name="Normal 3 2 5 3 2" xfId="13969" xr:uid="{D9BE2E01-DF3C-461D-A03C-81D71241E938}"/>
    <cellStyle name="Normal 3 2 5 4" xfId="9751" xr:uid="{FDB70F12-3FBF-4B0C-8F61-4029CA4D9324}"/>
    <cellStyle name="Normal 3 2 6" xfId="1644" xr:uid="{00000000-0005-0000-0000-0000D5110000}"/>
    <cellStyle name="Normal 3 2 6 2" xfId="3874" xr:uid="{00000000-0005-0000-0000-0000D6110000}"/>
    <cellStyle name="Normal 3 2 6 2 2" xfId="8098" xr:uid="{00000000-0005-0000-0000-0000D7110000}"/>
    <cellStyle name="Normal 3 2 6 2 2 2" xfId="16527" xr:uid="{715AA85C-2179-4FF2-B9FC-0DBD9FF4EF3E}"/>
    <cellStyle name="Normal 3 2 6 2 3" xfId="12309" xr:uid="{0C119B32-C83F-4F1A-86EC-FD83FF61F5B9}"/>
    <cellStyle name="Normal 3 2 6 3" xfId="5953" xr:uid="{00000000-0005-0000-0000-0000D8110000}"/>
    <cellStyle name="Normal 3 2 6 3 2" xfId="14382" xr:uid="{DEA012B4-D387-4056-AD30-9E01455FB13D}"/>
    <cellStyle name="Normal 3 2 6 4" xfId="10164" xr:uid="{82E463E5-BB76-44AF-8257-6576A9582391}"/>
    <cellStyle name="Normal 3 2 7" xfId="2058" xr:uid="{00000000-0005-0000-0000-0000D9110000}"/>
    <cellStyle name="Normal 3 2 7 2" xfId="4287" xr:uid="{00000000-0005-0000-0000-0000DA110000}"/>
    <cellStyle name="Normal 3 2 7 2 2" xfId="8511" xr:uid="{00000000-0005-0000-0000-0000DB110000}"/>
    <cellStyle name="Normal 3 2 7 2 2 2" xfId="16940" xr:uid="{4F529D3D-00B5-486F-953A-6B0A4A827ED6}"/>
    <cellStyle name="Normal 3 2 7 2 3" xfId="12722" xr:uid="{42AD291B-BD1F-45C5-9328-D9B36F78DE1F}"/>
    <cellStyle name="Normal 3 2 7 3" xfId="6366" xr:uid="{00000000-0005-0000-0000-0000DC110000}"/>
    <cellStyle name="Normal 3 2 7 3 2" xfId="14795" xr:uid="{BE0F91AF-6BC0-49E9-A16E-64CD1DE930A1}"/>
    <cellStyle name="Normal 3 2 7 4" xfId="10577" xr:uid="{D763C699-32F4-4037-8DAD-400FC9277C9F}"/>
    <cellStyle name="Normal 3 2 8" xfId="2494" xr:uid="{00000000-0005-0000-0000-0000DD110000}"/>
    <cellStyle name="Normal 3 2 8 2" xfId="6779" xr:uid="{00000000-0005-0000-0000-0000DE110000}"/>
    <cellStyle name="Normal 3 2 8 2 2" xfId="15208" xr:uid="{58990CD9-2CA0-4251-A8F3-937202AFE629}"/>
    <cellStyle name="Normal 3 2 8 3" xfId="10990" xr:uid="{B4D7A4A2-AF60-4DA0-9F07-FB87874C8CB0}"/>
    <cellStyle name="Normal 3 2 9" xfId="4713" xr:uid="{00000000-0005-0000-0000-0000DF110000}"/>
    <cellStyle name="Normal 3 2 9 2" xfId="13142" xr:uid="{CF373480-6C21-4CB0-A588-0EE2CF9829F1}"/>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10" xfId="8929" xr:uid="{B11195B7-4BBC-4249-9620-4AEE66CE7A3F}"/>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2 2 2" xfId="16945" xr:uid="{595CDA22-5220-40EC-93FB-442EFB676E24}"/>
    <cellStyle name="Normal 4 2 2 10 2 3" xfId="12727" xr:uid="{7F7EE3DF-71C1-421A-B604-CA6EE39A158E}"/>
    <cellStyle name="Normal 4 2 2 10 3" xfId="6371" xr:uid="{00000000-0005-0000-0000-0000EC110000}"/>
    <cellStyle name="Normal 4 2 2 10 3 2" xfId="14800" xr:uid="{A683A85A-73EE-435E-85DA-AD7C03905F92}"/>
    <cellStyle name="Normal 4 2 2 10 4" xfId="10582" xr:uid="{341B606B-DF70-4186-B8E4-5C070F178699}"/>
    <cellStyle name="Normal 4 2 2 11" xfId="2499" xr:uid="{00000000-0005-0000-0000-0000ED110000}"/>
    <cellStyle name="Normal 4 2 2 11 2" xfId="6784" xr:uid="{00000000-0005-0000-0000-0000EE110000}"/>
    <cellStyle name="Normal 4 2 2 11 2 2" xfId="15213" xr:uid="{9A6A80F1-3737-4615-BAA8-36D194663EE2}"/>
    <cellStyle name="Normal 4 2 2 11 3" xfId="10995" xr:uid="{E18C01E3-3D5F-47EB-8E08-89C57FD9DAF4}"/>
    <cellStyle name="Normal 4 2 2 12" xfId="4719" xr:uid="{00000000-0005-0000-0000-0000EF110000}"/>
    <cellStyle name="Normal 4 2 2 12 2" xfId="13148" xr:uid="{93D72E7F-04D0-4847-B74B-5608B42F0323}"/>
    <cellStyle name="Normal 4 2 2 13" xfId="8930" xr:uid="{A2AAE4F3-A4B5-47E2-95A0-184549AB4C15}"/>
    <cellStyle name="Normal 4 2 2 2" xfId="338" xr:uid="{00000000-0005-0000-0000-0000F0110000}"/>
    <cellStyle name="Normal 4 2 2 3" xfId="339" xr:uid="{00000000-0005-0000-0000-0000F1110000}"/>
    <cellStyle name="Normal 4 2 2 3 10" xfId="4720" xr:uid="{00000000-0005-0000-0000-0000F2110000}"/>
    <cellStyle name="Normal 4 2 2 3 10 2" xfId="13149" xr:uid="{45850539-C656-4D71-81C2-E0841AAA8938}"/>
    <cellStyle name="Normal 4 2 2 3 11" xfId="8931" xr:uid="{B0F3A324-A215-4EFC-ADB8-C3489DD27C9F}"/>
    <cellStyle name="Normal 4 2 2 3 2" xfId="340" xr:uid="{00000000-0005-0000-0000-0000F3110000}"/>
    <cellStyle name="Normal 4 2 2 3 2 10" xfId="8932" xr:uid="{E3FC5574-198D-4CD8-8F23-4363C8D6C372}"/>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2 2 2" xfId="15710" xr:uid="{AFA8FE5A-3472-460E-B7E7-E56A33A9ADD7}"/>
    <cellStyle name="Normal 4 2 2 3 2 2 2 2 2 3" xfId="11492" xr:uid="{67545EC3-FFCB-4967-A0C3-26ADC8D5C763}"/>
    <cellStyle name="Normal 4 2 2 3 2 2 2 2 3" xfId="5136" xr:uid="{00000000-0005-0000-0000-0000F9110000}"/>
    <cellStyle name="Normal 4 2 2 3 2 2 2 2 3 2" xfId="13565" xr:uid="{021AE0A4-AA54-45F8-BA22-55938A4DA244}"/>
    <cellStyle name="Normal 4 2 2 3 2 2 2 2 4" xfId="9347" xr:uid="{170DE1C3-CBBA-4D70-8D67-9B78A079C848}"/>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2 2 2" xfId="16123" xr:uid="{5DCBE085-35A7-44E0-9AC6-A57E92F1CBEC}"/>
    <cellStyle name="Normal 4 2 2 3 2 2 2 3 2 3" xfId="11905" xr:uid="{9C0D27DB-3BDE-4075-BF0C-E5B2E58C9100}"/>
    <cellStyle name="Normal 4 2 2 3 2 2 2 3 3" xfId="5549" xr:uid="{00000000-0005-0000-0000-0000FD110000}"/>
    <cellStyle name="Normal 4 2 2 3 2 2 2 3 3 2" xfId="13978" xr:uid="{06A625D1-62E4-426C-8900-14696BFB2AA0}"/>
    <cellStyle name="Normal 4 2 2 3 2 2 2 3 4" xfId="9760" xr:uid="{0FD2FB75-640A-4C05-A77D-97C6FE4B095E}"/>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2 2 2" xfId="16536" xr:uid="{E5CFB328-D253-4A38-95F0-6411B195E089}"/>
    <cellStyle name="Normal 4 2 2 3 2 2 2 4 2 3" xfId="12318" xr:uid="{CD0F86E7-8CB8-4A70-8184-550C827AE6C9}"/>
    <cellStyle name="Normal 4 2 2 3 2 2 2 4 3" xfId="5962" xr:uid="{00000000-0005-0000-0000-000001120000}"/>
    <cellStyle name="Normal 4 2 2 3 2 2 2 4 3 2" xfId="14391" xr:uid="{6B35C15C-43CF-4E9C-9376-0E3C27F6D3B9}"/>
    <cellStyle name="Normal 4 2 2 3 2 2 2 4 4" xfId="10173" xr:uid="{1DE5F683-8CA4-4F85-8A5C-B9513F1F45D3}"/>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2 2 2" xfId="16949" xr:uid="{17184F01-1268-4166-AAB1-2425F378AACB}"/>
    <cellStyle name="Normal 4 2 2 3 2 2 2 5 2 3" xfId="12731" xr:uid="{17CDD638-BE6A-4E79-A1E3-4CB318CEC9DC}"/>
    <cellStyle name="Normal 4 2 2 3 2 2 2 5 3" xfId="6375" xr:uid="{00000000-0005-0000-0000-000005120000}"/>
    <cellStyle name="Normal 4 2 2 3 2 2 2 5 3 2" xfId="14804" xr:uid="{F1AE30C2-E810-44D0-9CD6-88D72DD7F70A}"/>
    <cellStyle name="Normal 4 2 2 3 2 2 2 5 4" xfId="10586" xr:uid="{EA13308B-302A-4EFC-916B-2B8E40639369}"/>
    <cellStyle name="Normal 4 2 2 3 2 2 2 6" xfId="2503" xr:uid="{00000000-0005-0000-0000-000006120000}"/>
    <cellStyle name="Normal 4 2 2 3 2 2 2 6 2" xfId="6788" xr:uid="{00000000-0005-0000-0000-000007120000}"/>
    <cellStyle name="Normal 4 2 2 3 2 2 2 6 2 2" xfId="15217" xr:uid="{BE158CF0-99AD-4F95-B1C4-ED4BE8413E30}"/>
    <cellStyle name="Normal 4 2 2 3 2 2 2 6 3" xfId="10999" xr:uid="{EC951BB6-2647-4F08-9503-90C1231F8D11}"/>
    <cellStyle name="Normal 4 2 2 3 2 2 2 7" xfId="4723" xr:uid="{00000000-0005-0000-0000-000008120000}"/>
    <cellStyle name="Normal 4 2 2 3 2 2 2 7 2" xfId="13152" xr:uid="{8FF13BC2-BC3E-4F7F-AE45-4ED5C8E67B6E}"/>
    <cellStyle name="Normal 4 2 2 3 2 2 2 8" xfId="8934" xr:uid="{48165BEA-F953-48AB-966E-3573AD85EF7A}"/>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2 2 2" xfId="15709" xr:uid="{B807966C-888F-4640-B14A-6A0B9EE919B5}"/>
    <cellStyle name="Normal 4 2 2 3 2 2 3 2 3" xfId="11491" xr:uid="{73CD689D-08E9-4283-9A70-2BECC3ACF479}"/>
    <cellStyle name="Normal 4 2 2 3 2 2 3 3" xfId="5135" xr:uid="{00000000-0005-0000-0000-00000C120000}"/>
    <cellStyle name="Normal 4 2 2 3 2 2 3 3 2" xfId="13564" xr:uid="{B4E226ED-817F-4D37-9DF3-665591C997F6}"/>
    <cellStyle name="Normal 4 2 2 3 2 2 3 4" xfId="9346" xr:uid="{3205286E-5051-47E8-9CF7-EA724EF0D984}"/>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2 2 2" xfId="16122" xr:uid="{B164310C-4A4F-404B-AF31-C0203930647E}"/>
    <cellStyle name="Normal 4 2 2 3 2 2 4 2 3" xfId="11904" xr:uid="{9675AA05-2CEC-4320-B7DF-D98590E199E9}"/>
    <cellStyle name="Normal 4 2 2 3 2 2 4 3" xfId="5548" xr:uid="{00000000-0005-0000-0000-000010120000}"/>
    <cellStyle name="Normal 4 2 2 3 2 2 4 3 2" xfId="13977" xr:uid="{D6590CC4-DD8B-42A1-A017-B21CA5F05914}"/>
    <cellStyle name="Normal 4 2 2 3 2 2 4 4" xfId="9759" xr:uid="{02834F74-0566-43B5-BF37-92816C692B1C}"/>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2 2 2" xfId="16535" xr:uid="{DBBABCC2-4F2B-4E2A-B200-3FF2C2718E75}"/>
    <cellStyle name="Normal 4 2 2 3 2 2 5 2 3" xfId="12317" xr:uid="{94BC7753-030E-47B1-952F-46FC210573DF}"/>
    <cellStyle name="Normal 4 2 2 3 2 2 5 3" xfId="5961" xr:uid="{00000000-0005-0000-0000-000014120000}"/>
    <cellStyle name="Normal 4 2 2 3 2 2 5 3 2" xfId="14390" xr:uid="{9A1D4CD0-51CA-4475-B357-AB43FB916422}"/>
    <cellStyle name="Normal 4 2 2 3 2 2 5 4" xfId="10172" xr:uid="{486536A3-D4A4-4D09-97C6-0FD518117B35}"/>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2 2 2" xfId="16948" xr:uid="{6F08E6F1-BF9E-40B5-BF14-FD17AB9F56B1}"/>
    <cellStyle name="Normal 4 2 2 3 2 2 6 2 3" xfId="12730" xr:uid="{C25DA6FE-30EA-4C38-BAE9-D3617DD94177}"/>
    <cellStyle name="Normal 4 2 2 3 2 2 6 3" xfId="6374" xr:uid="{00000000-0005-0000-0000-000018120000}"/>
    <cellStyle name="Normal 4 2 2 3 2 2 6 3 2" xfId="14803" xr:uid="{9A751F7A-2858-450F-97CC-A580E34C2B6E}"/>
    <cellStyle name="Normal 4 2 2 3 2 2 6 4" xfId="10585" xr:uid="{901812F3-D742-41F6-85F5-EEF72C071E5F}"/>
    <cellStyle name="Normal 4 2 2 3 2 2 7" xfId="2502" xr:uid="{00000000-0005-0000-0000-000019120000}"/>
    <cellStyle name="Normal 4 2 2 3 2 2 7 2" xfId="6787" xr:uid="{00000000-0005-0000-0000-00001A120000}"/>
    <cellStyle name="Normal 4 2 2 3 2 2 7 2 2" xfId="15216" xr:uid="{6D2B89BC-22F1-4CE3-BDA2-97062BE90766}"/>
    <cellStyle name="Normal 4 2 2 3 2 2 7 3" xfId="10998" xr:uid="{3443A306-C14E-4625-9050-C088CBFD1399}"/>
    <cellStyle name="Normal 4 2 2 3 2 2 8" xfId="4722" xr:uid="{00000000-0005-0000-0000-00001B120000}"/>
    <cellStyle name="Normal 4 2 2 3 2 2 8 2" xfId="13151" xr:uid="{CAE73E48-0D5D-4F6D-9DE9-DAE5EA21E927}"/>
    <cellStyle name="Normal 4 2 2 3 2 2 9" xfId="8933" xr:uid="{AD6113BB-4E66-4C13-93D8-1D2757FFA3E5}"/>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2 2 2" xfId="15711" xr:uid="{F678B238-9B7C-4279-961E-E5DE9E99EDD6}"/>
    <cellStyle name="Normal 4 2 2 3 2 3 2 2 3" xfId="11493" xr:uid="{21EE7552-6823-4848-8E57-33586801FC66}"/>
    <cellStyle name="Normal 4 2 2 3 2 3 2 3" xfId="5137" xr:uid="{00000000-0005-0000-0000-000020120000}"/>
    <cellStyle name="Normal 4 2 2 3 2 3 2 3 2" xfId="13566" xr:uid="{7695004E-F6FB-4F79-A920-1672F4B98590}"/>
    <cellStyle name="Normal 4 2 2 3 2 3 2 4" xfId="9348" xr:uid="{B19BEAFA-F823-4DF1-93A2-5C6B6D7D7E4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2 2 2" xfId="16124" xr:uid="{64B5B475-68F9-40A6-949B-E5EA84283D7B}"/>
    <cellStyle name="Normal 4 2 2 3 2 3 3 2 3" xfId="11906" xr:uid="{F1D8AC57-4D85-4BB2-9455-40495567C85C}"/>
    <cellStyle name="Normal 4 2 2 3 2 3 3 3" xfId="5550" xr:uid="{00000000-0005-0000-0000-000024120000}"/>
    <cellStyle name="Normal 4 2 2 3 2 3 3 3 2" xfId="13979" xr:uid="{768E7103-F440-4ED8-B268-CB9D754581E1}"/>
    <cellStyle name="Normal 4 2 2 3 2 3 3 4" xfId="9761" xr:uid="{50606994-5992-4A3C-A4CA-43B5E6AE231A}"/>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2 2 2" xfId="16537" xr:uid="{D36C81DD-603C-4B84-AF8F-73AAC1727B7F}"/>
    <cellStyle name="Normal 4 2 2 3 2 3 4 2 3" xfId="12319" xr:uid="{3AD35716-FC33-4AB1-806C-78D19F73CB7F}"/>
    <cellStyle name="Normal 4 2 2 3 2 3 4 3" xfId="5963" xr:uid="{00000000-0005-0000-0000-000028120000}"/>
    <cellStyle name="Normal 4 2 2 3 2 3 4 3 2" xfId="14392" xr:uid="{78D18AC3-9E44-4D83-90A4-329D52820B42}"/>
    <cellStyle name="Normal 4 2 2 3 2 3 4 4" xfId="10174" xr:uid="{91D03212-DCBA-421A-A703-8090DA745BA3}"/>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2 2 2" xfId="16950" xr:uid="{A76F2AFF-8FC9-4C03-B96D-0E6864E0E6E3}"/>
    <cellStyle name="Normal 4 2 2 3 2 3 5 2 3" xfId="12732" xr:uid="{0DB35648-331E-4628-B665-4BF4B3FEF752}"/>
    <cellStyle name="Normal 4 2 2 3 2 3 5 3" xfId="6376" xr:uid="{00000000-0005-0000-0000-00002C120000}"/>
    <cellStyle name="Normal 4 2 2 3 2 3 5 3 2" xfId="14805" xr:uid="{0C5CCACB-036B-4EDF-9A75-76E78D0D244F}"/>
    <cellStyle name="Normal 4 2 2 3 2 3 5 4" xfId="10587" xr:uid="{D93C1B98-C32D-4BB2-A364-62E8D26FE70A}"/>
    <cellStyle name="Normal 4 2 2 3 2 3 6" xfId="2504" xr:uid="{00000000-0005-0000-0000-00002D120000}"/>
    <cellStyle name="Normal 4 2 2 3 2 3 6 2" xfId="6789" xr:uid="{00000000-0005-0000-0000-00002E120000}"/>
    <cellStyle name="Normal 4 2 2 3 2 3 6 2 2" xfId="15218" xr:uid="{DE22C6FD-2DD2-476D-B96C-6F839AC22921}"/>
    <cellStyle name="Normal 4 2 2 3 2 3 6 3" xfId="11000" xr:uid="{5D92181F-B93E-421E-B998-BF79F75D030F}"/>
    <cellStyle name="Normal 4 2 2 3 2 3 7" xfId="4724" xr:uid="{00000000-0005-0000-0000-00002F120000}"/>
    <cellStyle name="Normal 4 2 2 3 2 3 7 2" xfId="13153" xr:uid="{6F2CE270-EADD-4544-93F0-A5CD3E8AE72E}"/>
    <cellStyle name="Normal 4 2 2 3 2 3 8" xfId="8935" xr:uid="{1139BB39-98C1-4D45-A74A-4B914E258671}"/>
    <cellStyle name="Normal 4 2 2 3 2 4" xfId="818" xr:uid="{00000000-0005-0000-0000-000030120000}"/>
    <cellStyle name="Normal 4 2 2 3 2 4 2" xfId="3055" xr:uid="{00000000-0005-0000-0000-000031120000}"/>
    <cellStyle name="Normal 4 2 2 3 2 4 2 2" xfId="7279" xr:uid="{00000000-0005-0000-0000-000032120000}"/>
    <cellStyle name="Normal 4 2 2 3 2 4 2 2 2" xfId="15708" xr:uid="{BAA01414-86B4-4187-B96B-CD5965001AC1}"/>
    <cellStyle name="Normal 4 2 2 3 2 4 2 3" xfId="11490" xr:uid="{F4F78B98-382B-4048-9F2D-A212758E5005}"/>
    <cellStyle name="Normal 4 2 2 3 2 4 3" xfId="5134" xr:uid="{00000000-0005-0000-0000-000033120000}"/>
    <cellStyle name="Normal 4 2 2 3 2 4 3 2" xfId="13563" xr:uid="{27FE7FE6-00B7-4657-A0B1-AE2EA73BE2CF}"/>
    <cellStyle name="Normal 4 2 2 3 2 4 4" xfId="9345" xr:uid="{07340C80-52BB-4772-A3BF-8929325DAF38}"/>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2 2 2" xfId="16121" xr:uid="{0F7277A8-EAC2-433A-BCA2-9570EC90C1E3}"/>
    <cellStyle name="Normal 4 2 2 3 2 5 2 3" xfId="11903" xr:uid="{FFE9C011-9043-47DE-BDED-AE44470BFE11}"/>
    <cellStyle name="Normal 4 2 2 3 2 5 3" xfId="5547" xr:uid="{00000000-0005-0000-0000-000037120000}"/>
    <cellStyle name="Normal 4 2 2 3 2 5 3 2" xfId="13976" xr:uid="{D78BD7ED-8CB0-45A7-AAE5-DF21167B78FC}"/>
    <cellStyle name="Normal 4 2 2 3 2 5 4" xfId="9758" xr:uid="{41AC8499-A5C5-4D5E-B9EB-F6EDDF6E8768}"/>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2 2 2" xfId="16534" xr:uid="{9960B48E-3F51-4D5C-9158-2DC4D182F23E}"/>
    <cellStyle name="Normal 4 2 2 3 2 6 2 3" xfId="12316" xr:uid="{FAC8D2C0-1B9D-4668-83C1-1C8365C66E0C}"/>
    <cellStyle name="Normal 4 2 2 3 2 6 3" xfId="5960" xr:uid="{00000000-0005-0000-0000-00003B120000}"/>
    <cellStyle name="Normal 4 2 2 3 2 6 3 2" xfId="14389" xr:uid="{2678FD31-7328-4F05-8862-90363B346CA7}"/>
    <cellStyle name="Normal 4 2 2 3 2 6 4" xfId="10171" xr:uid="{051B8817-94C0-46DF-B2E4-D41FC512EA99}"/>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2 2 2" xfId="16947" xr:uid="{B43F6B0F-FFAD-4BD1-8EC5-CFB8F5D97BD0}"/>
    <cellStyle name="Normal 4 2 2 3 2 7 2 3" xfId="12729" xr:uid="{08B00D7B-FD9F-42C5-8254-3D485345F381}"/>
    <cellStyle name="Normal 4 2 2 3 2 7 3" xfId="6373" xr:uid="{00000000-0005-0000-0000-00003F120000}"/>
    <cellStyle name="Normal 4 2 2 3 2 7 3 2" xfId="14802" xr:uid="{BFFF224F-714E-452C-8AD4-8B159BE8CB67}"/>
    <cellStyle name="Normal 4 2 2 3 2 7 4" xfId="10584" xr:uid="{14DEA6F6-F2C0-433D-A26E-67F9DCB8A043}"/>
    <cellStyle name="Normal 4 2 2 3 2 8" xfId="2501" xr:uid="{00000000-0005-0000-0000-000040120000}"/>
    <cellStyle name="Normal 4 2 2 3 2 8 2" xfId="6786" xr:uid="{00000000-0005-0000-0000-000041120000}"/>
    <cellStyle name="Normal 4 2 2 3 2 8 2 2" xfId="15215" xr:uid="{2A7AFB95-4B24-4D26-B329-EA0688E18445}"/>
    <cellStyle name="Normal 4 2 2 3 2 8 3" xfId="10997" xr:uid="{F8B2CA3D-B292-4D37-9EAB-DCEAF98C0AD9}"/>
    <cellStyle name="Normal 4 2 2 3 2 9" xfId="4721" xr:uid="{00000000-0005-0000-0000-000042120000}"/>
    <cellStyle name="Normal 4 2 2 3 2 9 2" xfId="13150" xr:uid="{8898400E-C957-420C-89F4-F14AABEF2C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2 2 2" xfId="15713" xr:uid="{F76C1F70-5AAC-4480-BE7A-CE9FE771F786}"/>
    <cellStyle name="Normal 4 2 2 3 3 2 2 2 3" xfId="11495" xr:uid="{D78AC77E-D900-4143-8EBF-FEC68C64E16E}"/>
    <cellStyle name="Normal 4 2 2 3 3 2 2 3" xfId="5139" xr:uid="{00000000-0005-0000-0000-000048120000}"/>
    <cellStyle name="Normal 4 2 2 3 3 2 2 3 2" xfId="13568" xr:uid="{C44BAF8F-8E87-4F53-9BF5-5F3419885CB1}"/>
    <cellStyle name="Normal 4 2 2 3 3 2 2 4" xfId="9350" xr:uid="{0191740A-3FAA-466F-BB0A-27743492A4E9}"/>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2 2 2" xfId="16126" xr:uid="{67A5BBCC-BA6E-4F5B-86A7-769EAC939942}"/>
    <cellStyle name="Normal 4 2 2 3 3 2 3 2 3" xfId="11908" xr:uid="{CCE64EA6-42C1-45BA-8A0B-3758939A4C37}"/>
    <cellStyle name="Normal 4 2 2 3 3 2 3 3" xfId="5552" xr:uid="{00000000-0005-0000-0000-00004C120000}"/>
    <cellStyle name="Normal 4 2 2 3 3 2 3 3 2" xfId="13981" xr:uid="{A3B01D3F-A63B-4E83-9FCF-96F974229346}"/>
    <cellStyle name="Normal 4 2 2 3 3 2 3 4" xfId="9763" xr:uid="{4F82924C-B723-4986-BC2F-CA8DD03A1471}"/>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2 2 2" xfId="16539" xr:uid="{FB960686-941C-4F04-9AA8-1E05C79D3420}"/>
    <cellStyle name="Normal 4 2 2 3 3 2 4 2 3" xfId="12321" xr:uid="{6D7F9F3F-E11C-4F1F-BC91-D5B64688646E}"/>
    <cellStyle name="Normal 4 2 2 3 3 2 4 3" xfId="5965" xr:uid="{00000000-0005-0000-0000-000050120000}"/>
    <cellStyle name="Normal 4 2 2 3 3 2 4 3 2" xfId="14394" xr:uid="{E58F3016-E1F1-4DF0-8CE9-6551C01CE68B}"/>
    <cellStyle name="Normal 4 2 2 3 3 2 4 4" xfId="10176" xr:uid="{F0C675A9-4204-407B-8DB9-9C389839E21E}"/>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2 2 2" xfId="16952" xr:uid="{72E901A8-17C1-4067-9527-FFC2E68B8D02}"/>
    <cellStyle name="Normal 4 2 2 3 3 2 5 2 3" xfId="12734" xr:uid="{4B4DF7C5-FAD7-4D44-B7A7-CA6813F2F058}"/>
    <cellStyle name="Normal 4 2 2 3 3 2 5 3" xfId="6378" xr:uid="{00000000-0005-0000-0000-000054120000}"/>
    <cellStyle name="Normal 4 2 2 3 3 2 5 3 2" xfId="14807" xr:uid="{4DF5F0FF-4FD6-4C4D-9C6A-7DC60ACC4D07}"/>
    <cellStyle name="Normal 4 2 2 3 3 2 5 4" xfId="10589" xr:uid="{D6B47607-EB23-43FC-A473-11054E305A6A}"/>
    <cellStyle name="Normal 4 2 2 3 3 2 6" xfId="2506" xr:uid="{00000000-0005-0000-0000-000055120000}"/>
    <cellStyle name="Normal 4 2 2 3 3 2 6 2" xfId="6791" xr:uid="{00000000-0005-0000-0000-000056120000}"/>
    <cellStyle name="Normal 4 2 2 3 3 2 6 2 2" xfId="15220" xr:uid="{23CFAEF4-00CB-4488-B9E4-B4119C9F4140}"/>
    <cellStyle name="Normal 4 2 2 3 3 2 6 3" xfId="11002" xr:uid="{C07AEC87-96D5-4501-A279-AC416BF27ED0}"/>
    <cellStyle name="Normal 4 2 2 3 3 2 7" xfId="4726" xr:uid="{00000000-0005-0000-0000-000057120000}"/>
    <cellStyle name="Normal 4 2 2 3 3 2 7 2" xfId="13155" xr:uid="{F819483C-1F8A-4BD4-86D6-A105DAF7F955}"/>
    <cellStyle name="Normal 4 2 2 3 3 2 8" xfId="8937" xr:uid="{C6F374A6-A7AE-42A6-AAC1-DCF6AEE25FBD}"/>
    <cellStyle name="Normal 4 2 2 3 3 3" xfId="822" xr:uid="{00000000-0005-0000-0000-000058120000}"/>
    <cellStyle name="Normal 4 2 2 3 3 3 2" xfId="3059" xr:uid="{00000000-0005-0000-0000-000059120000}"/>
    <cellStyle name="Normal 4 2 2 3 3 3 2 2" xfId="7283" xr:uid="{00000000-0005-0000-0000-00005A120000}"/>
    <cellStyle name="Normal 4 2 2 3 3 3 2 2 2" xfId="15712" xr:uid="{9E99BAD7-B126-4BCF-81D0-A927C8432FFB}"/>
    <cellStyle name="Normal 4 2 2 3 3 3 2 3" xfId="11494" xr:uid="{B845ECE8-B67E-4CE0-BB4D-F361C7618342}"/>
    <cellStyle name="Normal 4 2 2 3 3 3 3" xfId="5138" xr:uid="{00000000-0005-0000-0000-00005B120000}"/>
    <cellStyle name="Normal 4 2 2 3 3 3 3 2" xfId="13567" xr:uid="{C7E29E1D-B34E-43F5-BCA4-D9F63F2C5B98}"/>
    <cellStyle name="Normal 4 2 2 3 3 3 4" xfId="9349" xr:uid="{0BC0E93E-379F-4D23-AA02-07F0409475CA}"/>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2 2 2" xfId="16125" xr:uid="{1B85F029-D273-4317-8A66-6CBBE2CF39D5}"/>
    <cellStyle name="Normal 4 2 2 3 3 4 2 3" xfId="11907" xr:uid="{4D3840C2-56DE-4B8F-AF8D-F72B2B05E9C4}"/>
    <cellStyle name="Normal 4 2 2 3 3 4 3" xfId="5551" xr:uid="{00000000-0005-0000-0000-00005F120000}"/>
    <cellStyle name="Normal 4 2 2 3 3 4 3 2" xfId="13980" xr:uid="{11F5EE78-E493-4999-BBD4-BDA6D09CC34D}"/>
    <cellStyle name="Normal 4 2 2 3 3 4 4" xfId="9762" xr:uid="{C49CEFA6-7652-4BBE-960D-E7DF15163712}"/>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2 2 2" xfId="16538" xr:uid="{601786DD-EAB0-43CF-9CCB-4CF67748D5F2}"/>
    <cellStyle name="Normal 4 2 2 3 3 5 2 3" xfId="12320" xr:uid="{90D91F1E-2B15-43EB-94DB-7F27174CAFFF}"/>
    <cellStyle name="Normal 4 2 2 3 3 5 3" xfId="5964" xr:uid="{00000000-0005-0000-0000-000063120000}"/>
    <cellStyle name="Normal 4 2 2 3 3 5 3 2" xfId="14393" xr:uid="{D6BC34DB-E977-4ACA-A09F-C1A86E2BC685}"/>
    <cellStyle name="Normal 4 2 2 3 3 5 4" xfId="10175" xr:uid="{74AEB2A5-EB1F-49DD-B976-79672061D909}"/>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2 2 2" xfId="16951" xr:uid="{80B6FC70-03A6-464B-BF9C-53A74A426FFE}"/>
    <cellStyle name="Normal 4 2 2 3 3 6 2 3" xfId="12733" xr:uid="{20F2206A-31D7-4464-B2FA-9F1ABC697CC6}"/>
    <cellStyle name="Normal 4 2 2 3 3 6 3" xfId="6377" xr:uid="{00000000-0005-0000-0000-000067120000}"/>
    <cellStyle name="Normal 4 2 2 3 3 6 3 2" xfId="14806" xr:uid="{8381041F-9868-44EF-ABB1-90440D73E7CD}"/>
    <cellStyle name="Normal 4 2 2 3 3 6 4" xfId="10588" xr:uid="{6773E192-3A2C-4740-BF68-94891C95D5CB}"/>
    <cellStyle name="Normal 4 2 2 3 3 7" xfId="2505" xr:uid="{00000000-0005-0000-0000-000068120000}"/>
    <cellStyle name="Normal 4 2 2 3 3 7 2" xfId="6790" xr:uid="{00000000-0005-0000-0000-000069120000}"/>
    <cellStyle name="Normal 4 2 2 3 3 7 2 2" xfId="15219" xr:uid="{3F5E5CCB-DB95-4304-B390-FB5A50B9EAF9}"/>
    <cellStyle name="Normal 4 2 2 3 3 7 3" xfId="11001" xr:uid="{8E16EBD2-7F76-49C4-9925-5E250B3CA5CD}"/>
    <cellStyle name="Normal 4 2 2 3 3 8" xfId="4725" xr:uid="{00000000-0005-0000-0000-00006A120000}"/>
    <cellStyle name="Normal 4 2 2 3 3 8 2" xfId="13154" xr:uid="{679C4115-75B1-4F69-B5CB-7314D6995A58}"/>
    <cellStyle name="Normal 4 2 2 3 3 9" xfId="8936" xr:uid="{79C0E292-4B60-4513-8E3C-92601739532E}"/>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2 2 2" xfId="15714" xr:uid="{0EC0B2B9-2A44-4391-8DA6-E9E018C27276}"/>
    <cellStyle name="Normal 4 2 2 3 4 2 2 3" xfId="11496" xr:uid="{EF179B83-FAAE-4959-9A64-405351D1C898}"/>
    <cellStyle name="Normal 4 2 2 3 4 2 3" xfId="5140" xr:uid="{00000000-0005-0000-0000-00006F120000}"/>
    <cellStyle name="Normal 4 2 2 3 4 2 3 2" xfId="13569" xr:uid="{E80E63EC-43B1-40CE-9AEA-4A0EF970EB34}"/>
    <cellStyle name="Normal 4 2 2 3 4 2 4" xfId="9351" xr:uid="{D4941A6C-07E0-4B2F-B08A-843E8A8EE0FF}"/>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2 2 2" xfId="16127" xr:uid="{CEB5CA79-A7FF-4CC8-9576-23383E7E9912}"/>
    <cellStyle name="Normal 4 2 2 3 4 3 2 3" xfId="11909" xr:uid="{9CE0496B-91DA-47D5-8D7F-BE1A59934111}"/>
    <cellStyle name="Normal 4 2 2 3 4 3 3" xfId="5553" xr:uid="{00000000-0005-0000-0000-000073120000}"/>
    <cellStyle name="Normal 4 2 2 3 4 3 3 2" xfId="13982" xr:uid="{C4F62927-79A7-447E-A1D2-49AA27621546}"/>
    <cellStyle name="Normal 4 2 2 3 4 3 4" xfId="9764" xr:uid="{C916B600-6C20-464D-9D71-702D05B9392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2 2 2" xfId="16540" xr:uid="{297768C7-27AE-4AF3-AB26-4BAE2DC8BA5C}"/>
    <cellStyle name="Normal 4 2 2 3 4 4 2 3" xfId="12322" xr:uid="{2D2DEF24-0053-4072-B705-D84918164D33}"/>
    <cellStyle name="Normal 4 2 2 3 4 4 3" xfId="5966" xr:uid="{00000000-0005-0000-0000-000077120000}"/>
    <cellStyle name="Normal 4 2 2 3 4 4 3 2" xfId="14395" xr:uid="{DB332F17-A5D7-4046-8F9F-B594D381A790}"/>
    <cellStyle name="Normal 4 2 2 3 4 4 4" xfId="10177" xr:uid="{72C31544-E97F-470F-8BD2-5A95615B899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2 2 2" xfId="16953" xr:uid="{44303A3F-84D4-40F1-B7C7-4E57A5B4F90E}"/>
    <cellStyle name="Normal 4 2 2 3 4 5 2 3" xfId="12735" xr:uid="{6DACCE54-9E37-4085-96C3-279FCD0C27C8}"/>
    <cellStyle name="Normal 4 2 2 3 4 5 3" xfId="6379" xr:uid="{00000000-0005-0000-0000-00007B120000}"/>
    <cellStyle name="Normal 4 2 2 3 4 5 3 2" xfId="14808" xr:uid="{1C0F574B-CB30-4220-AF3F-3101E426287E}"/>
    <cellStyle name="Normal 4 2 2 3 4 5 4" xfId="10590" xr:uid="{DDFC3743-4FCE-4DE8-AE8F-8CBB69AECEBE}"/>
    <cellStyle name="Normal 4 2 2 3 4 6" xfId="2507" xr:uid="{00000000-0005-0000-0000-00007C120000}"/>
    <cellStyle name="Normal 4 2 2 3 4 6 2" xfId="6792" xr:uid="{00000000-0005-0000-0000-00007D120000}"/>
    <cellStyle name="Normal 4 2 2 3 4 6 2 2" xfId="15221" xr:uid="{F1282C87-1DEF-46D3-9279-7C0D3C0AFE36}"/>
    <cellStyle name="Normal 4 2 2 3 4 6 3" xfId="11003" xr:uid="{D363F8FB-A962-4B79-8076-E01E6CD6E9C1}"/>
    <cellStyle name="Normal 4 2 2 3 4 7" xfId="4727" xr:uid="{00000000-0005-0000-0000-00007E120000}"/>
    <cellStyle name="Normal 4 2 2 3 4 7 2" xfId="13156" xr:uid="{A9B79829-0ED8-467E-87EF-5E713EC372C9}"/>
    <cellStyle name="Normal 4 2 2 3 4 8" xfId="8938" xr:uid="{3E42AD6E-686F-4A68-AFAA-16845FBAC0BA}"/>
    <cellStyle name="Normal 4 2 2 3 5" xfId="817" xr:uid="{00000000-0005-0000-0000-00007F120000}"/>
    <cellStyle name="Normal 4 2 2 3 5 2" xfId="3054" xr:uid="{00000000-0005-0000-0000-000080120000}"/>
    <cellStyle name="Normal 4 2 2 3 5 2 2" xfId="7278" xr:uid="{00000000-0005-0000-0000-000081120000}"/>
    <cellStyle name="Normal 4 2 2 3 5 2 2 2" xfId="15707" xr:uid="{950AB620-B894-434B-8AB2-65B1D308DD66}"/>
    <cellStyle name="Normal 4 2 2 3 5 2 3" xfId="11489" xr:uid="{0547FEF9-8E17-4E57-A7DA-D724069C8C3D}"/>
    <cellStyle name="Normal 4 2 2 3 5 3" xfId="5133" xr:uid="{00000000-0005-0000-0000-000082120000}"/>
    <cellStyle name="Normal 4 2 2 3 5 3 2" xfId="13562" xr:uid="{6C2823AE-97D1-4896-9509-188402EC6CA8}"/>
    <cellStyle name="Normal 4 2 2 3 5 4" xfId="9344" xr:uid="{900386B4-F5B1-40CA-B487-C44EEF2487BF}"/>
    <cellStyle name="Normal 4 2 2 3 6" xfId="1237" xr:uid="{00000000-0005-0000-0000-000083120000}"/>
    <cellStyle name="Normal 4 2 2 3 6 2" xfId="3467" xr:uid="{00000000-0005-0000-0000-000084120000}"/>
    <cellStyle name="Normal 4 2 2 3 6 2 2" xfId="7691" xr:uid="{00000000-0005-0000-0000-000085120000}"/>
    <cellStyle name="Normal 4 2 2 3 6 2 2 2" xfId="16120" xr:uid="{7A115AAD-2263-4263-A755-3090AB305339}"/>
    <cellStyle name="Normal 4 2 2 3 6 2 3" xfId="11902" xr:uid="{EDF23B9A-88EE-4E2E-828A-642CBF561D85}"/>
    <cellStyle name="Normal 4 2 2 3 6 3" xfId="5546" xr:uid="{00000000-0005-0000-0000-000086120000}"/>
    <cellStyle name="Normal 4 2 2 3 6 3 2" xfId="13975" xr:uid="{D71F8F5A-5562-4ED7-B7E3-FD413A6F57C1}"/>
    <cellStyle name="Normal 4 2 2 3 6 4" xfId="9757" xr:uid="{930B9642-C089-4BB6-BAD1-667582B3D9BD}"/>
    <cellStyle name="Normal 4 2 2 3 7" xfId="1650" xr:uid="{00000000-0005-0000-0000-000087120000}"/>
    <cellStyle name="Normal 4 2 2 3 7 2" xfId="3880" xr:uid="{00000000-0005-0000-0000-000088120000}"/>
    <cellStyle name="Normal 4 2 2 3 7 2 2" xfId="8104" xr:uid="{00000000-0005-0000-0000-000089120000}"/>
    <cellStyle name="Normal 4 2 2 3 7 2 2 2" xfId="16533" xr:uid="{7E8B49FF-7B90-4685-A391-B8A5AB2AD01C}"/>
    <cellStyle name="Normal 4 2 2 3 7 2 3" xfId="12315" xr:uid="{40A6045B-BCA2-4CFA-A059-EF6513578F1F}"/>
    <cellStyle name="Normal 4 2 2 3 7 3" xfId="5959" xr:uid="{00000000-0005-0000-0000-00008A120000}"/>
    <cellStyle name="Normal 4 2 2 3 7 3 2" xfId="14388" xr:uid="{CCA78367-BB78-4417-B354-8EA481E381E7}"/>
    <cellStyle name="Normal 4 2 2 3 7 4" xfId="10170" xr:uid="{802E8DD9-DE51-4375-AB2B-9F031D0CF2BD}"/>
    <cellStyle name="Normal 4 2 2 3 8" xfId="2064" xr:uid="{00000000-0005-0000-0000-00008B120000}"/>
    <cellStyle name="Normal 4 2 2 3 8 2" xfId="4293" xr:uid="{00000000-0005-0000-0000-00008C120000}"/>
    <cellStyle name="Normal 4 2 2 3 8 2 2" xfId="8517" xr:uid="{00000000-0005-0000-0000-00008D120000}"/>
    <cellStyle name="Normal 4 2 2 3 8 2 2 2" xfId="16946" xr:uid="{24FAB2B0-41B2-4017-A3FA-269125DDB24D}"/>
    <cellStyle name="Normal 4 2 2 3 8 2 3" xfId="12728" xr:uid="{C96F3B5C-39DA-4154-820E-66242312CDA3}"/>
    <cellStyle name="Normal 4 2 2 3 8 3" xfId="6372" xr:uid="{00000000-0005-0000-0000-00008E120000}"/>
    <cellStyle name="Normal 4 2 2 3 8 3 2" xfId="14801" xr:uid="{3586F316-BAED-4494-ADB1-FE051564D9CD}"/>
    <cellStyle name="Normal 4 2 2 3 8 4" xfId="10583" xr:uid="{5B07C295-1699-43CD-8911-1D2A4EC52FDE}"/>
    <cellStyle name="Normal 4 2 2 3 9" xfId="2500" xr:uid="{00000000-0005-0000-0000-00008F120000}"/>
    <cellStyle name="Normal 4 2 2 3 9 2" xfId="6785" xr:uid="{00000000-0005-0000-0000-000090120000}"/>
    <cellStyle name="Normal 4 2 2 3 9 2 2" xfId="15214" xr:uid="{85007457-179F-466E-BBBD-CE569CF02116}"/>
    <cellStyle name="Normal 4 2 2 3 9 3" xfId="10996" xr:uid="{5960CFE2-533F-4FB5-9DD3-25F16B97E104}"/>
    <cellStyle name="Normal 4 2 2 4" xfId="347" xr:uid="{00000000-0005-0000-0000-000091120000}"/>
    <cellStyle name="Normal 4 2 2 4 10" xfId="8939" xr:uid="{763D0BFA-A0FC-4550-AE77-2F8524EBC4DF}"/>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2 2 2" xfId="15717" xr:uid="{ED3D77EE-882A-4A82-A0EC-469152913CA0}"/>
    <cellStyle name="Normal 4 2 2 4 2 2 2 2 3" xfId="11499" xr:uid="{92EBF179-FD27-4D88-B33F-D910374AAB12}"/>
    <cellStyle name="Normal 4 2 2 4 2 2 2 3" xfId="5143" xr:uid="{00000000-0005-0000-0000-000097120000}"/>
    <cellStyle name="Normal 4 2 2 4 2 2 2 3 2" xfId="13572" xr:uid="{AB0973F7-B073-430A-9AA4-AEA15A75988F}"/>
    <cellStyle name="Normal 4 2 2 4 2 2 2 4" xfId="9354" xr:uid="{5C3FF0B2-E57A-4FD4-96A9-9F717F3C18F4}"/>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2 2 2" xfId="16130" xr:uid="{65990F21-24C2-4004-B652-80F4EA283299}"/>
    <cellStyle name="Normal 4 2 2 4 2 2 3 2 3" xfId="11912" xr:uid="{3A70F1A2-8DBA-4207-A09F-BD5508BDBDB4}"/>
    <cellStyle name="Normal 4 2 2 4 2 2 3 3" xfId="5556" xr:uid="{00000000-0005-0000-0000-00009B120000}"/>
    <cellStyle name="Normal 4 2 2 4 2 2 3 3 2" xfId="13985" xr:uid="{46232AAF-1A01-4034-B7C3-3F5E3ECBB2DD}"/>
    <cellStyle name="Normal 4 2 2 4 2 2 3 4" xfId="9767" xr:uid="{EC2E1401-2605-4247-8F62-94E4BCE303CB}"/>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2 2 2" xfId="16543" xr:uid="{FD5A2BC0-EF81-4F77-B6F1-FFE201ACADA9}"/>
    <cellStyle name="Normal 4 2 2 4 2 2 4 2 3" xfId="12325" xr:uid="{1ABF82B4-2155-448C-9B42-3EA8567789BF}"/>
    <cellStyle name="Normal 4 2 2 4 2 2 4 3" xfId="5969" xr:uid="{00000000-0005-0000-0000-00009F120000}"/>
    <cellStyle name="Normal 4 2 2 4 2 2 4 3 2" xfId="14398" xr:uid="{1EFB1C15-9304-4C3B-AA3F-0CFC7AD7650E}"/>
    <cellStyle name="Normal 4 2 2 4 2 2 4 4" xfId="10180" xr:uid="{501BB218-C74C-43B6-A6EB-6412DCB8C5B1}"/>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2 2 2" xfId="16956" xr:uid="{38BFAF51-4DE0-4135-AD97-FF3C1E574FA7}"/>
    <cellStyle name="Normal 4 2 2 4 2 2 5 2 3" xfId="12738" xr:uid="{62794E71-7BA5-4FF6-839C-6524DA7F563D}"/>
    <cellStyle name="Normal 4 2 2 4 2 2 5 3" xfId="6382" xr:uid="{00000000-0005-0000-0000-0000A3120000}"/>
    <cellStyle name="Normal 4 2 2 4 2 2 5 3 2" xfId="14811" xr:uid="{08924309-A301-4FD9-A0D9-699641B7D5A0}"/>
    <cellStyle name="Normal 4 2 2 4 2 2 5 4" xfId="10593" xr:uid="{EC9DEF21-4CAE-4AC0-8854-AE66B9555B2E}"/>
    <cellStyle name="Normal 4 2 2 4 2 2 6" xfId="2510" xr:uid="{00000000-0005-0000-0000-0000A4120000}"/>
    <cellStyle name="Normal 4 2 2 4 2 2 6 2" xfId="6795" xr:uid="{00000000-0005-0000-0000-0000A5120000}"/>
    <cellStyle name="Normal 4 2 2 4 2 2 6 2 2" xfId="15224" xr:uid="{558180C0-8191-4845-BED6-4B9103721D98}"/>
    <cellStyle name="Normal 4 2 2 4 2 2 6 3" xfId="11006" xr:uid="{2D1F4EDE-9E74-4410-8DCE-026A74F0AFD8}"/>
    <cellStyle name="Normal 4 2 2 4 2 2 7" xfId="4730" xr:uid="{00000000-0005-0000-0000-0000A6120000}"/>
    <cellStyle name="Normal 4 2 2 4 2 2 7 2" xfId="13159" xr:uid="{2D7B8B16-479E-4323-BCB9-7623DB6EF101}"/>
    <cellStyle name="Normal 4 2 2 4 2 2 8" xfId="8941" xr:uid="{E716D1A6-B602-448E-9D95-D00D61F7516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2 2 2" xfId="15716" xr:uid="{CA16B493-7963-4373-8600-81DBE4EFC98A}"/>
    <cellStyle name="Normal 4 2 2 4 2 3 2 3" xfId="11498" xr:uid="{D86C8142-2A1A-4556-B203-26B87683E804}"/>
    <cellStyle name="Normal 4 2 2 4 2 3 3" xfId="5142" xr:uid="{00000000-0005-0000-0000-0000AA120000}"/>
    <cellStyle name="Normal 4 2 2 4 2 3 3 2" xfId="13571" xr:uid="{52892EA6-26C3-42BC-AB6B-795162FD0FEA}"/>
    <cellStyle name="Normal 4 2 2 4 2 3 4" xfId="9353" xr:uid="{DD3EB982-4308-45C2-8E25-1B65D2312794}"/>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2 2 2" xfId="16129" xr:uid="{423D89A7-E5F6-41C9-8AFC-0BED4404D6CD}"/>
    <cellStyle name="Normal 4 2 2 4 2 4 2 3" xfId="11911" xr:uid="{068EE4B7-1253-45F9-879D-51157E2B5A3D}"/>
    <cellStyle name="Normal 4 2 2 4 2 4 3" xfId="5555" xr:uid="{00000000-0005-0000-0000-0000AE120000}"/>
    <cellStyle name="Normal 4 2 2 4 2 4 3 2" xfId="13984" xr:uid="{DF5E0721-BFB7-43AB-8F57-2AEB79B5E5F6}"/>
    <cellStyle name="Normal 4 2 2 4 2 4 4" xfId="9766" xr:uid="{75AAF933-60B2-4AA0-A3E4-116AEDA8CAE8}"/>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2 2 2" xfId="16542" xr:uid="{007FE291-1859-4781-B3B4-F7B49B9302F7}"/>
    <cellStyle name="Normal 4 2 2 4 2 5 2 3" xfId="12324" xr:uid="{8120CA70-7B5A-46B2-906E-D39C8DE5F170}"/>
    <cellStyle name="Normal 4 2 2 4 2 5 3" xfId="5968" xr:uid="{00000000-0005-0000-0000-0000B2120000}"/>
    <cellStyle name="Normal 4 2 2 4 2 5 3 2" xfId="14397" xr:uid="{8D1C6ACA-5240-409E-845D-D268D55AF716}"/>
    <cellStyle name="Normal 4 2 2 4 2 5 4" xfId="10179" xr:uid="{E1F32B7A-7D61-4975-A0F2-E0C7EBF27163}"/>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2 2 2" xfId="16955" xr:uid="{AF85175C-542E-4729-B51B-FAC76DC247CA}"/>
    <cellStyle name="Normal 4 2 2 4 2 6 2 3" xfId="12737" xr:uid="{5143B967-27B8-4C95-AD4E-5517DFAAA7D6}"/>
    <cellStyle name="Normal 4 2 2 4 2 6 3" xfId="6381" xr:uid="{00000000-0005-0000-0000-0000B6120000}"/>
    <cellStyle name="Normal 4 2 2 4 2 6 3 2" xfId="14810" xr:uid="{7C4A89AB-7509-4E57-9187-2F3F204A0D48}"/>
    <cellStyle name="Normal 4 2 2 4 2 6 4" xfId="10592" xr:uid="{0AC7D595-777D-44DC-A502-FFAC92A55924}"/>
    <cellStyle name="Normal 4 2 2 4 2 7" xfId="2509" xr:uid="{00000000-0005-0000-0000-0000B7120000}"/>
    <cellStyle name="Normal 4 2 2 4 2 7 2" xfId="6794" xr:uid="{00000000-0005-0000-0000-0000B8120000}"/>
    <cellStyle name="Normal 4 2 2 4 2 7 2 2" xfId="15223" xr:uid="{934CD125-3407-4A5C-AD4F-FA76B9F23224}"/>
    <cellStyle name="Normal 4 2 2 4 2 7 3" xfId="11005" xr:uid="{D07B382E-5489-425A-8464-BDF8153156D2}"/>
    <cellStyle name="Normal 4 2 2 4 2 8" xfId="4729" xr:uid="{00000000-0005-0000-0000-0000B9120000}"/>
    <cellStyle name="Normal 4 2 2 4 2 8 2" xfId="13158" xr:uid="{F7F559B6-E357-4BA2-B5E3-E178BEE9C86F}"/>
    <cellStyle name="Normal 4 2 2 4 2 9" xfId="8940" xr:uid="{AD9EEB2C-8E2B-419E-A877-C0BA74095C5C}"/>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2 2 2" xfId="15718" xr:uid="{4F301216-6886-45A5-9B06-A53EC00E3535}"/>
    <cellStyle name="Normal 4 2 2 4 3 2 2 3" xfId="11500" xr:uid="{9A337FC3-7941-4554-B98F-FA53F492ADC0}"/>
    <cellStyle name="Normal 4 2 2 4 3 2 3" xfId="5144" xr:uid="{00000000-0005-0000-0000-0000BE120000}"/>
    <cellStyle name="Normal 4 2 2 4 3 2 3 2" xfId="13573" xr:uid="{1CEFECC1-1D84-42C3-9BF6-CF255CD71265}"/>
    <cellStyle name="Normal 4 2 2 4 3 2 4" xfId="9355" xr:uid="{E275AC66-4ADF-42D6-9EA3-7D1F07374A7B}"/>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2 2 2" xfId="16131" xr:uid="{ABBF8225-CD11-4657-B27D-CB4F377CA1D9}"/>
    <cellStyle name="Normal 4 2 2 4 3 3 2 3" xfId="11913" xr:uid="{00D3EFD2-FAC6-42AC-954B-7832AA56FBF6}"/>
    <cellStyle name="Normal 4 2 2 4 3 3 3" xfId="5557" xr:uid="{00000000-0005-0000-0000-0000C2120000}"/>
    <cellStyle name="Normal 4 2 2 4 3 3 3 2" xfId="13986" xr:uid="{D7A13AFB-EF5E-4385-AEBC-18C2D37B237F}"/>
    <cellStyle name="Normal 4 2 2 4 3 3 4" xfId="9768" xr:uid="{70DB2B40-37E8-4CB6-A58A-ABFDB2A910C7}"/>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2 2 2" xfId="16544" xr:uid="{0A4385F0-8176-4449-99C9-6C3FB25F310A}"/>
    <cellStyle name="Normal 4 2 2 4 3 4 2 3" xfId="12326" xr:uid="{484E020A-6B68-4DDE-8654-F89F301BB455}"/>
    <cellStyle name="Normal 4 2 2 4 3 4 3" xfId="5970" xr:uid="{00000000-0005-0000-0000-0000C6120000}"/>
    <cellStyle name="Normal 4 2 2 4 3 4 3 2" xfId="14399" xr:uid="{A3D2A8A3-432C-46DC-B187-67D62F5D4C45}"/>
    <cellStyle name="Normal 4 2 2 4 3 4 4" xfId="10181" xr:uid="{F5953DC2-B940-41B2-8A92-C7A23DBD77A7}"/>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2 2 2" xfId="16957" xr:uid="{FB33AC4F-112A-4FD3-B974-21E6E7C47336}"/>
    <cellStyle name="Normal 4 2 2 4 3 5 2 3" xfId="12739" xr:uid="{8E8A20FF-965F-42EF-894A-8380E6C5E69D}"/>
    <cellStyle name="Normal 4 2 2 4 3 5 3" xfId="6383" xr:uid="{00000000-0005-0000-0000-0000CA120000}"/>
    <cellStyle name="Normal 4 2 2 4 3 5 3 2" xfId="14812" xr:uid="{482B09AD-C72D-40AC-B8CB-F3F2A9F1B3A2}"/>
    <cellStyle name="Normal 4 2 2 4 3 5 4" xfId="10594" xr:uid="{9B9EBE55-8596-47F1-AA31-F7D52D17F4CD}"/>
    <cellStyle name="Normal 4 2 2 4 3 6" xfId="2511" xr:uid="{00000000-0005-0000-0000-0000CB120000}"/>
    <cellStyle name="Normal 4 2 2 4 3 6 2" xfId="6796" xr:uid="{00000000-0005-0000-0000-0000CC120000}"/>
    <cellStyle name="Normal 4 2 2 4 3 6 2 2" xfId="15225" xr:uid="{BB2EE409-BC88-4318-9F22-865E59B235CC}"/>
    <cellStyle name="Normal 4 2 2 4 3 6 3" xfId="11007" xr:uid="{23736954-E2FC-4FF1-98CD-D11BED5F3575}"/>
    <cellStyle name="Normal 4 2 2 4 3 7" xfId="4731" xr:uid="{00000000-0005-0000-0000-0000CD120000}"/>
    <cellStyle name="Normal 4 2 2 4 3 7 2" xfId="13160" xr:uid="{6A5D29AE-8EFD-44BD-855B-9B259FA0796F}"/>
    <cellStyle name="Normal 4 2 2 4 3 8" xfId="8942" xr:uid="{4AB2E390-EC31-41DB-89A2-BCDF4E389738}"/>
    <cellStyle name="Normal 4 2 2 4 4" xfId="825" xr:uid="{00000000-0005-0000-0000-0000CE120000}"/>
    <cellStyle name="Normal 4 2 2 4 4 2" xfId="3062" xr:uid="{00000000-0005-0000-0000-0000CF120000}"/>
    <cellStyle name="Normal 4 2 2 4 4 2 2" xfId="7286" xr:uid="{00000000-0005-0000-0000-0000D0120000}"/>
    <cellStyle name="Normal 4 2 2 4 4 2 2 2" xfId="15715" xr:uid="{CEE44199-6510-4337-9E25-2BF156BDE02F}"/>
    <cellStyle name="Normal 4 2 2 4 4 2 3" xfId="11497" xr:uid="{5DA3B45D-6841-49B7-B654-04E210CE606E}"/>
    <cellStyle name="Normal 4 2 2 4 4 3" xfId="5141" xr:uid="{00000000-0005-0000-0000-0000D1120000}"/>
    <cellStyle name="Normal 4 2 2 4 4 3 2" xfId="13570" xr:uid="{BCFCFA9B-F55B-4A0B-9B00-9E9765C67D4F}"/>
    <cellStyle name="Normal 4 2 2 4 4 4" xfId="9352" xr:uid="{7EED5E35-CD17-44F9-A08E-B1B165133D95}"/>
    <cellStyle name="Normal 4 2 2 4 5" xfId="1245" xr:uid="{00000000-0005-0000-0000-0000D2120000}"/>
    <cellStyle name="Normal 4 2 2 4 5 2" xfId="3475" xr:uid="{00000000-0005-0000-0000-0000D3120000}"/>
    <cellStyle name="Normal 4 2 2 4 5 2 2" xfId="7699" xr:uid="{00000000-0005-0000-0000-0000D4120000}"/>
    <cellStyle name="Normal 4 2 2 4 5 2 2 2" xfId="16128" xr:uid="{4BDF2387-5D18-4765-B684-D768B2B000D3}"/>
    <cellStyle name="Normal 4 2 2 4 5 2 3" xfId="11910" xr:uid="{E081C6F3-B862-4E6D-A9E8-6214B3B6F1F5}"/>
    <cellStyle name="Normal 4 2 2 4 5 3" xfId="5554" xr:uid="{00000000-0005-0000-0000-0000D5120000}"/>
    <cellStyle name="Normal 4 2 2 4 5 3 2" xfId="13983" xr:uid="{059694A7-D750-428F-B87A-9865B4A5BB98}"/>
    <cellStyle name="Normal 4 2 2 4 5 4" xfId="9765" xr:uid="{5A6794ED-BDE1-4ADD-A6B8-37AABD196674}"/>
    <cellStyle name="Normal 4 2 2 4 6" xfId="1658" xr:uid="{00000000-0005-0000-0000-0000D6120000}"/>
    <cellStyle name="Normal 4 2 2 4 6 2" xfId="3888" xr:uid="{00000000-0005-0000-0000-0000D7120000}"/>
    <cellStyle name="Normal 4 2 2 4 6 2 2" xfId="8112" xr:uid="{00000000-0005-0000-0000-0000D8120000}"/>
    <cellStyle name="Normal 4 2 2 4 6 2 2 2" xfId="16541" xr:uid="{4531B530-F5F3-4DF5-A746-2997F585555D}"/>
    <cellStyle name="Normal 4 2 2 4 6 2 3" xfId="12323" xr:uid="{B466DC87-8F60-4F23-AD49-D075D5AD9294}"/>
    <cellStyle name="Normal 4 2 2 4 6 3" xfId="5967" xr:uid="{00000000-0005-0000-0000-0000D9120000}"/>
    <cellStyle name="Normal 4 2 2 4 6 3 2" xfId="14396" xr:uid="{9B34DEC3-AD94-462C-B0DD-474E6F36E981}"/>
    <cellStyle name="Normal 4 2 2 4 6 4" xfId="10178" xr:uid="{02942F48-7EBA-4B14-8C5A-2753A5948678}"/>
    <cellStyle name="Normal 4 2 2 4 7" xfId="2072" xr:uid="{00000000-0005-0000-0000-0000DA120000}"/>
    <cellStyle name="Normal 4 2 2 4 7 2" xfId="4301" xr:uid="{00000000-0005-0000-0000-0000DB120000}"/>
    <cellStyle name="Normal 4 2 2 4 7 2 2" xfId="8525" xr:uid="{00000000-0005-0000-0000-0000DC120000}"/>
    <cellStyle name="Normal 4 2 2 4 7 2 2 2" xfId="16954" xr:uid="{4E93D45F-D810-4EC0-A104-2A27D583AE20}"/>
    <cellStyle name="Normal 4 2 2 4 7 2 3" xfId="12736" xr:uid="{7A4355CF-BA6F-4477-9F59-306771ADF3E9}"/>
    <cellStyle name="Normal 4 2 2 4 7 3" xfId="6380" xr:uid="{00000000-0005-0000-0000-0000DD120000}"/>
    <cellStyle name="Normal 4 2 2 4 7 3 2" xfId="14809" xr:uid="{3621764D-AF67-4A2D-9E6A-3A7380E0A413}"/>
    <cellStyle name="Normal 4 2 2 4 7 4" xfId="10591" xr:uid="{E52BC96B-6605-44AB-9FD5-8B28615FC1F2}"/>
    <cellStyle name="Normal 4 2 2 4 8" xfId="2508" xr:uid="{00000000-0005-0000-0000-0000DE120000}"/>
    <cellStyle name="Normal 4 2 2 4 8 2" xfId="6793" xr:uid="{00000000-0005-0000-0000-0000DF120000}"/>
    <cellStyle name="Normal 4 2 2 4 8 2 2" xfId="15222" xr:uid="{63A3DD05-4C10-4C7A-BB13-2C2F5458A9C7}"/>
    <cellStyle name="Normal 4 2 2 4 8 3" xfId="11004" xr:uid="{4F646E58-1B0D-48B3-80A1-DA7D6CF6CF64}"/>
    <cellStyle name="Normal 4 2 2 4 9" xfId="4728" xr:uid="{00000000-0005-0000-0000-0000E0120000}"/>
    <cellStyle name="Normal 4 2 2 4 9 2" xfId="13157" xr:uid="{6C7C29D3-2733-44E0-838A-BD8F26639D96}"/>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2 2 2" xfId="15720" xr:uid="{BADB9D8A-B604-49CD-9DE0-38F63523E51F}"/>
    <cellStyle name="Normal 4 2 2 5 2 2 2 3" xfId="11502" xr:uid="{58C74B6A-513B-42A5-96F9-40E6BBB4217F}"/>
    <cellStyle name="Normal 4 2 2 5 2 2 3" xfId="5146" xr:uid="{00000000-0005-0000-0000-0000E6120000}"/>
    <cellStyle name="Normal 4 2 2 5 2 2 3 2" xfId="13575" xr:uid="{E9A144DF-B351-4913-8DAC-4AC912D81F36}"/>
    <cellStyle name="Normal 4 2 2 5 2 2 4" xfId="9357" xr:uid="{CBDEEC46-E72F-4F61-80E9-65C4FE888B56}"/>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2 2 2" xfId="16133" xr:uid="{D2BEC77B-59E2-4295-A9D7-66C391E15BFE}"/>
    <cellStyle name="Normal 4 2 2 5 2 3 2 3" xfId="11915" xr:uid="{B05AB911-18CA-4B2A-B49F-67499E7D6A3D}"/>
    <cellStyle name="Normal 4 2 2 5 2 3 3" xfId="5559" xr:uid="{00000000-0005-0000-0000-0000EA120000}"/>
    <cellStyle name="Normal 4 2 2 5 2 3 3 2" xfId="13988" xr:uid="{5D758DEA-2241-44F3-AAEC-07930B780B0F}"/>
    <cellStyle name="Normal 4 2 2 5 2 3 4" xfId="9770" xr:uid="{80F4BDEB-7B60-4D80-9A08-29C120A36589}"/>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2 2 2" xfId="16546" xr:uid="{05F165D9-B56D-45DD-9FD7-D5905ACFB8A7}"/>
    <cellStyle name="Normal 4 2 2 5 2 4 2 3" xfId="12328" xr:uid="{B2E6468E-BC1C-4DF3-9D9D-CD9FE8A50B1D}"/>
    <cellStyle name="Normal 4 2 2 5 2 4 3" xfId="5972" xr:uid="{00000000-0005-0000-0000-0000EE120000}"/>
    <cellStyle name="Normal 4 2 2 5 2 4 3 2" xfId="14401" xr:uid="{4FD29185-E4F4-4DB3-ACAD-D6180453BE22}"/>
    <cellStyle name="Normal 4 2 2 5 2 4 4" xfId="10183" xr:uid="{AF47C081-1893-4206-BF0A-A4FAE4D06183}"/>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2 2 2" xfId="16959" xr:uid="{A56ACCC4-CC63-4FB3-97EB-E221818949D1}"/>
    <cellStyle name="Normal 4 2 2 5 2 5 2 3" xfId="12741" xr:uid="{9343B5A2-9B28-4953-9D1F-70512A5DE0DB}"/>
    <cellStyle name="Normal 4 2 2 5 2 5 3" xfId="6385" xr:uid="{00000000-0005-0000-0000-0000F2120000}"/>
    <cellStyle name="Normal 4 2 2 5 2 5 3 2" xfId="14814" xr:uid="{C48CE9FB-98D4-4101-8ADD-DE8F8EF8BE24}"/>
    <cellStyle name="Normal 4 2 2 5 2 5 4" xfId="10596" xr:uid="{54B553A4-F005-442D-A9A3-B5AD4F1FDC99}"/>
    <cellStyle name="Normal 4 2 2 5 2 6" xfId="2513" xr:uid="{00000000-0005-0000-0000-0000F3120000}"/>
    <cellStyle name="Normal 4 2 2 5 2 6 2" xfId="6798" xr:uid="{00000000-0005-0000-0000-0000F4120000}"/>
    <cellStyle name="Normal 4 2 2 5 2 6 2 2" xfId="15227" xr:uid="{7517B3A1-CE20-468E-92AE-5CED8615CCE8}"/>
    <cellStyle name="Normal 4 2 2 5 2 6 3" xfId="11009" xr:uid="{21ED33D1-4668-4BD7-BEE3-E06F34A7A349}"/>
    <cellStyle name="Normal 4 2 2 5 2 7" xfId="4733" xr:uid="{00000000-0005-0000-0000-0000F5120000}"/>
    <cellStyle name="Normal 4 2 2 5 2 7 2" xfId="13162" xr:uid="{CC14F6F0-BDF5-4B9C-B056-BEBD23653182}"/>
    <cellStyle name="Normal 4 2 2 5 2 8" xfId="8944" xr:uid="{2081169B-A62D-4B53-AD1C-57FFB24D70CE}"/>
    <cellStyle name="Normal 4 2 2 5 3" xfId="829" xr:uid="{00000000-0005-0000-0000-0000F6120000}"/>
    <cellStyle name="Normal 4 2 2 5 3 2" xfId="3066" xr:uid="{00000000-0005-0000-0000-0000F7120000}"/>
    <cellStyle name="Normal 4 2 2 5 3 2 2" xfId="7290" xr:uid="{00000000-0005-0000-0000-0000F8120000}"/>
    <cellStyle name="Normal 4 2 2 5 3 2 2 2" xfId="15719" xr:uid="{79E276BB-21BA-4472-A1C5-23C9C368796E}"/>
    <cellStyle name="Normal 4 2 2 5 3 2 3" xfId="11501" xr:uid="{5DD7A467-79E0-41D8-8281-721B32488BC0}"/>
    <cellStyle name="Normal 4 2 2 5 3 3" xfId="5145" xr:uid="{00000000-0005-0000-0000-0000F9120000}"/>
    <cellStyle name="Normal 4 2 2 5 3 3 2" xfId="13574" xr:uid="{57510445-9234-4E5A-9A96-43C23980D1A6}"/>
    <cellStyle name="Normal 4 2 2 5 3 4" xfId="9356" xr:uid="{BF5091CF-AE7B-44F6-83ED-393C5599DC69}"/>
    <cellStyle name="Normal 4 2 2 5 4" xfId="1249" xr:uid="{00000000-0005-0000-0000-0000FA120000}"/>
    <cellStyle name="Normal 4 2 2 5 4 2" xfId="3479" xr:uid="{00000000-0005-0000-0000-0000FB120000}"/>
    <cellStyle name="Normal 4 2 2 5 4 2 2" xfId="7703" xr:uid="{00000000-0005-0000-0000-0000FC120000}"/>
    <cellStyle name="Normal 4 2 2 5 4 2 2 2" xfId="16132" xr:uid="{FEA8DBFD-22C2-49B7-B9FB-C2D4FB162DE3}"/>
    <cellStyle name="Normal 4 2 2 5 4 2 3" xfId="11914" xr:uid="{E4779635-4822-4D9E-91E5-89289DE0CB99}"/>
    <cellStyle name="Normal 4 2 2 5 4 3" xfId="5558" xr:uid="{00000000-0005-0000-0000-0000FD120000}"/>
    <cellStyle name="Normal 4 2 2 5 4 3 2" xfId="13987" xr:uid="{A14A7E77-6E55-4EB5-84FA-FBCAF8AB5BB6}"/>
    <cellStyle name="Normal 4 2 2 5 4 4" xfId="9769" xr:uid="{F3E7406D-A3C0-4370-8703-92F780D6E70E}"/>
    <cellStyle name="Normal 4 2 2 5 5" xfId="1662" xr:uid="{00000000-0005-0000-0000-0000FE120000}"/>
    <cellStyle name="Normal 4 2 2 5 5 2" xfId="3892" xr:uid="{00000000-0005-0000-0000-0000FF120000}"/>
    <cellStyle name="Normal 4 2 2 5 5 2 2" xfId="8116" xr:uid="{00000000-0005-0000-0000-000000130000}"/>
    <cellStyle name="Normal 4 2 2 5 5 2 2 2" xfId="16545" xr:uid="{8A242C7B-5B31-4049-B4A6-63D76A0B17CF}"/>
    <cellStyle name="Normal 4 2 2 5 5 2 3" xfId="12327" xr:uid="{DDDE7DD8-30B3-46C3-9A7F-EAEFFE612D68}"/>
    <cellStyle name="Normal 4 2 2 5 5 3" xfId="5971" xr:uid="{00000000-0005-0000-0000-000001130000}"/>
    <cellStyle name="Normal 4 2 2 5 5 3 2" xfId="14400" xr:uid="{1376C04F-254F-4365-B710-6BB0496CE683}"/>
    <cellStyle name="Normal 4 2 2 5 5 4" xfId="10182" xr:uid="{5A1E33B4-0C53-49E2-BD70-79FBD492DA82}"/>
    <cellStyle name="Normal 4 2 2 5 6" xfId="2076" xr:uid="{00000000-0005-0000-0000-000002130000}"/>
    <cellStyle name="Normal 4 2 2 5 6 2" xfId="4305" xr:uid="{00000000-0005-0000-0000-000003130000}"/>
    <cellStyle name="Normal 4 2 2 5 6 2 2" xfId="8529" xr:uid="{00000000-0005-0000-0000-000004130000}"/>
    <cellStyle name="Normal 4 2 2 5 6 2 2 2" xfId="16958" xr:uid="{0C240990-E684-4F27-AD4B-E8C1970D4ECE}"/>
    <cellStyle name="Normal 4 2 2 5 6 2 3" xfId="12740" xr:uid="{EC607343-740F-47B6-B876-3DB0254BD766}"/>
    <cellStyle name="Normal 4 2 2 5 6 3" xfId="6384" xr:uid="{00000000-0005-0000-0000-000005130000}"/>
    <cellStyle name="Normal 4 2 2 5 6 3 2" xfId="14813" xr:uid="{50EBDBBD-4EE1-46BC-924D-FADA9227DA15}"/>
    <cellStyle name="Normal 4 2 2 5 6 4" xfId="10595" xr:uid="{ECAC250E-2F3A-439A-83A2-648C4804A6D4}"/>
    <cellStyle name="Normal 4 2 2 5 7" xfId="2512" xr:uid="{00000000-0005-0000-0000-000006130000}"/>
    <cellStyle name="Normal 4 2 2 5 7 2" xfId="6797" xr:uid="{00000000-0005-0000-0000-000007130000}"/>
    <cellStyle name="Normal 4 2 2 5 7 2 2" xfId="15226" xr:uid="{D83CE64D-144B-42BB-84EE-6A42F3273377}"/>
    <cellStyle name="Normal 4 2 2 5 7 3" xfId="11008" xr:uid="{1AFC1713-D3D8-4EA5-B0EF-39D8CDA9CAFD}"/>
    <cellStyle name="Normal 4 2 2 5 8" xfId="4732" xr:uid="{00000000-0005-0000-0000-000008130000}"/>
    <cellStyle name="Normal 4 2 2 5 8 2" xfId="13161" xr:uid="{29C7827F-379D-4627-BF9F-041F668CBE6C}"/>
    <cellStyle name="Normal 4 2 2 5 9" xfId="8943" xr:uid="{A8439FF3-D5F0-4F95-9CFB-3136CE09B255}"/>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2 2 2" xfId="15721" xr:uid="{A319F285-9613-4E06-B24E-D6BE4600D360}"/>
    <cellStyle name="Normal 4 2 2 6 2 2 3" xfId="11503" xr:uid="{DFAAC79D-6D50-4199-8F67-A51D750A4F63}"/>
    <cellStyle name="Normal 4 2 2 6 2 3" xfId="5147" xr:uid="{00000000-0005-0000-0000-00000D130000}"/>
    <cellStyle name="Normal 4 2 2 6 2 3 2" xfId="13576" xr:uid="{60A6D9A4-CB3D-44F1-A7C2-5C784D34E0C8}"/>
    <cellStyle name="Normal 4 2 2 6 2 4" xfId="9358" xr:uid="{AF2B79B6-D544-4C65-8CFF-88F63B276AF7}"/>
    <cellStyle name="Normal 4 2 2 6 3" xfId="1251" xr:uid="{00000000-0005-0000-0000-00000E130000}"/>
    <cellStyle name="Normal 4 2 2 6 3 2" xfId="3481" xr:uid="{00000000-0005-0000-0000-00000F130000}"/>
    <cellStyle name="Normal 4 2 2 6 3 2 2" xfId="7705" xr:uid="{00000000-0005-0000-0000-000010130000}"/>
    <cellStyle name="Normal 4 2 2 6 3 2 2 2" xfId="16134" xr:uid="{73D8FB67-9998-43B3-A200-91ED69E639C5}"/>
    <cellStyle name="Normal 4 2 2 6 3 2 3" xfId="11916" xr:uid="{9CDE12B9-B029-46A0-AB9F-AF349C00E041}"/>
    <cellStyle name="Normal 4 2 2 6 3 3" xfId="5560" xr:uid="{00000000-0005-0000-0000-000011130000}"/>
    <cellStyle name="Normal 4 2 2 6 3 3 2" xfId="13989" xr:uid="{543744A8-1183-4D99-B326-A1A96A564363}"/>
    <cellStyle name="Normal 4 2 2 6 3 4" xfId="9771" xr:uid="{378BE082-EAFB-4923-B77A-7D6971859A0C}"/>
    <cellStyle name="Normal 4 2 2 6 4" xfId="1664" xr:uid="{00000000-0005-0000-0000-000012130000}"/>
    <cellStyle name="Normal 4 2 2 6 4 2" xfId="3894" xr:uid="{00000000-0005-0000-0000-000013130000}"/>
    <cellStyle name="Normal 4 2 2 6 4 2 2" xfId="8118" xr:uid="{00000000-0005-0000-0000-000014130000}"/>
    <cellStyle name="Normal 4 2 2 6 4 2 2 2" xfId="16547" xr:uid="{3B680F37-D4BE-41D4-ACF2-6494B45D69D3}"/>
    <cellStyle name="Normal 4 2 2 6 4 2 3" xfId="12329" xr:uid="{F98D6F87-DEF7-411F-8F02-F471713152F2}"/>
    <cellStyle name="Normal 4 2 2 6 4 3" xfId="5973" xr:uid="{00000000-0005-0000-0000-000015130000}"/>
    <cellStyle name="Normal 4 2 2 6 4 3 2" xfId="14402" xr:uid="{AEF0AB64-C23A-4087-B9C8-AFCA1935F000}"/>
    <cellStyle name="Normal 4 2 2 6 4 4" xfId="10184" xr:uid="{5D23BDD1-4882-40D9-B5CD-83DB3F63D446}"/>
    <cellStyle name="Normal 4 2 2 6 5" xfId="2078" xr:uid="{00000000-0005-0000-0000-000016130000}"/>
    <cellStyle name="Normal 4 2 2 6 5 2" xfId="4307" xr:uid="{00000000-0005-0000-0000-000017130000}"/>
    <cellStyle name="Normal 4 2 2 6 5 2 2" xfId="8531" xr:uid="{00000000-0005-0000-0000-000018130000}"/>
    <cellStyle name="Normal 4 2 2 6 5 2 2 2" xfId="16960" xr:uid="{A6190AC8-A32C-4BCF-A05B-9C7EC94D1083}"/>
    <cellStyle name="Normal 4 2 2 6 5 2 3" xfId="12742" xr:uid="{5AAF295A-2BCE-4207-BFE4-F23FAD5D8064}"/>
    <cellStyle name="Normal 4 2 2 6 5 3" xfId="6386" xr:uid="{00000000-0005-0000-0000-000019130000}"/>
    <cellStyle name="Normal 4 2 2 6 5 3 2" xfId="14815" xr:uid="{33DBA1DB-B149-454A-83C2-E5B81B907B20}"/>
    <cellStyle name="Normal 4 2 2 6 5 4" xfId="10597" xr:uid="{6F60B753-41F3-484D-8EFF-5AFC0B285E1A}"/>
    <cellStyle name="Normal 4 2 2 6 6" xfId="2514" xr:uid="{00000000-0005-0000-0000-00001A130000}"/>
    <cellStyle name="Normal 4 2 2 6 6 2" xfId="6799" xr:uid="{00000000-0005-0000-0000-00001B130000}"/>
    <cellStyle name="Normal 4 2 2 6 6 2 2" xfId="15228" xr:uid="{19CC4628-160C-4373-A45D-4AD092B13CDB}"/>
    <cellStyle name="Normal 4 2 2 6 6 3" xfId="11010" xr:uid="{D1A578B0-95C1-4339-BC90-D6634443FDF9}"/>
    <cellStyle name="Normal 4 2 2 6 7" xfId="4734" xr:uid="{00000000-0005-0000-0000-00001C130000}"/>
    <cellStyle name="Normal 4 2 2 6 7 2" xfId="13163" xr:uid="{5CC23E2C-30C6-4BD2-8C52-3B11E361792F}"/>
    <cellStyle name="Normal 4 2 2 6 8" xfId="8945" xr:uid="{01FE459A-6F08-471B-A98B-190521F19B5D}"/>
    <cellStyle name="Normal 4 2 2 7" xfId="816" xr:uid="{00000000-0005-0000-0000-00001D130000}"/>
    <cellStyle name="Normal 4 2 2 7 2" xfId="3053" xr:uid="{00000000-0005-0000-0000-00001E130000}"/>
    <cellStyle name="Normal 4 2 2 7 2 2" xfId="7277" xr:uid="{00000000-0005-0000-0000-00001F130000}"/>
    <cellStyle name="Normal 4 2 2 7 2 2 2" xfId="15706" xr:uid="{8C7E1CDC-A7BB-4605-970F-091FC25D81D2}"/>
    <cellStyle name="Normal 4 2 2 7 2 3" xfId="11488" xr:uid="{CF325E12-2832-4DA0-A1E2-0D2F0413140D}"/>
    <cellStyle name="Normal 4 2 2 7 3" xfId="5132" xr:uid="{00000000-0005-0000-0000-000020130000}"/>
    <cellStyle name="Normal 4 2 2 7 3 2" xfId="13561" xr:uid="{676F8D5C-9861-4016-A647-9020CDF0BFC6}"/>
    <cellStyle name="Normal 4 2 2 7 4" xfId="9343" xr:uid="{5DBEA8A9-58BA-4B93-A0AD-0C1B0CB784EB}"/>
    <cellStyle name="Normal 4 2 2 8" xfId="1236" xr:uid="{00000000-0005-0000-0000-000021130000}"/>
    <cellStyle name="Normal 4 2 2 8 2" xfId="3466" xr:uid="{00000000-0005-0000-0000-000022130000}"/>
    <cellStyle name="Normal 4 2 2 8 2 2" xfId="7690" xr:uid="{00000000-0005-0000-0000-000023130000}"/>
    <cellStyle name="Normal 4 2 2 8 2 2 2" xfId="16119" xr:uid="{C25AB008-201E-4BE3-8460-408670BCC369}"/>
    <cellStyle name="Normal 4 2 2 8 2 3" xfId="11901" xr:uid="{E90D0C47-8C1D-464D-87BA-DAEE59CD8F66}"/>
    <cellStyle name="Normal 4 2 2 8 3" xfId="5545" xr:uid="{00000000-0005-0000-0000-000024130000}"/>
    <cellStyle name="Normal 4 2 2 8 3 2" xfId="13974" xr:uid="{41EE167F-EE5C-4960-9E48-BCE0A35B936E}"/>
    <cellStyle name="Normal 4 2 2 8 4" xfId="9756" xr:uid="{83A176B3-C7F6-4C16-A04B-AC48397A4620}"/>
    <cellStyle name="Normal 4 2 2 9" xfId="1649" xr:uid="{00000000-0005-0000-0000-000025130000}"/>
    <cellStyle name="Normal 4 2 2 9 2" xfId="3879" xr:uid="{00000000-0005-0000-0000-000026130000}"/>
    <cellStyle name="Normal 4 2 2 9 2 2" xfId="8103" xr:uid="{00000000-0005-0000-0000-000027130000}"/>
    <cellStyle name="Normal 4 2 2 9 2 2 2" xfId="16532" xr:uid="{1041D565-3819-4943-ADEB-E9F5C3CB2CF1}"/>
    <cellStyle name="Normal 4 2 2 9 2 3" xfId="12314" xr:uid="{6EFCC01D-7962-4049-A99C-F084DE7EEDA1}"/>
    <cellStyle name="Normal 4 2 2 9 3" xfId="5958" xr:uid="{00000000-0005-0000-0000-000028130000}"/>
    <cellStyle name="Normal 4 2 2 9 3 2" xfId="14387" xr:uid="{26A4936B-E8B8-41B2-A7CA-CBDA0819C984}"/>
    <cellStyle name="Normal 4 2 2 9 4" xfId="10169" xr:uid="{CF55622C-E8BF-479D-A04C-2D9148478475}"/>
    <cellStyle name="Normal 4 2 3" xfId="354" xr:uid="{00000000-0005-0000-0000-000029130000}"/>
    <cellStyle name="Normal 4 2 4" xfId="355" xr:uid="{00000000-0005-0000-0000-00002A130000}"/>
    <cellStyle name="Normal 4 2 4 10" xfId="4735" xr:uid="{00000000-0005-0000-0000-00002B130000}"/>
    <cellStyle name="Normal 4 2 4 10 2" xfId="13164" xr:uid="{69FE189B-2750-459F-AF71-DCA1EBA89358}"/>
    <cellStyle name="Normal 4 2 4 11" xfId="8946" xr:uid="{C0BF80FC-820B-4BC9-84A4-9FD932668327}"/>
    <cellStyle name="Normal 4 2 4 2" xfId="356" xr:uid="{00000000-0005-0000-0000-00002C130000}"/>
    <cellStyle name="Normal 4 2 4 2 10" xfId="8947" xr:uid="{9331F691-CDBA-4766-8BA3-296E9CC508AE}"/>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2 2 2" xfId="15725" xr:uid="{AF7DE593-B978-4EB9-805D-1BA051F3CAF5}"/>
    <cellStyle name="Normal 4 2 4 2 2 2 2 2 3" xfId="11507" xr:uid="{C1DE24EC-2082-4C57-98A3-1B4690BD36B7}"/>
    <cellStyle name="Normal 4 2 4 2 2 2 2 3" xfId="5151" xr:uid="{00000000-0005-0000-0000-000032130000}"/>
    <cellStyle name="Normal 4 2 4 2 2 2 2 3 2" xfId="13580" xr:uid="{D846A8F6-D40C-4615-AD91-099B29C7A566}"/>
    <cellStyle name="Normal 4 2 4 2 2 2 2 4" xfId="9362" xr:uid="{0663A339-401A-481F-8392-B12B74012A5E}"/>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2 2 2" xfId="16138" xr:uid="{6BA7A0AA-3F1B-4E8F-8C97-8E12B0B54AF2}"/>
    <cellStyle name="Normal 4 2 4 2 2 2 3 2 3" xfId="11920" xr:uid="{12E3AFEE-3A08-4D65-8570-55A1F62373E2}"/>
    <cellStyle name="Normal 4 2 4 2 2 2 3 3" xfId="5564" xr:uid="{00000000-0005-0000-0000-000036130000}"/>
    <cellStyle name="Normal 4 2 4 2 2 2 3 3 2" xfId="13993" xr:uid="{647395FD-4C65-479A-B2E3-DEAF44FD0F06}"/>
    <cellStyle name="Normal 4 2 4 2 2 2 3 4" xfId="9775" xr:uid="{13A07370-14DC-4885-9972-686AF4E9DC3F}"/>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2 2 2" xfId="16551" xr:uid="{E29EE074-41C4-46D7-82CC-C3D7AA0BA5A1}"/>
    <cellStyle name="Normal 4 2 4 2 2 2 4 2 3" xfId="12333" xr:uid="{63290962-6B51-4425-8BF4-C0A5D9469C8D}"/>
    <cellStyle name="Normal 4 2 4 2 2 2 4 3" xfId="5977" xr:uid="{00000000-0005-0000-0000-00003A130000}"/>
    <cellStyle name="Normal 4 2 4 2 2 2 4 3 2" xfId="14406" xr:uid="{6EE8BDBB-1176-4505-BC45-DCE38C200E77}"/>
    <cellStyle name="Normal 4 2 4 2 2 2 4 4" xfId="10188" xr:uid="{746870B3-5010-41E0-A744-919BC288B4AE}"/>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2 2 2" xfId="16964" xr:uid="{DD5F29D1-0AB9-4A8A-90BE-7D18E19DCF1C}"/>
    <cellStyle name="Normal 4 2 4 2 2 2 5 2 3" xfId="12746" xr:uid="{3EBC0429-85DE-49CD-A61C-3A96BD6A9C2E}"/>
    <cellStyle name="Normal 4 2 4 2 2 2 5 3" xfId="6390" xr:uid="{00000000-0005-0000-0000-00003E130000}"/>
    <cellStyle name="Normal 4 2 4 2 2 2 5 3 2" xfId="14819" xr:uid="{7507FA26-8A80-4776-9A97-545305D04DC0}"/>
    <cellStyle name="Normal 4 2 4 2 2 2 5 4" xfId="10601" xr:uid="{4B5F6231-8BDC-4EFE-A24C-89CD89B2106C}"/>
    <cellStyle name="Normal 4 2 4 2 2 2 6" xfId="2518" xr:uid="{00000000-0005-0000-0000-00003F130000}"/>
    <cellStyle name="Normal 4 2 4 2 2 2 6 2" xfId="6803" xr:uid="{00000000-0005-0000-0000-000040130000}"/>
    <cellStyle name="Normal 4 2 4 2 2 2 6 2 2" xfId="15232" xr:uid="{4AAB0624-A51D-4A30-B0E6-E3A1055C996D}"/>
    <cellStyle name="Normal 4 2 4 2 2 2 6 3" xfId="11014" xr:uid="{C1CD422C-E637-48DA-9B3B-8753CB9AF810}"/>
    <cellStyle name="Normal 4 2 4 2 2 2 7" xfId="4738" xr:uid="{00000000-0005-0000-0000-000041130000}"/>
    <cellStyle name="Normal 4 2 4 2 2 2 7 2" xfId="13167" xr:uid="{8F71AB29-A32D-4BC2-B6FF-98F3CE5DE51E}"/>
    <cellStyle name="Normal 4 2 4 2 2 2 8" xfId="8949" xr:uid="{ACCEE3EC-4B06-40A6-9C58-47EFE445D745}"/>
    <cellStyle name="Normal 4 2 4 2 2 3" xfId="834" xr:uid="{00000000-0005-0000-0000-000042130000}"/>
    <cellStyle name="Normal 4 2 4 2 2 3 2" xfId="3071" xr:uid="{00000000-0005-0000-0000-000043130000}"/>
    <cellStyle name="Normal 4 2 4 2 2 3 2 2" xfId="7295" xr:uid="{00000000-0005-0000-0000-000044130000}"/>
    <cellStyle name="Normal 4 2 4 2 2 3 2 2 2" xfId="15724" xr:uid="{9584E41C-6B5B-4C2B-8749-B489EFDB29B4}"/>
    <cellStyle name="Normal 4 2 4 2 2 3 2 3" xfId="11506" xr:uid="{62E56C33-F19C-4EDC-BF67-5F555BDEA688}"/>
    <cellStyle name="Normal 4 2 4 2 2 3 3" xfId="5150" xr:uid="{00000000-0005-0000-0000-000045130000}"/>
    <cellStyle name="Normal 4 2 4 2 2 3 3 2" xfId="13579" xr:uid="{B7D04C13-5929-4AB5-BC28-92D2900B3E6F}"/>
    <cellStyle name="Normal 4 2 4 2 2 3 4" xfId="9361" xr:uid="{72479BE1-3661-4B93-9B90-4A0C57F24FD9}"/>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2 2 2" xfId="16137" xr:uid="{F6E55D52-1A6D-4188-B891-B017ED945A99}"/>
    <cellStyle name="Normal 4 2 4 2 2 4 2 3" xfId="11919" xr:uid="{AABC3882-CA05-4E46-8D5F-F8DB45832EC0}"/>
    <cellStyle name="Normal 4 2 4 2 2 4 3" xfId="5563" xr:uid="{00000000-0005-0000-0000-000049130000}"/>
    <cellStyle name="Normal 4 2 4 2 2 4 3 2" xfId="13992" xr:uid="{C55EBBA8-2D2C-4E0B-8331-D003E70A3326}"/>
    <cellStyle name="Normal 4 2 4 2 2 4 4" xfId="9774" xr:uid="{D483C930-390E-4900-AFA1-3665A310C96C}"/>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2 2 2" xfId="16550" xr:uid="{9D45170D-627E-4462-A6C4-0107559FCF0D}"/>
    <cellStyle name="Normal 4 2 4 2 2 5 2 3" xfId="12332" xr:uid="{CB334DA9-A33A-4D8C-A149-8153AE891F51}"/>
    <cellStyle name="Normal 4 2 4 2 2 5 3" xfId="5976" xr:uid="{00000000-0005-0000-0000-00004D130000}"/>
    <cellStyle name="Normal 4 2 4 2 2 5 3 2" xfId="14405" xr:uid="{9D517B0A-541B-42A4-98E6-1FCD040551B9}"/>
    <cellStyle name="Normal 4 2 4 2 2 5 4" xfId="10187" xr:uid="{7A233933-984F-47A4-9315-4035C8D9458F}"/>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2 2 2" xfId="16963" xr:uid="{2672F662-A2F5-4C2E-A695-D890A6C9771E}"/>
    <cellStyle name="Normal 4 2 4 2 2 6 2 3" xfId="12745" xr:uid="{FF3ECFCF-2EB8-4FBE-AC82-310DA944D7B2}"/>
    <cellStyle name="Normal 4 2 4 2 2 6 3" xfId="6389" xr:uid="{00000000-0005-0000-0000-000051130000}"/>
    <cellStyle name="Normal 4 2 4 2 2 6 3 2" xfId="14818" xr:uid="{A45939BF-105C-4CEB-BE00-88600C7B39D9}"/>
    <cellStyle name="Normal 4 2 4 2 2 6 4" xfId="10600" xr:uid="{E919DA44-1AC3-4172-8F17-73475A27DC79}"/>
    <cellStyle name="Normal 4 2 4 2 2 7" xfId="2517" xr:uid="{00000000-0005-0000-0000-000052130000}"/>
    <cellStyle name="Normal 4 2 4 2 2 7 2" xfId="6802" xr:uid="{00000000-0005-0000-0000-000053130000}"/>
    <cellStyle name="Normal 4 2 4 2 2 7 2 2" xfId="15231" xr:uid="{2C91E281-3756-41BE-9BBA-EEB0A06E5203}"/>
    <cellStyle name="Normal 4 2 4 2 2 7 3" xfId="11013" xr:uid="{952BE967-A3D7-42F5-9569-76BC988C8C48}"/>
    <cellStyle name="Normal 4 2 4 2 2 8" xfId="4737" xr:uid="{00000000-0005-0000-0000-000054130000}"/>
    <cellStyle name="Normal 4 2 4 2 2 8 2" xfId="13166" xr:uid="{7E548C5A-C63A-4288-93E5-61F171247640}"/>
    <cellStyle name="Normal 4 2 4 2 2 9" xfId="8948" xr:uid="{BE1E281F-9F9A-475A-A43A-EA31756CEBE1}"/>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2 2 2" xfId="15726" xr:uid="{D7D2E049-67DC-4364-9E62-CA5250667122}"/>
    <cellStyle name="Normal 4 2 4 2 3 2 2 3" xfId="11508" xr:uid="{DC02CBD5-01C9-46D3-9521-39B31139E838}"/>
    <cellStyle name="Normal 4 2 4 2 3 2 3" xfId="5152" xr:uid="{00000000-0005-0000-0000-000059130000}"/>
    <cellStyle name="Normal 4 2 4 2 3 2 3 2" xfId="13581" xr:uid="{880FDF0E-EEE4-4188-A448-67FB92FA0892}"/>
    <cellStyle name="Normal 4 2 4 2 3 2 4" xfId="9363" xr:uid="{AA07466F-FFFA-444D-B540-13B7F17E81F1}"/>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2 2 2" xfId="16139" xr:uid="{B380F90F-B0F9-4FEB-97A1-524BF44A534D}"/>
    <cellStyle name="Normal 4 2 4 2 3 3 2 3" xfId="11921" xr:uid="{7ECD7A86-CF9E-4671-9FAB-90161253634E}"/>
    <cellStyle name="Normal 4 2 4 2 3 3 3" xfId="5565" xr:uid="{00000000-0005-0000-0000-00005D130000}"/>
    <cellStyle name="Normal 4 2 4 2 3 3 3 2" xfId="13994" xr:uid="{CBB90D96-63C1-4848-9931-92F490C60569}"/>
    <cellStyle name="Normal 4 2 4 2 3 3 4" xfId="9776" xr:uid="{2D9864CC-E247-4A64-980D-83EAE0F810C4}"/>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2 2 2" xfId="16552" xr:uid="{8F8D7E6E-784A-4270-883A-8A1FAC10A99F}"/>
    <cellStyle name="Normal 4 2 4 2 3 4 2 3" xfId="12334" xr:uid="{F21B3643-E96A-41DC-BC83-7FB5C1CABEAC}"/>
    <cellStyle name="Normal 4 2 4 2 3 4 3" xfId="5978" xr:uid="{00000000-0005-0000-0000-000061130000}"/>
    <cellStyle name="Normal 4 2 4 2 3 4 3 2" xfId="14407" xr:uid="{5A15550E-885E-4EFE-A876-CA0DB4EFBA86}"/>
    <cellStyle name="Normal 4 2 4 2 3 4 4" xfId="10189" xr:uid="{6145078E-9A96-4BE6-ABF7-6F3F621655D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2 2 2" xfId="16965" xr:uid="{FFF2BD1B-CB23-4B18-8617-82E142F72D88}"/>
    <cellStyle name="Normal 4 2 4 2 3 5 2 3" xfId="12747" xr:uid="{ED0424FF-A219-4109-8859-3F2BDB68DF35}"/>
    <cellStyle name="Normal 4 2 4 2 3 5 3" xfId="6391" xr:uid="{00000000-0005-0000-0000-000065130000}"/>
    <cellStyle name="Normal 4 2 4 2 3 5 3 2" xfId="14820" xr:uid="{04E73275-F17A-4822-A873-E71184A2CD8E}"/>
    <cellStyle name="Normal 4 2 4 2 3 5 4" xfId="10602" xr:uid="{021C8947-D823-4C6A-8E04-DA9A201A7A5B}"/>
    <cellStyle name="Normal 4 2 4 2 3 6" xfId="2519" xr:uid="{00000000-0005-0000-0000-000066130000}"/>
    <cellStyle name="Normal 4 2 4 2 3 6 2" xfId="6804" xr:uid="{00000000-0005-0000-0000-000067130000}"/>
    <cellStyle name="Normal 4 2 4 2 3 6 2 2" xfId="15233" xr:uid="{6733ACF4-B400-4CE2-BBD4-B8A2C5A0F0E5}"/>
    <cellStyle name="Normal 4 2 4 2 3 6 3" xfId="11015" xr:uid="{F2C44CA8-BAFA-41BA-940D-585302B8AD6C}"/>
    <cellStyle name="Normal 4 2 4 2 3 7" xfId="4739" xr:uid="{00000000-0005-0000-0000-000068130000}"/>
    <cellStyle name="Normal 4 2 4 2 3 7 2" xfId="13168" xr:uid="{14B922B9-969A-4024-A76B-41667DAEAD83}"/>
    <cellStyle name="Normal 4 2 4 2 3 8" xfId="8950" xr:uid="{B841DAC6-C323-4ABF-87A8-99E8CEFE6AE2}"/>
    <cellStyle name="Normal 4 2 4 2 4" xfId="833" xr:uid="{00000000-0005-0000-0000-000069130000}"/>
    <cellStyle name="Normal 4 2 4 2 4 2" xfId="3070" xr:uid="{00000000-0005-0000-0000-00006A130000}"/>
    <cellStyle name="Normal 4 2 4 2 4 2 2" xfId="7294" xr:uid="{00000000-0005-0000-0000-00006B130000}"/>
    <cellStyle name="Normal 4 2 4 2 4 2 2 2" xfId="15723" xr:uid="{ED3A1A16-2B84-4043-A1A8-3DE88907D3DF}"/>
    <cellStyle name="Normal 4 2 4 2 4 2 3" xfId="11505" xr:uid="{51B7B3DE-9BEE-4B53-8641-6319A39DCF57}"/>
    <cellStyle name="Normal 4 2 4 2 4 3" xfId="5149" xr:uid="{00000000-0005-0000-0000-00006C130000}"/>
    <cellStyle name="Normal 4 2 4 2 4 3 2" xfId="13578" xr:uid="{85E7EDE2-EC21-4E8D-B380-474CCF95C31F}"/>
    <cellStyle name="Normal 4 2 4 2 4 4" xfId="9360" xr:uid="{398F2E6E-EB03-4DE0-AC58-560AE2069386}"/>
    <cellStyle name="Normal 4 2 4 2 5" xfId="1253" xr:uid="{00000000-0005-0000-0000-00006D130000}"/>
    <cellStyle name="Normal 4 2 4 2 5 2" xfId="3483" xr:uid="{00000000-0005-0000-0000-00006E130000}"/>
    <cellStyle name="Normal 4 2 4 2 5 2 2" xfId="7707" xr:uid="{00000000-0005-0000-0000-00006F130000}"/>
    <cellStyle name="Normal 4 2 4 2 5 2 2 2" xfId="16136" xr:uid="{E309D252-693F-450F-A86C-8FF8BF13B2A3}"/>
    <cellStyle name="Normal 4 2 4 2 5 2 3" xfId="11918" xr:uid="{80555C13-6A72-41DF-98D1-F999E2DF59CC}"/>
    <cellStyle name="Normal 4 2 4 2 5 3" xfId="5562" xr:uid="{00000000-0005-0000-0000-000070130000}"/>
    <cellStyle name="Normal 4 2 4 2 5 3 2" xfId="13991" xr:uid="{85BEFEB4-4F9D-44E0-9EDE-C886A4374B4D}"/>
    <cellStyle name="Normal 4 2 4 2 5 4" xfId="9773" xr:uid="{B453ADAC-77D5-4E53-8977-884CC588EA69}"/>
    <cellStyle name="Normal 4 2 4 2 6" xfId="1666" xr:uid="{00000000-0005-0000-0000-000071130000}"/>
    <cellStyle name="Normal 4 2 4 2 6 2" xfId="3896" xr:uid="{00000000-0005-0000-0000-000072130000}"/>
    <cellStyle name="Normal 4 2 4 2 6 2 2" xfId="8120" xr:uid="{00000000-0005-0000-0000-000073130000}"/>
    <cellStyle name="Normal 4 2 4 2 6 2 2 2" xfId="16549" xr:uid="{4070DAE8-6ACF-48AC-938A-368ADA0EA0BB}"/>
    <cellStyle name="Normal 4 2 4 2 6 2 3" xfId="12331" xr:uid="{E802EF64-2947-45C5-B29F-698A0492387B}"/>
    <cellStyle name="Normal 4 2 4 2 6 3" xfId="5975" xr:uid="{00000000-0005-0000-0000-000074130000}"/>
    <cellStyle name="Normal 4 2 4 2 6 3 2" xfId="14404" xr:uid="{0D979AC5-BAD4-4C3A-9B44-6A8ABA286DC3}"/>
    <cellStyle name="Normal 4 2 4 2 6 4" xfId="10186" xr:uid="{CDC49650-02F8-4D58-9761-6F0D9854500B}"/>
    <cellStyle name="Normal 4 2 4 2 7" xfId="2080" xr:uid="{00000000-0005-0000-0000-000075130000}"/>
    <cellStyle name="Normal 4 2 4 2 7 2" xfId="4309" xr:uid="{00000000-0005-0000-0000-000076130000}"/>
    <cellStyle name="Normal 4 2 4 2 7 2 2" xfId="8533" xr:uid="{00000000-0005-0000-0000-000077130000}"/>
    <cellStyle name="Normal 4 2 4 2 7 2 2 2" xfId="16962" xr:uid="{2226B606-97DB-4BE3-97D9-9009A494F12C}"/>
    <cellStyle name="Normal 4 2 4 2 7 2 3" xfId="12744" xr:uid="{C3A978D3-28C8-4588-97A3-19133074DF03}"/>
    <cellStyle name="Normal 4 2 4 2 7 3" xfId="6388" xr:uid="{00000000-0005-0000-0000-000078130000}"/>
    <cellStyle name="Normal 4 2 4 2 7 3 2" xfId="14817" xr:uid="{A071F42D-31C2-4021-9E78-347C54BE8F70}"/>
    <cellStyle name="Normal 4 2 4 2 7 4" xfId="10599" xr:uid="{13148416-A8EB-4231-8F4E-B9D72C498D8D}"/>
    <cellStyle name="Normal 4 2 4 2 8" xfId="2516" xr:uid="{00000000-0005-0000-0000-000079130000}"/>
    <cellStyle name="Normal 4 2 4 2 8 2" xfId="6801" xr:uid="{00000000-0005-0000-0000-00007A130000}"/>
    <cellStyle name="Normal 4 2 4 2 8 2 2" xfId="15230" xr:uid="{D27A2A09-FFDE-417C-821C-6E46FFDAFA6D}"/>
    <cellStyle name="Normal 4 2 4 2 8 3" xfId="11012" xr:uid="{4FADFC6A-8DD2-4DD5-BC03-B18BE7A51D18}"/>
    <cellStyle name="Normal 4 2 4 2 9" xfId="4736" xr:uid="{00000000-0005-0000-0000-00007B130000}"/>
    <cellStyle name="Normal 4 2 4 2 9 2" xfId="13165" xr:uid="{743513D5-435C-496D-8DF5-C2D7979E09CC}"/>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2 2 2" xfId="15728" xr:uid="{5A50B44E-01E2-4CC4-AED3-ECC97F2D858C}"/>
    <cellStyle name="Normal 4 2 4 3 2 2 2 3" xfId="11510" xr:uid="{22ED40D6-885A-41F1-B523-3F4FAAB5A951}"/>
    <cellStyle name="Normal 4 2 4 3 2 2 3" xfId="5154" xr:uid="{00000000-0005-0000-0000-000081130000}"/>
    <cellStyle name="Normal 4 2 4 3 2 2 3 2" xfId="13583" xr:uid="{0AFFCFAA-1D83-4460-B365-E78B578EC5FD}"/>
    <cellStyle name="Normal 4 2 4 3 2 2 4" xfId="9365" xr:uid="{1357B9BD-B29C-4555-B7A0-FC80AFCC9D0A}"/>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2 2 2" xfId="16141" xr:uid="{1FA0AEB8-8EAB-4B04-9838-CF0B98469701}"/>
    <cellStyle name="Normal 4 2 4 3 2 3 2 3" xfId="11923" xr:uid="{F76FBE7B-2392-4F50-8914-92779804090B}"/>
    <cellStyle name="Normal 4 2 4 3 2 3 3" xfId="5567" xr:uid="{00000000-0005-0000-0000-000085130000}"/>
    <cellStyle name="Normal 4 2 4 3 2 3 3 2" xfId="13996" xr:uid="{2BA79AEA-202B-4CD4-B590-747F85A22BB4}"/>
    <cellStyle name="Normal 4 2 4 3 2 3 4" xfId="9778" xr:uid="{FA40BC99-96D0-4605-8A6E-BAE503359D84}"/>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2 2 2" xfId="16554" xr:uid="{B122C0E8-6827-406C-8BA5-DAC6F09925D8}"/>
    <cellStyle name="Normal 4 2 4 3 2 4 2 3" xfId="12336" xr:uid="{C8B70C4D-7EEF-4A7A-A28A-EDC2D0AEAD50}"/>
    <cellStyle name="Normal 4 2 4 3 2 4 3" xfId="5980" xr:uid="{00000000-0005-0000-0000-000089130000}"/>
    <cellStyle name="Normal 4 2 4 3 2 4 3 2" xfId="14409" xr:uid="{DBD9E548-BA7E-4388-B2C2-46C6079B1435}"/>
    <cellStyle name="Normal 4 2 4 3 2 4 4" xfId="10191" xr:uid="{F7D4BA7A-D738-4820-B5B3-45F723114C85}"/>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2 2 2" xfId="16967" xr:uid="{737CDBE7-660F-4131-BFEC-5F2DD5E63C62}"/>
    <cellStyle name="Normal 4 2 4 3 2 5 2 3" xfId="12749" xr:uid="{B016BFD2-829A-451D-A580-909E8BB515FF}"/>
    <cellStyle name="Normal 4 2 4 3 2 5 3" xfId="6393" xr:uid="{00000000-0005-0000-0000-00008D130000}"/>
    <cellStyle name="Normal 4 2 4 3 2 5 3 2" xfId="14822" xr:uid="{6AE33D6F-CD4D-4F52-BB69-E6E04A15696B}"/>
    <cellStyle name="Normal 4 2 4 3 2 5 4" xfId="10604" xr:uid="{29845461-7ABE-4E91-AF07-F15396DD01C0}"/>
    <cellStyle name="Normal 4 2 4 3 2 6" xfId="2521" xr:uid="{00000000-0005-0000-0000-00008E130000}"/>
    <cellStyle name="Normal 4 2 4 3 2 6 2" xfId="6806" xr:uid="{00000000-0005-0000-0000-00008F130000}"/>
    <cellStyle name="Normal 4 2 4 3 2 6 2 2" xfId="15235" xr:uid="{FE08141A-059B-42AD-9EDA-9606E90DD95D}"/>
    <cellStyle name="Normal 4 2 4 3 2 6 3" xfId="11017" xr:uid="{FE34AEE8-3A09-47D0-A468-E0E857B4FA53}"/>
    <cellStyle name="Normal 4 2 4 3 2 7" xfId="4741" xr:uid="{00000000-0005-0000-0000-000090130000}"/>
    <cellStyle name="Normal 4 2 4 3 2 7 2" xfId="13170" xr:uid="{C3C956A2-2843-44DA-BA6D-5FDDB70D1F03}"/>
    <cellStyle name="Normal 4 2 4 3 2 8" xfId="8952" xr:uid="{AE6A02FB-E1CC-4B5E-8B37-2AEE13418C9D}"/>
    <cellStyle name="Normal 4 2 4 3 3" xfId="837" xr:uid="{00000000-0005-0000-0000-000091130000}"/>
    <cellStyle name="Normal 4 2 4 3 3 2" xfId="3074" xr:uid="{00000000-0005-0000-0000-000092130000}"/>
    <cellStyle name="Normal 4 2 4 3 3 2 2" xfId="7298" xr:uid="{00000000-0005-0000-0000-000093130000}"/>
    <cellStyle name="Normal 4 2 4 3 3 2 2 2" xfId="15727" xr:uid="{8F46FD52-B65A-4F11-8BED-1556A1278BB5}"/>
    <cellStyle name="Normal 4 2 4 3 3 2 3" xfId="11509" xr:uid="{44BD493F-93BC-4881-9032-8EB6F6568E73}"/>
    <cellStyle name="Normal 4 2 4 3 3 3" xfId="5153" xr:uid="{00000000-0005-0000-0000-000094130000}"/>
    <cellStyle name="Normal 4 2 4 3 3 3 2" xfId="13582" xr:uid="{64E811C1-39E2-48B4-9DA7-98A2B49290B8}"/>
    <cellStyle name="Normal 4 2 4 3 3 4" xfId="9364" xr:uid="{14FA5F22-5149-450C-82A2-C8552BD8FCAF}"/>
    <cellStyle name="Normal 4 2 4 3 4" xfId="1257" xr:uid="{00000000-0005-0000-0000-000095130000}"/>
    <cellStyle name="Normal 4 2 4 3 4 2" xfId="3487" xr:uid="{00000000-0005-0000-0000-000096130000}"/>
    <cellStyle name="Normal 4 2 4 3 4 2 2" xfId="7711" xr:uid="{00000000-0005-0000-0000-000097130000}"/>
    <cellStyle name="Normal 4 2 4 3 4 2 2 2" xfId="16140" xr:uid="{9C89F18C-8462-449E-BBFA-3F244F170BC4}"/>
    <cellStyle name="Normal 4 2 4 3 4 2 3" xfId="11922" xr:uid="{6B3CB75A-A6CA-493F-9C67-F8B51BE6DDCA}"/>
    <cellStyle name="Normal 4 2 4 3 4 3" xfId="5566" xr:uid="{00000000-0005-0000-0000-000098130000}"/>
    <cellStyle name="Normal 4 2 4 3 4 3 2" xfId="13995" xr:uid="{17C1B457-9148-41C2-98E6-73736BAAC66A}"/>
    <cellStyle name="Normal 4 2 4 3 4 4" xfId="9777" xr:uid="{1B8B5CAE-FBCB-4995-90F7-86BAF7C67348}"/>
    <cellStyle name="Normal 4 2 4 3 5" xfId="1670" xr:uid="{00000000-0005-0000-0000-000099130000}"/>
    <cellStyle name="Normal 4 2 4 3 5 2" xfId="3900" xr:uid="{00000000-0005-0000-0000-00009A130000}"/>
    <cellStyle name="Normal 4 2 4 3 5 2 2" xfId="8124" xr:uid="{00000000-0005-0000-0000-00009B130000}"/>
    <cellStyle name="Normal 4 2 4 3 5 2 2 2" xfId="16553" xr:uid="{152DF464-3C3F-4A99-B2CB-E19C11116730}"/>
    <cellStyle name="Normal 4 2 4 3 5 2 3" xfId="12335" xr:uid="{4F57BD92-A4DB-408A-A90E-B5FABC9BD95D}"/>
    <cellStyle name="Normal 4 2 4 3 5 3" xfId="5979" xr:uid="{00000000-0005-0000-0000-00009C130000}"/>
    <cellStyle name="Normal 4 2 4 3 5 3 2" xfId="14408" xr:uid="{E5C88DCE-D66E-4BB0-B42B-00A3841543A8}"/>
    <cellStyle name="Normal 4 2 4 3 5 4" xfId="10190" xr:uid="{A72A41DE-20B4-4881-BEFD-4418E99CEA71}"/>
    <cellStyle name="Normal 4 2 4 3 6" xfId="2084" xr:uid="{00000000-0005-0000-0000-00009D130000}"/>
    <cellStyle name="Normal 4 2 4 3 6 2" xfId="4313" xr:uid="{00000000-0005-0000-0000-00009E130000}"/>
    <cellStyle name="Normal 4 2 4 3 6 2 2" xfId="8537" xr:uid="{00000000-0005-0000-0000-00009F130000}"/>
    <cellStyle name="Normal 4 2 4 3 6 2 2 2" xfId="16966" xr:uid="{483FBB29-BB9F-42FE-9E64-3C9AB912C04C}"/>
    <cellStyle name="Normal 4 2 4 3 6 2 3" xfId="12748" xr:uid="{5B71B02F-78FA-4655-8F70-C814C4593174}"/>
    <cellStyle name="Normal 4 2 4 3 6 3" xfId="6392" xr:uid="{00000000-0005-0000-0000-0000A0130000}"/>
    <cellStyle name="Normal 4 2 4 3 6 3 2" xfId="14821" xr:uid="{7B13935D-6CDD-40FC-ACF5-0F69CE9FA99A}"/>
    <cellStyle name="Normal 4 2 4 3 6 4" xfId="10603" xr:uid="{07FC4935-99D6-46EF-84A4-D0DBD3A90157}"/>
    <cellStyle name="Normal 4 2 4 3 7" xfId="2520" xr:uid="{00000000-0005-0000-0000-0000A1130000}"/>
    <cellStyle name="Normal 4 2 4 3 7 2" xfId="6805" xr:uid="{00000000-0005-0000-0000-0000A2130000}"/>
    <cellStyle name="Normal 4 2 4 3 7 2 2" xfId="15234" xr:uid="{E12C9E78-EA3B-4C10-8DD2-DE9638C85D45}"/>
    <cellStyle name="Normal 4 2 4 3 7 3" xfId="11016" xr:uid="{4D36BF90-AC2B-4AB2-BF23-5656A5821CBD}"/>
    <cellStyle name="Normal 4 2 4 3 8" xfId="4740" xr:uid="{00000000-0005-0000-0000-0000A3130000}"/>
    <cellStyle name="Normal 4 2 4 3 8 2" xfId="13169" xr:uid="{5D78847F-B12F-4858-B7D0-41EE8C9A1DB9}"/>
    <cellStyle name="Normal 4 2 4 3 9" xfId="8951" xr:uid="{34A4279F-8B0D-42B8-8212-8479C438B4E2}"/>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2 2 2" xfId="15729" xr:uid="{43F786B0-3766-4AE0-9810-457920D29E17}"/>
    <cellStyle name="Normal 4 2 4 4 2 2 3" xfId="11511" xr:uid="{6BD9FC66-85F7-4554-8F86-C513DFF4B93E}"/>
    <cellStyle name="Normal 4 2 4 4 2 3" xfId="5155" xr:uid="{00000000-0005-0000-0000-0000A8130000}"/>
    <cellStyle name="Normal 4 2 4 4 2 3 2" xfId="13584" xr:uid="{D157D5C7-F80D-4FDC-8E86-5C45354F3F8A}"/>
    <cellStyle name="Normal 4 2 4 4 2 4" xfId="9366" xr:uid="{825F1A75-DC2C-4E6C-9F1A-BD11D2E22BA0}"/>
    <cellStyle name="Normal 4 2 4 4 3" xfId="1259" xr:uid="{00000000-0005-0000-0000-0000A9130000}"/>
    <cellStyle name="Normal 4 2 4 4 3 2" xfId="3489" xr:uid="{00000000-0005-0000-0000-0000AA130000}"/>
    <cellStyle name="Normal 4 2 4 4 3 2 2" xfId="7713" xr:uid="{00000000-0005-0000-0000-0000AB130000}"/>
    <cellStyle name="Normal 4 2 4 4 3 2 2 2" xfId="16142" xr:uid="{C9FF7940-2AA6-4E5A-8604-965C161DDA8B}"/>
    <cellStyle name="Normal 4 2 4 4 3 2 3" xfId="11924" xr:uid="{96B0CED4-30CD-4FDB-9252-6E3DE446ECFE}"/>
    <cellStyle name="Normal 4 2 4 4 3 3" xfId="5568" xr:uid="{00000000-0005-0000-0000-0000AC130000}"/>
    <cellStyle name="Normal 4 2 4 4 3 3 2" xfId="13997" xr:uid="{83A00B43-20DA-4AEB-BA46-B0E0DC480AD8}"/>
    <cellStyle name="Normal 4 2 4 4 3 4" xfId="9779" xr:uid="{45ED56A5-0B86-456B-B184-538843BF2F14}"/>
    <cellStyle name="Normal 4 2 4 4 4" xfId="1672" xr:uid="{00000000-0005-0000-0000-0000AD130000}"/>
    <cellStyle name="Normal 4 2 4 4 4 2" xfId="3902" xr:uid="{00000000-0005-0000-0000-0000AE130000}"/>
    <cellStyle name="Normal 4 2 4 4 4 2 2" xfId="8126" xr:uid="{00000000-0005-0000-0000-0000AF130000}"/>
    <cellStyle name="Normal 4 2 4 4 4 2 2 2" xfId="16555" xr:uid="{E8CB7B53-2EFC-4156-B60D-858EF6B00548}"/>
    <cellStyle name="Normal 4 2 4 4 4 2 3" xfId="12337" xr:uid="{19362E8E-85FD-4259-9E8A-12D500FBE3A1}"/>
    <cellStyle name="Normal 4 2 4 4 4 3" xfId="5981" xr:uid="{00000000-0005-0000-0000-0000B0130000}"/>
    <cellStyle name="Normal 4 2 4 4 4 3 2" xfId="14410" xr:uid="{F651D415-74CF-4D1F-A1A6-3380719A18EB}"/>
    <cellStyle name="Normal 4 2 4 4 4 4" xfId="10192" xr:uid="{8A135A46-FDF4-4566-9A72-C22DBC00D3C4}"/>
    <cellStyle name="Normal 4 2 4 4 5" xfId="2086" xr:uid="{00000000-0005-0000-0000-0000B1130000}"/>
    <cellStyle name="Normal 4 2 4 4 5 2" xfId="4315" xr:uid="{00000000-0005-0000-0000-0000B2130000}"/>
    <cellStyle name="Normal 4 2 4 4 5 2 2" xfId="8539" xr:uid="{00000000-0005-0000-0000-0000B3130000}"/>
    <cellStyle name="Normal 4 2 4 4 5 2 2 2" xfId="16968" xr:uid="{A637FB52-415F-4F85-80E2-C1097F587D38}"/>
    <cellStyle name="Normal 4 2 4 4 5 2 3" xfId="12750" xr:uid="{6AA1AEFF-C44E-40A1-B0AD-FBCC255E6A34}"/>
    <cellStyle name="Normal 4 2 4 4 5 3" xfId="6394" xr:uid="{00000000-0005-0000-0000-0000B4130000}"/>
    <cellStyle name="Normal 4 2 4 4 5 3 2" xfId="14823" xr:uid="{D9F4B0C7-8213-44CE-839B-3796CCDC8035}"/>
    <cellStyle name="Normal 4 2 4 4 5 4" xfId="10605" xr:uid="{DC7480A0-4102-41A1-A48A-F0D44ED12B77}"/>
    <cellStyle name="Normal 4 2 4 4 6" xfId="2522" xr:uid="{00000000-0005-0000-0000-0000B5130000}"/>
    <cellStyle name="Normal 4 2 4 4 6 2" xfId="6807" xr:uid="{00000000-0005-0000-0000-0000B6130000}"/>
    <cellStyle name="Normal 4 2 4 4 6 2 2" xfId="15236" xr:uid="{A481FB58-7E2B-465C-ADC6-A75F1F3B2311}"/>
    <cellStyle name="Normal 4 2 4 4 6 3" xfId="11018" xr:uid="{9CB7438D-7102-4385-A8B6-B9CC80E45897}"/>
    <cellStyle name="Normal 4 2 4 4 7" xfId="4742" xr:uid="{00000000-0005-0000-0000-0000B7130000}"/>
    <cellStyle name="Normal 4 2 4 4 7 2" xfId="13171" xr:uid="{5D0526A8-27B6-436C-B3F5-FC643622B423}"/>
    <cellStyle name="Normal 4 2 4 4 8" xfId="8953" xr:uid="{174C3FFC-C896-4718-916C-71700BBE1DB3}"/>
    <cellStyle name="Normal 4 2 4 5" xfId="832" xr:uid="{00000000-0005-0000-0000-0000B8130000}"/>
    <cellStyle name="Normal 4 2 4 5 2" xfId="3069" xr:uid="{00000000-0005-0000-0000-0000B9130000}"/>
    <cellStyle name="Normal 4 2 4 5 2 2" xfId="7293" xr:uid="{00000000-0005-0000-0000-0000BA130000}"/>
    <cellStyle name="Normal 4 2 4 5 2 2 2" xfId="15722" xr:uid="{A321C7A8-1899-4307-827A-46EBA370BA0E}"/>
    <cellStyle name="Normal 4 2 4 5 2 3" xfId="11504" xr:uid="{E3E9BABE-8728-4ACB-908B-47358BE6E740}"/>
    <cellStyle name="Normal 4 2 4 5 3" xfId="5148" xr:uid="{00000000-0005-0000-0000-0000BB130000}"/>
    <cellStyle name="Normal 4 2 4 5 3 2" xfId="13577" xr:uid="{06A0ADEF-B86C-41FA-9993-38875B420A28}"/>
    <cellStyle name="Normal 4 2 4 5 4" xfId="9359" xr:uid="{EFF0C837-00E0-40AF-AE42-3874D153BB60}"/>
    <cellStyle name="Normal 4 2 4 6" xfId="1252" xr:uid="{00000000-0005-0000-0000-0000BC130000}"/>
    <cellStyle name="Normal 4 2 4 6 2" xfId="3482" xr:uid="{00000000-0005-0000-0000-0000BD130000}"/>
    <cellStyle name="Normal 4 2 4 6 2 2" xfId="7706" xr:uid="{00000000-0005-0000-0000-0000BE130000}"/>
    <cellStyle name="Normal 4 2 4 6 2 2 2" xfId="16135" xr:uid="{FF7C3E6E-D52B-4C94-8ACE-BE3971D556C7}"/>
    <cellStyle name="Normal 4 2 4 6 2 3" xfId="11917" xr:uid="{872055AF-264A-4B9A-B184-3FED54B0239A}"/>
    <cellStyle name="Normal 4 2 4 6 3" xfId="5561" xr:uid="{00000000-0005-0000-0000-0000BF130000}"/>
    <cellStyle name="Normal 4 2 4 6 3 2" xfId="13990" xr:uid="{2A593C8F-1951-4E6B-A396-0E6453040F2A}"/>
    <cellStyle name="Normal 4 2 4 6 4" xfId="9772" xr:uid="{E9B34DC8-DE21-4383-A97F-C6FAB21A6B63}"/>
    <cellStyle name="Normal 4 2 4 7" xfId="1665" xr:uid="{00000000-0005-0000-0000-0000C0130000}"/>
    <cellStyle name="Normal 4 2 4 7 2" xfId="3895" xr:uid="{00000000-0005-0000-0000-0000C1130000}"/>
    <cellStyle name="Normal 4 2 4 7 2 2" xfId="8119" xr:uid="{00000000-0005-0000-0000-0000C2130000}"/>
    <cellStyle name="Normal 4 2 4 7 2 2 2" xfId="16548" xr:uid="{EE57E2A7-6579-488F-A450-76428D1E3F1A}"/>
    <cellStyle name="Normal 4 2 4 7 2 3" xfId="12330" xr:uid="{506C1BB2-6B61-44CE-9AEC-2A5501796FB8}"/>
    <cellStyle name="Normal 4 2 4 7 3" xfId="5974" xr:uid="{00000000-0005-0000-0000-0000C3130000}"/>
    <cellStyle name="Normal 4 2 4 7 3 2" xfId="14403" xr:uid="{38DD245D-65D2-4714-ABE9-7DD79770A775}"/>
    <cellStyle name="Normal 4 2 4 7 4" xfId="10185" xr:uid="{E019E878-9BED-4002-BA97-D0ED29F24D3C}"/>
    <cellStyle name="Normal 4 2 4 8" xfId="2079" xr:uid="{00000000-0005-0000-0000-0000C4130000}"/>
    <cellStyle name="Normal 4 2 4 8 2" xfId="4308" xr:uid="{00000000-0005-0000-0000-0000C5130000}"/>
    <cellStyle name="Normal 4 2 4 8 2 2" xfId="8532" xr:uid="{00000000-0005-0000-0000-0000C6130000}"/>
    <cellStyle name="Normal 4 2 4 8 2 2 2" xfId="16961" xr:uid="{B28BABE6-DF3D-45FF-BC7E-7F0FFE42ECF8}"/>
    <cellStyle name="Normal 4 2 4 8 2 3" xfId="12743" xr:uid="{73DA0F58-0FB9-498E-8347-E2D55C440094}"/>
    <cellStyle name="Normal 4 2 4 8 3" xfId="6387" xr:uid="{00000000-0005-0000-0000-0000C7130000}"/>
    <cellStyle name="Normal 4 2 4 8 3 2" xfId="14816" xr:uid="{E1D50851-0496-40AF-8745-C2AFA7190DE4}"/>
    <cellStyle name="Normal 4 2 4 8 4" xfId="10598" xr:uid="{B7A2A9FB-9A11-4FF6-B6BD-A3988565A9EB}"/>
    <cellStyle name="Normal 4 2 4 9" xfId="2515" xr:uid="{00000000-0005-0000-0000-0000C8130000}"/>
    <cellStyle name="Normal 4 2 4 9 2" xfId="6800" xr:uid="{00000000-0005-0000-0000-0000C9130000}"/>
    <cellStyle name="Normal 4 2 4 9 2 2" xfId="15229" xr:uid="{640A2062-AFBA-4434-9F45-E1FBCDB8B626}"/>
    <cellStyle name="Normal 4 2 4 9 3" xfId="11011" xr:uid="{AF77E9F3-9857-4970-BD56-804828F1FB07}"/>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2 2 2" xfId="15731" xr:uid="{B5802EDB-27B9-452F-8F35-37E86327DF8D}"/>
    <cellStyle name="Normal 4 2 5 2 2 2 3" xfId="11513" xr:uid="{A843FBC9-0B8B-4DD7-8804-B3676C184158}"/>
    <cellStyle name="Normal 4 2 5 2 2 3" xfId="5157" xr:uid="{00000000-0005-0000-0000-0000CF130000}"/>
    <cellStyle name="Normal 4 2 5 2 2 3 2" xfId="13586" xr:uid="{BB63D1A3-CA84-4DC9-B8FB-BE11FE1127C1}"/>
    <cellStyle name="Normal 4 2 5 2 2 4" xfId="9368" xr:uid="{491A901A-FB77-4922-9C83-2FAFC325850D}"/>
    <cellStyle name="Normal 4 2 5 2 3" xfId="1261" xr:uid="{00000000-0005-0000-0000-0000D0130000}"/>
    <cellStyle name="Normal 4 2 5 2 3 2" xfId="3491" xr:uid="{00000000-0005-0000-0000-0000D1130000}"/>
    <cellStyle name="Normal 4 2 5 2 3 2 2" xfId="7715" xr:uid="{00000000-0005-0000-0000-0000D2130000}"/>
    <cellStyle name="Normal 4 2 5 2 3 2 2 2" xfId="16144" xr:uid="{3C73B63C-5152-4CCF-BBC0-A80D01D4C641}"/>
    <cellStyle name="Normal 4 2 5 2 3 2 3" xfId="11926" xr:uid="{97C25B74-CBDE-49EB-9FA9-26E871677AB6}"/>
    <cellStyle name="Normal 4 2 5 2 3 3" xfId="5570" xr:uid="{00000000-0005-0000-0000-0000D3130000}"/>
    <cellStyle name="Normal 4 2 5 2 3 3 2" xfId="13999" xr:uid="{D85BA9C5-7CDF-4E53-9940-F62164AC2992}"/>
    <cellStyle name="Normal 4 2 5 2 3 4" xfId="9781" xr:uid="{25A2893E-461B-4A0B-AB0A-AA158E2A7BEE}"/>
    <cellStyle name="Normal 4 2 5 2 4" xfId="1674" xr:uid="{00000000-0005-0000-0000-0000D4130000}"/>
    <cellStyle name="Normal 4 2 5 2 4 2" xfId="3904" xr:uid="{00000000-0005-0000-0000-0000D5130000}"/>
    <cellStyle name="Normal 4 2 5 2 4 2 2" xfId="8128" xr:uid="{00000000-0005-0000-0000-0000D6130000}"/>
    <cellStyle name="Normal 4 2 5 2 4 2 2 2" xfId="16557" xr:uid="{58CC53C7-A61C-4423-8DF1-69E428C8D87C}"/>
    <cellStyle name="Normal 4 2 5 2 4 2 3" xfId="12339" xr:uid="{E4B441C5-33DA-4CF2-BE0D-00E3B2A5E6FB}"/>
    <cellStyle name="Normal 4 2 5 2 4 3" xfId="5983" xr:uid="{00000000-0005-0000-0000-0000D7130000}"/>
    <cellStyle name="Normal 4 2 5 2 4 3 2" xfId="14412" xr:uid="{E010036E-65B1-4BE1-BBFF-86A8BFBD6C93}"/>
    <cellStyle name="Normal 4 2 5 2 4 4" xfId="10194" xr:uid="{5152B3D0-F0C5-471D-B33F-979810C3C54A}"/>
    <cellStyle name="Normal 4 2 5 2 5" xfId="2088" xr:uid="{00000000-0005-0000-0000-0000D8130000}"/>
    <cellStyle name="Normal 4 2 5 2 5 2" xfId="4317" xr:uid="{00000000-0005-0000-0000-0000D9130000}"/>
    <cellStyle name="Normal 4 2 5 2 5 2 2" xfId="8541" xr:uid="{00000000-0005-0000-0000-0000DA130000}"/>
    <cellStyle name="Normal 4 2 5 2 5 2 2 2" xfId="16970" xr:uid="{D3004010-D912-40C8-B23E-076CA8795D5C}"/>
    <cellStyle name="Normal 4 2 5 2 5 2 3" xfId="12752" xr:uid="{E8605589-D72C-4783-B0BD-B7B784A7B1A8}"/>
    <cellStyle name="Normal 4 2 5 2 5 3" xfId="6396" xr:uid="{00000000-0005-0000-0000-0000DB130000}"/>
    <cellStyle name="Normal 4 2 5 2 5 3 2" xfId="14825" xr:uid="{829F8518-2642-4D13-8903-7F032BE248EE}"/>
    <cellStyle name="Normal 4 2 5 2 5 4" xfId="10607" xr:uid="{65E92DB2-10E5-45A3-8CD0-8FAD21104687}"/>
    <cellStyle name="Normal 4 2 5 2 6" xfId="2524" xr:uid="{00000000-0005-0000-0000-0000DC130000}"/>
    <cellStyle name="Normal 4 2 5 2 6 2" xfId="6809" xr:uid="{00000000-0005-0000-0000-0000DD130000}"/>
    <cellStyle name="Normal 4 2 5 2 6 2 2" xfId="15238" xr:uid="{BF626D4C-1EAA-4F2F-927B-ADCBB8EC2A8C}"/>
    <cellStyle name="Normal 4 2 5 2 6 3" xfId="11020" xr:uid="{C194CF83-FAFB-45C7-9A97-C194177CA338}"/>
    <cellStyle name="Normal 4 2 5 2 7" xfId="4744" xr:uid="{00000000-0005-0000-0000-0000DE130000}"/>
    <cellStyle name="Normal 4 2 5 2 7 2" xfId="13173" xr:uid="{D111E070-8351-4371-A4A2-48FFEA2F3105}"/>
    <cellStyle name="Normal 4 2 5 2 8" xfId="8955" xr:uid="{DDFF91C2-EF15-41B7-899B-7A65B3752627}"/>
    <cellStyle name="Normal 4 2 5 3" xfId="840" xr:uid="{00000000-0005-0000-0000-0000DF130000}"/>
    <cellStyle name="Normal 4 2 5 3 2" xfId="3077" xr:uid="{00000000-0005-0000-0000-0000E0130000}"/>
    <cellStyle name="Normal 4 2 5 3 2 2" xfId="7301" xr:uid="{00000000-0005-0000-0000-0000E1130000}"/>
    <cellStyle name="Normal 4 2 5 3 2 2 2" xfId="15730" xr:uid="{D6D83257-70F7-43DD-9A83-079142704DB5}"/>
    <cellStyle name="Normal 4 2 5 3 2 3" xfId="11512" xr:uid="{8E5B8E3F-B96C-45BE-9599-C1FB0A2558B9}"/>
    <cellStyle name="Normal 4 2 5 3 3" xfId="5156" xr:uid="{00000000-0005-0000-0000-0000E2130000}"/>
    <cellStyle name="Normal 4 2 5 3 3 2" xfId="13585" xr:uid="{AB95AAD5-A1C5-439C-8138-32C99A8B8E45}"/>
    <cellStyle name="Normal 4 2 5 3 4" xfId="9367" xr:uid="{724FF1F3-D5FF-4C7A-A160-6DBBB1DC2924}"/>
    <cellStyle name="Normal 4 2 5 4" xfId="1260" xr:uid="{00000000-0005-0000-0000-0000E3130000}"/>
    <cellStyle name="Normal 4 2 5 4 2" xfId="3490" xr:uid="{00000000-0005-0000-0000-0000E4130000}"/>
    <cellStyle name="Normal 4 2 5 4 2 2" xfId="7714" xr:uid="{00000000-0005-0000-0000-0000E5130000}"/>
    <cellStyle name="Normal 4 2 5 4 2 2 2" xfId="16143" xr:uid="{28DE04E8-C703-49EA-A3A7-924667F39D26}"/>
    <cellStyle name="Normal 4 2 5 4 2 3" xfId="11925" xr:uid="{0CA55F8B-4138-469D-B3B8-3510C21672E4}"/>
    <cellStyle name="Normal 4 2 5 4 3" xfId="5569" xr:uid="{00000000-0005-0000-0000-0000E6130000}"/>
    <cellStyle name="Normal 4 2 5 4 3 2" xfId="13998" xr:uid="{EBDD36AD-504E-4BCD-B1F5-347C5B6F236D}"/>
    <cellStyle name="Normal 4 2 5 4 4" xfId="9780" xr:uid="{33FB6B15-1C27-460F-9B7D-B4FE8B9E42DE}"/>
    <cellStyle name="Normal 4 2 5 5" xfId="1673" xr:uid="{00000000-0005-0000-0000-0000E7130000}"/>
    <cellStyle name="Normal 4 2 5 5 2" xfId="3903" xr:uid="{00000000-0005-0000-0000-0000E8130000}"/>
    <cellStyle name="Normal 4 2 5 5 2 2" xfId="8127" xr:uid="{00000000-0005-0000-0000-0000E9130000}"/>
    <cellStyle name="Normal 4 2 5 5 2 2 2" xfId="16556" xr:uid="{91C487AA-7EDE-421D-8B30-0914EE4C26C2}"/>
    <cellStyle name="Normal 4 2 5 5 2 3" xfId="12338" xr:uid="{E6EA8877-1AC1-4096-A4CF-07699E53D356}"/>
    <cellStyle name="Normal 4 2 5 5 3" xfId="5982" xr:uid="{00000000-0005-0000-0000-0000EA130000}"/>
    <cellStyle name="Normal 4 2 5 5 3 2" xfId="14411" xr:uid="{69C0B4B7-90DB-4218-8912-15D71481A7F3}"/>
    <cellStyle name="Normal 4 2 5 5 4" xfId="10193" xr:uid="{E1C13A1A-9DC4-4300-9B9A-D564C2093DB5}"/>
    <cellStyle name="Normal 4 2 5 6" xfId="2087" xr:uid="{00000000-0005-0000-0000-0000EB130000}"/>
    <cellStyle name="Normal 4 2 5 6 2" xfId="4316" xr:uid="{00000000-0005-0000-0000-0000EC130000}"/>
    <cellStyle name="Normal 4 2 5 6 2 2" xfId="8540" xr:uid="{00000000-0005-0000-0000-0000ED130000}"/>
    <cellStyle name="Normal 4 2 5 6 2 2 2" xfId="16969" xr:uid="{FC99C2FC-F99D-49FF-8D08-B911883AE7DB}"/>
    <cellStyle name="Normal 4 2 5 6 2 3" xfId="12751" xr:uid="{F1714F1D-6F4B-4D8F-BA88-B2C725C7CFDE}"/>
    <cellStyle name="Normal 4 2 5 6 3" xfId="6395" xr:uid="{00000000-0005-0000-0000-0000EE130000}"/>
    <cellStyle name="Normal 4 2 5 6 3 2" xfId="14824" xr:uid="{E9F93E41-888D-4E47-89A1-76E4E230C525}"/>
    <cellStyle name="Normal 4 2 5 6 4" xfId="10606" xr:uid="{957E7796-D02B-4DA1-A563-748D8F0BCC19}"/>
    <cellStyle name="Normal 4 2 5 7" xfId="2523" xr:uid="{00000000-0005-0000-0000-0000EF130000}"/>
    <cellStyle name="Normal 4 2 5 7 2" xfId="6808" xr:uid="{00000000-0005-0000-0000-0000F0130000}"/>
    <cellStyle name="Normal 4 2 5 7 2 2" xfId="15237" xr:uid="{1852AD24-9049-4EA7-89B5-7782195B523C}"/>
    <cellStyle name="Normal 4 2 5 7 3" xfId="11019" xr:uid="{30BC2C7D-AD42-4981-B6AE-27F1B8F4C5A2}"/>
    <cellStyle name="Normal 4 2 5 8" xfId="4743" xr:uid="{00000000-0005-0000-0000-0000F1130000}"/>
    <cellStyle name="Normal 4 2 5 8 2" xfId="13172" xr:uid="{18E57236-B664-4AA4-9F15-C30273DC1A29}"/>
    <cellStyle name="Normal 4 2 5 9" xfId="8954" xr:uid="{03653E3F-E52C-4903-A6CE-76189609619F}"/>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2 2 2" xfId="15732" xr:uid="{B581D8C5-D4F9-434F-9A4C-BFC87FCC2950}"/>
    <cellStyle name="Normal 4 2 6 2 2 3" xfId="11514" xr:uid="{EE529D4B-E58C-428B-987A-E4A6582C98AA}"/>
    <cellStyle name="Normal 4 2 6 2 3" xfId="5158" xr:uid="{00000000-0005-0000-0000-0000F6130000}"/>
    <cellStyle name="Normal 4 2 6 2 3 2" xfId="13587" xr:uid="{1671252B-411E-4980-B12F-60887B29A00C}"/>
    <cellStyle name="Normal 4 2 6 2 4" xfId="9369" xr:uid="{818C29CF-54CD-4C84-8F16-B5AD71D2B679}"/>
    <cellStyle name="Normal 4 2 6 3" xfId="1262" xr:uid="{00000000-0005-0000-0000-0000F7130000}"/>
    <cellStyle name="Normal 4 2 6 3 2" xfId="3492" xr:uid="{00000000-0005-0000-0000-0000F8130000}"/>
    <cellStyle name="Normal 4 2 6 3 2 2" xfId="7716" xr:uid="{00000000-0005-0000-0000-0000F9130000}"/>
    <cellStyle name="Normal 4 2 6 3 2 2 2" xfId="16145" xr:uid="{259FE18A-07BD-4D38-BBCC-E7D16B8E1FB6}"/>
    <cellStyle name="Normal 4 2 6 3 2 3" xfId="11927" xr:uid="{27F575E8-04E0-4909-A7A0-AD0799B317C1}"/>
    <cellStyle name="Normal 4 2 6 3 3" xfId="5571" xr:uid="{00000000-0005-0000-0000-0000FA130000}"/>
    <cellStyle name="Normal 4 2 6 3 3 2" xfId="14000" xr:uid="{1B8DF308-FD50-4DC3-A737-95A311D65486}"/>
    <cellStyle name="Normal 4 2 6 3 4" xfId="9782" xr:uid="{E3AFB51B-EBF6-480C-8C5E-9C6090155F35}"/>
    <cellStyle name="Normal 4 2 6 4" xfId="1675" xr:uid="{00000000-0005-0000-0000-0000FB130000}"/>
    <cellStyle name="Normal 4 2 6 4 2" xfId="3905" xr:uid="{00000000-0005-0000-0000-0000FC130000}"/>
    <cellStyle name="Normal 4 2 6 4 2 2" xfId="8129" xr:uid="{00000000-0005-0000-0000-0000FD130000}"/>
    <cellStyle name="Normal 4 2 6 4 2 2 2" xfId="16558" xr:uid="{24358125-A5A9-425C-857A-2FC08D70A743}"/>
    <cellStyle name="Normal 4 2 6 4 2 3" xfId="12340" xr:uid="{6C173ED2-C1FF-4761-B7D1-CC04BFD0253B}"/>
    <cellStyle name="Normal 4 2 6 4 3" xfId="5984" xr:uid="{00000000-0005-0000-0000-0000FE130000}"/>
    <cellStyle name="Normal 4 2 6 4 3 2" xfId="14413" xr:uid="{27F0E0C9-CCD5-4253-9B10-5EE195E42455}"/>
    <cellStyle name="Normal 4 2 6 4 4" xfId="10195" xr:uid="{83C8CC2D-986A-4845-962A-5B6DED89C60A}"/>
    <cellStyle name="Normal 4 2 6 5" xfId="2089" xr:uid="{00000000-0005-0000-0000-0000FF130000}"/>
    <cellStyle name="Normal 4 2 6 5 2" xfId="4318" xr:uid="{00000000-0005-0000-0000-000000140000}"/>
    <cellStyle name="Normal 4 2 6 5 2 2" xfId="8542" xr:uid="{00000000-0005-0000-0000-000001140000}"/>
    <cellStyle name="Normal 4 2 6 5 2 2 2" xfId="16971" xr:uid="{D6AA66D8-B40D-42B9-B681-A7F6AF1843CA}"/>
    <cellStyle name="Normal 4 2 6 5 2 3" xfId="12753" xr:uid="{17E10260-7700-4D23-B845-066BA787771B}"/>
    <cellStyle name="Normal 4 2 6 5 3" xfId="6397" xr:uid="{00000000-0005-0000-0000-000002140000}"/>
    <cellStyle name="Normal 4 2 6 5 3 2" xfId="14826" xr:uid="{F06E0EC4-F0CD-427A-8F5E-8544CF05C579}"/>
    <cellStyle name="Normal 4 2 6 5 4" xfId="10608" xr:uid="{6ACCC6F7-F722-4B31-899B-EF6AB38F9A7A}"/>
    <cellStyle name="Normal 4 2 6 6" xfId="2525" xr:uid="{00000000-0005-0000-0000-000003140000}"/>
    <cellStyle name="Normal 4 2 6 6 2" xfId="6810" xr:uid="{00000000-0005-0000-0000-000004140000}"/>
    <cellStyle name="Normal 4 2 6 6 2 2" xfId="15239" xr:uid="{65703992-82FA-4F5F-8111-9269415D0611}"/>
    <cellStyle name="Normal 4 2 6 6 3" xfId="11021" xr:uid="{ED7D465E-BB33-487D-AA7C-6902AA0C83F3}"/>
    <cellStyle name="Normal 4 2 6 7" xfId="4745" xr:uid="{00000000-0005-0000-0000-000005140000}"/>
    <cellStyle name="Normal 4 2 6 7 2" xfId="13174" xr:uid="{A507E8BE-70D0-4AFD-BC79-25346FF04BAD}"/>
    <cellStyle name="Normal 4 2 6 8" xfId="8956" xr:uid="{C5E11951-2D5E-47E4-9923-A848A14F1E58}"/>
    <cellStyle name="Normal 4 3" xfId="366" xr:uid="{00000000-0005-0000-0000-000006140000}"/>
    <cellStyle name="Normal 4 3 10" xfId="8957" xr:uid="{AAC33272-82CB-4D20-AF7E-8264696D83D4}"/>
    <cellStyle name="Normal 4 3 2" xfId="367" xr:uid="{00000000-0005-0000-0000-000007140000}"/>
    <cellStyle name="Normal 4 3 2 2" xfId="368" xr:uid="{00000000-0005-0000-0000-000008140000}"/>
    <cellStyle name="Normal 4 3 2 2 2" xfId="369" xr:uid="{00000000-0005-0000-0000-000009140000}"/>
    <cellStyle name="Normal 4 3 2 2 2 10" xfId="8958" xr:uid="{6F956EC3-742C-45F2-8FAB-C6D147A4A1CA}"/>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2 2 2" xfId="15736" xr:uid="{48602541-AFEC-4344-8867-2F4E83E565A4}"/>
    <cellStyle name="Normal 4 3 2 2 2 2 2 2 2 3" xfId="11518" xr:uid="{6C99B3EA-A1A8-49E4-B7F7-98CA93203BE5}"/>
    <cellStyle name="Normal 4 3 2 2 2 2 2 2 3" xfId="5162" xr:uid="{00000000-0005-0000-0000-00000F140000}"/>
    <cellStyle name="Normal 4 3 2 2 2 2 2 2 3 2" xfId="13591" xr:uid="{1A2E6481-444D-40CE-843D-421C3713039D}"/>
    <cellStyle name="Normal 4 3 2 2 2 2 2 2 4" xfId="9373" xr:uid="{FB77386B-FDFB-4B88-B527-A35A0A60262A}"/>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2 2 2" xfId="16149" xr:uid="{022EBD8A-C694-4BBF-AABF-F8C7DDFDCD2E}"/>
    <cellStyle name="Normal 4 3 2 2 2 2 2 3 2 3" xfId="11931" xr:uid="{21EBA14C-F732-4B11-A04D-1BA478C528DB}"/>
    <cellStyle name="Normal 4 3 2 2 2 2 2 3 3" xfId="5575" xr:uid="{00000000-0005-0000-0000-000013140000}"/>
    <cellStyle name="Normal 4 3 2 2 2 2 2 3 3 2" xfId="14004" xr:uid="{3D3E50C6-F1B8-48C4-9684-77A5793AECAB}"/>
    <cellStyle name="Normal 4 3 2 2 2 2 2 3 4" xfId="9786" xr:uid="{4010E0B2-1D21-494F-A4C7-55E4471F8256}"/>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2 2 2" xfId="16562" xr:uid="{C206DD19-D254-4FCB-B6B1-C2467BD91F46}"/>
    <cellStyle name="Normal 4 3 2 2 2 2 2 4 2 3" xfId="12344" xr:uid="{86D6ED0A-AB9A-444C-9AB6-F4B35BD7AA5A}"/>
    <cellStyle name="Normal 4 3 2 2 2 2 2 4 3" xfId="5988" xr:uid="{00000000-0005-0000-0000-000017140000}"/>
    <cellStyle name="Normal 4 3 2 2 2 2 2 4 3 2" xfId="14417" xr:uid="{132EA867-BBC2-42F3-B4B1-F3B89BF2ABB9}"/>
    <cellStyle name="Normal 4 3 2 2 2 2 2 4 4" xfId="10199" xr:uid="{DA31D9D6-769F-4F58-BD14-E7C663BDCF2C}"/>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2 2 2" xfId="16975" xr:uid="{F05FD484-C529-4783-901D-369247C7137D}"/>
    <cellStyle name="Normal 4 3 2 2 2 2 2 5 2 3" xfId="12757" xr:uid="{F139F9C3-7298-4F46-8F4B-748F860381D1}"/>
    <cellStyle name="Normal 4 3 2 2 2 2 2 5 3" xfId="6401" xr:uid="{00000000-0005-0000-0000-00001B140000}"/>
    <cellStyle name="Normal 4 3 2 2 2 2 2 5 3 2" xfId="14830" xr:uid="{A4057DAC-05AF-4F1C-92D3-AF0FBFB63F69}"/>
    <cellStyle name="Normal 4 3 2 2 2 2 2 5 4" xfId="10612" xr:uid="{E4510B68-6EC0-4DEB-B532-C935F3E64F98}"/>
    <cellStyle name="Normal 4 3 2 2 2 2 2 6" xfId="2529" xr:uid="{00000000-0005-0000-0000-00001C140000}"/>
    <cellStyle name="Normal 4 3 2 2 2 2 2 6 2" xfId="6814" xr:uid="{00000000-0005-0000-0000-00001D140000}"/>
    <cellStyle name="Normal 4 3 2 2 2 2 2 6 2 2" xfId="15243" xr:uid="{82CF3567-D24E-4456-AEDE-434B9056CDC3}"/>
    <cellStyle name="Normal 4 3 2 2 2 2 2 6 3" xfId="11025" xr:uid="{1830695C-DAA7-4F9B-9338-CDABD4530666}"/>
    <cellStyle name="Normal 4 3 2 2 2 2 2 7" xfId="4749" xr:uid="{00000000-0005-0000-0000-00001E140000}"/>
    <cellStyle name="Normal 4 3 2 2 2 2 2 7 2" xfId="13178" xr:uid="{3EAF91B3-F597-4CA1-B3AB-394066B03A6D}"/>
    <cellStyle name="Normal 4 3 2 2 2 2 2 8" xfId="8960" xr:uid="{35DA1204-A037-478C-8B9B-9722DB33F83A}"/>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2 2 2" xfId="15735" xr:uid="{9BA931C0-2BBF-4711-BB91-D4EE8E22B9E6}"/>
    <cellStyle name="Normal 4 3 2 2 2 2 3 2 3" xfId="11517" xr:uid="{E8194CFE-2ADE-4CC1-B862-08B899BBF502}"/>
    <cellStyle name="Normal 4 3 2 2 2 2 3 3" xfId="5161" xr:uid="{00000000-0005-0000-0000-000022140000}"/>
    <cellStyle name="Normal 4 3 2 2 2 2 3 3 2" xfId="13590" xr:uid="{37B30DD1-37ED-496B-B142-6D328F184982}"/>
    <cellStyle name="Normal 4 3 2 2 2 2 3 4" xfId="9372" xr:uid="{92BE6737-2694-4D9F-9D84-06CD6487BA18}"/>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2 2 2" xfId="16148" xr:uid="{895CE074-FDB0-4B29-90F9-047BB95D2439}"/>
    <cellStyle name="Normal 4 3 2 2 2 2 4 2 3" xfId="11930" xr:uid="{625DE23B-B83C-4EF7-A0EA-E999CB994E92}"/>
    <cellStyle name="Normal 4 3 2 2 2 2 4 3" xfId="5574" xr:uid="{00000000-0005-0000-0000-000026140000}"/>
    <cellStyle name="Normal 4 3 2 2 2 2 4 3 2" xfId="14003" xr:uid="{FF23E5DD-5D86-4C3C-B6F0-2C128690D8A7}"/>
    <cellStyle name="Normal 4 3 2 2 2 2 4 4" xfId="9785" xr:uid="{51305F59-185E-4EEB-BCC2-B8C0CBB10281}"/>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2 2 2" xfId="16561" xr:uid="{350AB533-EBFF-48BD-864A-ABBDAFF46D62}"/>
    <cellStyle name="Normal 4 3 2 2 2 2 5 2 3" xfId="12343" xr:uid="{9E2FBC86-9223-44EA-ADE2-72929C0C0047}"/>
    <cellStyle name="Normal 4 3 2 2 2 2 5 3" xfId="5987" xr:uid="{00000000-0005-0000-0000-00002A140000}"/>
    <cellStyle name="Normal 4 3 2 2 2 2 5 3 2" xfId="14416" xr:uid="{E34F7A02-20E9-4A7C-BF18-C5632F1E87D4}"/>
    <cellStyle name="Normal 4 3 2 2 2 2 5 4" xfId="10198" xr:uid="{C5CD304F-7CF3-4DEB-87AB-0D681B4CC1B5}"/>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2 2 2" xfId="16974" xr:uid="{2BB3ED83-C9AA-465B-A56B-A9DF76FD4931}"/>
    <cellStyle name="Normal 4 3 2 2 2 2 6 2 3" xfId="12756" xr:uid="{F733F103-4C35-4668-A57D-263E5D32B48E}"/>
    <cellStyle name="Normal 4 3 2 2 2 2 6 3" xfId="6400" xr:uid="{00000000-0005-0000-0000-00002E140000}"/>
    <cellStyle name="Normal 4 3 2 2 2 2 6 3 2" xfId="14829" xr:uid="{665667ED-9E96-4753-B9D7-F44C21F632B3}"/>
    <cellStyle name="Normal 4 3 2 2 2 2 6 4" xfId="10611" xr:uid="{0AA4F667-F7BC-4272-93E6-51153FB3A10F}"/>
    <cellStyle name="Normal 4 3 2 2 2 2 7" xfId="2528" xr:uid="{00000000-0005-0000-0000-00002F140000}"/>
    <cellStyle name="Normal 4 3 2 2 2 2 7 2" xfId="6813" xr:uid="{00000000-0005-0000-0000-000030140000}"/>
    <cellStyle name="Normal 4 3 2 2 2 2 7 2 2" xfId="15242" xr:uid="{7B1D8596-2964-4C43-82B5-1C74E81E6511}"/>
    <cellStyle name="Normal 4 3 2 2 2 2 7 3" xfId="11024" xr:uid="{4D86C3B1-45CA-4FA8-9C19-5D1622B9CE64}"/>
    <cellStyle name="Normal 4 3 2 2 2 2 8" xfId="4748" xr:uid="{00000000-0005-0000-0000-000031140000}"/>
    <cellStyle name="Normal 4 3 2 2 2 2 8 2" xfId="13177" xr:uid="{2243CFCD-C01F-4A66-9D9F-F776FFC84177}"/>
    <cellStyle name="Normal 4 3 2 2 2 2 9" xfId="8959" xr:uid="{E8B14DDF-70BD-497F-B611-051C68E3A3E5}"/>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2 2 2" xfId="15737" xr:uid="{30A763D4-7CC3-4A76-8088-30B519CD65A5}"/>
    <cellStyle name="Normal 4 3 2 2 2 3 2 2 3" xfId="11519" xr:uid="{23315325-CACD-40EC-85F5-A3F89D0702BE}"/>
    <cellStyle name="Normal 4 3 2 2 2 3 2 3" xfId="5163" xr:uid="{00000000-0005-0000-0000-000036140000}"/>
    <cellStyle name="Normal 4 3 2 2 2 3 2 3 2" xfId="13592" xr:uid="{D6EA772D-32FC-4338-AB30-EB2852103251}"/>
    <cellStyle name="Normal 4 3 2 2 2 3 2 4" xfId="9374" xr:uid="{A37CEFA0-4266-4A62-842E-17D7B5ADD6E1}"/>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2 2 2" xfId="16150" xr:uid="{3B8BF01C-005E-4618-9DC1-C603107DE5FE}"/>
    <cellStyle name="Normal 4 3 2 2 2 3 3 2 3" xfId="11932" xr:uid="{6C6090F4-D15C-4885-8BD5-44552153F5A5}"/>
    <cellStyle name="Normal 4 3 2 2 2 3 3 3" xfId="5576" xr:uid="{00000000-0005-0000-0000-00003A140000}"/>
    <cellStyle name="Normal 4 3 2 2 2 3 3 3 2" xfId="14005" xr:uid="{D2EDEDD4-B8A2-4649-B15A-A39AFF912544}"/>
    <cellStyle name="Normal 4 3 2 2 2 3 3 4" xfId="9787" xr:uid="{54B45842-3FB4-4082-A23B-5A7BF9A19D6F}"/>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2 2 2" xfId="16563" xr:uid="{C19AEA55-9AF9-4B70-97D3-D76B165E7643}"/>
    <cellStyle name="Normal 4 3 2 2 2 3 4 2 3" xfId="12345" xr:uid="{D03C8600-B039-4469-B73B-DE58FD485C9B}"/>
    <cellStyle name="Normal 4 3 2 2 2 3 4 3" xfId="5989" xr:uid="{00000000-0005-0000-0000-00003E140000}"/>
    <cellStyle name="Normal 4 3 2 2 2 3 4 3 2" xfId="14418" xr:uid="{2105D43A-A7C7-4CAD-887E-2124E338C1C2}"/>
    <cellStyle name="Normal 4 3 2 2 2 3 4 4" xfId="10200" xr:uid="{BADF1A2B-7A9B-4BAD-A182-0919B5E9993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2 2 2" xfId="16976" xr:uid="{B19414F3-AD7B-4A8D-8D3D-CD00A69FFD35}"/>
    <cellStyle name="Normal 4 3 2 2 2 3 5 2 3" xfId="12758" xr:uid="{A78481F8-2787-4EEF-A56F-8CA308FFC1CE}"/>
    <cellStyle name="Normal 4 3 2 2 2 3 5 3" xfId="6402" xr:uid="{00000000-0005-0000-0000-000042140000}"/>
    <cellStyle name="Normal 4 3 2 2 2 3 5 3 2" xfId="14831" xr:uid="{A5E16433-DB9C-405E-864F-71F5AB7C8744}"/>
    <cellStyle name="Normal 4 3 2 2 2 3 5 4" xfId="10613" xr:uid="{17481318-AFCA-4DB2-B8EC-395F654215C0}"/>
    <cellStyle name="Normal 4 3 2 2 2 3 6" xfId="2530" xr:uid="{00000000-0005-0000-0000-000043140000}"/>
    <cellStyle name="Normal 4 3 2 2 2 3 6 2" xfId="6815" xr:uid="{00000000-0005-0000-0000-000044140000}"/>
    <cellStyle name="Normal 4 3 2 2 2 3 6 2 2" xfId="15244" xr:uid="{B0D54CB2-0B90-4243-B301-7A43FDB788BC}"/>
    <cellStyle name="Normal 4 3 2 2 2 3 6 3" xfId="11026" xr:uid="{F61F9012-B799-40BD-81E4-BA45F7B017C0}"/>
    <cellStyle name="Normal 4 3 2 2 2 3 7" xfId="4750" xr:uid="{00000000-0005-0000-0000-000045140000}"/>
    <cellStyle name="Normal 4 3 2 2 2 3 7 2" xfId="13179" xr:uid="{F99D5146-3C11-4044-B7F2-8C01F17DCE11}"/>
    <cellStyle name="Normal 4 3 2 2 2 3 8" xfId="8961" xr:uid="{A259D983-396D-4017-8A0C-F07378611B7B}"/>
    <cellStyle name="Normal 4 3 2 2 2 4" xfId="845" xr:uid="{00000000-0005-0000-0000-000046140000}"/>
    <cellStyle name="Normal 4 3 2 2 2 4 2" xfId="3081" xr:uid="{00000000-0005-0000-0000-000047140000}"/>
    <cellStyle name="Normal 4 3 2 2 2 4 2 2" xfId="7305" xr:uid="{00000000-0005-0000-0000-000048140000}"/>
    <cellStyle name="Normal 4 3 2 2 2 4 2 2 2" xfId="15734" xr:uid="{F8E115F7-E216-48AE-A3A8-A22479A9EAED}"/>
    <cellStyle name="Normal 4 3 2 2 2 4 2 3" xfId="11516" xr:uid="{6D4EDF1E-AFBC-4EE8-99EA-7C932936D35E}"/>
    <cellStyle name="Normal 4 3 2 2 2 4 3" xfId="5160" xr:uid="{00000000-0005-0000-0000-000049140000}"/>
    <cellStyle name="Normal 4 3 2 2 2 4 3 2" xfId="13589" xr:uid="{E897999A-C726-4820-B525-A76423D1769C}"/>
    <cellStyle name="Normal 4 3 2 2 2 4 4" xfId="9371" xr:uid="{D8978949-2720-4FD3-A5A2-0607CDD8DDE8}"/>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2 2 2" xfId="16147" xr:uid="{6AE4DAE6-7B4F-4B48-89FD-C1F5648C7098}"/>
    <cellStyle name="Normal 4 3 2 2 2 5 2 3" xfId="11929" xr:uid="{1C3C7F89-3411-40C6-8E03-28129FDBA6EF}"/>
    <cellStyle name="Normal 4 3 2 2 2 5 3" xfId="5573" xr:uid="{00000000-0005-0000-0000-00004D140000}"/>
    <cellStyle name="Normal 4 3 2 2 2 5 3 2" xfId="14002" xr:uid="{77964F56-8D2E-4B9E-8645-1E9EDF4EFC1E}"/>
    <cellStyle name="Normal 4 3 2 2 2 5 4" xfId="9784" xr:uid="{52FD3734-A3A5-4814-98DA-D7E30703FB94}"/>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2 2 2" xfId="16560" xr:uid="{C0E79DBE-EA5A-49E1-BF01-ED2E1407A613}"/>
    <cellStyle name="Normal 4 3 2 2 2 6 2 3" xfId="12342" xr:uid="{32D6569F-4820-4765-8D0A-F26284266267}"/>
    <cellStyle name="Normal 4 3 2 2 2 6 3" xfId="5986" xr:uid="{00000000-0005-0000-0000-000051140000}"/>
    <cellStyle name="Normal 4 3 2 2 2 6 3 2" xfId="14415" xr:uid="{32CBC984-1C08-4D7E-A8FD-1173A8FD8B61}"/>
    <cellStyle name="Normal 4 3 2 2 2 6 4" xfId="10197" xr:uid="{21ECE22A-8D33-4885-9E81-EE687BFAD983}"/>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2 2 2" xfId="16973" xr:uid="{C25B6D81-59F2-4FE6-B3B9-FDC98DDA4864}"/>
    <cellStyle name="Normal 4 3 2 2 2 7 2 3" xfId="12755" xr:uid="{8D8FCDE0-5BC0-45DD-A4C7-58E466EB9438}"/>
    <cellStyle name="Normal 4 3 2 2 2 7 3" xfId="6399" xr:uid="{00000000-0005-0000-0000-000055140000}"/>
    <cellStyle name="Normal 4 3 2 2 2 7 3 2" xfId="14828" xr:uid="{F1539799-09BB-44C9-9D0E-77D02FDB44B7}"/>
    <cellStyle name="Normal 4 3 2 2 2 7 4" xfId="10610" xr:uid="{DBEB95D4-A2DD-4952-A85D-2D3AC0FF1A17}"/>
    <cellStyle name="Normal 4 3 2 2 2 8" xfId="2527" xr:uid="{00000000-0005-0000-0000-000056140000}"/>
    <cellStyle name="Normal 4 3 2 2 2 8 2" xfId="6812" xr:uid="{00000000-0005-0000-0000-000057140000}"/>
    <cellStyle name="Normal 4 3 2 2 2 8 2 2" xfId="15241" xr:uid="{743F92B4-86C4-493B-A711-EE9C6165BF67}"/>
    <cellStyle name="Normal 4 3 2 2 2 8 3" xfId="11023" xr:uid="{36FBEF38-4511-4B59-9D88-241D1C5D9E7D}"/>
    <cellStyle name="Normal 4 3 2 2 2 9" xfId="4747" xr:uid="{00000000-0005-0000-0000-000058140000}"/>
    <cellStyle name="Normal 4 3 2 2 2 9 2" xfId="13176" xr:uid="{676CB78F-1707-4A43-9845-017645C386D4}"/>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10" xfId="8962" xr:uid="{D0B9BC86-2F2F-4D7C-A603-1A3ACA69D043}"/>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2 2 2" xfId="15740" xr:uid="{C513549B-3CB1-4640-A45C-18C4BCF666E3}"/>
    <cellStyle name="Normal 4 3 3 2 2 2 2 3" xfId="11522" xr:uid="{C762537A-EE30-4F21-BDA9-92A37B315AB5}"/>
    <cellStyle name="Normal 4 3 3 2 2 2 3" xfId="5166" xr:uid="{00000000-0005-0000-0000-000062140000}"/>
    <cellStyle name="Normal 4 3 3 2 2 2 3 2" xfId="13595" xr:uid="{F01150F4-3104-401C-BB00-AFD989EEAF45}"/>
    <cellStyle name="Normal 4 3 3 2 2 2 4" xfId="9377" xr:uid="{E4F95F3C-35BF-4C41-AA5A-2369FBE6D82D}"/>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2 2 2" xfId="16153" xr:uid="{61318628-7526-48AE-B75E-DDF6B4DC49D4}"/>
    <cellStyle name="Normal 4 3 3 2 2 3 2 3" xfId="11935" xr:uid="{86F6B7C7-3D90-43CD-AD7A-5AA21739C79D}"/>
    <cellStyle name="Normal 4 3 3 2 2 3 3" xfId="5579" xr:uid="{00000000-0005-0000-0000-000066140000}"/>
    <cellStyle name="Normal 4 3 3 2 2 3 3 2" xfId="14008" xr:uid="{9831E17F-3700-4866-9D8C-1A4871DF9BD0}"/>
    <cellStyle name="Normal 4 3 3 2 2 3 4" xfId="9790" xr:uid="{F486CD8D-1B01-44C7-B2BA-49813E0E1687}"/>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2 2 2" xfId="16566" xr:uid="{0DB0299F-5F76-4986-8F55-9FFCD8AC8708}"/>
    <cellStyle name="Normal 4 3 3 2 2 4 2 3" xfId="12348" xr:uid="{B5190448-75BC-4DFE-B1C9-0646CA2C42E2}"/>
    <cellStyle name="Normal 4 3 3 2 2 4 3" xfId="5992" xr:uid="{00000000-0005-0000-0000-00006A140000}"/>
    <cellStyle name="Normal 4 3 3 2 2 4 3 2" xfId="14421" xr:uid="{5C3B8C14-D68F-4130-96DF-2EF571CD6D2B}"/>
    <cellStyle name="Normal 4 3 3 2 2 4 4" xfId="10203" xr:uid="{C9F408F9-724A-4BD6-85FC-2C47245F9CF3}"/>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2 2 2" xfId="16979" xr:uid="{635CDD18-CA66-40A1-85C4-312D2ECE1B58}"/>
    <cellStyle name="Normal 4 3 3 2 2 5 2 3" xfId="12761" xr:uid="{C3268574-26C8-4CCE-84A9-4AA75799745F}"/>
    <cellStyle name="Normal 4 3 3 2 2 5 3" xfId="6405" xr:uid="{00000000-0005-0000-0000-00006E140000}"/>
    <cellStyle name="Normal 4 3 3 2 2 5 3 2" xfId="14834" xr:uid="{BF1E89F4-F887-4C28-8E48-F2FB21DE21D0}"/>
    <cellStyle name="Normal 4 3 3 2 2 5 4" xfId="10616" xr:uid="{BE99CB62-2543-4ECA-A4F9-AA09CF04539C}"/>
    <cellStyle name="Normal 4 3 3 2 2 6" xfId="2533" xr:uid="{00000000-0005-0000-0000-00006F140000}"/>
    <cellStyle name="Normal 4 3 3 2 2 6 2" xfId="6818" xr:uid="{00000000-0005-0000-0000-000070140000}"/>
    <cellStyle name="Normal 4 3 3 2 2 6 2 2" xfId="15247" xr:uid="{DCC35C0E-248E-4ED8-81C3-270773C8B455}"/>
    <cellStyle name="Normal 4 3 3 2 2 6 3" xfId="11029" xr:uid="{8DE450FF-F173-43FB-9B9B-11854357D6D8}"/>
    <cellStyle name="Normal 4 3 3 2 2 7" xfId="4753" xr:uid="{00000000-0005-0000-0000-000071140000}"/>
    <cellStyle name="Normal 4 3 3 2 2 7 2" xfId="13182" xr:uid="{92920CFF-4F27-4ACF-9BDD-F35D655B4168}"/>
    <cellStyle name="Normal 4 3 3 2 2 8" xfId="8964" xr:uid="{2C27DA9D-6679-4161-858E-7A470DB11D90}"/>
    <cellStyle name="Normal 4 3 3 2 3" xfId="851" xr:uid="{00000000-0005-0000-0000-000072140000}"/>
    <cellStyle name="Normal 4 3 3 2 3 2" xfId="3086" xr:uid="{00000000-0005-0000-0000-000073140000}"/>
    <cellStyle name="Normal 4 3 3 2 3 2 2" xfId="7310" xr:uid="{00000000-0005-0000-0000-000074140000}"/>
    <cellStyle name="Normal 4 3 3 2 3 2 2 2" xfId="15739" xr:uid="{6BEA3451-AD8E-400D-AD7B-67FE3059AA93}"/>
    <cellStyle name="Normal 4 3 3 2 3 2 3" xfId="11521" xr:uid="{EC3FE177-3A91-4B7F-9CE2-50975C8F2464}"/>
    <cellStyle name="Normal 4 3 3 2 3 3" xfId="5165" xr:uid="{00000000-0005-0000-0000-000075140000}"/>
    <cellStyle name="Normal 4 3 3 2 3 3 2" xfId="13594" xr:uid="{250115C6-3CE7-45BA-8EE6-046D44B0606F}"/>
    <cellStyle name="Normal 4 3 3 2 3 4" xfId="9376" xr:uid="{BA03C531-D5D9-40E7-A57C-87CEEF16C9DE}"/>
    <cellStyle name="Normal 4 3 3 2 4" xfId="1269" xr:uid="{00000000-0005-0000-0000-000076140000}"/>
    <cellStyle name="Normal 4 3 3 2 4 2" xfId="3499" xr:uid="{00000000-0005-0000-0000-000077140000}"/>
    <cellStyle name="Normal 4 3 3 2 4 2 2" xfId="7723" xr:uid="{00000000-0005-0000-0000-000078140000}"/>
    <cellStyle name="Normal 4 3 3 2 4 2 2 2" xfId="16152" xr:uid="{ECE77F9A-1F03-4F7C-A317-2593BFE75331}"/>
    <cellStyle name="Normal 4 3 3 2 4 2 3" xfId="11934" xr:uid="{C3077CBB-EBD0-403E-A4D3-34655D91E20F}"/>
    <cellStyle name="Normal 4 3 3 2 4 3" xfId="5578" xr:uid="{00000000-0005-0000-0000-000079140000}"/>
    <cellStyle name="Normal 4 3 3 2 4 3 2" xfId="14007" xr:uid="{470B74D8-FE22-4A96-98C3-9DEA732B46A2}"/>
    <cellStyle name="Normal 4 3 3 2 4 4" xfId="9789" xr:uid="{B8A4671D-C1E9-403D-B4FF-A847FA9B8936}"/>
    <cellStyle name="Normal 4 3 3 2 5" xfId="1682" xr:uid="{00000000-0005-0000-0000-00007A140000}"/>
    <cellStyle name="Normal 4 3 3 2 5 2" xfId="3912" xr:uid="{00000000-0005-0000-0000-00007B140000}"/>
    <cellStyle name="Normal 4 3 3 2 5 2 2" xfId="8136" xr:uid="{00000000-0005-0000-0000-00007C140000}"/>
    <cellStyle name="Normal 4 3 3 2 5 2 2 2" xfId="16565" xr:uid="{02F08397-E500-4ADA-BDC7-F006C8D8C4BE}"/>
    <cellStyle name="Normal 4 3 3 2 5 2 3" xfId="12347" xr:uid="{A85F56FE-FBAA-436C-A907-43CC8600DAF0}"/>
    <cellStyle name="Normal 4 3 3 2 5 3" xfId="5991" xr:uid="{00000000-0005-0000-0000-00007D140000}"/>
    <cellStyle name="Normal 4 3 3 2 5 3 2" xfId="14420" xr:uid="{DFBD6800-9A87-4E64-BCA7-BF3849138B9B}"/>
    <cellStyle name="Normal 4 3 3 2 5 4" xfId="10202" xr:uid="{6EA2EBE2-96FC-49C3-BA94-67C45B651C4A}"/>
    <cellStyle name="Normal 4 3 3 2 6" xfId="2096" xr:uid="{00000000-0005-0000-0000-00007E140000}"/>
    <cellStyle name="Normal 4 3 3 2 6 2" xfId="4325" xr:uid="{00000000-0005-0000-0000-00007F140000}"/>
    <cellStyle name="Normal 4 3 3 2 6 2 2" xfId="8549" xr:uid="{00000000-0005-0000-0000-000080140000}"/>
    <cellStyle name="Normal 4 3 3 2 6 2 2 2" xfId="16978" xr:uid="{D68D72F9-712B-4574-B9EA-3DBABC2CEC5A}"/>
    <cellStyle name="Normal 4 3 3 2 6 2 3" xfId="12760" xr:uid="{8CF17895-712A-40A6-B597-40D8824315B2}"/>
    <cellStyle name="Normal 4 3 3 2 6 3" xfId="6404" xr:uid="{00000000-0005-0000-0000-000081140000}"/>
    <cellStyle name="Normal 4 3 3 2 6 3 2" xfId="14833" xr:uid="{961D220A-56A3-435F-929C-32A161798540}"/>
    <cellStyle name="Normal 4 3 3 2 6 4" xfId="10615" xr:uid="{1C2DF0C5-730B-4688-8717-2EF4EF16C6A5}"/>
    <cellStyle name="Normal 4 3 3 2 7" xfId="2532" xr:uid="{00000000-0005-0000-0000-000082140000}"/>
    <cellStyle name="Normal 4 3 3 2 7 2" xfId="6817" xr:uid="{00000000-0005-0000-0000-000083140000}"/>
    <cellStyle name="Normal 4 3 3 2 7 2 2" xfId="15246" xr:uid="{CA55D140-1670-41A7-A735-12ADDAAA9B2B}"/>
    <cellStyle name="Normal 4 3 3 2 7 3" xfId="11028" xr:uid="{C09DBA48-67AC-4A89-9BC2-7CA07FB5DE62}"/>
    <cellStyle name="Normal 4 3 3 2 8" xfId="4752" xr:uid="{00000000-0005-0000-0000-000084140000}"/>
    <cellStyle name="Normal 4 3 3 2 8 2" xfId="13181" xr:uid="{2FD073FD-05FB-4124-8CE8-B1AF7F41D155}"/>
    <cellStyle name="Normal 4 3 3 2 9" xfId="8963" xr:uid="{BF1F7CA5-62A8-4812-8728-DF03D1E96AC5}"/>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2 2 2" xfId="15741" xr:uid="{A76C8B86-8252-4EAF-813A-CB7853C9BFFE}"/>
    <cellStyle name="Normal 4 3 3 3 2 2 3" xfId="11523" xr:uid="{37024203-703E-4C20-9C11-79AB90E8AE29}"/>
    <cellStyle name="Normal 4 3 3 3 2 3" xfId="5167" xr:uid="{00000000-0005-0000-0000-000089140000}"/>
    <cellStyle name="Normal 4 3 3 3 2 3 2" xfId="13596" xr:uid="{F4C06DC8-6E01-48D2-A74D-FE85DD280982}"/>
    <cellStyle name="Normal 4 3 3 3 2 4" xfId="9378" xr:uid="{35C45ADC-4360-42CC-87C5-2AF71D89B60F}"/>
    <cellStyle name="Normal 4 3 3 3 3" xfId="1271" xr:uid="{00000000-0005-0000-0000-00008A140000}"/>
    <cellStyle name="Normal 4 3 3 3 3 2" xfId="3501" xr:uid="{00000000-0005-0000-0000-00008B140000}"/>
    <cellStyle name="Normal 4 3 3 3 3 2 2" xfId="7725" xr:uid="{00000000-0005-0000-0000-00008C140000}"/>
    <cellStyle name="Normal 4 3 3 3 3 2 2 2" xfId="16154" xr:uid="{F834FB1D-2673-4338-820D-F4FE0FECBF80}"/>
    <cellStyle name="Normal 4 3 3 3 3 2 3" xfId="11936" xr:uid="{FB67453A-C7E2-4024-914A-5CD89A20E9CF}"/>
    <cellStyle name="Normal 4 3 3 3 3 3" xfId="5580" xr:uid="{00000000-0005-0000-0000-00008D140000}"/>
    <cellStyle name="Normal 4 3 3 3 3 3 2" xfId="14009" xr:uid="{B9D8707C-D67D-48CD-A83D-70AE50E4451A}"/>
    <cellStyle name="Normal 4 3 3 3 3 4" xfId="9791" xr:uid="{BC03F87C-3366-4A91-A31A-B58B06694FD0}"/>
    <cellStyle name="Normal 4 3 3 3 4" xfId="1684" xr:uid="{00000000-0005-0000-0000-00008E140000}"/>
    <cellStyle name="Normal 4 3 3 3 4 2" xfId="3914" xr:uid="{00000000-0005-0000-0000-00008F140000}"/>
    <cellStyle name="Normal 4 3 3 3 4 2 2" xfId="8138" xr:uid="{00000000-0005-0000-0000-000090140000}"/>
    <cellStyle name="Normal 4 3 3 3 4 2 2 2" xfId="16567" xr:uid="{C9AAA90D-4F3F-48A7-8A14-52E5F22C217B}"/>
    <cellStyle name="Normal 4 3 3 3 4 2 3" xfId="12349" xr:uid="{7F54B244-94FD-493D-A361-DFF27B199374}"/>
    <cellStyle name="Normal 4 3 3 3 4 3" xfId="5993" xr:uid="{00000000-0005-0000-0000-000091140000}"/>
    <cellStyle name="Normal 4 3 3 3 4 3 2" xfId="14422" xr:uid="{40BFDC9A-ED8F-474E-AB9C-BF8374B59D3E}"/>
    <cellStyle name="Normal 4 3 3 3 4 4" xfId="10204" xr:uid="{07DA75F4-7CF7-4525-BB98-5E6BA8907EA9}"/>
    <cellStyle name="Normal 4 3 3 3 5" xfId="2098" xr:uid="{00000000-0005-0000-0000-000092140000}"/>
    <cellStyle name="Normal 4 3 3 3 5 2" xfId="4327" xr:uid="{00000000-0005-0000-0000-000093140000}"/>
    <cellStyle name="Normal 4 3 3 3 5 2 2" xfId="8551" xr:uid="{00000000-0005-0000-0000-000094140000}"/>
    <cellStyle name="Normal 4 3 3 3 5 2 2 2" xfId="16980" xr:uid="{4308736F-8099-48B1-B237-173044DF7D60}"/>
    <cellStyle name="Normal 4 3 3 3 5 2 3" xfId="12762" xr:uid="{EDC5E80A-179B-4AF7-B648-BE41977E4536}"/>
    <cellStyle name="Normal 4 3 3 3 5 3" xfId="6406" xr:uid="{00000000-0005-0000-0000-000095140000}"/>
    <cellStyle name="Normal 4 3 3 3 5 3 2" xfId="14835" xr:uid="{3B7539EC-BEDD-4C93-BCBE-CF5EDD308F5F}"/>
    <cellStyle name="Normal 4 3 3 3 5 4" xfId="10617" xr:uid="{5C54C949-29BC-4E0C-A48D-1A7276C866A3}"/>
    <cellStyle name="Normal 4 3 3 3 6" xfId="2534" xr:uid="{00000000-0005-0000-0000-000096140000}"/>
    <cellStyle name="Normal 4 3 3 3 6 2" xfId="6819" xr:uid="{00000000-0005-0000-0000-000097140000}"/>
    <cellStyle name="Normal 4 3 3 3 6 2 2" xfId="15248" xr:uid="{02FAFEF3-E216-4E25-89C1-AE1A1F29486F}"/>
    <cellStyle name="Normal 4 3 3 3 6 3" xfId="11030" xr:uid="{4D5C0200-4BC4-471A-8E31-3A3844BE70B7}"/>
    <cellStyle name="Normal 4 3 3 3 7" xfId="4754" xr:uid="{00000000-0005-0000-0000-000098140000}"/>
    <cellStyle name="Normal 4 3 3 3 7 2" xfId="13183" xr:uid="{BD3989A4-ECE0-424D-A533-9F432FFA9F1A}"/>
    <cellStyle name="Normal 4 3 3 3 8" xfId="8965" xr:uid="{E9DF5A44-ED3F-4375-A180-58BDC131B368}"/>
    <cellStyle name="Normal 4 3 3 4" xfId="850" xr:uid="{00000000-0005-0000-0000-000099140000}"/>
    <cellStyle name="Normal 4 3 3 4 2" xfId="3085" xr:uid="{00000000-0005-0000-0000-00009A140000}"/>
    <cellStyle name="Normal 4 3 3 4 2 2" xfId="7309" xr:uid="{00000000-0005-0000-0000-00009B140000}"/>
    <cellStyle name="Normal 4 3 3 4 2 2 2" xfId="15738" xr:uid="{E912F790-6564-4E74-A779-17E90F6EFCD1}"/>
    <cellStyle name="Normal 4 3 3 4 2 3" xfId="11520" xr:uid="{A3E6FEAE-A813-4EEB-87F4-18F0136BAB4C}"/>
    <cellStyle name="Normal 4 3 3 4 3" xfId="5164" xr:uid="{00000000-0005-0000-0000-00009C140000}"/>
    <cellStyle name="Normal 4 3 3 4 3 2" xfId="13593" xr:uid="{7BC6C4AB-1CBD-499F-8D2B-CF0AD61BC250}"/>
    <cellStyle name="Normal 4 3 3 4 4" xfId="9375" xr:uid="{9A56DF26-A45D-4641-8FF2-3364AE1941E0}"/>
    <cellStyle name="Normal 4 3 3 5" xfId="1268" xr:uid="{00000000-0005-0000-0000-00009D140000}"/>
    <cellStyle name="Normal 4 3 3 5 2" xfId="3498" xr:uid="{00000000-0005-0000-0000-00009E140000}"/>
    <cellStyle name="Normal 4 3 3 5 2 2" xfId="7722" xr:uid="{00000000-0005-0000-0000-00009F140000}"/>
    <cellStyle name="Normal 4 3 3 5 2 2 2" xfId="16151" xr:uid="{DD1C4E8C-E234-4EFD-9B9A-941B7CC9D0F6}"/>
    <cellStyle name="Normal 4 3 3 5 2 3" xfId="11933" xr:uid="{1AC0515D-0F3C-43AD-A327-8366D1CEF242}"/>
    <cellStyle name="Normal 4 3 3 5 3" xfId="5577" xr:uid="{00000000-0005-0000-0000-0000A0140000}"/>
    <cellStyle name="Normal 4 3 3 5 3 2" xfId="14006" xr:uid="{C45EF3BC-EC9F-467B-9856-7F1CC4182CF4}"/>
    <cellStyle name="Normal 4 3 3 5 4" xfId="9788" xr:uid="{ED910FA0-0244-48AA-98F9-2B9C901CDBB2}"/>
    <cellStyle name="Normal 4 3 3 6" xfId="1681" xr:uid="{00000000-0005-0000-0000-0000A1140000}"/>
    <cellStyle name="Normal 4 3 3 6 2" xfId="3911" xr:uid="{00000000-0005-0000-0000-0000A2140000}"/>
    <cellStyle name="Normal 4 3 3 6 2 2" xfId="8135" xr:uid="{00000000-0005-0000-0000-0000A3140000}"/>
    <cellStyle name="Normal 4 3 3 6 2 2 2" xfId="16564" xr:uid="{548E4451-AC0E-45AA-8E27-3BD10CD8797B}"/>
    <cellStyle name="Normal 4 3 3 6 2 3" xfId="12346" xr:uid="{6FDB4DE8-D3C7-4576-B37D-D94B1D08EBE0}"/>
    <cellStyle name="Normal 4 3 3 6 3" xfId="5990" xr:uid="{00000000-0005-0000-0000-0000A4140000}"/>
    <cellStyle name="Normal 4 3 3 6 3 2" xfId="14419" xr:uid="{36171630-25E1-4A91-9F8D-9FB55908CD3E}"/>
    <cellStyle name="Normal 4 3 3 6 4" xfId="10201" xr:uid="{27FAEE8A-596D-4031-87D7-06ECD976660E}"/>
    <cellStyle name="Normal 4 3 3 7" xfId="2095" xr:uid="{00000000-0005-0000-0000-0000A5140000}"/>
    <cellStyle name="Normal 4 3 3 7 2" xfId="4324" xr:uid="{00000000-0005-0000-0000-0000A6140000}"/>
    <cellStyle name="Normal 4 3 3 7 2 2" xfId="8548" xr:uid="{00000000-0005-0000-0000-0000A7140000}"/>
    <cellStyle name="Normal 4 3 3 7 2 2 2" xfId="16977" xr:uid="{CAF50294-1E46-4B45-8A8A-C12A14393DE6}"/>
    <cellStyle name="Normal 4 3 3 7 2 3" xfId="12759" xr:uid="{0F9D8D80-611F-42FA-855A-22E0729779E5}"/>
    <cellStyle name="Normal 4 3 3 7 3" xfId="6403" xr:uid="{00000000-0005-0000-0000-0000A8140000}"/>
    <cellStyle name="Normal 4 3 3 7 3 2" xfId="14832" xr:uid="{1CF720C5-0302-4682-9A65-967CBA4C8448}"/>
    <cellStyle name="Normal 4 3 3 7 4" xfId="10614" xr:uid="{DF057C71-8ABC-48DF-A184-6DB172799A4E}"/>
    <cellStyle name="Normal 4 3 3 8" xfId="2531" xr:uid="{00000000-0005-0000-0000-0000A9140000}"/>
    <cellStyle name="Normal 4 3 3 8 2" xfId="6816" xr:uid="{00000000-0005-0000-0000-0000AA140000}"/>
    <cellStyle name="Normal 4 3 3 8 2 2" xfId="15245" xr:uid="{18301E8E-8C40-4913-8E7B-28D883A87884}"/>
    <cellStyle name="Normal 4 3 3 8 3" xfId="11027" xr:uid="{38EF50E4-8F79-40A5-8C50-4EEF99BF11E7}"/>
    <cellStyle name="Normal 4 3 3 9" xfId="4751" xr:uid="{00000000-0005-0000-0000-0000AB140000}"/>
    <cellStyle name="Normal 4 3 3 9 2" xfId="13180" xr:uid="{17818437-650F-49AA-B7A9-CD3BAA7C3D3B}"/>
    <cellStyle name="Normal 4 3 4" xfId="843" xr:uid="{00000000-0005-0000-0000-0000AC140000}"/>
    <cellStyle name="Normal 4 3 4 2" xfId="3080" xr:uid="{00000000-0005-0000-0000-0000AD140000}"/>
    <cellStyle name="Normal 4 3 4 2 2" xfId="7304" xr:uid="{00000000-0005-0000-0000-0000AE140000}"/>
    <cellStyle name="Normal 4 3 4 2 2 2" xfId="15733" xr:uid="{6B5FFBEB-0163-452D-8495-A44835F4E4C3}"/>
    <cellStyle name="Normal 4 3 4 2 3" xfId="11515" xr:uid="{2C2B044D-7E7E-43EB-8003-ECF9D090E0C1}"/>
    <cellStyle name="Normal 4 3 4 3" xfId="5159" xr:uid="{00000000-0005-0000-0000-0000AF140000}"/>
    <cellStyle name="Normal 4 3 4 3 2" xfId="13588" xr:uid="{1DA2BF65-1728-442A-8DFC-60013FB601EC}"/>
    <cellStyle name="Normal 4 3 4 4" xfId="9370" xr:uid="{83AA5C8D-AB22-498E-AFD2-B1DA76AA201C}"/>
    <cellStyle name="Normal 4 3 5" xfId="1263" xr:uid="{00000000-0005-0000-0000-0000B0140000}"/>
    <cellStyle name="Normal 4 3 5 2" xfId="3493" xr:uid="{00000000-0005-0000-0000-0000B1140000}"/>
    <cellStyle name="Normal 4 3 5 2 2" xfId="7717" xr:uid="{00000000-0005-0000-0000-0000B2140000}"/>
    <cellStyle name="Normal 4 3 5 2 2 2" xfId="16146" xr:uid="{149A7C5A-BB73-4AE2-85F6-55BE2BDB6354}"/>
    <cellStyle name="Normal 4 3 5 2 3" xfId="11928" xr:uid="{33EC90F9-5345-4233-B3DF-2ED304120778}"/>
    <cellStyle name="Normal 4 3 5 3" xfId="5572" xr:uid="{00000000-0005-0000-0000-0000B3140000}"/>
    <cellStyle name="Normal 4 3 5 3 2" xfId="14001" xr:uid="{CD04EAB3-4961-402A-8DB4-839541A290F2}"/>
    <cellStyle name="Normal 4 3 5 4" xfId="9783" xr:uid="{E38751F7-11F7-442F-A7AF-C024CEE011CC}"/>
    <cellStyle name="Normal 4 3 6" xfId="1676" xr:uid="{00000000-0005-0000-0000-0000B4140000}"/>
    <cellStyle name="Normal 4 3 6 2" xfId="3906" xr:uid="{00000000-0005-0000-0000-0000B5140000}"/>
    <cellStyle name="Normal 4 3 6 2 2" xfId="8130" xr:uid="{00000000-0005-0000-0000-0000B6140000}"/>
    <cellStyle name="Normal 4 3 6 2 2 2" xfId="16559" xr:uid="{1361032C-328F-4687-94E5-AA38C74FA957}"/>
    <cellStyle name="Normal 4 3 6 2 3" xfId="12341" xr:uid="{0151330E-D59C-421E-85EE-0B3EB14BD9CE}"/>
    <cellStyle name="Normal 4 3 6 3" xfId="5985" xr:uid="{00000000-0005-0000-0000-0000B7140000}"/>
    <cellStyle name="Normal 4 3 6 3 2" xfId="14414" xr:uid="{1B014B52-4B1C-4A8D-841F-E5EF62731F5D}"/>
    <cellStyle name="Normal 4 3 6 4" xfId="10196" xr:uid="{3C8BD4F3-6C8F-4DB8-9A57-22ADFEC0E3EC}"/>
    <cellStyle name="Normal 4 3 7" xfId="2090" xr:uid="{00000000-0005-0000-0000-0000B8140000}"/>
    <cellStyle name="Normal 4 3 7 2" xfId="4319" xr:uid="{00000000-0005-0000-0000-0000B9140000}"/>
    <cellStyle name="Normal 4 3 7 2 2" xfId="8543" xr:uid="{00000000-0005-0000-0000-0000BA140000}"/>
    <cellStyle name="Normal 4 3 7 2 2 2" xfId="16972" xr:uid="{398965EE-5FA5-4DE2-9B26-819C9979F8E4}"/>
    <cellStyle name="Normal 4 3 7 2 3" xfId="12754" xr:uid="{6C39D0C7-04C8-4C36-A4F8-BABF50222359}"/>
    <cellStyle name="Normal 4 3 7 3" xfId="6398" xr:uid="{00000000-0005-0000-0000-0000BB140000}"/>
    <cellStyle name="Normal 4 3 7 3 2" xfId="14827" xr:uid="{103B32C2-A2F9-4E0D-9059-EA546F80C800}"/>
    <cellStyle name="Normal 4 3 7 4" xfId="10609" xr:uid="{DC4D4EFC-9C2C-409E-8D3B-4F0D893AB04C}"/>
    <cellStyle name="Normal 4 3 8" xfId="2526" xr:uid="{00000000-0005-0000-0000-0000BC140000}"/>
    <cellStyle name="Normal 4 3 8 2" xfId="6811" xr:uid="{00000000-0005-0000-0000-0000BD140000}"/>
    <cellStyle name="Normal 4 3 8 2 2" xfId="15240" xr:uid="{F4ED5CEF-B960-418E-835B-299E8A0BA054}"/>
    <cellStyle name="Normal 4 3 8 3" xfId="11022" xr:uid="{71D0E7F8-38C3-4F42-AEBC-4BEDFBE7CBA2}"/>
    <cellStyle name="Normal 4 3 9" xfId="4746" xr:uid="{00000000-0005-0000-0000-0000BE140000}"/>
    <cellStyle name="Normal 4 3 9 2" xfId="13175" xr:uid="{509A4426-F8EC-404B-9587-5F7575D30B67}"/>
    <cellStyle name="Normal 4 4" xfId="378" xr:uid="{00000000-0005-0000-0000-0000BF140000}"/>
    <cellStyle name="Normal 4 4 10" xfId="2535" xr:uid="{00000000-0005-0000-0000-0000C0140000}"/>
    <cellStyle name="Normal 4 4 10 2" xfId="6820" xr:uid="{00000000-0005-0000-0000-0000C1140000}"/>
    <cellStyle name="Normal 4 4 10 2 2" xfId="15249" xr:uid="{9E3DE991-7AE3-446E-AF36-C9471D6C98DB}"/>
    <cellStyle name="Normal 4 4 10 3" xfId="11031" xr:uid="{AC575195-D9DD-4F72-AC6F-FD53C2583B42}"/>
    <cellStyle name="Normal 4 4 11" xfId="4755" xr:uid="{00000000-0005-0000-0000-0000C2140000}"/>
    <cellStyle name="Normal 4 4 11 2" xfId="13184" xr:uid="{EC56CACC-A558-4450-B482-76A19B64C8C1}"/>
    <cellStyle name="Normal 4 4 12" xfId="8966" xr:uid="{01EDB544-C76C-444B-A9FA-B25C2FA5CB2C}"/>
    <cellStyle name="Normal 4 4 2" xfId="379" xr:uid="{00000000-0005-0000-0000-0000C3140000}"/>
    <cellStyle name="Normal 4 4 2 10" xfId="4756" xr:uid="{00000000-0005-0000-0000-0000C4140000}"/>
    <cellStyle name="Normal 4 4 2 10 2" xfId="13185" xr:uid="{6D9193EB-4CB9-4F78-AE35-61C78B11CB71}"/>
    <cellStyle name="Normal 4 4 2 11" xfId="8967" xr:uid="{EE64DC98-7B30-4007-A956-A79371D11B6D}"/>
    <cellStyle name="Normal 4 4 2 2" xfId="380" xr:uid="{00000000-0005-0000-0000-0000C5140000}"/>
    <cellStyle name="Normal 4 4 2 2 10" xfId="8968" xr:uid="{DEB3E83A-1AB4-4316-9486-C7556BC0C50C}"/>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2 2 2" xfId="15746" xr:uid="{2611BB8E-2ACF-4046-A8FC-0EE8414015F2}"/>
    <cellStyle name="Normal 4 4 2 2 2 2 2 2 3" xfId="11528" xr:uid="{760A9C9F-7BC5-46A3-A182-E25C7740FE9C}"/>
    <cellStyle name="Normal 4 4 2 2 2 2 2 3" xfId="5172" xr:uid="{00000000-0005-0000-0000-0000CB140000}"/>
    <cellStyle name="Normal 4 4 2 2 2 2 2 3 2" xfId="13601" xr:uid="{9AABEF32-0C1C-4181-932C-58D0971EEDCA}"/>
    <cellStyle name="Normal 4 4 2 2 2 2 2 4" xfId="9383" xr:uid="{84B749A9-3DBB-43F2-B58B-79D5B6B6E684}"/>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2 2 2" xfId="16159" xr:uid="{CC71E683-9B2D-4339-B668-8F2D4075E319}"/>
    <cellStyle name="Normal 4 4 2 2 2 2 3 2 3" xfId="11941" xr:uid="{4B18324F-10F4-4837-B1F5-7731E68DB80A}"/>
    <cellStyle name="Normal 4 4 2 2 2 2 3 3" xfId="5585" xr:uid="{00000000-0005-0000-0000-0000CF140000}"/>
    <cellStyle name="Normal 4 4 2 2 2 2 3 3 2" xfId="14014" xr:uid="{95A37764-F2DD-42DF-B0EA-D4D4CDAE3A7F}"/>
    <cellStyle name="Normal 4 4 2 2 2 2 3 4" xfId="9796" xr:uid="{DCA378D1-4021-4218-BA5A-C700E4B2DC0A}"/>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2 2 2" xfId="16572" xr:uid="{3BC509B9-A44C-454B-BC92-2D8B411E7808}"/>
    <cellStyle name="Normal 4 4 2 2 2 2 4 2 3" xfId="12354" xr:uid="{AEA58B5B-6F42-46F5-BEEB-6AB4C445B87A}"/>
    <cellStyle name="Normal 4 4 2 2 2 2 4 3" xfId="5998" xr:uid="{00000000-0005-0000-0000-0000D3140000}"/>
    <cellStyle name="Normal 4 4 2 2 2 2 4 3 2" xfId="14427" xr:uid="{60D7C4DC-85F0-4685-934F-C0EAB0AE29D7}"/>
    <cellStyle name="Normal 4 4 2 2 2 2 4 4" xfId="10209" xr:uid="{1C21D0FF-B3EF-42C2-B255-B8A82D583C85}"/>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2 2 2" xfId="16985" xr:uid="{F13CC6A0-2147-4894-82BD-332C772D205B}"/>
    <cellStyle name="Normal 4 4 2 2 2 2 5 2 3" xfId="12767" xr:uid="{AFD6E63D-7EC8-408B-80A6-B618F93B782E}"/>
    <cellStyle name="Normal 4 4 2 2 2 2 5 3" xfId="6411" xr:uid="{00000000-0005-0000-0000-0000D7140000}"/>
    <cellStyle name="Normal 4 4 2 2 2 2 5 3 2" xfId="14840" xr:uid="{7091BDF4-A6FD-481C-9D4D-CF15FA3FE6A5}"/>
    <cellStyle name="Normal 4 4 2 2 2 2 5 4" xfId="10622" xr:uid="{9658F054-7071-49BD-B11D-76775DCD77BF}"/>
    <cellStyle name="Normal 4 4 2 2 2 2 6" xfId="2539" xr:uid="{00000000-0005-0000-0000-0000D8140000}"/>
    <cellStyle name="Normal 4 4 2 2 2 2 6 2" xfId="6824" xr:uid="{00000000-0005-0000-0000-0000D9140000}"/>
    <cellStyle name="Normal 4 4 2 2 2 2 6 2 2" xfId="15253" xr:uid="{2EA622AB-DA5B-485B-95E2-18E75625F9B1}"/>
    <cellStyle name="Normal 4 4 2 2 2 2 6 3" xfId="11035" xr:uid="{8FA30164-298B-4418-ACF2-C7F2B6960BA1}"/>
    <cellStyle name="Normal 4 4 2 2 2 2 7" xfId="4759" xr:uid="{00000000-0005-0000-0000-0000DA140000}"/>
    <cellStyle name="Normal 4 4 2 2 2 2 7 2" xfId="13188" xr:uid="{36C2405D-F4EA-43E7-B62D-95D045D82436}"/>
    <cellStyle name="Normal 4 4 2 2 2 2 8" xfId="8970" xr:uid="{7D197C28-AE69-4CCE-8114-7D4A96E7A17F}"/>
    <cellStyle name="Normal 4 4 2 2 2 3" xfId="857" xr:uid="{00000000-0005-0000-0000-0000DB140000}"/>
    <cellStyle name="Normal 4 4 2 2 2 3 2" xfId="3092" xr:uid="{00000000-0005-0000-0000-0000DC140000}"/>
    <cellStyle name="Normal 4 4 2 2 2 3 2 2" xfId="7316" xr:uid="{00000000-0005-0000-0000-0000DD140000}"/>
    <cellStyle name="Normal 4 4 2 2 2 3 2 2 2" xfId="15745" xr:uid="{9E4C794C-D09C-4253-94B2-5C8B3C57C9E4}"/>
    <cellStyle name="Normal 4 4 2 2 2 3 2 3" xfId="11527" xr:uid="{76574B36-1F97-4C87-AB17-C3727DD4B68D}"/>
    <cellStyle name="Normal 4 4 2 2 2 3 3" xfId="5171" xr:uid="{00000000-0005-0000-0000-0000DE140000}"/>
    <cellStyle name="Normal 4 4 2 2 2 3 3 2" xfId="13600" xr:uid="{0EB447F1-D98B-4A1C-9A76-F5AE96644BBA}"/>
    <cellStyle name="Normal 4 4 2 2 2 3 4" xfId="9382" xr:uid="{055B301E-0995-42EC-855C-7AC7F4BBE46C}"/>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2 2 2" xfId="16158" xr:uid="{C74965AF-8E5D-4699-894A-7317BE4F3D7B}"/>
    <cellStyle name="Normal 4 4 2 2 2 4 2 3" xfId="11940" xr:uid="{0A663075-EAEC-4802-A871-59334227B6EC}"/>
    <cellStyle name="Normal 4 4 2 2 2 4 3" xfId="5584" xr:uid="{00000000-0005-0000-0000-0000E2140000}"/>
    <cellStyle name="Normal 4 4 2 2 2 4 3 2" xfId="14013" xr:uid="{BFEAC288-7EC9-49B9-A1F1-6ADC2513D477}"/>
    <cellStyle name="Normal 4 4 2 2 2 4 4" xfId="9795" xr:uid="{6376BF9D-C5AB-4E1D-81C2-6773D504EBCF}"/>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2 2 2" xfId="16571" xr:uid="{86804CB5-8016-46A2-B0F5-13D90B43C6DB}"/>
    <cellStyle name="Normal 4 4 2 2 2 5 2 3" xfId="12353" xr:uid="{03463FCD-0C18-4B10-95AF-D124EB1F0582}"/>
    <cellStyle name="Normal 4 4 2 2 2 5 3" xfId="5997" xr:uid="{00000000-0005-0000-0000-0000E6140000}"/>
    <cellStyle name="Normal 4 4 2 2 2 5 3 2" xfId="14426" xr:uid="{6002B207-B418-4936-9755-99B34A470371}"/>
    <cellStyle name="Normal 4 4 2 2 2 5 4" xfId="10208" xr:uid="{8CA33E97-5F3E-4236-8660-709EDBEC416E}"/>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2 2 2" xfId="16984" xr:uid="{A1D20C9C-07DC-4114-9FA3-F69030A93BBB}"/>
    <cellStyle name="Normal 4 4 2 2 2 6 2 3" xfId="12766" xr:uid="{990D2BA6-A097-47AA-8BD3-8915F48984C3}"/>
    <cellStyle name="Normal 4 4 2 2 2 6 3" xfId="6410" xr:uid="{00000000-0005-0000-0000-0000EA140000}"/>
    <cellStyle name="Normal 4 4 2 2 2 6 3 2" xfId="14839" xr:uid="{96C5C279-149A-492B-8BB4-295034E16DEF}"/>
    <cellStyle name="Normal 4 4 2 2 2 6 4" xfId="10621" xr:uid="{C801B51A-B509-4824-95A9-7076BB4155F7}"/>
    <cellStyle name="Normal 4 4 2 2 2 7" xfId="2538" xr:uid="{00000000-0005-0000-0000-0000EB140000}"/>
    <cellStyle name="Normal 4 4 2 2 2 7 2" xfId="6823" xr:uid="{00000000-0005-0000-0000-0000EC140000}"/>
    <cellStyle name="Normal 4 4 2 2 2 7 2 2" xfId="15252" xr:uid="{5BF57F0F-AA94-4075-827D-DD5404272ED4}"/>
    <cellStyle name="Normal 4 4 2 2 2 7 3" xfId="11034" xr:uid="{47EA16AE-62F4-4975-92AD-30F6EF1368C2}"/>
    <cellStyle name="Normal 4 4 2 2 2 8" xfId="4758" xr:uid="{00000000-0005-0000-0000-0000ED140000}"/>
    <cellStyle name="Normal 4 4 2 2 2 8 2" xfId="13187" xr:uid="{BAF24FFA-C2EB-48DB-9AD9-E4F479A36112}"/>
    <cellStyle name="Normal 4 4 2 2 2 9" xfId="8969" xr:uid="{4AA26229-845D-4A5A-A77C-D9D82C8BEBA6}"/>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2 2 2" xfId="15747" xr:uid="{9E305155-D430-4E96-B4A2-262E2AFE80A0}"/>
    <cellStyle name="Normal 4 4 2 2 3 2 2 3" xfId="11529" xr:uid="{8662A884-F60F-4847-872A-F7C0279327D3}"/>
    <cellStyle name="Normal 4 4 2 2 3 2 3" xfId="5173" xr:uid="{00000000-0005-0000-0000-0000F2140000}"/>
    <cellStyle name="Normal 4 4 2 2 3 2 3 2" xfId="13602" xr:uid="{F843AA35-0BBE-49CC-9193-B7F12399C1AB}"/>
    <cellStyle name="Normal 4 4 2 2 3 2 4" xfId="9384" xr:uid="{9A239C33-9D87-4A5D-810F-FDAF7580D8D7}"/>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2 2 2" xfId="16160" xr:uid="{F1700453-9CAD-498C-AE89-D1DFD3298B93}"/>
    <cellStyle name="Normal 4 4 2 2 3 3 2 3" xfId="11942" xr:uid="{A2EF6E35-F099-422B-BDDD-A304CE98D38F}"/>
    <cellStyle name="Normal 4 4 2 2 3 3 3" xfId="5586" xr:uid="{00000000-0005-0000-0000-0000F6140000}"/>
    <cellStyle name="Normal 4 4 2 2 3 3 3 2" xfId="14015" xr:uid="{1BACED9F-4B79-4572-B729-C48270D4836B}"/>
    <cellStyle name="Normal 4 4 2 2 3 3 4" xfId="9797" xr:uid="{89E15512-D9B7-4BD9-86EF-5DAD601A8A39}"/>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2 2 2" xfId="16573" xr:uid="{44112950-2E3E-44DF-95E5-0BF1FF46C5FC}"/>
    <cellStyle name="Normal 4 4 2 2 3 4 2 3" xfId="12355" xr:uid="{1021F5F2-2DD8-4A38-84A6-5E2BC73F9A12}"/>
    <cellStyle name="Normal 4 4 2 2 3 4 3" xfId="5999" xr:uid="{00000000-0005-0000-0000-0000FA140000}"/>
    <cellStyle name="Normal 4 4 2 2 3 4 3 2" xfId="14428" xr:uid="{378EA188-B427-41DF-A66D-E3CA1E18AD0E}"/>
    <cellStyle name="Normal 4 4 2 2 3 4 4" xfId="10210" xr:uid="{C860558A-262C-458A-9609-61010574060D}"/>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2 2 2" xfId="16986" xr:uid="{36BEED7E-EAF4-4A94-B05A-E5B3931BCB4A}"/>
    <cellStyle name="Normal 4 4 2 2 3 5 2 3" xfId="12768" xr:uid="{88560C4C-5034-4F72-AA0D-70E177B4BAF5}"/>
    <cellStyle name="Normal 4 4 2 2 3 5 3" xfId="6412" xr:uid="{00000000-0005-0000-0000-0000FE140000}"/>
    <cellStyle name="Normal 4 4 2 2 3 5 3 2" xfId="14841" xr:uid="{F8792951-C479-4CD1-A2A1-C199FD6904CD}"/>
    <cellStyle name="Normal 4 4 2 2 3 5 4" xfId="10623" xr:uid="{220530E7-84C4-4239-9F10-F0C1A06CDAF4}"/>
    <cellStyle name="Normal 4 4 2 2 3 6" xfId="2540" xr:uid="{00000000-0005-0000-0000-0000FF140000}"/>
    <cellStyle name="Normal 4 4 2 2 3 6 2" xfId="6825" xr:uid="{00000000-0005-0000-0000-000000150000}"/>
    <cellStyle name="Normal 4 4 2 2 3 6 2 2" xfId="15254" xr:uid="{B90A6DAF-B9A6-4B95-A076-B5564D7734C0}"/>
    <cellStyle name="Normal 4 4 2 2 3 6 3" xfId="11036" xr:uid="{079EC97D-6C5B-4A6A-BE1A-391BB9C4C047}"/>
    <cellStyle name="Normal 4 4 2 2 3 7" xfId="4760" xr:uid="{00000000-0005-0000-0000-000001150000}"/>
    <cellStyle name="Normal 4 4 2 2 3 7 2" xfId="13189" xr:uid="{3E44F005-08F7-40C1-B836-180F10658FAA}"/>
    <cellStyle name="Normal 4 4 2 2 3 8" xfId="8971" xr:uid="{5FD0ADC2-6928-478A-B0F8-D92F5DCE1CF4}"/>
    <cellStyle name="Normal 4 4 2 2 4" xfId="856" xr:uid="{00000000-0005-0000-0000-000002150000}"/>
    <cellStyle name="Normal 4 4 2 2 4 2" xfId="3091" xr:uid="{00000000-0005-0000-0000-000003150000}"/>
    <cellStyle name="Normal 4 4 2 2 4 2 2" xfId="7315" xr:uid="{00000000-0005-0000-0000-000004150000}"/>
    <cellStyle name="Normal 4 4 2 2 4 2 2 2" xfId="15744" xr:uid="{591A92FD-67F1-48E2-90DA-D982985B6BB0}"/>
    <cellStyle name="Normal 4 4 2 2 4 2 3" xfId="11526" xr:uid="{B14C66FC-71C6-4395-9AB7-EA905B403A37}"/>
    <cellStyle name="Normal 4 4 2 2 4 3" xfId="5170" xr:uid="{00000000-0005-0000-0000-000005150000}"/>
    <cellStyle name="Normal 4 4 2 2 4 3 2" xfId="13599" xr:uid="{7FFDEE54-6E24-4978-8824-329B7435452B}"/>
    <cellStyle name="Normal 4 4 2 2 4 4" xfId="9381" xr:uid="{6DE7E68E-9CE9-42BF-8CF1-33F8ED5D5D1E}"/>
    <cellStyle name="Normal 4 4 2 2 5" xfId="1274" xr:uid="{00000000-0005-0000-0000-000006150000}"/>
    <cellStyle name="Normal 4 4 2 2 5 2" xfId="3504" xr:uid="{00000000-0005-0000-0000-000007150000}"/>
    <cellStyle name="Normal 4 4 2 2 5 2 2" xfId="7728" xr:uid="{00000000-0005-0000-0000-000008150000}"/>
    <cellStyle name="Normal 4 4 2 2 5 2 2 2" xfId="16157" xr:uid="{A4293FC8-6F65-487E-A8D6-FF216C47A8B9}"/>
    <cellStyle name="Normal 4 4 2 2 5 2 3" xfId="11939" xr:uid="{96E57C67-2226-485E-912E-AC4EAB01F439}"/>
    <cellStyle name="Normal 4 4 2 2 5 3" xfId="5583" xr:uid="{00000000-0005-0000-0000-000009150000}"/>
    <cellStyle name="Normal 4 4 2 2 5 3 2" xfId="14012" xr:uid="{7AAC0C7F-CCF7-4761-BA6E-E0F08B3B7CE8}"/>
    <cellStyle name="Normal 4 4 2 2 5 4" xfId="9794" xr:uid="{41F0307B-E39C-4F24-BA52-E4CA463C4DCD}"/>
    <cellStyle name="Normal 4 4 2 2 6" xfId="1687" xr:uid="{00000000-0005-0000-0000-00000A150000}"/>
    <cellStyle name="Normal 4 4 2 2 6 2" xfId="3917" xr:uid="{00000000-0005-0000-0000-00000B150000}"/>
    <cellStyle name="Normal 4 4 2 2 6 2 2" xfId="8141" xr:uid="{00000000-0005-0000-0000-00000C150000}"/>
    <cellStyle name="Normal 4 4 2 2 6 2 2 2" xfId="16570" xr:uid="{016E88F3-C84C-41A9-887A-EDEBBD1EFA9E}"/>
    <cellStyle name="Normal 4 4 2 2 6 2 3" xfId="12352" xr:uid="{18E6D733-C187-4517-B74C-94397DB68FF9}"/>
    <cellStyle name="Normal 4 4 2 2 6 3" xfId="5996" xr:uid="{00000000-0005-0000-0000-00000D150000}"/>
    <cellStyle name="Normal 4 4 2 2 6 3 2" xfId="14425" xr:uid="{48DAACD8-61E0-42C4-8BA6-266B6820BA24}"/>
    <cellStyle name="Normal 4 4 2 2 6 4" xfId="10207" xr:uid="{7499FBC2-2DD3-4CF1-A303-CF687EC03124}"/>
    <cellStyle name="Normal 4 4 2 2 7" xfId="2101" xr:uid="{00000000-0005-0000-0000-00000E150000}"/>
    <cellStyle name="Normal 4 4 2 2 7 2" xfId="4330" xr:uid="{00000000-0005-0000-0000-00000F150000}"/>
    <cellStyle name="Normal 4 4 2 2 7 2 2" xfId="8554" xr:uid="{00000000-0005-0000-0000-000010150000}"/>
    <cellStyle name="Normal 4 4 2 2 7 2 2 2" xfId="16983" xr:uid="{9D901AD5-5003-4FF7-8337-FF09174A54CB}"/>
    <cellStyle name="Normal 4 4 2 2 7 2 3" xfId="12765" xr:uid="{CEBFD7AA-CE78-4EAC-81AD-15AEA345F00E}"/>
    <cellStyle name="Normal 4 4 2 2 7 3" xfId="6409" xr:uid="{00000000-0005-0000-0000-000011150000}"/>
    <cellStyle name="Normal 4 4 2 2 7 3 2" xfId="14838" xr:uid="{3BF5DD98-A16E-4A05-B8A2-CA3C43F96F6E}"/>
    <cellStyle name="Normal 4 4 2 2 7 4" xfId="10620" xr:uid="{B9BFC90B-3BAB-417C-8D31-33EA3B1D25C5}"/>
    <cellStyle name="Normal 4 4 2 2 8" xfId="2537" xr:uid="{00000000-0005-0000-0000-000012150000}"/>
    <cellStyle name="Normal 4 4 2 2 8 2" xfId="6822" xr:uid="{00000000-0005-0000-0000-000013150000}"/>
    <cellStyle name="Normal 4 4 2 2 8 2 2" xfId="15251" xr:uid="{E3347CDC-9D9F-4334-A683-F9884B961953}"/>
    <cellStyle name="Normal 4 4 2 2 8 3" xfId="11033" xr:uid="{06713F2E-F642-43A3-B4D7-179FF1F3EC4D}"/>
    <cellStyle name="Normal 4 4 2 2 9" xfId="4757" xr:uid="{00000000-0005-0000-0000-000014150000}"/>
    <cellStyle name="Normal 4 4 2 2 9 2" xfId="13186" xr:uid="{CBB08ECF-6522-44A7-BA82-7C780DFB4F14}"/>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2 2 2" xfId="15749" xr:uid="{7688681C-2E4E-4BEC-BD42-C14369FC14C8}"/>
    <cellStyle name="Normal 4 4 2 3 2 2 2 3" xfId="11531" xr:uid="{7F69905A-9C47-494D-9DBB-ECA3555EE66F}"/>
    <cellStyle name="Normal 4 4 2 3 2 2 3" xfId="5175" xr:uid="{00000000-0005-0000-0000-00001A150000}"/>
    <cellStyle name="Normal 4 4 2 3 2 2 3 2" xfId="13604" xr:uid="{B375AE00-9EE5-4E89-A913-A849E8B283D0}"/>
    <cellStyle name="Normal 4 4 2 3 2 2 4" xfId="9386" xr:uid="{88AB42EA-14F7-4994-AFED-B7EC6AAE0197}"/>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2 2 2" xfId="16162" xr:uid="{EAD746BD-09BE-4049-B49E-4467BCFAB9DB}"/>
    <cellStyle name="Normal 4 4 2 3 2 3 2 3" xfId="11944" xr:uid="{4651DFC3-4781-4449-849F-BBD14FB5D607}"/>
    <cellStyle name="Normal 4 4 2 3 2 3 3" xfId="5588" xr:uid="{00000000-0005-0000-0000-00001E150000}"/>
    <cellStyle name="Normal 4 4 2 3 2 3 3 2" xfId="14017" xr:uid="{B647E2A9-3A41-45CA-AA8B-975E0F614078}"/>
    <cellStyle name="Normal 4 4 2 3 2 3 4" xfId="9799" xr:uid="{E8D88DC1-5239-4E0D-9BD5-0B0CAE2B8D29}"/>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2 2 2" xfId="16575" xr:uid="{F3048DE7-12BA-4F51-B662-352B57B300BB}"/>
    <cellStyle name="Normal 4 4 2 3 2 4 2 3" xfId="12357" xr:uid="{1A22C274-EEA4-4B2C-860F-D0B899ADB35C}"/>
    <cellStyle name="Normal 4 4 2 3 2 4 3" xfId="6001" xr:uid="{00000000-0005-0000-0000-000022150000}"/>
    <cellStyle name="Normal 4 4 2 3 2 4 3 2" xfId="14430" xr:uid="{C87D73E1-5152-4D52-8A62-6F625A5F506D}"/>
    <cellStyle name="Normal 4 4 2 3 2 4 4" xfId="10212" xr:uid="{F4BE70B7-994F-414C-9857-6B04E19549DE}"/>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2 2 2" xfId="16988" xr:uid="{B6755323-555B-4E15-98E3-77D53809E7FB}"/>
    <cellStyle name="Normal 4 4 2 3 2 5 2 3" xfId="12770" xr:uid="{0A46CD9F-BE86-4AEF-8124-F2DC2635E2B8}"/>
    <cellStyle name="Normal 4 4 2 3 2 5 3" xfId="6414" xr:uid="{00000000-0005-0000-0000-000026150000}"/>
    <cellStyle name="Normal 4 4 2 3 2 5 3 2" xfId="14843" xr:uid="{FCAF3ED8-4807-4B9A-BC63-80242A79F3EB}"/>
    <cellStyle name="Normal 4 4 2 3 2 5 4" xfId="10625" xr:uid="{0837DE8E-FD15-4A26-93D7-03BC87CE72D5}"/>
    <cellStyle name="Normal 4 4 2 3 2 6" xfId="2542" xr:uid="{00000000-0005-0000-0000-000027150000}"/>
    <cellStyle name="Normal 4 4 2 3 2 6 2" xfId="6827" xr:uid="{00000000-0005-0000-0000-000028150000}"/>
    <cellStyle name="Normal 4 4 2 3 2 6 2 2" xfId="15256" xr:uid="{CBBD49C6-B776-46A5-A14C-C1EFA6F926CF}"/>
    <cellStyle name="Normal 4 4 2 3 2 6 3" xfId="11038" xr:uid="{BBD77D95-4534-4BB4-954D-248E15380921}"/>
    <cellStyle name="Normal 4 4 2 3 2 7" xfId="4762" xr:uid="{00000000-0005-0000-0000-000029150000}"/>
    <cellStyle name="Normal 4 4 2 3 2 7 2" xfId="13191" xr:uid="{7E5A7B04-54CE-4C77-AB33-ED5334093B9C}"/>
    <cellStyle name="Normal 4 4 2 3 2 8" xfId="8973" xr:uid="{925DDA69-B487-42F7-B741-28048D3612F4}"/>
    <cellStyle name="Normal 4 4 2 3 3" xfId="860" xr:uid="{00000000-0005-0000-0000-00002A150000}"/>
    <cellStyle name="Normal 4 4 2 3 3 2" xfId="3095" xr:uid="{00000000-0005-0000-0000-00002B150000}"/>
    <cellStyle name="Normal 4 4 2 3 3 2 2" xfId="7319" xr:uid="{00000000-0005-0000-0000-00002C150000}"/>
    <cellStyle name="Normal 4 4 2 3 3 2 2 2" xfId="15748" xr:uid="{ADE0E61E-2D92-4030-9585-6B91672DFBE3}"/>
    <cellStyle name="Normal 4 4 2 3 3 2 3" xfId="11530" xr:uid="{DA6D62CE-4175-475F-9B35-3882AE02596E}"/>
    <cellStyle name="Normal 4 4 2 3 3 3" xfId="5174" xr:uid="{00000000-0005-0000-0000-00002D150000}"/>
    <cellStyle name="Normal 4 4 2 3 3 3 2" xfId="13603" xr:uid="{49B3DAE6-159D-4197-B246-5536AB8F588E}"/>
    <cellStyle name="Normal 4 4 2 3 3 4" xfId="9385" xr:uid="{A6D0254A-CBAC-452F-AC68-FB38855FA1F8}"/>
    <cellStyle name="Normal 4 4 2 3 4" xfId="1278" xr:uid="{00000000-0005-0000-0000-00002E150000}"/>
    <cellStyle name="Normal 4 4 2 3 4 2" xfId="3508" xr:uid="{00000000-0005-0000-0000-00002F150000}"/>
    <cellStyle name="Normal 4 4 2 3 4 2 2" xfId="7732" xr:uid="{00000000-0005-0000-0000-000030150000}"/>
    <cellStyle name="Normal 4 4 2 3 4 2 2 2" xfId="16161" xr:uid="{DE1E7CA7-6D16-4EFD-9CCE-313DDDC15337}"/>
    <cellStyle name="Normal 4 4 2 3 4 2 3" xfId="11943" xr:uid="{16D85A78-D3F7-45F4-BA41-A3D66418FD03}"/>
    <cellStyle name="Normal 4 4 2 3 4 3" xfId="5587" xr:uid="{00000000-0005-0000-0000-000031150000}"/>
    <cellStyle name="Normal 4 4 2 3 4 3 2" xfId="14016" xr:uid="{8335B636-7C49-4A3B-BE17-B10F6A218119}"/>
    <cellStyle name="Normal 4 4 2 3 4 4" xfId="9798" xr:uid="{112842F1-646E-4EB5-A950-E1B31DF57427}"/>
    <cellStyle name="Normal 4 4 2 3 5" xfId="1691" xr:uid="{00000000-0005-0000-0000-000032150000}"/>
    <cellStyle name="Normal 4 4 2 3 5 2" xfId="3921" xr:uid="{00000000-0005-0000-0000-000033150000}"/>
    <cellStyle name="Normal 4 4 2 3 5 2 2" xfId="8145" xr:uid="{00000000-0005-0000-0000-000034150000}"/>
    <cellStyle name="Normal 4 4 2 3 5 2 2 2" xfId="16574" xr:uid="{BCE76DE6-878F-4503-9968-36071A404F8D}"/>
    <cellStyle name="Normal 4 4 2 3 5 2 3" xfId="12356" xr:uid="{8915F1C9-8120-4FEE-AB8A-FEF5512697A5}"/>
    <cellStyle name="Normal 4 4 2 3 5 3" xfId="6000" xr:uid="{00000000-0005-0000-0000-000035150000}"/>
    <cellStyle name="Normal 4 4 2 3 5 3 2" xfId="14429" xr:uid="{601CDCF5-8F9E-4849-9DBA-A15956DF5799}"/>
    <cellStyle name="Normal 4 4 2 3 5 4" xfId="10211" xr:uid="{C084BDE5-9878-4036-8ECA-8D4973B1B389}"/>
    <cellStyle name="Normal 4 4 2 3 6" xfId="2105" xr:uid="{00000000-0005-0000-0000-000036150000}"/>
    <cellStyle name="Normal 4 4 2 3 6 2" xfId="4334" xr:uid="{00000000-0005-0000-0000-000037150000}"/>
    <cellStyle name="Normal 4 4 2 3 6 2 2" xfId="8558" xr:uid="{00000000-0005-0000-0000-000038150000}"/>
    <cellStyle name="Normal 4 4 2 3 6 2 2 2" xfId="16987" xr:uid="{642F7F5E-55FE-4BFD-8473-208AFE123F36}"/>
    <cellStyle name="Normal 4 4 2 3 6 2 3" xfId="12769" xr:uid="{0DC2AE76-270A-452F-B628-4CDD24E0449B}"/>
    <cellStyle name="Normal 4 4 2 3 6 3" xfId="6413" xr:uid="{00000000-0005-0000-0000-000039150000}"/>
    <cellStyle name="Normal 4 4 2 3 6 3 2" xfId="14842" xr:uid="{3AE6BC53-3BAF-4717-B56C-10A4BC61B52A}"/>
    <cellStyle name="Normal 4 4 2 3 6 4" xfId="10624" xr:uid="{ED9EAE76-C204-48AF-A6C9-E9121540082F}"/>
    <cellStyle name="Normal 4 4 2 3 7" xfId="2541" xr:uid="{00000000-0005-0000-0000-00003A150000}"/>
    <cellStyle name="Normal 4 4 2 3 7 2" xfId="6826" xr:uid="{00000000-0005-0000-0000-00003B150000}"/>
    <cellStyle name="Normal 4 4 2 3 7 2 2" xfId="15255" xr:uid="{BC58BD2B-A2BB-44C2-BE8B-F9138499B297}"/>
    <cellStyle name="Normal 4 4 2 3 7 3" xfId="11037" xr:uid="{2238C1FD-6E2E-43F7-8AED-E612D729E879}"/>
    <cellStyle name="Normal 4 4 2 3 8" xfId="4761" xr:uid="{00000000-0005-0000-0000-00003C150000}"/>
    <cellStyle name="Normal 4 4 2 3 8 2" xfId="13190" xr:uid="{C2461093-214B-49E7-9416-7E1952F26C25}"/>
    <cellStyle name="Normal 4 4 2 3 9" xfId="8972" xr:uid="{BA164DE1-FA05-4C0C-9A13-871F400F1718}"/>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2 2 2" xfId="15750" xr:uid="{328FBB2A-876F-45DF-BD96-EF9ED3E02C97}"/>
    <cellStyle name="Normal 4 4 2 4 2 2 3" xfId="11532" xr:uid="{24FA38FB-C371-4CA4-B513-96A3362982DB}"/>
    <cellStyle name="Normal 4 4 2 4 2 3" xfId="5176" xr:uid="{00000000-0005-0000-0000-000041150000}"/>
    <cellStyle name="Normal 4 4 2 4 2 3 2" xfId="13605" xr:uid="{220BD4AE-BAAD-4F45-9C1E-C2760299F943}"/>
    <cellStyle name="Normal 4 4 2 4 2 4" xfId="9387" xr:uid="{49A31990-7DB2-4B7A-8A12-9D37C984096F}"/>
    <cellStyle name="Normal 4 4 2 4 3" xfId="1280" xr:uid="{00000000-0005-0000-0000-000042150000}"/>
    <cellStyle name="Normal 4 4 2 4 3 2" xfId="3510" xr:uid="{00000000-0005-0000-0000-000043150000}"/>
    <cellStyle name="Normal 4 4 2 4 3 2 2" xfId="7734" xr:uid="{00000000-0005-0000-0000-000044150000}"/>
    <cellStyle name="Normal 4 4 2 4 3 2 2 2" xfId="16163" xr:uid="{1793EFE5-8BC6-4FAC-96EB-DBB18145489C}"/>
    <cellStyle name="Normal 4 4 2 4 3 2 3" xfId="11945" xr:uid="{AABA4B53-549A-442B-82DF-0AC15E89BC10}"/>
    <cellStyle name="Normal 4 4 2 4 3 3" xfId="5589" xr:uid="{00000000-0005-0000-0000-000045150000}"/>
    <cellStyle name="Normal 4 4 2 4 3 3 2" xfId="14018" xr:uid="{18652512-3F46-438A-8478-0781B569471A}"/>
    <cellStyle name="Normal 4 4 2 4 3 4" xfId="9800" xr:uid="{77F56365-AD8F-4126-8A89-6E4F69C55557}"/>
    <cellStyle name="Normal 4 4 2 4 4" xfId="1693" xr:uid="{00000000-0005-0000-0000-000046150000}"/>
    <cellStyle name="Normal 4 4 2 4 4 2" xfId="3923" xr:uid="{00000000-0005-0000-0000-000047150000}"/>
    <cellStyle name="Normal 4 4 2 4 4 2 2" xfId="8147" xr:uid="{00000000-0005-0000-0000-000048150000}"/>
    <cellStyle name="Normal 4 4 2 4 4 2 2 2" xfId="16576" xr:uid="{56627C91-B6C6-4F76-8306-67EE63931BAC}"/>
    <cellStyle name="Normal 4 4 2 4 4 2 3" xfId="12358" xr:uid="{9CB77289-6DED-42ED-BA75-629B115578F1}"/>
    <cellStyle name="Normal 4 4 2 4 4 3" xfId="6002" xr:uid="{00000000-0005-0000-0000-000049150000}"/>
    <cellStyle name="Normal 4 4 2 4 4 3 2" xfId="14431" xr:uid="{DA80982B-90AF-470F-A4F0-ED26252B3BF5}"/>
    <cellStyle name="Normal 4 4 2 4 4 4" xfId="10213" xr:uid="{2636018F-D786-4935-8E66-1F9CC560AB41}"/>
    <cellStyle name="Normal 4 4 2 4 5" xfId="2107" xr:uid="{00000000-0005-0000-0000-00004A150000}"/>
    <cellStyle name="Normal 4 4 2 4 5 2" xfId="4336" xr:uid="{00000000-0005-0000-0000-00004B150000}"/>
    <cellStyle name="Normal 4 4 2 4 5 2 2" xfId="8560" xr:uid="{00000000-0005-0000-0000-00004C150000}"/>
    <cellStyle name="Normal 4 4 2 4 5 2 2 2" xfId="16989" xr:uid="{3ADEC53F-39C9-4364-AA29-91A2462F6A79}"/>
    <cellStyle name="Normal 4 4 2 4 5 2 3" xfId="12771" xr:uid="{94A94BC8-D782-43B0-8266-8C63B37E620D}"/>
    <cellStyle name="Normal 4 4 2 4 5 3" xfId="6415" xr:uid="{00000000-0005-0000-0000-00004D150000}"/>
    <cellStyle name="Normal 4 4 2 4 5 3 2" xfId="14844" xr:uid="{A3BA381B-9BA0-45EB-BAFC-88FC6C6CB5BF}"/>
    <cellStyle name="Normal 4 4 2 4 5 4" xfId="10626" xr:uid="{B8394B0A-8FC1-408E-98F5-7824720472A7}"/>
    <cellStyle name="Normal 4 4 2 4 6" xfId="2543" xr:uid="{00000000-0005-0000-0000-00004E150000}"/>
    <cellStyle name="Normal 4 4 2 4 6 2" xfId="6828" xr:uid="{00000000-0005-0000-0000-00004F150000}"/>
    <cellStyle name="Normal 4 4 2 4 6 2 2" xfId="15257" xr:uid="{93F10819-8962-4069-A6B8-657B88ED658F}"/>
    <cellStyle name="Normal 4 4 2 4 6 3" xfId="11039" xr:uid="{D669E9EF-7B7B-4BB0-B64F-D09371362F41}"/>
    <cellStyle name="Normal 4 4 2 4 7" xfId="4763" xr:uid="{00000000-0005-0000-0000-000050150000}"/>
    <cellStyle name="Normal 4 4 2 4 7 2" xfId="13192" xr:uid="{6B7C5542-6559-4439-B42F-18FCF76F93E1}"/>
    <cellStyle name="Normal 4 4 2 4 8" xfId="8974" xr:uid="{C7187787-8402-4C0A-A7E9-D5E29639147D}"/>
    <cellStyle name="Normal 4 4 2 5" xfId="855" xr:uid="{00000000-0005-0000-0000-000051150000}"/>
    <cellStyle name="Normal 4 4 2 5 2" xfId="3090" xr:uid="{00000000-0005-0000-0000-000052150000}"/>
    <cellStyle name="Normal 4 4 2 5 2 2" xfId="7314" xr:uid="{00000000-0005-0000-0000-000053150000}"/>
    <cellStyle name="Normal 4 4 2 5 2 2 2" xfId="15743" xr:uid="{A9175640-E27D-4189-9930-97D09F7E517B}"/>
    <cellStyle name="Normal 4 4 2 5 2 3" xfId="11525" xr:uid="{D1B46EDA-BAB5-4645-8A7A-9BBC99A96EAF}"/>
    <cellStyle name="Normal 4 4 2 5 3" xfId="5169" xr:uid="{00000000-0005-0000-0000-000054150000}"/>
    <cellStyle name="Normal 4 4 2 5 3 2" xfId="13598" xr:uid="{F9E0AAA3-2903-43A5-8FBC-8BBE69D397F9}"/>
    <cellStyle name="Normal 4 4 2 5 4" xfId="9380" xr:uid="{CED362AE-1200-4622-B6D1-D8071EF3D83B}"/>
    <cellStyle name="Normal 4 4 2 6" xfId="1273" xr:uid="{00000000-0005-0000-0000-000055150000}"/>
    <cellStyle name="Normal 4 4 2 6 2" xfId="3503" xr:uid="{00000000-0005-0000-0000-000056150000}"/>
    <cellStyle name="Normal 4 4 2 6 2 2" xfId="7727" xr:uid="{00000000-0005-0000-0000-000057150000}"/>
    <cellStyle name="Normal 4 4 2 6 2 2 2" xfId="16156" xr:uid="{7FC3AA71-EEE8-4407-8130-06EF015AE1FE}"/>
    <cellStyle name="Normal 4 4 2 6 2 3" xfId="11938" xr:uid="{177CAA6A-CF7D-4D72-8BCC-21DFADD7B6D9}"/>
    <cellStyle name="Normal 4 4 2 6 3" xfId="5582" xr:uid="{00000000-0005-0000-0000-000058150000}"/>
    <cellStyle name="Normal 4 4 2 6 3 2" xfId="14011" xr:uid="{65346183-6F72-415E-BE52-1234F3C4D376}"/>
    <cellStyle name="Normal 4 4 2 6 4" xfId="9793" xr:uid="{E3008034-F080-4BFB-BF72-5EBC8E25B761}"/>
    <cellStyle name="Normal 4 4 2 7" xfId="1686" xr:uid="{00000000-0005-0000-0000-000059150000}"/>
    <cellStyle name="Normal 4 4 2 7 2" xfId="3916" xr:uid="{00000000-0005-0000-0000-00005A150000}"/>
    <cellStyle name="Normal 4 4 2 7 2 2" xfId="8140" xr:uid="{00000000-0005-0000-0000-00005B150000}"/>
    <cellStyle name="Normal 4 4 2 7 2 2 2" xfId="16569" xr:uid="{E663B6EB-28E4-40F6-AA61-0F994A0EBF4E}"/>
    <cellStyle name="Normal 4 4 2 7 2 3" xfId="12351" xr:uid="{A70FBACC-2693-413A-8F4C-845FC14FFEC6}"/>
    <cellStyle name="Normal 4 4 2 7 3" xfId="5995" xr:uid="{00000000-0005-0000-0000-00005C150000}"/>
    <cellStyle name="Normal 4 4 2 7 3 2" xfId="14424" xr:uid="{DC0ADC85-7077-44AA-8210-3725538631F8}"/>
    <cellStyle name="Normal 4 4 2 7 4" xfId="10206" xr:uid="{EAEDEC2B-9532-4331-9946-C4C2C38206B4}"/>
    <cellStyle name="Normal 4 4 2 8" xfId="2100" xr:uid="{00000000-0005-0000-0000-00005D150000}"/>
    <cellStyle name="Normal 4 4 2 8 2" xfId="4329" xr:uid="{00000000-0005-0000-0000-00005E150000}"/>
    <cellStyle name="Normal 4 4 2 8 2 2" xfId="8553" xr:uid="{00000000-0005-0000-0000-00005F150000}"/>
    <cellStyle name="Normal 4 4 2 8 2 2 2" xfId="16982" xr:uid="{7BE0B2EF-5143-4536-B8AD-A20BC553E8B1}"/>
    <cellStyle name="Normal 4 4 2 8 2 3" xfId="12764" xr:uid="{308B11E5-A419-4917-9ADD-065087C0AF41}"/>
    <cellStyle name="Normal 4 4 2 8 3" xfId="6408" xr:uid="{00000000-0005-0000-0000-000060150000}"/>
    <cellStyle name="Normal 4 4 2 8 3 2" xfId="14837" xr:uid="{40F6BBB2-87E9-46E3-A343-6EDA5FABC4B6}"/>
    <cellStyle name="Normal 4 4 2 8 4" xfId="10619" xr:uid="{ADF1F237-9CA0-4626-A685-66B76B528383}"/>
    <cellStyle name="Normal 4 4 2 9" xfId="2536" xr:uid="{00000000-0005-0000-0000-000061150000}"/>
    <cellStyle name="Normal 4 4 2 9 2" xfId="6821" xr:uid="{00000000-0005-0000-0000-000062150000}"/>
    <cellStyle name="Normal 4 4 2 9 2 2" xfId="15250" xr:uid="{01A01B2F-D91A-46D4-A2AB-18ED935E0752}"/>
    <cellStyle name="Normal 4 4 2 9 3" xfId="11032" xr:uid="{FCD20B61-460E-4FDF-A9B1-58BE89D2CD0D}"/>
    <cellStyle name="Normal 4 4 3" xfId="387" xr:uid="{00000000-0005-0000-0000-000063150000}"/>
    <cellStyle name="Normal 4 4 3 10" xfId="8975" xr:uid="{ED86F8B9-3315-4E77-BE59-34B452E29FB3}"/>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2 2 2" xfId="15753" xr:uid="{D7921768-3C32-4712-BBBB-7CFE184B6FC8}"/>
    <cellStyle name="Normal 4 4 3 2 2 2 2 3" xfId="11535" xr:uid="{D0F725DD-C055-4747-994C-88397BB345FF}"/>
    <cellStyle name="Normal 4 4 3 2 2 2 3" xfId="5179" xr:uid="{00000000-0005-0000-0000-000069150000}"/>
    <cellStyle name="Normal 4 4 3 2 2 2 3 2" xfId="13608" xr:uid="{2F1495DC-56C1-4E22-BC26-3852A9AFE146}"/>
    <cellStyle name="Normal 4 4 3 2 2 2 4" xfId="9390" xr:uid="{3AF7F3EE-AA66-4F2C-AF78-ACEEF7B50362}"/>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2 2 2" xfId="16166" xr:uid="{3C1F823B-796D-40F1-B46C-A3C1029442F2}"/>
    <cellStyle name="Normal 4 4 3 2 2 3 2 3" xfId="11948" xr:uid="{4006CECE-85D2-4866-9C1E-4A99C1844AC4}"/>
    <cellStyle name="Normal 4 4 3 2 2 3 3" xfId="5592" xr:uid="{00000000-0005-0000-0000-00006D150000}"/>
    <cellStyle name="Normal 4 4 3 2 2 3 3 2" xfId="14021" xr:uid="{9F7F5A08-67EF-48A2-AE42-0FBDCE13A578}"/>
    <cellStyle name="Normal 4 4 3 2 2 3 4" xfId="9803" xr:uid="{E698EE95-95A2-47A6-8133-0EC46B27DCA3}"/>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2 2 2" xfId="16579" xr:uid="{F65EB62D-A88F-4812-B341-E6BE85F7CE80}"/>
    <cellStyle name="Normal 4 4 3 2 2 4 2 3" xfId="12361" xr:uid="{15BB3410-6CBF-413D-A4C4-A22BC598EEFA}"/>
    <cellStyle name="Normal 4 4 3 2 2 4 3" xfId="6005" xr:uid="{00000000-0005-0000-0000-000071150000}"/>
    <cellStyle name="Normal 4 4 3 2 2 4 3 2" xfId="14434" xr:uid="{C870DEA0-7856-4AC3-B491-4B5B2B6D2E43}"/>
    <cellStyle name="Normal 4 4 3 2 2 4 4" xfId="10216" xr:uid="{8A89FA5B-21C1-4BE4-969F-753C5FD1C6EC}"/>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2 2 2" xfId="16992" xr:uid="{4D949599-3CB1-47D9-922B-DA3ED88299F4}"/>
    <cellStyle name="Normal 4 4 3 2 2 5 2 3" xfId="12774" xr:uid="{68EEA0E2-1828-4E4F-9E4B-B58FE1085A77}"/>
    <cellStyle name="Normal 4 4 3 2 2 5 3" xfId="6418" xr:uid="{00000000-0005-0000-0000-000075150000}"/>
    <cellStyle name="Normal 4 4 3 2 2 5 3 2" xfId="14847" xr:uid="{B61277B9-D54F-4E48-8675-8823D417CEF2}"/>
    <cellStyle name="Normal 4 4 3 2 2 5 4" xfId="10629" xr:uid="{DF7D9755-356F-4332-859C-6C445C08A106}"/>
    <cellStyle name="Normal 4 4 3 2 2 6" xfId="2546" xr:uid="{00000000-0005-0000-0000-000076150000}"/>
    <cellStyle name="Normal 4 4 3 2 2 6 2" xfId="6831" xr:uid="{00000000-0005-0000-0000-000077150000}"/>
    <cellStyle name="Normal 4 4 3 2 2 6 2 2" xfId="15260" xr:uid="{5799CB20-46F3-4142-B27F-7123CF67348D}"/>
    <cellStyle name="Normal 4 4 3 2 2 6 3" xfId="11042" xr:uid="{16B62B87-A650-482F-807B-9C3AA39C8E41}"/>
    <cellStyle name="Normal 4 4 3 2 2 7" xfId="4766" xr:uid="{00000000-0005-0000-0000-000078150000}"/>
    <cellStyle name="Normal 4 4 3 2 2 7 2" xfId="13195" xr:uid="{BD2E4F1C-4074-40C7-A3BB-7C00603D9A16}"/>
    <cellStyle name="Normal 4 4 3 2 2 8" xfId="8977" xr:uid="{6255126D-EDF6-4F60-A63A-BE3DF30860CC}"/>
    <cellStyle name="Normal 4 4 3 2 3" xfId="864" xr:uid="{00000000-0005-0000-0000-000079150000}"/>
    <cellStyle name="Normal 4 4 3 2 3 2" xfId="3099" xr:uid="{00000000-0005-0000-0000-00007A150000}"/>
    <cellStyle name="Normal 4 4 3 2 3 2 2" xfId="7323" xr:uid="{00000000-0005-0000-0000-00007B150000}"/>
    <cellStyle name="Normal 4 4 3 2 3 2 2 2" xfId="15752" xr:uid="{8EBBFDC4-FA87-4835-8103-E5CC85EF3229}"/>
    <cellStyle name="Normal 4 4 3 2 3 2 3" xfId="11534" xr:uid="{063CC37E-6D7B-4BD6-9EF0-C9A7DBDD4B88}"/>
    <cellStyle name="Normal 4 4 3 2 3 3" xfId="5178" xr:uid="{00000000-0005-0000-0000-00007C150000}"/>
    <cellStyle name="Normal 4 4 3 2 3 3 2" xfId="13607" xr:uid="{829139BD-FFE2-4F31-B956-B09FA2B7702F}"/>
    <cellStyle name="Normal 4 4 3 2 3 4" xfId="9389" xr:uid="{A3D4E4C2-FAB2-47DF-8CE0-EF826D00A1E7}"/>
    <cellStyle name="Normal 4 4 3 2 4" xfId="1282" xr:uid="{00000000-0005-0000-0000-00007D150000}"/>
    <cellStyle name="Normal 4 4 3 2 4 2" xfId="3512" xr:uid="{00000000-0005-0000-0000-00007E150000}"/>
    <cellStyle name="Normal 4 4 3 2 4 2 2" xfId="7736" xr:uid="{00000000-0005-0000-0000-00007F150000}"/>
    <cellStyle name="Normal 4 4 3 2 4 2 2 2" xfId="16165" xr:uid="{4B5E96B6-F34A-4BE6-A46A-FAD9E967EEF1}"/>
    <cellStyle name="Normal 4 4 3 2 4 2 3" xfId="11947" xr:uid="{C57AB4A3-CA70-4249-92A6-21370F8C1190}"/>
    <cellStyle name="Normal 4 4 3 2 4 3" xfId="5591" xr:uid="{00000000-0005-0000-0000-000080150000}"/>
    <cellStyle name="Normal 4 4 3 2 4 3 2" xfId="14020" xr:uid="{66D9AD7F-C8F5-47AE-9091-CA5E77967752}"/>
    <cellStyle name="Normal 4 4 3 2 4 4" xfId="9802" xr:uid="{02B435E3-D255-4778-A7A8-2664D0CA3426}"/>
    <cellStyle name="Normal 4 4 3 2 5" xfId="1695" xr:uid="{00000000-0005-0000-0000-000081150000}"/>
    <cellStyle name="Normal 4 4 3 2 5 2" xfId="3925" xr:uid="{00000000-0005-0000-0000-000082150000}"/>
    <cellStyle name="Normal 4 4 3 2 5 2 2" xfId="8149" xr:uid="{00000000-0005-0000-0000-000083150000}"/>
    <cellStyle name="Normal 4 4 3 2 5 2 2 2" xfId="16578" xr:uid="{03CAE9E2-7C7D-4319-BD7F-32E6AB9D0D8B}"/>
    <cellStyle name="Normal 4 4 3 2 5 2 3" xfId="12360" xr:uid="{ED644F2C-604C-48EB-B303-C5AF37846D45}"/>
    <cellStyle name="Normal 4 4 3 2 5 3" xfId="6004" xr:uid="{00000000-0005-0000-0000-000084150000}"/>
    <cellStyle name="Normal 4 4 3 2 5 3 2" xfId="14433" xr:uid="{B39060E7-258A-4C89-B057-E239D35CFA9D}"/>
    <cellStyle name="Normal 4 4 3 2 5 4" xfId="10215" xr:uid="{02D33CE5-E854-43E4-9BFE-E9DC188A499B}"/>
    <cellStyle name="Normal 4 4 3 2 6" xfId="2109" xr:uid="{00000000-0005-0000-0000-000085150000}"/>
    <cellStyle name="Normal 4 4 3 2 6 2" xfId="4338" xr:uid="{00000000-0005-0000-0000-000086150000}"/>
    <cellStyle name="Normal 4 4 3 2 6 2 2" xfId="8562" xr:uid="{00000000-0005-0000-0000-000087150000}"/>
    <cellStyle name="Normal 4 4 3 2 6 2 2 2" xfId="16991" xr:uid="{5C69C643-4295-4044-9AC4-5828CE5C8286}"/>
    <cellStyle name="Normal 4 4 3 2 6 2 3" xfId="12773" xr:uid="{43A9F5A1-EEAA-4BCF-96ED-2A2362E47FCA}"/>
    <cellStyle name="Normal 4 4 3 2 6 3" xfId="6417" xr:uid="{00000000-0005-0000-0000-000088150000}"/>
    <cellStyle name="Normal 4 4 3 2 6 3 2" xfId="14846" xr:uid="{60A56111-5475-46D3-AB42-F92318A8ADBA}"/>
    <cellStyle name="Normal 4 4 3 2 6 4" xfId="10628" xr:uid="{587E7E15-FBE7-4637-830D-3C48808FDEB4}"/>
    <cellStyle name="Normal 4 4 3 2 7" xfId="2545" xr:uid="{00000000-0005-0000-0000-000089150000}"/>
    <cellStyle name="Normal 4 4 3 2 7 2" xfId="6830" xr:uid="{00000000-0005-0000-0000-00008A150000}"/>
    <cellStyle name="Normal 4 4 3 2 7 2 2" xfId="15259" xr:uid="{85F58806-2D8B-49AC-B8B9-522F0A8FDB8C}"/>
    <cellStyle name="Normal 4 4 3 2 7 3" xfId="11041" xr:uid="{6F09C8CA-CBD2-459B-AB55-6B954106E80C}"/>
    <cellStyle name="Normal 4 4 3 2 8" xfId="4765" xr:uid="{00000000-0005-0000-0000-00008B150000}"/>
    <cellStyle name="Normal 4 4 3 2 8 2" xfId="13194" xr:uid="{98C16CD7-6C27-4093-A51C-5259DDCE45FC}"/>
    <cellStyle name="Normal 4 4 3 2 9" xfId="8976" xr:uid="{0007222F-3E53-46ED-B44E-D5300B3DE17B}"/>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2 2 2" xfId="15754" xr:uid="{A3DFF827-411C-4BC6-8515-79DD07F25A22}"/>
    <cellStyle name="Normal 4 4 3 3 2 2 3" xfId="11536" xr:uid="{3C735D01-669C-43A3-8738-C81E6A5E166C}"/>
    <cellStyle name="Normal 4 4 3 3 2 3" xfId="5180" xr:uid="{00000000-0005-0000-0000-000090150000}"/>
    <cellStyle name="Normal 4 4 3 3 2 3 2" xfId="13609" xr:uid="{681C9284-750B-47B4-B5D7-B7983B16B6BF}"/>
    <cellStyle name="Normal 4 4 3 3 2 4" xfId="9391" xr:uid="{E5E53EC2-8B95-4933-8560-1BA1277686E8}"/>
    <cellStyle name="Normal 4 4 3 3 3" xfId="1284" xr:uid="{00000000-0005-0000-0000-000091150000}"/>
    <cellStyle name="Normal 4 4 3 3 3 2" xfId="3514" xr:uid="{00000000-0005-0000-0000-000092150000}"/>
    <cellStyle name="Normal 4 4 3 3 3 2 2" xfId="7738" xr:uid="{00000000-0005-0000-0000-000093150000}"/>
    <cellStyle name="Normal 4 4 3 3 3 2 2 2" xfId="16167" xr:uid="{98CAC29C-1B8D-4402-96C6-E7E286037CF8}"/>
    <cellStyle name="Normal 4 4 3 3 3 2 3" xfId="11949" xr:uid="{04FFDFFB-190E-42A3-81BD-1B9F107F423B}"/>
    <cellStyle name="Normal 4 4 3 3 3 3" xfId="5593" xr:uid="{00000000-0005-0000-0000-000094150000}"/>
    <cellStyle name="Normal 4 4 3 3 3 3 2" xfId="14022" xr:uid="{7C1AFDF5-AA6A-485F-BFE1-232B66CA71CB}"/>
    <cellStyle name="Normal 4 4 3 3 3 4" xfId="9804" xr:uid="{1B2E5A6F-6EEB-4D0E-9DC6-A206397A12BD}"/>
    <cellStyle name="Normal 4 4 3 3 4" xfId="1697" xr:uid="{00000000-0005-0000-0000-000095150000}"/>
    <cellStyle name="Normal 4 4 3 3 4 2" xfId="3927" xr:uid="{00000000-0005-0000-0000-000096150000}"/>
    <cellStyle name="Normal 4 4 3 3 4 2 2" xfId="8151" xr:uid="{00000000-0005-0000-0000-000097150000}"/>
    <cellStyle name="Normal 4 4 3 3 4 2 2 2" xfId="16580" xr:uid="{AE0E9639-A072-4691-9D95-C11E7FD689DC}"/>
    <cellStyle name="Normal 4 4 3 3 4 2 3" xfId="12362" xr:uid="{D227B2E2-3628-4CA1-8142-9EFCB0C3ACC3}"/>
    <cellStyle name="Normal 4 4 3 3 4 3" xfId="6006" xr:uid="{00000000-0005-0000-0000-000098150000}"/>
    <cellStyle name="Normal 4 4 3 3 4 3 2" xfId="14435" xr:uid="{A4A2B12B-5E1C-49E4-8225-9DC72052CE34}"/>
    <cellStyle name="Normal 4 4 3 3 4 4" xfId="10217" xr:uid="{472DBEA3-D9AC-4BC3-9112-4CBDE01E0391}"/>
    <cellStyle name="Normal 4 4 3 3 5" xfId="2111" xr:uid="{00000000-0005-0000-0000-000099150000}"/>
    <cellStyle name="Normal 4 4 3 3 5 2" xfId="4340" xr:uid="{00000000-0005-0000-0000-00009A150000}"/>
    <cellStyle name="Normal 4 4 3 3 5 2 2" xfId="8564" xr:uid="{00000000-0005-0000-0000-00009B150000}"/>
    <cellStyle name="Normal 4 4 3 3 5 2 2 2" xfId="16993" xr:uid="{F222522B-1A7C-44F9-AFDE-F9E189E497D9}"/>
    <cellStyle name="Normal 4 4 3 3 5 2 3" xfId="12775" xr:uid="{D749C0F5-236A-45D4-B4BE-24BF0F209F4B}"/>
    <cellStyle name="Normal 4 4 3 3 5 3" xfId="6419" xr:uid="{00000000-0005-0000-0000-00009C150000}"/>
    <cellStyle name="Normal 4 4 3 3 5 3 2" xfId="14848" xr:uid="{8C96AD95-0EEB-4599-A467-9738FBE0B715}"/>
    <cellStyle name="Normal 4 4 3 3 5 4" xfId="10630" xr:uid="{1B2017E7-F8DB-48AA-8873-F254742DEEFC}"/>
    <cellStyle name="Normal 4 4 3 3 6" xfId="2547" xr:uid="{00000000-0005-0000-0000-00009D150000}"/>
    <cellStyle name="Normal 4 4 3 3 6 2" xfId="6832" xr:uid="{00000000-0005-0000-0000-00009E150000}"/>
    <cellStyle name="Normal 4 4 3 3 6 2 2" xfId="15261" xr:uid="{F99FEC0D-C52B-40C9-B293-DCE29FFC0937}"/>
    <cellStyle name="Normal 4 4 3 3 6 3" xfId="11043" xr:uid="{D3E1F7C4-C139-46D2-B5A4-179C8C708C9A}"/>
    <cellStyle name="Normal 4 4 3 3 7" xfId="4767" xr:uid="{00000000-0005-0000-0000-00009F150000}"/>
    <cellStyle name="Normal 4 4 3 3 7 2" xfId="13196" xr:uid="{7770E109-8EFE-47DA-8B66-D9772048A862}"/>
    <cellStyle name="Normal 4 4 3 3 8" xfId="8978" xr:uid="{F52F2082-456F-442F-91EA-EEA22DE997C9}"/>
    <cellStyle name="Normal 4 4 3 4" xfId="863" xr:uid="{00000000-0005-0000-0000-0000A0150000}"/>
    <cellStyle name="Normal 4 4 3 4 2" xfId="3098" xr:uid="{00000000-0005-0000-0000-0000A1150000}"/>
    <cellStyle name="Normal 4 4 3 4 2 2" xfId="7322" xr:uid="{00000000-0005-0000-0000-0000A2150000}"/>
    <cellStyle name="Normal 4 4 3 4 2 2 2" xfId="15751" xr:uid="{20C9B43D-E3C0-44F9-8C28-E2B619D5BD00}"/>
    <cellStyle name="Normal 4 4 3 4 2 3" xfId="11533" xr:uid="{358E5D58-022B-491D-9980-6FDEA104A593}"/>
    <cellStyle name="Normal 4 4 3 4 3" xfId="5177" xr:uid="{00000000-0005-0000-0000-0000A3150000}"/>
    <cellStyle name="Normal 4 4 3 4 3 2" xfId="13606" xr:uid="{C864C0E8-0B20-49D2-AF3D-ED8514BCB3AF}"/>
    <cellStyle name="Normal 4 4 3 4 4" xfId="9388" xr:uid="{96E138D7-092B-40D9-8FBB-31C3529E8DD7}"/>
    <cellStyle name="Normal 4 4 3 5" xfId="1281" xr:uid="{00000000-0005-0000-0000-0000A4150000}"/>
    <cellStyle name="Normal 4 4 3 5 2" xfId="3511" xr:uid="{00000000-0005-0000-0000-0000A5150000}"/>
    <cellStyle name="Normal 4 4 3 5 2 2" xfId="7735" xr:uid="{00000000-0005-0000-0000-0000A6150000}"/>
    <cellStyle name="Normal 4 4 3 5 2 2 2" xfId="16164" xr:uid="{FCFA9125-84D3-4672-B3F5-5E099B2724F0}"/>
    <cellStyle name="Normal 4 4 3 5 2 3" xfId="11946" xr:uid="{3ECF5EDA-F609-4357-9A00-E94157A5875E}"/>
    <cellStyle name="Normal 4 4 3 5 3" xfId="5590" xr:uid="{00000000-0005-0000-0000-0000A7150000}"/>
    <cellStyle name="Normal 4 4 3 5 3 2" xfId="14019" xr:uid="{6AB32110-D916-46FF-8CF1-45B38678CB8A}"/>
    <cellStyle name="Normal 4 4 3 5 4" xfId="9801" xr:uid="{41BAA9E9-E2FA-4EEB-8435-C6478BD04BD4}"/>
    <cellStyle name="Normal 4 4 3 6" xfId="1694" xr:uid="{00000000-0005-0000-0000-0000A8150000}"/>
    <cellStyle name="Normal 4 4 3 6 2" xfId="3924" xr:uid="{00000000-0005-0000-0000-0000A9150000}"/>
    <cellStyle name="Normal 4 4 3 6 2 2" xfId="8148" xr:uid="{00000000-0005-0000-0000-0000AA150000}"/>
    <cellStyle name="Normal 4 4 3 6 2 2 2" xfId="16577" xr:uid="{54243C64-8201-4409-9DEA-E3112D9A1FBF}"/>
    <cellStyle name="Normal 4 4 3 6 2 3" xfId="12359" xr:uid="{78E74A3E-F9AC-4D12-B7D2-3A61BD1D65DB}"/>
    <cellStyle name="Normal 4 4 3 6 3" xfId="6003" xr:uid="{00000000-0005-0000-0000-0000AB150000}"/>
    <cellStyle name="Normal 4 4 3 6 3 2" xfId="14432" xr:uid="{E6D7A910-3DE2-46AE-8D07-05F861F2116F}"/>
    <cellStyle name="Normal 4 4 3 6 4" xfId="10214" xr:uid="{B9C4490F-06CC-4466-B0DD-92D21880E580}"/>
    <cellStyle name="Normal 4 4 3 7" xfId="2108" xr:uid="{00000000-0005-0000-0000-0000AC150000}"/>
    <cellStyle name="Normal 4 4 3 7 2" xfId="4337" xr:uid="{00000000-0005-0000-0000-0000AD150000}"/>
    <cellStyle name="Normal 4 4 3 7 2 2" xfId="8561" xr:uid="{00000000-0005-0000-0000-0000AE150000}"/>
    <cellStyle name="Normal 4 4 3 7 2 2 2" xfId="16990" xr:uid="{B104BF09-6BA0-447A-83A7-74027F755DE2}"/>
    <cellStyle name="Normal 4 4 3 7 2 3" xfId="12772" xr:uid="{3D295677-877A-4F6F-96A1-5D2A638BAED8}"/>
    <cellStyle name="Normal 4 4 3 7 3" xfId="6416" xr:uid="{00000000-0005-0000-0000-0000AF150000}"/>
    <cellStyle name="Normal 4 4 3 7 3 2" xfId="14845" xr:uid="{2F32B433-D330-4EC8-A967-E173DA77005C}"/>
    <cellStyle name="Normal 4 4 3 7 4" xfId="10627" xr:uid="{C20B58F6-4FCD-465B-BC4C-638CFC0D28F5}"/>
    <cellStyle name="Normal 4 4 3 8" xfId="2544" xr:uid="{00000000-0005-0000-0000-0000B0150000}"/>
    <cellStyle name="Normal 4 4 3 8 2" xfId="6829" xr:uid="{00000000-0005-0000-0000-0000B1150000}"/>
    <cellStyle name="Normal 4 4 3 8 2 2" xfId="15258" xr:uid="{CD5239F6-8431-4337-8532-656FC6F875BA}"/>
    <cellStyle name="Normal 4 4 3 8 3" xfId="11040" xr:uid="{A5C2FF1E-C07D-46C4-851D-E7093A0D57F6}"/>
    <cellStyle name="Normal 4 4 3 9" xfId="4764" xr:uid="{00000000-0005-0000-0000-0000B2150000}"/>
    <cellStyle name="Normal 4 4 3 9 2" xfId="13193" xr:uid="{0608CDCB-DE7C-4233-B944-194D7CF997A1}"/>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2 2 2" xfId="15756" xr:uid="{E48AE585-3AC7-418B-BD27-86D9D0760D73}"/>
    <cellStyle name="Normal 4 4 4 2 2 2 3" xfId="11538" xr:uid="{E76E7F17-2E98-41BD-9363-D6D1647C2C1A}"/>
    <cellStyle name="Normal 4 4 4 2 2 3" xfId="5182" xr:uid="{00000000-0005-0000-0000-0000B8150000}"/>
    <cellStyle name="Normal 4 4 4 2 2 3 2" xfId="13611" xr:uid="{D978A067-F681-4D22-AC0B-078F6894D8B0}"/>
    <cellStyle name="Normal 4 4 4 2 2 4" xfId="9393" xr:uid="{FB3E95BD-E981-49BF-9AE0-B715A598F99F}"/>
    <cellStyle name="Normal 4 4 4 2 3" xfId="1286" xr:uid="{00000000-0005-0000-0000-0000B9150000}"/>
    <cellStyle name="Normal 4 4 4 2 3 2" xfId="3516" xr:uid="{00000000-0005-0000-0000-0000BA150000}"/>
    <cellStyle name="Normal 4 4 4 2 3 2 2" xfId="7740" xr:uid="{00000000-0005-0000-0000-0000BB150000}"/>
    <cellStyle name="Normal 4 4 4 2 3 2 2 2" xfId="16169" xr:uid="{4CEB4CEE-C26C-43D1-A218-A456B623D093}"/>
    <cellStyle name="Normal 4 4 4 2 3 2 3" xfId="11951" xr:uid="{9558A93D-49E2-49D1-BBFE-299D137B4668}"/>
    <cellStyle name="Normal 4 4 4 2 3 3" xfId="5595" xr:uid="{00000000-0005-0000-0000-0000BC150000}"/>
    <cellStyle name="Normal 4 4 4 2 3 3 2" xfId="14024" xr:uid="{637A5653-1697-4E13-9908-820D7CEEB052}"/>
    <cellStyle name="Normal 4 4 4 2 3 4" xfId="9806" xr:uid="{81F449AB-546D-418D-93C8-D5128B5B537D}"/>
    <cellStyle name="Normal 4 4 4 2 4" xfId="1699" xr:uid="{00000000-0005-0000-0000-0000BD150000}"/>
    <cellStyle name="Normal 4 4 4 2 4 2" xfId="3929" xr:uid="{00000000-0005-0000-0000-0000BE150000}"/>
    <cellStyle name="Normal 4 4 4 2 4 2 2" xfId="8153" xr:uid="{00000000-0005-0000-0000-0000BF150000}"/>
    <cellStyle name="Normal 4 4 4 2 4 2 2 2" xfId="16582" xr:uid="{38E4F934-B3C6-42CE-8D02-8A0AAE3D6B58}"/>
    <cellStyle name="Normal 4 4 4 2 4 2 3" xfId="12364" xr:uid="{7F4688BD-4375-4758-9B0C-C019A4986E42}"/>
    <cellStyle name="Normal 4 4 4 2 4 3" xfId="6008" xr:uid="{00000000-0005-0000-0000-0000C0150000}"/>
    <cellStyle name="Normal 4 4 4 2 4 3 2" xfId="14437" xr:uid="{5ADFE8DE-6A36-43AB-8C39-019B3C76AAAC}"/>
    <cellStyle name="Normal 4 4 4 2 4 4" xfId="10219" xr:uid="{58A22ECE-9E25-4ECE-B6D6-AB43E86A2607}"/>
    <cellStyle name="Normal 4 4 4 2 5" xfId="2113" xr:uid="{00000000-0005-0000-0000-0000C1150000}"/>
    <cellStyle name="Normal 4 4 4 2 5 2" xfId="4342" xr:uid="{00000000-0005-0000-0000-0000C2150000}"/>
    <cellStyle name="Normal 4 4 4 2 5 2 2" xfId="8566" xr:uid="{00000000-0005-0000-0000-0000C3150000}"/>
    <cellStyle name="Normal 4 4 4 2 5 2 2 2" xfId="16995" xr:uid="{C127D0B5-4275-4BD7-A2C5-2C43DFD08895}"/>
    <cellStyle name="Normal 4 4 4 2 5 2 3" xfId="12777" xr:uid="{0BAEA353-B345-4818-901D-33238D708720}"/>
    <cellStyle name="Normal 4 4 4 2 5 3" xfId="6421" xr:uid="{00000000-0005-0000-0000-0000C4150000}"/>
    <cellStyle name="Normal 4 4 4 2 5 3 2" xfId="14850" xr:uid="{AF808FBE-6346-493C-BD58-037946E38FC1}"/>
    <cellStyle name="Normal 4 4 4 2 5 4" xfId="10632" xr:uid="{123155F5-F096-4BA7-B152-5EE030336E39}"/>
    <cellStyle name="Normal 4 4 4 2 6" xfId="2549" xr:uid="{00000000-0005-0000-0000-0000C5150000}"/>
    <cellStyle name="Normal 4 4 4 2 6 2" xfId="6834" xr:uid="{00000000-0005-0000-0000-0000C6150000}"/>
    <cellStyle name="Normal 4 4 4 2 6 2 2" xfId="15263" xr:uid="{9A2EC835-7308-4E2A-B809-E4A765D07278}"/>
    <cellStyle name="Normal 4 4 4 2 6 3" xfId="11045" xr:uid="{55618F15-75E8-4443-A83C-95C9EF955B4B}"/>
    <cellStyle name="Normal 4 4 4 2 7" xfId="4769" xr:uid="{00000000-0005-0000-0000-0000C7150000}"/>
    <cellStyle name="Normal 4 4 4 2 7 2" xfId="13198" xr:uid="{2EDEE487-2955-49A2-9CAD-93A39D2C12A7}"/>
    <cellStyle name="Normal 4 4 4 2 8" xfId="8980" xr:uid="{0CBA44CE-E1A6-4DFD-9B09-75310DF10197}"/>
    <cellStyle name="Normal 4 4 4 3" xfId="867" xr:uid="{00000000-0005-0000-0000-0000C8150000}"/>
    <cellStyle name="Normal 4 4 4 3 2" xfId="3102" xr:uid="{00000000-0005-0000-0000-0000C9150000}"/>
    <cellStyle name="Normal 4 4 4 3 2 2" xfId="7326" xr:uid="{00000000-0005-0000-0000-0000CA150000}"/>
    <cellStyle name="Normal 4 4 4 3 2 2 2" xfId="15755" xr:uid="{8DE242F3-F3D2-4576-AE3F-522CD68BBBF5}"/>
    <cellStyle name="Normal 4 4 4 3 2 3" xfId="11537" xr:uid="{B1CB392E-445F-458F-B699-831837E9BE8A}"/>
    <cellStyle name="Normal 4 4 4 3 3" xfId="5181" xr:uid="{00000000-0005-0000-0000-0000CB150000}"/>
    <cellStyle name="Normal 4 4 4 3 3 2" xfId="13610" xr:uid="{10C8F897-15B1-4AFA-B464-8F75EAC95F0C}"/>
    <cellStyle name="Normal 4 4 4 3 4" xfId="9392" xr:uid="{41CC1E15-51A0-4907-B231-D4EDDF3B28EC}"/>
    <cellStyle name="Normal 4 4 4 4" xfId="1285" xr:uid="{00000000-0005-0000-0000-0000CC150000}"/>
    <cellStyle name="Normal 4 4 4 4 2" xfId="3515" xr:uid="{00000000-0005-0000-0000-0000CD150000}"/>
    <cellStyle name="Normal 4 4 4 4 2 2" xfId="7739" xr:uid="{00000000-0005-0000-0000-0000CE150000}"/>
    <cellStyle name="Normal 4 4 4 4 2 2 2" xfId="16168" xr:uid="{47EC6482-5D25-4770-B8D4-B6C493E62935}"/>
    <cellStyle name="Normal 4 4 4 4 2 3" xfId="11950" xr:uid="{0CE9402D-CAD6-4228-95B0-4164DE9D997D}"/>
    <cellStyle name="Normal 4 4 4 4 3" xfId="5594" xr:uid="{00000000-0005-0000-0000-0000CF150000}"/>
    <cellStyle name="Normal 4 4 4 4 3 2" xfId="14023" xr:uid="{C0FF23B1-B921-4327-8868-E09FC0ED64F7}"/>
    <cellStyle name="Normal 4 4 4 4 4" xfId="9805" xr:uid="{A7C0E566-AC3F-4067-904D-BC18C3E8D28B}"/>
    <cellStyle name="Normal 4 4 4 5" xfId="1698" xr:uid="{00000000-0005-0000-0000-0000D0150000}"/>
    <cellStyle name="Normal 4 4 4 5 2" xfId="3928" xr:uid="{00000000-0005-0000-0000-0000D1150000}"/>
    <cellStyle name="Normal 4 4 4 5 2 2" xfId="8152" xr:uid="{00000000-0005-0000-0000-0000D2150000}"/>
    <cellStyle name="Normal 4 4 4 5 2 2 2" xfId="16581" xr:uid="{641DBA38-E157-4979-8D6D-7BF5312CB56D}"/>
    <cellStyle name="Normal 4 4 4 5 2 3" xfId="12363" xr:uid="{61556A9A-8C66-4477-B7DA-8E48A7455CFA}"/>
    <cellStyle name="Normal 4 4 4 5 3" xfId="6007" xr:uid="{00000000-0005-0000-0000-0000D3150000}"/>
    <cellStyle name="Normal 4 4 4 5 3 2" xfId="14436" xr:uid="{A491AFDE-9246-490C-8714-D6654F3EABF6}"/>
    <cellStyle name="Normal 4 4 4 5 4" xfId="10218" xr:uid="{F7DF35F7-26AB-4CE9-BDA6-695DE8F51AC6}"/>
    <cellStyle name="Normal 4 4 4 6" xfId="2112" xr:uid="{00000000-0005-0000-0000-0000D4150000}"/>
    <cellStyle name="Normal 4 4 4 6 2" xfId="4341" xr:uid="{00000000-0005-0000-0000-0000D5150000}"/>
    <cellStyle name="Normal 4 4 4 6 2 2" xfId="8565" xr:uid="{00000000-0005-0000-0000-0000D6150000}"/>
    <cellStyle name="Normal 4 4 4 6 2 2 2" xfId="16994" xr:uid="{FEEBDAB2-CB38-4983-9686-A494F5482C4E}"/>
    <cellStyle name="Normal 4 4 4 6 2 3" xfId="12776" xr:uid="{28BF3512-41F4-4CF4-A543-2327E4EB632C}"/>
    <cellStyle name="Normal 4 4 4 6 3" xfId="6420" xr:uid="{00000000-0005-0000-0000-0000D7150000}"/>
    <cellStyle name="Normal 4 4 4 6 3 2" xfId="14849" xr:uid="{62655E1C-1E28-4BDF-B65B-8359533CF3EC}"/>
    <cellStyle name="Normal 4 4 4 6 4" xfId="10631" xr:uid="{151C8D04-421F-46F5-B0D5-EAC5C39774DB}"/>
    <cellStyle name="Normal 4 4 4 7" xfId="2548" xr:uid="{00000000-0005-0000-0000-0000D8150000}"/>
    <cellStyle name="Normal 4 4 4 7 2" xfId="6833" xr:uid="{00000000-0005-0000-0000-0000D9150000}"/>
    <cellStyle name="Normal 4 4 4 7 2 2" xfId="15262" xr:uid="{61E301E2-E6FE-402F-B534-2B5676AABD4D}"/>
    <cellStyle name="Normal 4 4 4 7 3" xfId="11044" xr:uid="{E82694E4-E54B-4E51-85AF-7F967CC98537}"/>
    <cellStyle name="Normal 4 4 4 8" xfId="4768" xr:uid="{00000000-0005-0000-0000-0000DA150000}"/>
    <cellStyle name="Normal 4 4 4 8 2" xfId="13197" xr:uid="{8B2C2244-C2EE-4461-A10C-65FA3ACB7A1C}"/>
    <cellStyle name="Normal 4 4 4 9" xfId="8979" xr:uid="{09530D79-1EBB-4BB7-A80F-FA898A58BA25}"/>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2 2 2" xfId="15757" xr:uid="{6769A9D4-DBE4-4BC1-9EB7-A57385559480}"/>
    <cellStyle name="Normal 4 4 5 2 2 3" xfId="11539" xr:uid="{77F208F4-0CAD-4336-B2DE-7EA29E6D5F5A}"/>
    <cellStyle name="Normal 4 4 5 2 3" xfId="5183" xr:uid="{00000000-0005-0000-0000-0000DF150000}"/>
    <cellStyle name="Normal 4 4 5 2 3 2" xfId="13612" xr:uid="{387F2897-FB77-4D1A-AF0E-A3C1CC91F263}"/>
    <cellStyle name="Normal 4 4 5 2 4" xfId="9394" xr:uid="{9F277CAD-45C1-4FA9-AFFF-8A9FE22BEB0D}"/>
    <cellStyle name="Normal 4 4 5 3" xfId="1287" xr:uid="{00000000-0005-0000-0000-0000E0150000}"/>
    <cellStyle name="Normal 4 4 5 3 2" xfId="3517" xr:uid="{00000000-0005-0000-0000-0000E1150000}"/>
    <cellStyle name="Normal 4 4 5 3 2 2" xfId="7741" xr:uid="{00000000-0005-0000-0000-0000E2150000}"/>
    <cellStyle name="Normal 4 4 5 3 2 2 2" xfId="16170" xr:uid="{EB0B008A-FA3E-4C80-8015-491D4174B6E6}"/>
    <cellStyle name="Normal 4 4 5 3 2 3" xfId="11952" xr:uid="{A9B6BE2E-3AB4-482C-8381-6CC81904EB39}"/>
    <cellStyle name="Normal 4 4 5 3 3" xfId="5596" xr:uid="{00000000-0005-0000-0000-0000E3150000}"/>
    <cellStyle name="Normal 4 4 5 3 3 2" xfId="14025" xr:uid="{5CBDE750-3A16-4B27-B109-F6BCDD3D9B27}"/>
    <cellStyle name="Normal 4 4 5 3 4" xfId="9807" xr:uid="{4C8FB463-2C91-4E7F-A48A-BF18A953551C}"/>
    <cellStyle name="Normal 4 4 5 4" xfId="1700" xr:uid="{00000000-0005-0000-0000-0000E4150000}"/>
    <cellStyle name="Normal 4 4 5 4 2" xfId="3930" xr:uid="{00000000-0005-0000-0000-0000E5150000}"/>
    <cellStyle name="Normal 4 4 5 4 2 2" xfId="8154" xr:uid="{00000000-0005-0000-0000-0000E6150000}"/>
    <cellStyle name="Normal 4 4 5 4 2 2 2" xfId="16583" xr:uid="{6C463FC1-100B-4699-9D40-62DDA5820610}"/>
    <cellStyle name="Normal 4 4 5 4 2 3" xfId="12365" xr:uid="{401D0499-8F47-409C-895A-BA7A5DFC8163}"/>
    <cellStyle name="Normal 4 4 5 4 3" xfId="6009" xr:uid="{00000000-0005-0000-0000-0000E7150000}"/>
    <cellStyle name="Normal 4 4 5 4 3 2" xfId="14438" xr:uid="{D75B3AEA-798C-4920-8735-DA8A7D76D18B}"/>
    <cellStyle name="Normal 4 4 5 4 4" xfId="10220" xr:uid="{5A8D6356-62E9-4A13-AB4C-B197404EE9F6}"/>
    <cellStyle name="Normal 4 4 5 5" xfId="2114" xr:uid="{00000000-0005-0000-0000-0000E8150000}"/>
    <cellStyle name="Normal 4 4 5 5 2" xfId="4343" xr:uid="{00000000-0005-0000-0000-0000E9150000}"/>
    <cellStyle name="Normal 4 4 5 5 2 2" xfId="8567" xr:uid="{00000000-0005-0000-0000-0000EA150000}"/>
    <cellStyle name="Normal 4 4 5 5 2 2 2" xfId="16996" xr:uid="{2779C3AF-8D9A-49E1-A092-B2D1663AC67B}"/>
    <cellStyle name="Normal 4 4 5 5 2 3" xfId="12778" xr:uid="{1C16DA31-5DCD-4E4B-837F-2A8A659D7A57}"/>
    <cellStyle name="Normal 4 4 5 5 3" xfId="6422" xr:uid="{00000000-0005-0000-0000-0000EB150000}"/>
    <cellStyle name="Normal 4 4 5 5 3 2" xfId="14851" xr:uid="{2B8B5D84-B248-487D-A52E-670A34FC04FB}"/>
    <cellStyle name="Normal 4 4 5 5 4" xfId="10633" xr:uid="{1475BA61-B823-4292-BC1C-18FB323C7B6C}"/>
    <cellStyle name="Normal 4 4 5 6" xfId="2550" xr:uid="{00000000-0005-0000-0000-0000EC150000}"/>
    <cellStyle name="Normal 4 4 5 6 2" xfId="6835" xr:uid="{00000000-0005-0000-0000-0000ED150000}"/>
    <cellStyle name="Normal 4 4 5 6 2 2" xfId="15264" xr:uid="{40E37296-5C62-4F9C-AA08-EC80A6FE455F}"/>
    <cellStyle name="Normal 4 4 5 6 3" xfId="11046" xr:uid="{F1F06BC6-3C74-425A-8C0B-13F186CCC928}"/>
    <cellStyle name="Normal 4 4 5 7" xfId="4770" xr:uid="{00000000-0005-0000-0000-0000EE150000}"/>
    <cellStyle name="Normal 4 4 5 7 2" xfId="13199" xr:uid="{F85DFC88-AA59-49F6-A47A-1F8C00A5A706}"/>
    <cellStyle name="Normal 4 4 5 8" xfId="8981" xr:uid="{59D41EFF-86E1-4D44-9F4C-CAC1685A04DC}"/>
    <cellStyle name="Normal 4 4 6" xfId="854" xr:uid="{00000000-0005-0000-0000-0000EF150000}"/>
    <cellStyle name="Normal 4 4 6 2" xfId="3089" xr:uid="{00000000-0005-0000-0000-0000F0150000}"/>
    <cellStyle name="Normal 4 4 6 2 2" xfId="7313" xr:uid="{00000000-0005-0000-0000-0000F1150000}"/>
    <cellStyle name="Normal 4 4 6 2 2 2" xfId="15742" xr:uid="{428ECB58-37DA-4CF5-AC9C-651DF6A6715C}"/>
    <cellStyle name="Normal 4 4 6 2 3" xfId="11524" xr:uid="{033C237B-C141-4257-AC2A-5B4F7671AF33}"/>
    <cellStyle name="Normal 4 4 6 3" xfId="5168" xr:uid="{00000000-0005-0000-0000-0000F2150000}"/>
    <cellStyle name="Normal 4 4 6 3 2" xfId="13597" xr:uid="{BE0F980D-61ED-4BE5-A8AD-FD4B8FA45AFF}"/>
    <cellStyle name="Normal 4 4 6 4" xfId="9379" xr:uid="{3DAC4598-2C26-4420-896A-C3EF442FFFFB}"/>
    <cellStyle name="Normal 4 4 7" xfId="1272" xr:uid="{00000000-0005-0000-0000-0000F3150000}"/>
    <cellStyle name="Normal 4 4 7 2" xfId="3502" xr:uid="{00000000-0005-0000-0000-0000F4150000}"/>
    <cellStyle name="Normal 4 4 7 2 2" xfId="7726" xr:uid="{00000000-0005-0000-0000-0000F5150000}"/>
    <cellStyle name="Normal 4 4 7 2 2 2" xfId="16155" xr:uid="{A4F707CA-7C49-4975-BDE0-74D424CFB483}"/>
    <cellStyle name="Normal 4 4 7 2 3" xfId="11937" xr:uid="{954D8786-9707-4A43-BD2E-F3CA42020279}"/>
    <cellStyle name="Normal 4 4 7 3" xfId="5581" xr:uid="{00000000-0005-0000-0000-0000F6150000}"/>
    <cellStyle name="Normal 4 4 7 3 2" xfId="14010" xr:uid="{0C747594-8115-4A89-BBEA-4DF9E527D653}"/>
    <cellStyle name="Normal 4 4 7 4" xfId="9792" xr:uid="{8C52EE40-5D4C-466C-9F2B-33338E3B63F1}"/>
    <cellStyle name="Normal 4 4 8" xfId="1685" xr:uid="{00000000-0005-0000-0000-0000F7150000}"/>
    <cellStyle name="Normal 4 4 8 2" xfId="3915" xr:uid="{00000000-0005-0000-0000-0000F8150000}"/>
    <cellStyle name="Normal 4 4 8 2 2" xfId="8139" xr:uid="{00000000-0005-0000-0000-0000F9150000}"/>
    <cellStyle name="Normal 4 4 8 2 2 2" xfId="16568" xr:uid="{DEAB0EFD-8267-421D-83C4-90D099A52FC8}"/>
    <cellStyle name="Normal 4 4 8 2 3" xfId="12350" xr:uid="{128203C4-7FD7-4F06-9AC8-EFE5E9A2C29E}"/>
    <cellStyle name="Normal 4 4 8 3" xfId="5994" xr:uid="{00000000-0005-0000-0000-0000FA150000}"/>
    <cellStyle name="Normal 4 4 8 3 2" xfId="14423" xr:uid="{9894D1CD-7AD6-457A-B38B-C721480680DE}"/>
    <cellStyle name="Normal 4 4 8 4" xfId="10205" xr:uid="{61388A74-D1F1-4CBD-BBAA-B6CAB6DAF6DA}"/>
    <cellStyle name="Normal 4 4 9" xfId="2099" xr:uid="{00000000-0005-0000-0000-0000FB150000}"/>
    <cellStyle name="Normal 4 4 9 2" xfId="4328" xr:uid="{00000000-0005-0000-0000-0000FC150000}"/>
    <cellStyle name="Normal 4 4 9 2 2" xfId="8552" xr:uid="{00000000-0005-0000-0000-0000FD150000}"/>
    <cellStyle name="Normal 4 4 9 2 2 2" xfId="16981" xr:uid="{59C1EB32-86C3-481C-A6DD-E939B1139385}"/>
    <cellStyle name="Normal 4 4 9 2 3" xfId="12763" xr:uid="{0CDC5F95-EEA6-4784-A9A7-20571EC1AD51}"/>
    <cellStyle name="Normal 4 4 9 3" xfId="6407" xr:uid="{00000000-0005-0000-0000-0000FE150000}"/>
    <cellStyle name="Normal 4 4 9 3 2" xfId="14836" xr:uid="{262A9839-5C23-4B19-BEC3-2B9E54EDACF7}"/>
    <cellStyle name="Normal 4 4 9 4" xfId="10618" xr:uid="{0597D2FD-8340-41AD-ADD4-9D8862FA9C5D}"/>
    <cellStyle name="Normal 4 5" xfId="394" xr:uid="{00000000-0005-0000-0000-0000FF150000}"/>
    <cellStyle name="Normal 4 6" xfId="395" xr:uid="{00000000-0005-0000-0000-000000160000}"/>
    <cellStyle name="Normal 4 6 10" xfId="4771" xr:uid="{00000000-0005-0000-0000-000001160000}"/>
    <cellStyle name="Normal 4 6 10 2" xfId="13200" xr:uid="{00C4B1AC-3024-4470-BA9F-52C9F01FD857}"/>
    <cellStyle name="Normal 4 6 11" xfId="8982" xr:uid="{F50668B3-9D67-444A-A940-6B0DF458322B}"/>
    <cellStyle name="Normal 4 6 2" xfId="396" xr:uid="{00000000-0005-0000-0000-000002160000}"/>
    <cellStyle name="Normal 4 6 2 10" xfId="8983" xr:uid="{6BB9A7BF-17BD-419D-B8B5-6C07DFC127C8}"/>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2 2 2" xfId="15761" xr:uid="{306BB65F-86E1-47F5-AC54-F880A46DAB3A}"/>
    <cellStyle name="Normal 4 6 2 2 2 2 2 3" xfId="11543" xr:uid="{680175E9-1A29-4CDD-A4FE-D9F4B4266D6A}"/>
    <cellStyle name="Normal 4 6 2 2 2 2 3" xfId="5187" xr:uid="{00000000-0005-0000-0000-000008160000}"/>
    <cellStyle name="Normal 4 6 2 2 2 2 3 2" xfId="13616" xr:uid="{96934B41-F2F7-49D3-9943-63044BEA963C}"/>
    <cellStyle name="Normal 4 6 2 2 2 2 4" xfId="9398" xr:uid="{96FEEC1B-D750-4B69-A7C3-841881FDB05D}"/>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2 2 2" xfId="16174" xr:uid="{F60C7919-E56D-4659-AF31-139AC34ED139}"/>
    <cellStyle name="Normal 4 6 2 2 2 3 2 3" xfId="11956" xr:uid="{D37128C3-8354-4A9A-87EE-3CA581E01D62}"/>
    <cellStyle name="Normal 4 6 2 2 2 3 3" xfId="5600" xr:uid="{00000000-0005-0000-0000-00000C160000}"/>
    <cellStyle name="Normal 4 6 2 2 2 3 3 2" xfId="14029" xr:uid="{A6DB04A6-811C-418E-BB85-C7BE6A947356}"/>
    <cellStyle name="Normal 4 6 2 2 2 3 4" xfId="9811" xr:uid="{F5E45CBB-DAB9-4CA2-839C-92BA17E562B3}"/>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2 2 2" xfId="16587" xr:uid="{F6112CC1-C01D-4986-97A2-03FD3C55C334}"/>
    <cellStyle name="Normal 4 6 2 2 2 4 2 3" xfId="12369" xr:uid="{6F931BD6-4D7A-44C7-91DD-4C0E85C41DEC}"/>
    <cellStyle name="Normal 4 6 2 2 2 4 3" xfId="6013" xr:uid="{00000000-0005-0000-0000-000010160000}"/>
    <cellStyle name="Normal 4 6 2 2 2 4 3 2" xfId="14442" xr:uid="{7FE09FD4-E21D-4BE7-B33C-C932A84DDAD2}"/>
    <cellStyle name="Normal 4 6 2 2 2 4 4" xfId="10224" xr:uid="{10C34134-C0EF-4D6E-8C97-3C033D76CC2D}"/>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2 2 2" xfId="17000" xr:uid="{970780B5-8CCD-4A1C-BC19-1B4C233063A5}"/>
    <cellStyle name="Normal 4 6 2 2 2 5 2 3" xfId="12782" xr:uid="{2CDF5299-ADD5-4C7C-96A4-E7A2A8658AA0}"/>
    <cellStyle name="Normal 4 6 2 2 2 5 3" xfId="6426" xr:uid="{00000000-0005-0000-0000-000014160000}"/>
    <cellStyle name="Normal 4 6 2 2 2 5 3 2" xfId="14855" xr:uid="{50F690C3-106C-4F45-9CB0-2803437C949A}"/>
    <cellStyle name="Normal 4 6 2 2 2 5 4" xfId="10637" xr:uid="{511E85BF-891A-4A66-A321-CDA528F4DAC7}"/>
    <cellStyle name="Normal 4 6 2 2 2 6" xfId="2554" xr:uid="{00000000-0005-0000-0000-000015160000}"/>
    <cellStyle name="Normal 4 6 2 2 2 6 2" xfId="6839" xr:uid="{00000000-0005-0000-0000-000016160000}"/>
    <cellStyle name="Normal 4 6 2 2 2 6 2 2" xfId="15268" xr:uid="{C1202907-13E1-49B4-AA4F-178840899736}"/>
    <cellStyle name="Normal 4 6 2 2 2 6 3" xfId="11050" xr:uid="{52E79C55-FEC8-46D6-9D83-643170DEAB3F}"/>
    <cellStyle name="Normal 4 6 2 2 2 7" xfId="4774" xr:uid="{00000000-0005-0000-0000-000017160000}"/>
    <cellStyle name="Normal 4 6 2 2 2 7 2" xfId="13203" xr:uid="{F9CA796D-F571-4FE4-B718-F7B17FE7A43E}"/>
    <cellStyle name="Normal 4 6 2 2 2 8" xfId="8985" xr:uid="{0425A275-F047-419A-A845-A9310E4AE5A2}"/>
    <cellStyle name="Normal 4 6 2 2 3" xfId="872" xr:uid="{00000000-0005-0000-0000-000018160000}"/>
    <cellStyle name="Normal 4 6 2 2 3 2" xfId="3107" xr:uid="{00000000-0005-0000-0000-000019160000}"/>
    <cellStyle name="Normal 4 6 2 2 3 2 2" xfId="7331" xr:uid="{00000000-0005-0000-0000-00001A160000}"/>
    <cellStyle name="Normal 4 6 2 2 3 2 2 2" xfId="15760" xr:uid="{E41D8106-06A4-4322-83C4-2A8FD74B15F9}"/>
    <cellStyle name="Normal 4 6 2 2 3 2 3" xfId="11542" xr:uid="{11F056F9-5EB7-47FB-B65E-5B769E5AD735}"/>
    <cellStyle name="Normal 4 6 2 2 3 3" xfId="5186" xr:uid="{00000000-0005-0000-0000-00001B160000}"/>
    <cellStyle name="Normal 4 6 2 2 3 3 2" xfId="13615" xr:uid="{6E79163F-01A4-4A42-906F-B73B38C0A41F}"/>
    <cellStyle name="Normal 4 6 2 2 3 4" xfId="9397" xr:uid="{6BCED425-01FA-4FAB-A4E8-EFC49B82C55E}"/>
    <cellStyle name="Normal 4 6 2 2 4" xfId="1290" xr:uid="{00000000-0005-0000-0000-00001C160000}"/>
    <cellStyle name="Normal 4 6 2 2 4 2" xfId="3520" xr:uid="{00000000-0005-0000-0000-00001D160000}"/>
    <cellStyle name="Normal 4 6 2 2 4 2 2" xfId="7744" xr:uid="{00000000-0005-0000-0000-00001E160000}"/>
    <cellStyle name="Normal 4 6 2 2 4 2 2 2" xfId="16173" xr:uid="{6187C3C7-160E-4A01-8E9A-71885AC097E5}"/>
    <cellStyle name="Normal 4 6 2 2 4 2 3" xfId="11955" xr:uid="{DED1CFE6-09A3-48BA-A2F0-E9FC02F80E7B}"/>
    <cellStyle name="Normal 4 6 2 2 4 3" xfId="5599" xr:uid="{00000000-0005-0000-0000-00001F160000}"/>
    <cellStyle name="Normal 4 6 2 2 4 3 2" xfId="14028" xr:uid="{3C00133C-EFE5-4071-84D2-12F5298EF8B7}"/>
    <cellStyle name="Normal 4 6 2 2 4 4" xfId="9810" xr:uid="{867E7B08-4E18-490E-9248-4193E40E3782}"/>
    <cellStyle name="Normal 4 6 2 2 5" xfId="1703" xr:uid="{00000000-0005-0000-0000-000020160000}"/>
    <cellStyle name="Normal 4 6 2 2 5 2" xfId="3933" xr:uid="{00000000-0005-0000-0000-000021160000}"/>
    <cellStyle name="Normal 4 6 2 2 5 2 2" xfId="8157" xr:uid="{00000000-0005-0000-0000-000022160000}"/>
    <cellStyle name="Normal 4 6 2 2 5 2 2 2" xfId="16586" xr:uid="{849B1A60-4C88-435B-8452-5B406CD570BC}"/>
    <cellStyle name="Normal 4 6 2 2 5 2 3" xfId="12368" xr:uid="{3375B004-0825-4920-A7B8-74B304043760}"/>
    <cellStyle name="Normal 4 6 2 2 5 3" xfId="6012" xr:uid="{00000000-0005-0000-0000-000023160000}"/>
    <cellStyle name="Normal 4 6 2 2 5 3 2" xfId="14441" xr:uid="{0B01F589-B989-44F6-BD5F-2FE0A5B3DEB5}"/>
    <cellStyle name="Normal 4 6 2 2 5 4" xfId="10223" xr:uid="{5653A0CD-118F-48B7-9626-38E13812359B}"/>
    <cellStyle name="Normal 4 6 2 2 6" xfId="2117" xr:uid="{00000000-0005-0000-0000-000024160000}"/>
    <cellStyle name="Normal 4 6 2 2 6 2" xfId="4346" xr:uid="{00000000-0005-0000-0000-000025160000}"/>
    <cellStyle name="Normal 4 6 2 2 6 2 2" xfId="8570" xr:uid="{00000000-0005-0000-0000-000026160000}"/>
    <cellStyle name="Normal 4 6 2 2 6 2 2 2" xfId="16999" xr:uid="{E30E1153-F7EF-4DB6-B214-ED642FACDA68}"/>
    <cellStyle name="Normal 4 6 2 2 6 2 3" xfId="12781" xr:uid="{8F35388D-1543-467E-92ED-BB5ED2C4A771}"/>
    <cellStyle name="Normal 4 6 2 2 6 3" xfId="6425" xr:uid="{00000000-0005-0000-0000-000027160000}"/>
    <cellStyle name="Normal 4 6 2 2 6 3 2" xfId="14854" xr:uid="{7F861896-F4A8-4772-8262-21D8B0E0CE5C}"/>
    <cellStyle name="Normal 4 6 2 2 6 4" xfId="10636" xr:uid="{CC787945-9B1D-4BDA-A729-C3A4D7F8B649}"/>
    <cellStyle name="Normal 4 6 2 2 7" xfId="2553" xr:uid="{00000000-0005-0000-0000-000028160000}"/>
    <cellStyle name="Normal 4 6 2 2 7 2" xfId="6838" xr:uid="{00000000-0005-0000-0000-000029160000}"/>
    <cellStyle name="Normal 4 6 2 2 7 2 2" xfId="15267" xr:uid="{225C5153-38E8-435B-992D-564EDF90F5B8}"/>
    <cellStyle name="Normal 4 6 2 2 7 3" xfId="11049" xr:uid="{CDCD45AC-4812-4266-B44E-9CCC46D1058B}"/>
    <cellStyle name="Normal 4 6 2 2 8" xfId="4773" xr:uid="{00000000-0005-0000-0000-00002A160000}"/>
    <cellStyle name="Normal 4 6 2 2 8 2" xfId="13202" xr:uid="{485F3615-FADC-41B2-B81B-66F54C9BDE85}"/>
    <cellStyle name="Normal 4 6 2 2 9" xfId="8984" xr:uid="{E166FA59-C7EF-46F9-AE8B-6220950E50AF}"/>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2 2 2" xfId="15762" xr:uid="{3981FD10-CEE5-412F-91F1-AC3D7A532C5A}"/>
    <cellStyle name="Normal 4 6 2 3 2 2 3" xfId="11544" xr:uid="{E8D2AF37-3A12-444D-8ADE-55799152D2A1}"/>
    <cellStyle name="Normal 4 6 2 3 2 3" xfId="5188" xr:uid="{00000000-0005-0000-0000-00002F160000}"/>
    <cellStyle name="Normal 4 6 2 3 2 3 2" xfId="13617" xr:uid="{91355D7C-DE46-41E0-873D-4CAB490C67BE}"/>
    <cellStyle name="Normal 4 6 2 3 2 4" xfId="9399" xr:uid="{C3C079E3-63D9-4AF2-BBF7-218D544996C6}"/>
    <cellStyle name="Normal 4 6 2 3 3" xfId="1292" xr:uid="{00000000-0005-0000-0000-000030160000}"/>
    <cellStyle name="Normal 4 6 2 3 3 2" xfId="3522" xr:uid="{00000000-0005-0000-0000-000031160000}"/>
    <cellStyle name="Normal 4 6 2 3 3 2 2" xfId="7746" xr:uid="{00000000-0005-0000-0000-000032160000}"/>
    <cellStyle name="Normal 4 6 2 3 3 2 2 2" xfId="16175" xr:uid="{918FC3F0-4AFA-47C5-B0EE-9BBF4CEEA7FD}"/>
    <cellStyle name="Normal 4 6 2 3 3 2 3" xfId="11957" xr:uid="{F50D8617-32D7-4BDF-8A60-3260A1A75F14}"/>
    <cellStyle name="Normal 4 6 2 3 3 3" xfId="5601" xr:uid="{00000000-0005-0000-0000-000033160000}"/>
    <cellStyle name="Normal 4 6 2 3 3 3 2" xfId="14030" xr:uid="{52521010-E713-4532-9983-0A3949C7D41F}"/>
    <cellStyle name="Normal 4 6 2 3 3 4" xfId="9812" xr:uid="{5648AF92-8EDA-4D39-A2DD-A436D1C2B51E}"/>
    <cellStyle name="Normal 4 6 2 3 4" xfId="1705" xr:uid="{00000000-0005-0000-0000-000034160000}"/>
    <cellStyle name="Normal 4 6 2 3 4 2" xfId="3935" xr:uid="{00000000-0005-0000-0000-000035160000}"/>
    <cellStyle name="Normal 4 6 2 3 4 2 2" xfId="8159" xr:uid="{00000000-0005-0000-0000-000036160000}"/>
    <cellStyle name="Normal 4 6 2 3 4 2 2 2" xfId="16588" xr:uid="{6879BD98-F210-4189-91DD-52D1A4E141B0}"/>
    <cellStyle name="Normal 4 6 2 3 4 2 3" xfId="12370" xr:uid="{ADA3A0E5-06F8-43D0-AF79-755B2FC3641B}"/>
    <cellStyle name="Normal 4 6 2 3 4 3" xfId="6014" xr:uid="{00000000-0005-0000-0000-000037160000}"/>
    <cellStyle name="Normal 4 6 2 3 4 3 2" xfId="14443" xr:uid="{26FF39AD-88E2-4E3B-82A7-DB7FD52FBE40}"/>
    <cellStyle name="Normal 4 6 2 3 4 4" xfId="10225" xr:uid="{ED7D8CD8-1ADF-4321-B143-823DBAA2150A}"/>
    <cellStyle name="Normal 4 6 2 3 5" xfId="2119" xr:uid="{00000000-0005-0000-0000-000038160000}"/>
    <cellStyle name="Normal 4 6 2 3 5 2" xfId="4348" xr:uid="{00000000-0005-0000-0000-000039160000}"/>
    <cellStyle name="Normal 4 6 2 3 5 2 2" xfId="8572" xr:uid="{00000000-0005-0000-0000-00003A160000}"/>
    <cellStyle name="Normal 4 6 2 3 5 2 2 2" xfId="17001" xr:uid="{732F3A83-08B0-497A-8728-21AF9BCA2EBA}"/>
    <cellStyle name="Normal 4 6 2 3 5 2 3" xfId="12783" xr:uid="{8DAB88E6-66AB-4771-8374-DA259D096A83}"/>
    <cellStyle name="Normal 4 6 2 3 5 3" xfId="6427" xr:uid="{00000000-0005-0000-0000-00003B160000}"/>
    <cellStyle name="Normal 4 6 2 3 5 3 2" xfId="14856" xr:uid="{09B02D5F-B91E-4FAA-BE2E-8421A7E35062}"/>
    <cellStyle name="Normal 4 6 2 3 5 4" xfId="10638" xr:uid="{02FFF55D-259D-48E6-85ED-084DFC9F49F5}"/>
    <cellStyle name="Normal 4 6 2 3 6" xfId="2555" xr:uid="{00000000-0005-0000-0000-00003C160000}"/>
    <cellStyle name="Normal 4 6 2 3 6 2" xfId="6840" xr:uid="{00000000-0005-0000-0000-00003D160000}"/>
    <cellStyle name="Normal 4 6 2 3 6 2 2" xfId="15269" xr:uid="{7EF6D6F3-4C40-4C8D-9E97-C9AD575A98DE}"/>
    <cellStyle name="Normal 4 6 2 3 6 3" xfId="11051" xr:uid="{02953693-6DDF-4734-84BB-E0C723B4CD84}"/>
    <cellStyle name="Normal 4 6 2 3 7" xfId="4775" xr:uid="{00000000-0005-0000-0000-00003E160000}"/>
    <cellStyle name="Normal 4 6 2 3 7 2" xfId="13204" xr:uid="{0E8F6C23-81F4-4206-BD45-8D8EDC452775}"/>
    <cellStyle name="Normal 4 6 2 3 8" xfId="8986" xr:uid="{C45908FD-5A51-4E4D-B464-08EF05B8C47D}"/>
    <cellStyle name="Normal 4 6 2 4" xfId="871" xr:uid="{00000000-0005-0000-0000-00003F160000}"/>
    <cellStyle name="Normal 4 6 2 4 2" xfId="3106" xr:uid="{00000000-0005-0000-0000-000040160000}"/>
    <cellStyle name="Normal 4 6 2 4 2 2" xfId="7330" xr:uid="{00000000-0005-0000-0000-000041160000}"/>
    <cellStyle name="Normal 4 6 2 4 2 2 2" xfId="15759" xr:uid="{5F1D977A-281F-4BAE-8A1C-3D1A4B51AF1A}"/>
    <cellStyle name="Normal 4 6 2 4 2 3" xfId="11541" xr:uid="{98DBD1A6-5D9A-45E2-BF21-8A8C78484C68}"/>
    <cellStyle name="Normal 4 6 2 4 3" xfId="5185" xr:uid="{00000000-0005-0000-0000-000042160000}"/>
    <cellStyle name="Normal 4 6 2 4 3 2" xfId="13614" xr:uid="{5389300B-C5DD-4D15-85F6-8B562F908483}"/>
    <cellStyle name="Normal 4 6 2 4 4" xfId="9396" xr:uid="{5B4CD877-99D7-4AF2-A1A3-124B36AECCE9}"/>
    <cellStyle name="Normal 4 6 2 5" xfId="1289" xr:uid="{00000000-0005-0000-0000-000043160000}"/>
    <cellStyle name="Normal 4 6 2 5 2" xfId="3519" xr:uid="{00000000-0005-0000-0000-000044160000}"/>
    <cellStyle name="Normal 4 6 2 5 2 2" xfId="7743" xr:uid="{00000000-0005-0000-0000-000045160000}"/>
    <cellStyle name="Normal 4 6 2 5 2 2 2" xfId="16172" xr:uid="{8B5DAD0C-FEA0-42F3-8A6A-8D05C185DAE7}"/>
    <cellStyle name="Normal 4 6 2 5 2 3" xfId="11954" xr:uid="{9CCA6461-D8AB-45BF-B31B-25F154B0A3F0}"/>
    <cellStyle name="Normal 4 6 2 5 3" xfId="5598" xr:uid="{00000000-0005-0000-0000-000046160000}"/>
    <cellStyle name="Normal 4 6 2 5 3 2" xfId="14027" xr:uid="{9CA51EF4-D406-4300-AA1A-E4EEE9D2A5C9}"/>
    <cellStyle name="Normal 4 6 2 5 4" xfId="9809" xr:uid="{01F046F3-F0DA-4E9C-B02F-F8966145197B}"/>
    <cellStyle name="Normal 4 6 2 6" xfId="1702" xr:uid="{00000000-0005-0000-0000-000047160000}"/>
    <cellStyle name="Normal 4 6 2 6 2" xfId="3932" xr:uid="{00000000-0005-0000-0000-000048160000}"/>
    <cellStyle name="Normal 4 6 2 6 2 2" xfId="8156" xr:uid="{00000000-0005-0000-0000-000049160000}"/>
    <cellStyle name="Normal 4 6 2 6 2 2 2" xfId="16585" xr:uid="{83A41987-21D3-419C-BCCD-2D2898D52657}"/>
    <cellStyle name="Normal 4 6 2 6 2 3" xfId="12367" xr:uid="{DA492DB8-A7E3-4F48-ACFC-CBAD0E50E3E1}"/>
    <cellStyle name="Normal 4 6 2 6 3" xfId="6011" xr:uid="{00000000-0005-0000-0000-00004A160000}"/>
    <cellStyle name="Normal 4 6 2 6 3 2" xfId="14440" xr:uid="{1F510B53-10C2-4DFA-89C1-F03C8F65737F}"/>
    <cellStyle name="Normal 4 6 2 6 4" xfId="10222" xr:uid="{DB277774-6A1A-42DB-9A3D-F56567304E1C}"/>
    <cellStyle name="Normal 4 6 2 7" xfId="2116" xr:uid="{00000000-0005-0000-0000-00004B160000}"/>
    <cellStyle name="Normal 4 6 2 7 2" xfId="4345" xr:uid="{00000000-0005-0000-0000-00004C160000}"/>
    <cellStyle name="Normal 4 6 2 7 2 2" xfId="8569" xr:uid="{00000000-0005-0000-0000-00004D160000}"/>
    <cellStyle name="Normal 4 6 2 7 2 2 2" xfId="16998" xr:uid="{DB86D608-A503-4D17-A5F2-0F63B2375967}"/>
    <cellStyle name="Normal 4 6 2 7 2 3" xfId="12780" xr:uid="{48B95E1D-F053-4215-82B1-28BF45500295}"/>
    <cellStyle name="Normal 4 6 2 7 3" xfId="6424" xr:uid="{00000000-0005-0000-0000-00004E160000}"/>
    <cellStyle name="Normal 4 6 2 7 3 2" xfId="14853" xr:uid="{FAC4F284-DE84-44C2-93BB-10AE95890042}"/>
    <cellStyle name="Normal 4 6 2 7 4" xfId="10635" xr:uid="{195BF009-AC5A-4309-A71C-E8E51BC8C775}"/>
    <cellStyle name="Normal 4 6 2 8" xfId="2552" xr:uid="{00000000-0005-0000-0000-00004F160000}"/>
    <cellStyle name="Normal 4 6 2 8 2" xfId="6837" xr:uid="{00000000-0005-0000-0000-000050160000}"/>
    <cellStyle name="Normal 4 6 2 8 2 2" xfId="15266" xr:uid="{873079DA-D8D7-4957-8213-811B667F3F81}"/>
    <cellStyle name="Normal 4 6 2 8 3" xfId="11048" xr:uid="{7E106D65-D290-4CD4-9B0C-0820683FD38F}"/>
    <cellStyle name="Normal 4 6 2 9" xfId="4772" xr:uid="{00000000-0005-0000-0000-000051160000}"/>
    <cellStyle name="Normal 4 6 2 9 2" xfId="13201" xr:uid="{237E1B65-2F1B-4C1F-AA2D-A4B22022B285}"/>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2 2 2" xfId="15764" xr:uid="{8D38821D-D71F-468B-A040-A09244620EE8}"/>
    <cellStyle name="Normal 4 6 3 2 2 2 3" xfId="11546" xr:uid="{CC981468-D9F7-4147-94C9-B22238723293}"/>
    <cellStyle name="Normal 4 6 3 2 2 3" xfId="5190" xr:uid="{00000000-0005-0000-0000-000057160000}"/>
    <cellStyle name="Normal 4 6 3 2 2 3 2" xfId="13619" xr:uid="{D31B8BDF-E53D-46E8-ACE4-403B41A85CE5}"/>
    <cellStyle name="Normal 4 6 3 2 2 4" xfId="9401" xr:uid="{2832B19E-846C-4AB1-AC13-5E199ACCB95C}"/>
    <cellStyle name="Normal 4 6 3 2 3" xfId="1294" xr:uid="{00000000-0005-0000-0000-000058160000}"/>
    <cellStyle name="Normal 4 6 3 2 3 2" xfId="3524" xr:uid="{00000000-0005-0000-0000-000059160000}"/>
    <cellStyle name="Normal 4 6 3 2 3 2 2" xfId="7748" xr:uid="{00000000-0005-0000-0000-00005A160000}"/>
    <cellStyle name="Normal 4 6 3 2 3 2 2 2" xfId="16177" xr:uid="{964D1040-5B8C-44BC-8B9F-97078D1DBBF6}"/>
    <cellStyle name="Normal 4 6 3 2 3 2 3" xfId="11959" xr:uid="{1A8F2A8E-22B9-4205-BA1C-501E46108215}"/>
    <cellStyle name="Normal 4 6 3 2 3 3" xfId="5603" xr:uid="{00000000-0005-0000-0000-00005B160000}"/>
    <cellStyle name="Normal 4 6 3 2 3 3 2" xfId="14032" xr:uid="{0F474D30-6972-4940-B562-F9DE73BF1739}"/>
    <cellStyle name="Normal 4 6 3 2 3 4" xfId="9814" xr:uid="{519D4681-0B8B-4EB9-9C29-CBEED21956B2}"/>
    <cellStyle name="Normal 4 6 3 2 4" xfId="1707" xr:uid="{00000000-0005-0000-0000-00005C160000}"/>
    <cellStyle name="Normal 4 6 3 2 4 2" xfId="3937" xr:uid="{00000000-0005-0000-0000-00005D160000}"/>
    <cellStyle name="Normal 4 6 3 2 4 2 2" xfId="8161" xr:uid="{00000000-0005-0000-0000-00005E160000}"/>
    <cellStyle name="Normal 4 6 3 2 4 2 2 2" xfId="16590" xr:uid="{5B8AD059-5175-41CC-B6F8-B0DAA032376C}"/>
    <cellStyle name="Normal 4 6 3 2 4 2 3" xfId="12372" xr:uid="{5283F5BE-1F82-4EC7-8240-C341DF8E1142}"/>
    <cellStyle name="Normal 4 6 3 2 4 3" xfId="6016" xr:uid="{00000000-0005-0000-0000-00005F160000}"/>
    <cellStyle name="Normal 4 6 3 2 4 3 2" xfId="14445" xr:uid="{6B0B64D0-4028-43ED-B18E-F7E87461BEFB}"/>
    <cellStyle name="Normal 4 6 3 2 4 4" xfId="10227" xr:uid="{498E657A-793F-4405-9FA9-40A01C657D0D}"/>
    <cellStyle name="Normal 4 6 3 2 5" xfId="2121" xr:uid="{00000000-0005-0000-0000-000060160000}"/>
    <cellStyle name="Normal 4 6 3 2 5 2" xfId="4350" xr:uid="{00000000-0005-0000-0000-000061160000}"/>
    <cellStyle name="Normal 4 6 3 2 5 2 2" xfId="8574" xr:uid="{00000000-0005-0000-0000-000062160000}"/>
    <cellStyle name="Normal 4 6 3 2 5 2 2 2" xfId="17003" xr:uid="{995F4AE0-3758-4BD1-8527-4651BED44A4F}"/>
    <cellStyle name="Normal 4 6 3 2 5 2 3" xfId="12785" xr:uid="{413E8CE4-E5B1-4488-9732-6EC7C4885755}"/>
    <cellStyle name="Normal 4 6 3 2 5 3" xfId="6429" xr:uid="{00000000-0005-0000-0000-000063160000}"/>
    <cellStyle name="Normal 4 6 3 2 5 3 2" xfId="14858" xr:uid="{104E1C90-026A-4D57-BEC6-B742F1ADB110}"/>
    <cellStyle name="Normal 4 6 3 2 5 4" xfId="10640" xr:uid="{0334C742-3ABD-44F7-84F5-0EB60EC1150A}"/>
    <cellStyle name="Normal 4 6 3 2 6" xfId="2557" xr:uid="{00000000-0005-0000-0000-000064160000}"/>
    <cellStyle name="Normal 4 6 3 2 6 2" xfId="6842" xr:uid="{00000000-0005-0000-0000-000065160000}"/>
    <cellStyle name="Normal 4 6 3 2 6 2 2" xfId="15271" xr:uid="{EFA3900A-5A9C-43D4-9615-3AE806D155E3}"/>
    <cellStyle name="Normal 4 6 3 2 6 3" xfId="11053" xr:uid="{D6F1A36D-B68E-4A06-AED3-D45C19764806}"/>
    <cellStyle name="Normal 4 6 3 2 7" xfId="4777" xr:uid="{00000000-0005-0000-0000-000066160000}"/>
    <cellStyle name="Normal 4 6 3 2 7 2" xfId="13206" xr:uid="{F48A067E-E910-4972-80E1-1AC98159DA4A}"/>
    <cellStyle name="Normal 4 6 3 2 8" xfId="8988" xr:uid="{4B8FDC22-AA1C-45C8-93C5-13FE9BBEBE67}"/>
    <cellStyle name="Normal 4 6 3 3" xfId="875" xr:uid="{00000000-0005-0000-0000-000067160000}"/>
    <cellStyle name="Normal 4 6 3 3 2" xfId="3110" xr:uid="{00000000-0005-0000-0000-000068160000}"/>
    <cellStyle name="Normal 4 6 3 3 2 2" xfId="7334" xr:uid="{00000000-0005-0000-0000-000069160000}"/>
    <cellStyle name="Normal 4 6 3 3 2 2 2" xfId="15763" xr:uid="{450F7DDC-24F0-4942-99D4-FECA4EB75124}"/>
    <cellStyle name="Normal 4 6 3 3 2 3" xfId="11545" xr:uid="{92DB0087-6CB1-4C50-8BE5-C227A48D8A33}"/>
    <cellStyle name="Normal 4 6 3 3 3" xfId="5189" xr:uid="{00000000-0005-0000-0000-00006A160000}"/>
    <cellStyle name="Normal 4 6 3 3 3 2" xfId="13618" xr:uid="{66296E64-A157-451B-AD9C-6B29082CCE32}"/>
    <cellStyle name="Normal 4 6 3 3 4" xfId="9400" xr:uid="{E6742AB5-3C47-4CA8-BE4D-0BA44F761466}"/>
    <cellStyle name="Normal 4 6 3 4" xfId="1293" xr:uid="{00000000-0005-0000-0000-00006B160000}"/>
    <cellStyle name="Normal 4 6 3 4 2" xfId="3523" xr:uid="{00000000-0005-0000-0000-00006C160000}"/>
    <cellStyle name="Normal 4 6 3 4 2 2" xfId="7747" xr:uid="{00000000-0005-0000-0000-00006D160000}"/>
    <cellStyle name="Normal 4 6 3 4 2 2 2" xfId="16176" xr:uid="{46BE0C01-2353-4200-9D79-1D05A7B11C20}"/>
    <cellStyle name="Normal 4 6 3 4 2 3" xfId="11958" xr:uid="{74EE4044-1569-4A4C-BC4E-34FB8069DB51}"/>
    <cellStyle name="Normal 4 6 3 4 3" xfId="5602" xr:uid="{00000000-0005-0000-0000-00006E160000}"/>
    <cellStyle name="Normal 4 6 3 4 3 2" xfId="14031" xr:uid="{9006AF44-89EB-42C5-9891-E1F82336F080}"/>
    <cellStyle name="Normal 4 6 3 4 4" xfId="9813" xr:uid="{2677B415-8DCA-4B3E-9297-1C6985EC692E}"/>
    <cellStyle name="Normal 4 6 3 5" xfId="1706" xr:uid="{00000000-0005-0000-0000-00006F160000}"/>
    <cellStyle name="Normal 4 6 3 5 2" xfId="3936" xr:uid="{00000000-0005-0000-0000-000070160000}"/>
    <cellStyle name="Normal 4 6 3 5 2 2" xfId="8160" xr:uid="{00000000-0005-0000-0000-000071160000}"/>
    <cellStyle name="Normal 4 6 3 5 2 2 2" xfId="16589" xr:uid="{6921B360-A4C5-4A1E-A720-7415524C601B}"/>
    <cellStyle name="Normal 4 6 3 5 2 3" xfId="12371" xr:uid="{A8C0DA77-A947-40F9-BDAA-62982985FAF8}"/>
    <cellStyle name="Normal 4 6 3 5 3" xfId="6015" xr:uid="{00000000-0005-0000-0000-000072160000}"/>
    <cellStyle name="Normal 4 6 3 5 3 2" xfId="14444" xr:uid="{3E6FE6C5-0777-492A-9F61-3CF689157776}"/>
    <cellStyle name="Normal 4 6 3 5 4" xfId="10226" xr:uid="{2CE834E1-2EF8-45EE-BD87-F573764B9E4C}"/>
    <cellStyle name="Normal 4 6 3 6" xfId="2120" xr:uid="{00000000-0005-0000-0000-000073160000}"/>
    <cellStyle name="Normal 4 6 3 6 2" xfId="4349" xr:uid="{00000000-0005-0000-0000-000074160000}"/>
    <cellStyle name="Normal 4 6 3 6 2 2" xfId="8573" xr:uid="{00000000-0005-0000-0000-000075160000}"/>
    <cellStyle name="Normal 4 6 3 6 2 2 2" xfId="17002" xr:uid="{0DD5F663-F61D-41F4-82EF-94FF836E6B08}"/>
    <cellStyle name="Normal 4 6 3 6 2 3" xfId="12784" xr:uid="{165BC8A6-F236-4134-81B3-BEF870E76042}"/>
    <cellStyle name="Normal 4 6 3 6 3" xfId="6428" xr:uid="{00000000-0005-0000-0000-000076160000}"/>
    <cellStyle name="Normal 4 6 3 6 3 2" xfId="14857" xr:uid="{216F37EE-97B8-4186-B708-40E1F0C19DD1}"/>
    <cellStyle name="Normal 4 6 3 6 4" xfId="10639" xr:uid="{24BFB1C0-D2A6-4D70-BC56-87DF76A5786A}"/>
    <cellStyle name="Normal 4 6 3 7" xfId="2556" xr:uid="{00000000-0005-0000-0000-000077160000}"/>
    <cellStyle name="Normal 4 6 3 7 2" xfId="6841" xr:uid="{00000000-0005-0000-0000-000078160000}"/>
    <cellStyle name="Normal 4 6 3 7 2 2" xfId="15270" xr:uid="{E8C5973C-4CFA-4B0C-B3D2-9A2785FDFC3F}"/>
    <cellStyle name="Normal 4 6 3 7 3" xfId="11052" xr:uid="{58B63134-3244-4417-9C02-263442EA29FB}"/>
    <cellStyle name="Normal 4 6 3 8" xfId="4776" xr:uid="{00000000-0005-0000-0000-000079160000}"/>
    <cellStyle name="Normal 4 6 3 8 2" xfId="13205" xr:uid="{149EE8CF-F35B-49DF-BD70-5A5AD2AD65AC}"/>
    <cellStyle name="Normal 4 6 3 9" xfId="8987" xr:uid="{FA49EDC7-BAE9-4285-8F9D-A527ED35A10C}"/>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2 2 2" xfId="15765" xr:uid="{68BA138F-2EAF-4221-B7C6-F8CA3C5AC955}"/>
    <cellStyle name="Normal 4 6 4 2 2 3" xfId="11547" xr:uid="{CF844EE4-F3F4-4D24-863F-1145A1120D3E}"/>
    <cellStyle name="Normal 4 6 4 2 3" xfId="5191" xr:uid="{00000000-0005-0000-0000-00007E160000}"/>
    <cellStyle name="Normal 4 6 4 2 3 2" xfId="13620" xr:uid="{6DC0C304-6363-4925-B0AD-4C23516F39A2}"/>
    <cellStyle name="Normal 4 6 4 2 4" xfId="9402" xr:uid="{F8375DE9-16CD-4427-98D0-8963FE76B886}"/>
    <cellStyle name="Normal 4 6 4 3" xfId="1295" xr:uid="{00000000-0005-0000-0000-00007F160000}"/>
    <cellStyle name="Normal 4 6 4 3 2" xfId="3525" xr:uid="{00000000-0005-0000-0000-000080160000}"/>
    <cellStyle name="Normal 4 6 4 3 2 2" xfId="7749" xr:uid="{00000000-0005-0000-0000-000081160000}"/>
    <cellStyle name="Normal 4 6 4 3 2 2 2" xfId="16178" xr:uid="{CEFDFA61-49E3-46C4-95D0-863151283621}"/>
    <cellStyle name="Normal 4 6 4 3 2 3" xfId="11960" xr:uid="{2CF3964B-AD3B-4A04-B200-65C27D0F0EA3}"/>
    <cellStyle name="Normal 4 6 4 3 3" xfId="5604" xr:uid="{00000000-0005-0000-0000-000082160000}"/>
    <cellStyle name="Normal 4 6 4 3 3 2" xfId="14033" xr:uid="{C78C62F8-5FD9-4D6F-9605-50A675FF45A0}"/>
    <cellStyle name="Normal 4 6 4 3 4" xfId="9815" xr:uid="{425532C7-A43C-44A7-9D3C-9CF220ABD28C}"/>
    <cellStyle name="Normal 4 6 4 4" xfId="1708" xr:uid="{00000000-0005-0000-0000-000083160000}"/>
    <cellStyle name="Normal 4 6 4 4 2" xfId="3938" xr:uid="{00000000-0005-0000-0000-000084160000}"/>
    <cellStyle name="Normal 4 6 4 4 2 2" xfId="8162" xr:uid="{00000000-0005-0000-0000-000085160000}"/>
    <cellStyle name="Normal 4 6 4 4 2 2 2" xfId="16591" xr:uid="{48A24377-2D3F-413B-9B0D-48FC83E85FC3}"/>
    <cellStyle name="Normal 4 6 4 4 2 3" xfId="12373" xr:uid="{CA99C3F6-0ECE-4D15-9438-656D744A1407}"/>
    <cellStyle name="Normal 4 6 4 4 3" xfId="6017" xr:uid="{00000000-0005-0000-0000-000086160000}"/>
    <cellStyle name="Normal 4 6 4 4 3 2" xfId="14446" xr:uid="{DDB14546-B087-43F5-88C1-626404F70E61}"/>
    <cellStyle name="Normal 4 6 4 4 4" xfId="10228" xr:uid="{4E550BA2-CC62-4E28-8770-3B682B1DA5DF}"/>
    <cellStyle name="Normal 4 6 4 5" xfId="2122" xr:uid="{00000000-0005-0000-0000-000087160000}"/>
    <cellStyle name="Normal 4 6 4 5 2" xfId="4351" xr:uid="{00000000-0005-0000-0000-000088160000}"/>
    <cellStyle name="Normal 4 6 4 5 2 2" xfId="8575" xr:uid="{00000000-0005-0000-0000-000089160000}"/>
    <cellStyle name="Normal 4 6 4 5 2 2 2" xfId="17004" xr:uid="{0228D7FA-5D6F-4BF6-8856-0486D4410187}"/>
    <cellStyle name="Normal 4 6 4 5 2 3" xfId="12786" xr:uid="{A3613350-E735-4C41-AA03-2660C5B8FEB8}"/>
    <cellStyle name="Normal 4 6 4 5 3" xfId="6430" xr:uid="{00000000-0005-0000-0000-00008A160000}"/>
    <cellStyle name="Normal 4 6 4 5 3 2" xfId="14859" xr:uid="{DAF367D2-3380-4BB8-AFBC-92517E6EBA34}"/>
    <cellStyle name="Normal 4 6 4 5 4" xfId="10641" xr:uid="{C673CF4D-5040-4025-B05A-5A8C72199DE4}"/>
    <cellStyle name="Normal 4 6 4 6" xfId="2558" xr:uid="{00000000-0005-0000-0000-00008B160000}"/>
    <cellStyle name="Normal 4 6 4 6 2" xfId="6843" xr:uid="{00000000-0005-0000-0000-00008C160000}"/>
    <cellStyle name="Normal 4 6 4 6 2 2" xfId="15272" xr:uid="{71C7BFB5-8CFF-4A90-B39C-1498CAB4B429}"/>
    <cellStyle name="Normal 4 6 4 6 3" xfId="11054" xr:uid="{36A6F45A-813E-4216-87BA-309AF2858629}"/>
    <cellStyle name="Normal 4 6 4 7" xfId="4778" xr:uid="{00000000-0005-0000-0000-00008D160000}"/>
    <cellStyle name="Normal 4 6 4 7 2" xfId="13207" xr:uid="{A4583BE3-4B6D-4AD7-BE37-B95AFFF2F51C}"/>
    <cellStyle name="Normal 4 6 4 8" xfId="8989" xr:uid="{A37EF2CC-D8FC-49E2-99A3-0D4D8111F76C}"/>
    <cellStyle name="Normal 4 6 5" xfId="870" xr:uid="{00000000-0005-0000-0000-00008E160000}"/>
    <cellStyle name="Normal 4 6 5 2" xfId="3105" xr:uid="{00000000-0005-0000-0000-00008F160000}"/>
    <cellStyle name="Normal 4 6 5 2 2" xfId="7329" xr:uid="{00000000-0005-0000-0000-000090160000}"/>
    <cellStyle name="Normal 4 6 5 2 2 2" xfId="15758" xr:uid="{19F00DC0-913D-42B7-AF77-BA0CD33AD868}"/>
    <cellStyle name="Normal 4 6 5 2 3" xfId="11540" xr:uid="{65A36FC9-E709-49B5-8D6F-CDFDD42560F9}"/>
    <cellStyle name="Normal 4 6 5 3" xfId="5184" xr:uid="{00000000-0005-0000-0000-000091160000}"/>
    <cellStyle name="Normal 4 6 5 3 2" xfId="13613" xr:uid="{40831653-E093-43DF-94E3-7A2AA53A4317}"/>
    <cellStyle name="Normal 4 6 5 4" xfId="9395" xr:uid="{C0B8133B-CA66-4E0F-8241-FC9D71684417}"/>
    <cellStyle name="Normal 4 6 6" xfId="1288" xr:uid="{00000000-0005-0000-0000-000092160000}"/>
    <cellStyle name="Normal 4 6 6 2" xfId="3518" xr:uid="{00000000-0005-0000-0000-000093160000}"/>
    <cellStyle name="Normal 4 6 6 2 2" xfId="7742" xr:uid="{00000000-0005-0000-0000-000094160000}"/>
    <cellStyle name="Normal 4 6 6 2 2 2" xfId="16171" xr:uid="{4CF4D90F-9F94-4D65-A065-BBD901F5A38B}"/>
    <cellStyle name="Normal 4 6 6 2 3" xfId="11953" xr:uid="{3B494642-1AD3-42A3-9840-C9C6F23809D7}"/>
    <cellStyle name="Normal 4 6 6 3" xfId="5597" xr:uid="{00000000-0005-0000-0000-000095160000}"/>
    <cellStyle name="Normal 4 6 6 3 2" xfId="14026" xr:uid="{96C14C2D-C7D3-4BA1-92B2-783779EEC017}"/>
    <cellStyle name="Normal 4 6 6 4" xfId="9808" xr:uid="{45675487-003A-4738-8778-B3F4918A3FFD}"/>
    <cellStyle name="Normal 4 6 7" xfId="1701" xr:uid="{00000000-0005-0000-0000-000096160000}"/>
    <cellStyle name="Normal 4 6 7 2" xfId="3931" xr:uid="{00000000-0005-0000-0000-000097160000}"/>
    <cellStyle name="Normal 4 6 7 2 2" xfId="8155" xr:uid="{00000000-0005-0000-0000-000098160000}"/>
    <cellStyle name="Normal 4 6 7 2 2 2" xfId="16584" xr:uid="{D9D63831-D93D-488C-B5DB-F617C8D22AD9}"/>
    <cellStyle name="Normal 4 6 7 2 3" xfId="12366" xr:uid="{58AE1689-3067-4349-88E6-54BAA59AB32A}"/>
    <cellStyle name="Normal 4 6 7 3" xfId="6010" xr:uid="{00000000-0005-0000-0000-000099160000}"/>
    <cellStyle name="Normal 4 6 7 3 2" xfId="14439" xr:uid="{03E8CC7C-A450-4E75-B085-D69B82713156}"/>
    <cellStyle name="Normal 4 6 7 4" xfId="10221" xr:uid="{06F2E0B2-B5C0-48A4-85E1-E2CA6D0E5B32}"/>
    <cellStyle name="Normal 4 6 8" xfId="2115" xr:uid="{00000000-0005-0000-0000-00009A160000}"/>
    <cellStyle name="Normal 4 6 8 2" xfId="4344" xr:uid="{00000000-0005-0000-0000-00009B160000}"/>
    <cellStyle name="Normal 4 6 8 2 2" xfId="8568" xr:uid="{00000000-0005-0000-0000-00009C160000}"/>
    <cellStyle name="Normal 4 6 8 2 2 2" xfId="16997" xr:uid="{4350260B-73C4-4608-884B-CE510C5BF839}"/>
    <cellStyle name="Normal 4 6 8 2 3" xfId="12779" xr:uid="{9B970551-643B-4778-8334-0BA4E706E873}"/>
    <cellStyle name="Normal 4 6 8 3" xfId="6423" xr:uid="{00000000-0005-0000-0000-00009D160000}"/>
    <cellStyle name="Normal 4 6 8 3 2" xfId="14852" xr:uid="{DD025276-2EF4-40DB-8E65-861BA091AB05}"/>
    <cellStyle name="Normal 4 6 8 4" xfId="10634" xr:uid="{91483F10-0A2E-4F4A-8314-6291B795176D}"/>
    <cellStyle name="Normal 4 6 9" xfId="2551" xr:uid="{00000000-0005-0000-0000-00009E160000}"/>
    <cellStyle name="Normal 4 6 9 2" xfId="6836" xr:uid="{00000000-0005-0000-0000-00009F160000}"/>
    <cellStyle name="Normal 4 6 9 2 2" xfId="15265" xr:uid="{59AB7A5B-3B10-41E4-BDE2-715E831D4A82}"/>
    <cellStyle name="Normal 4 6 9 3" xfId="11047" xr:uid="{5D11E007-552B-45BE-9A23-F24F13EDC347}"/>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2 2 2" xfId="15767" xr:uid="{BFCE0303-0FF6-46D7-8E15-D4B17728C38E}"/>
    <cellStyle name="Normal 4 7 2 2 2 3" xfId="11549" xr:uid="{9AFCE92E-0E88-4142-9540-40464CA3CFAA}"/>
    <cellStyle name="Normal 4 7 2 2 3" xfId="5193" xr:uid="{00000000-0005-0000-0000-0000A5160000}"/>
    <cellStyle name="Normal 4 7 2 2 3 2" xfId="13622" xr:uid="{83AA43C6-5FD6-4A85-BAB6-C76809B49B7A}"/>
    <cellStyle name="Normal 4 7 2 2 4" xfId="9404" xr:uid="{35ED7C8E-1CE1-4277-AA7C-14573901772A}"/>
    <cellStyle name="Normal 4 7 2 3" xfId="1297" xr:uid="{00000000-0005-0000-0000-0000A6160000}"/>
    <cellStyle name="Normal 4 7 2 3 2" xfId="3527" xr:uid="{00000000-0005-0000-0000-0000A7160000}"/>
    <cellStyle name="Normal 4 7 2 3 2 2" xfId="7751" xr:uid="{00000000-0005-0000-0000-0000A8160000}"/>
    <cellStyle name="Normal 4 7 2 3 2 2 2" xfId="16180" xr:uid="{51C19860-9E89-47F6-9836-B804EEC1FA02}"/>
    <cellStyle name="Normal 4 7 2 3 2 3" xfId="11962" xr:uid="{8EB35434-2574-4CFE-A04A-9D14DC95B9E2}"/>
    <cellStyle name="Normal 4 7 2 3 3" xfId="5606" xr:uid="{00000000-0005-0000-0000-0000A9160000}"/>
    <cellStyle name="Normal 4 7 2 3 3 2" xfId="14035" xr:uid="{71A4BD3C-2EF1-4AE2-965F-FC87FF346690}"/>
    <cellStyle name="Normal 4 7 2 3 4" xfId="9817" xr:uid="{14646773-835D-4BA0-AB79-E3DC92BBF67A}"/>
    <cellStyle name="Normal 4 7 2 4" xfId="1710" xr:uid="{00000000-0005-0000-0000-0000AA160000}"/>
    <cellStyle name="Normal 4 7 2 4 2" xfId="3940" xr:uid="{00000000-0005-0000-0000-0000AB160000}"/>
    <cellStyle name="Normal 4 7 2 4 2 2" xfId="8164" xr:uid="{00000000-0005-0000-0000-0000AC160000}"/>
    <cellStyle name="Normal 4 7 2 4 2 2 2" xfId="16593" xr:uid="{EA8D01F6-6D90-4B80-B5F4-C46242B12B90}"/>
    <cellStyle name="Normal 4 7 2 4 2 3" xfId="12375" xr:uid="{80524238-4821-44AB-AB69-30D5AA9F6ECA}"/>
    <cellStyle name="Normal 4 7 2 4 3" xfId="6019" xr:uid="{00000000-0005-0000-0000-0000AD160000}"/>
    <cellStyle name="Normal 4 7 2 4 3 2" xfId="14448" xr:uid="{42B15780-9184-44B0-9508-D336FAD08F80}"/>
    <cellStyle name="Normal 4 7 2 4 4" xfId="10230" xr:uid="{CDCEA50C-0694-4C0F-AA8B-820F46680C66}"/>
    <cellStyle name="Normal 4 7 2 5" xfId="2124" xr:uid="{00000000-0005-0000-0000-0000AE160000}"/>
    <cellStyle name="Normal 4 7 2 5 2" xfId="4353" xr:uid="{00000000-0005-0000-0000-0000AF160000}"/>
    <cellStyle name="Normal 4 7 2 5 2 2" xfId="8577" xr:uid="{00000000-0005-0000-0000-0000B0160000}"/>
    <cellStyle name="Normal 4 7 2 5 2 2 2" xfId="17006" xr:uid="{498FA807-9C0B-4CAF-987D-F22EEF65E7B9}"/>
    <cellStyle name="Normal 4 7 2 5 2 3" xfId="12788" xr:uid="{30366A61-EC9A-4748-8973-77E38AAF54F8}"/>
    <cellStyle name="Normal 4 7 2 5 3" xfId="6432" xr:uid="{00000000-0005-0000-0000-0000B1160000}"/>
    <cellStyle name="Normal 4 7 2 5 3 2" xfId="14861" xr:uid="{75EED52E-23E4-4302-A9C8-9158684514ED}"/>
    <cellStyle name="Normal 4 7 2 5 4" xfId="10643" xr:uid="{8D2F0442-B337-43E9-A860-44B1AFD7E5AF}"/>
    <cellStyle name="Normal 4 7 2 6" xfId="2560" xr:uid="{00000000-0005-0000-0000-0000B2160000}"/>
    <cellStyle name="Normal 4 7 2 6 2" xfId="6845" xr:uid="{00000000-0005-0000-0000-0000B3160000}"/>
    <cellStyle name="Normal 4 7 2 6 2 2" xfId="15274" xr:uid="{45FAED47-4CCA-40C2-B6B4-A3513B7F02EC}"/>
    <cellStyle name="Normal 4 7 2 6 3" xfId="11056" xr:uid="{51B2D5AA-5F6D-4BC4-8FD3-5A046E8BE9A8}"/>
    <cellStyle name="Normal 4 7 2 7" xfId="4780" xr:uid="{00000000-0005-0000-0000-0000B4160000}"/>
    <cellStyle name="Normal 4 7 2 7 2" xfId="13209" xr:uid="{4B621A68-F77F-4238-9498-9E9BA7DCDD43}"/>
    <cellStyle name="Normal 4 7 2 8" xfId="8991" xr:uid="{8ED3795B-BE98-48E6-A985-083012AA7B71}"/>
    <cellStyle name="Normal 4 7 3" xfId="878" xr:uid="{00000000-0005-0000-0000-0000B5160000}"/>
    <cellStyle name="Normal 4 7 3 2" xfId="3113" xr:uid="{00000000-0005-0000-0000-0000B6160000}"/>
    <cellStyle name="Normal 4 7 3 2 2" xfId="7337" xr:uid="{00000000-0005-0000-0000-0000B7160000}"/>
    <cellStyle name="Normal 4 7 3 2 2 2" xfId="15766" xr:uid="{6ED24DF6-7387-4C53-B3C2-23A5AD501659}"/>
    <cellStyle name="Normal 4 7 3 2 3" xfId="11548" xr:uid="{FBC7C945-AEA5-49DA-908B-282F63D9249C}"/>
    <cellStyle name="Normal 4 7 3 3" xfId="5192" xr:uid="{00000000-0005-0000-0000-0000B8160000}"/>
    <cellStyle name="Normal 4 7 3 3 2" xfId="13621" xr:uid="{9E260A60-61BF-4136-9481-C599ADED0761}"/>
    <cellStyle name="Normal 4 7 3 4" xfId="9403" xr:uid="{E9A6FB99-576D-4590-9C40-72756341BBDB}"/>
    <cellStyle name="Normal 4 7 4" xfId="1296" xr:uid="{00000000-0005-0000-0000-0000B9160000}"/>
    <cellStyle name="Normal 4 7 4 2" xfId="3526" xr:uid="{00000000-0005-0000-0000-0000BA160000}"/>
    <cellStyle name="Normal 4 7 4 2 2" xfId="7750" xr:uid="{00000000-0005-0000-0000-0000BB160000}"/>
    <cellStyle name="Normal 4 7 4 2 2 2" xfId="16179" xr:uid="{D35DA099-87B1-446B-895E-8A3AA5654A90}"/>
    <cellStyle name="Normal 4 7 4 2 3" xfId="11961" xr:uid="{FB6E5B2C-F663-4281-B5B6-42D24D4FB320}"/>
    <cellStyle name="Normal 4 7 4 3" xfId="5605" xr:uid="{00000000-0005-0000-0000-0000BC160000}"/>
    <cellStyle name="Normal 4 7 4 3 2" xfId="14034" xr:uid="{5580B2A3-3C54-485E-A2C3-41AA683430B0}"/>
    <cellStyle name="Normal 4 7 4 4" xfId="9816" xr:uid="{9087CF5C-0C6B-40F4-951A-3E6DDEC32468}"/>
    <cellStyle name="Normal 4 7 5" xfId="1709" xr:uid="{00000000-0005-0000-0000-0000BD160000}"/>
    <cellStyle name="Normal 4 7 5 2" xfId="3939" xr:uid="{00000000-0005-0000-0000-0000BE160000}"/>
    <cellStyle name="Normal 4 7 5 2 2" xfId="8163" xr:uid="{00000000-0005-0000-0000-0000BF160000}"/>
    <cellStyle name="Normal 4 7 5 2 2 2" xfId="16592" xr:uid="{56AAD817-F6DE-41EB-88D1-EF4500027F75}"/>
    <cellStyle name="Normal 4 7 5 2 3" xfId="12374" xr:uid="{1CAABF3A-ECE2-4EE0-A092-6119D78B24E1}"/>
    <cellStyle name="Normal 4 7 5 3" xfId="6018" xr:uid="{00000000-0005-0000-0000-0000C0160000}"/>
    <cellStyle name="Normal 4 7 5 3 2" xfId="14447" xr:uid="{D6D6A4A4-1A59-40DA-AB5A-57577EE03F5A}"/>
    <cellStyle name="Normal 4 7 5 4" xfId="10229" xr:uid="{718CB1EB-0AE3-4E8A-A24E-AA69BFB3FA72}"/>
    <cellStyle name="Normal 4 7 6" xfId="2123" xr:uid="{00000000-0005-0000-0000-0000C1160000}"/>
    <cellStyle name="Normal 4 7 6 2" xfId="4352" xr:uid="{00000000-0005-0000-0000-0000C2160000}"/>
    <cellStyle name="Normal 4 7 6 2 2" xfId="8576" xr:uid="{00000000-0005-0000-0000-0000C3160000}"/>
    <cellStyle name="Normal 4 7 6 2 2 2" xfId="17005" xr:uid="{7FDAA380-9EC8-4717-A099-64AED19169CC}"/>
    <cellStyle name="Normal 4 7 6 2 3" xfId="12787" xr:uid="{BE8E013C-816C-4C50-945D-A2A8EE84F0E2}"/>
    <cellStyle name="Normal 4 7 6 3" xfId="6431" xr:uid="{00000000-0005-0000-0000-0000C4160000}"/>
    <cellStyle name="Normal 4 7 6 3 2" xfId="14860" xr:uid="{FEB20E0D-FD82-461A-8749-31C64C3ABAA9}"/>
    <cellStyle name="Normal 4 7 6 4" xfId="10642" xr:uid="{40C7F230-9E0F-460A-AC8E-E5D0A65096E5}"/>
    <cellStyle name="Normal 4 7 7" xfId="2559" xr:uid="{00000000-0005-0000-0000-0000C5160000}"/>
    <cellStyle name="Normal 4 7 7 2" xfId="6844" xr:uid="{00000000-0005-0000-0000-0000C6160000}"/>
    <cellStyle name="Normal 4 7 7 2 2" xfId="15273" xr:uid="{DEAF2BBA-3E04-40F9-AEE5-BB9F64CA13E2}"/>
    <cellStyle name="Normal 4 7 7 3" xfId="11055" xr:uid="{53F86EC6-686B-4A62-A4B9-EB2B42CBC038}"/>
    <cellStyle name="Normal 4 7 8" xfId="4779" xr:uid="{00000000-0005-0000-0000-0000C7160000}"/>
    <cellStyle name="Normal 4 7 8 2" xfId="13208" xr:uid="{A5F2736C-A801-4316-AB22-0E284D629CC0}"/>
    <cellStyle name="Normal 4 7 9" xfId="8990" xr:uid="{78C67D20-ABF1-4C42-832F-A765A47FA2A4}"/>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2 2 2" xfId="15768" xr:uid="{538F4321-BC40-475F-A90C-BBF56C793560}"/>
    <cellStyle name="Normal 4 8 2 2 3" xfId="11550" xr:uid="{2254C4BD-3E8C-4846-B426-1C847BE684DF}"/>
    <cellStyle name="Normal 4 8 2 3" xfId="5194" xr:uid="{00000000-0005-0000-0000-0000CC160000}"/>
    <cellStyle name="Normal 4 8 2 3 2" xfId="13623" xr:uid="{1D49EFAF-7B18-450C-9AED-2A699C3BD00F}"/>
    <cellStyle name="Normal 4 8 2 4" xfId="9405" xr:uid="{6F5ED043-D297-41A3-8CE1-9B6E623E012A}"/>
    <cellStyle name="Normal 4 8 3" xfId="1298" xr:uid="{00000000-0005-0000-0000-0000CD160000}"/>
    <cellStyle name="Normal 4 8 3 2" xfId="3528" xr:uid="{00000000-0005-0000-0000-0000CE160000}"/>
    <cellStyle name="Normal 4 8 3 2 2" xfId="7752" xr:uid="{00000000-0005-0000-0000-0000CF160000}"/>
    <cellStyle name="Normal 4 8 3 2 2 2" xfId="16181" xr:uid="{B38507AA-4F64-42D6-9973-F88475B155FF}"/>
    <cellStyle name="Normal 4 8 3 2 3" xfId="11963" xr:uid="{46C52246-4088-407D-A5E4-A87B018AEF0F}"/>
    <cellStyle name="Normal 4 8 3 3" xfId="5607" xr:uid="{00000000-0005-0000-0000-0000D0160000}"/>
    <cellStyle name="Normal 4 8 3 3 2" xfId="14036" xr:uid="{ED114313-EEFD-4A6C-92BC-7CB632E3769A}"/>
    <cellStyle name="Normal 4 8 3 4" xfId="9818" xr:uid="{49E76C04-9E7E-4739-B8A9-0E9DD3F6E459}"/>
    <cellStyle name="Normal 4 8 4" xfId="1711" xr:uid="{00000000-0005-0000-0000-0000D1160000}"/>
    <cellStyle name="Normal 4 8 4 2" xfId="3941" xr:uid="{00000000-0005-0000-0000-0000D2160000}"/>
    <cellStyle name="Normal 4 8 4 2 2" xfId="8165" xr:uid="{00000000-0005-0000-0000-0000D3160000}"/>
    <cellStyle name="Normal 4 8 4 2 2 2" xfId="16594" xr:uid="{3F2242CC-F694-418D-AC5C-BA058634CF86}"/>
    <cellStyle name="Normal 4 8 4 2 3" xfId="12376" xr:uid="{102791AB-6870-4A1C-BB31-557E26BC21C2}"/>
    <cellStyle name="Normal 4 8 4 3" xfId="6020" xr:uid="{00000000-0005-0000-0000-0000D4160000}"/>
    <cellStyle name="Normal 4 8 4 3 2" xfId="14449" xr:uid="{F76A41E1-F19E-4299-B237-5FACAD02DD0B}"/>
    <cellStyle name="Normal 4 8 4 4" xfId="10231" xr:uid="{3DC3CFAB-F3C4-42DC-97C9-B1A0C238D6F3}"/>
    <cellStyle name="Normal 4 8 5" xfId="2125" xr:uid="{00000000-0005-0000-0000-0000D5160000}"/>
    <cellStyle name="Normal 4 8 5 2" xfId="4354" xr:uid="{00000000-0005-0000-0000-0000D6160000}"/>
    <cellStyle name="Normal 4 8 5 2 2" xfId="8578" xr:uid="{00000000-0005-0000-0000-0000D7160000}"/>
    <cellStyle name="Normal 4 8 5 2 2 2" xfId="17007" xr:uid="{A9616688-7C7B-48E3-B04B-45DB36BEFF29}"/>
    <cellStyle name="Normal 4 8 5 2 3" xfId="12789" xr:uid="{F1ECB828-64DD-4DFB-9DBA-F7A532483F8C}"/>
    <cellStyle name="Normal 4 8 5 3" xfId="6433" xr:uid="{00000000-0005-0000-0000-0000D8160000}"/>
    <cellStyle name="Normal 4 8 5 3 2" xfId="14862" xr:uid="{508834C6-9583-4642-8C9D-CD21FFDC577A}"/>
    <cellStyle name="Normal 4 8 5 4" xfId="10644" xr:uid="{400C3D7D-C66D-44CA-905E-5D3F953A57FE}"/>
    <cellStyle name="Normal 4 8 6" xfId="2561" xr:uid="{00000000-0005-0000-0000-0000D9160000}"/>
    <cellStyle name="Normal 4 8 6 2" xfId="6846" xr:uid="{00000000-0005-0000-0000-0000DA160000}"/>
    <cellStyle name="Normal 4 8 6 2 2" xfId="15275" xr:uid="{160718F9-3D8C-42FF-86B5-B97B55ABB834}"/>
    <cellStyle name="Normal 4 8 6 3" xfId="11057" xr:uid="{6D889A12-801C-497F-A18F-72E81458BF84}"/>
    <cellStyle name="Normal 4 8 7" xfId="4781" xr:uid="{00000000-0005-0000-0000-0000DB160000}"/>
    <cellStyle name="Normal 4 8 7 2" xfId="13210" xr:uid="{AA26BB47-76A9-4AC5-BAA8-121205A774C0}"/>
    <cellStyle name="Normal 4 8 8" xfId="8992" xr:uid="{3ABA91C9-6E24-4834-B39E-6892FBDA2ACF}"/>
    <cellStyle name="Normal 4 9" xfId="4718" xr:uid="{00000000-0005-0000-0000-0000DC160000}"/>
    <cellStyle name="Normal 4 9 2" xfId="13147" xr:uid="{1FD037B5-A54E-4C31-A89E-336737077318}"/>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2 2 2" xfId="16595" xr:uid="{B9644D1A-EFB2-46C5-8209-9146E138986A}"/>
    <cellStyle name="Normal 5 10 2 3" xfId="12377" xr:uid="{513F9104-A9D2-47D4-826A-EEFD5D142DC0}"/>
    <cellStyle name="Normal 5 10 3" xfId="6021" xr:uid="{00000000-0005-0000-0000-0000E1160000}"/>
    <cellStyle name="Normal 5 10 3 2" xfId="14450" xr:uid="{53B5918F-41CD-4B42-8D48-5081790503B6}"/>
    <cellStyle name="Normal 5 10 4" xfId="10232" xr:uid="{6BFB5D72-5B4B-49DA-A134-99E7CD2EEE1F}"/>
    <cellStyle name="Normal 5 11" xfId="2126" xr:uid="{00000000-0005-0000-0000-0000E2160000}"/>
    <cellStyle name="Normal 5 11 2" xfId="4355" xr:uid="{00000000-0005-0000-0000-0000E3160000}"/>
    <cellStyle name="Normal 5 11 2 2" xfId="8579" xr:uid="{00000000-0005-0000-0000-0000E4160000}"/>
    <cellStyle name="Normal 5 11 2 2 2" xfId="17008" xr:uid="{27EC5335-F93F-42B8-9468-8C4301E3FBD7}"/>
    <cellStyle name="Normal 5 11 2 3" xfId="12790" xr:uid="{90E89E6C-3BAC-4C45-9D6F-D2A10E7639F9}"/>
    <cellStyle name="Normal 5 11 3" xfId="6434" xr:uid="{00000000-0005-0000-0000-0000E5160000}"/>
    <cellStyle name="Normal 5 11 3 2" xfId="14863" xr:uid="{9AFEA475-44B4-49F5-BA9C-E4D87AAF3296}"/>
    <cellStyle name="Normal 5 11 4" xfId="10645" xr:uid="{7F61076E-E859-42B4-AD0A-2ECBD3A7D582}"/>
    <cellStyle name="Normal 5 12" xfId="2562" xr:uid="{00000000-0005-0000-0000-0000E6160000}"/>
    <cellStyle name="Normal 5 12 2" xfId="6847" xr:uid="{00000000-0005-0000-0000-0000E7160000}"/>
    <cellStyle name="Normal 5 12 2 2" xfId="15276" xr:uid="{0BD113E6-5934-47E1-B3F5-8DDE5DF7D4D3}"/>
    <cellStyle name="Normal 5 12 3" xfId="11058" xr:uid="{8338D798-2078-4A13-BADC-9C590CE50546}"/>
    <cellStyle name="Normal 5 13" xfId="4782" xr:uid="{00000000-0005-0000-0000-0000E8160000}"/>
    <cellStyle name="Normal 5 13 2" xfId="13211" xr:uid="{2B86C1B5-0050-49C1-8560-EB5B731C65B9}"/>
    <cellStyle name="Normal 5 14" xfId="8993" xr:uid="{A880A1F8-6D9C-4157-9AA8-A7002678D8DF}"/>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2 2 2" xfId="17009" xr:uid="{A2B07DD5-55FF-4D1E-A884-679B743F0AD6}"/>
    <cellStyle name="Normal 5 2 10 2 3" xfId="12791" xr:uid="{1FB314AD-F28E-43C0-B641-9C5707994C93}"/>
    <cellStyle name="Normal 5 2 10 3" xfId="6435" xr:uid="{00000000-0005-0000-0000-0000ED160000}"/>
    <cellStyle name="Normal 5 2 10 3 2" xfId="14864" xr:uid="{2985D24A-2B57-46CD-B4CC-0969BF79E2BF}"/>
    <cellStyle name="Normal 5 2 10 4" xfId="10646" xr:uid="{E702C207-222B-4F9A-A4A8-495B2E44CCC3}"/>
    <cellStyle name="Normal 5 2 11" xfId="2563" xr:uid="{00000000-0005-0000-0000-0000EE160000}"/>
    <cellStyle name="Normal 5 2 11 2" xfId="6848" xr:uid="{00000000-0005-0000-0000-0000EF160000}"/>
    <cellStyle name="Normal 5 2 11 2 2" xfId="15277" xr:uid="{85E3E2F2-40F3-4F93-A07E-349FCF8FC1C2}"/>
    <cellStyle name="Normal 5 2 11 3" xfId="11059" xr:uid="{705F5D6E-A552-41E1-AEE9-641A7D887851}"/>
    <cellStyle name="Normal 5 2 12" xfId="4783" xr:uid="{00000000-0005-0000-0000-0000F0160000}"/>
    <cellStyle name="Normal 5 2 12 2" xfId="13212" xr:uid="{4706BF8C-0FC1-4702-9C2A-A6AF9E3D0278}"/>
    <cellStyle name="Normal 5 2 13" xfId="8994" xr:uid="{821496F8-1D83-4562-8DF2-CC9A6FD02953}"/>
    <cellStyle name="Normal 5 2 2" xfId="408" xr:uid="{00000000-0005-0000-0000-0000F1160000}"/>
    <cellStyle name="Normal 5 2 2 10" xfId="2564" xr:uid="{00000000-0005-0000-0000-0000F2160000}"/>
    <cellStyle name="Normal 5 2 2 10 2" xfId="6849" xr:uid="{00000000-0005-0000-0000-0000F3160000}"/>
    <cellStyle name="Normal 5 2 2 10 2 2" xfId="15278" xr:uid="{051443E4-2E68-4040-98B9-90AAADD3DF1B}"/>
    <cellStyle name="Normal 5 2 2 10 3" xfId="11060" xr:uid="{E8F4778D-A851-4D82-9AE1-069AA1705E8F}"/>
    <cellStyle name="Normal 5 2 2 11" xfId="4784" xr:uid="{00000000-0005-0000-0000-0000F4160000}"/>
    <cellStyle name="Normal 5 2 2 11 2" xfId="13213" xr:uid="{7696D41C-9A71-4035-82F4-BA012D0392F8}"/>
    <cellStyle name="Normal 5 2 2 12" xfId="8995" xr:uid="{35BCF558-5279-42D4-8A78-3493551E8B12}"/>
    <cellStyle name="Normal 5 2 2 2" xfId="409" xr:uid="{00000000-0005-0000-0000-0000F5160000}"/>
    <cellStyle name="Normal 5 2 2 2 10" xfId="4785" xr:uid="{00000000-0005-0000-0000-0000F6160000}"/>
    <cellStyle name="Normal 5 2 2 2 10 2" xfId="13214" xr:uid="{A1278F3E-41C3-44A4-9F90-B03DCCF06673}"/>
    <cellStyle name="Normal 5 2 2 2 11" xfId="8996" xr:uid="{BD99384D-2020-48A5-9565-E0C174B37747}"/>
    <cellStyle name="Normal 5 2 2 2 2" xfId="410" xr:uid="{00000000-0005-0000-0000-0000F7160000}"/>
    <cellStyle name="Normal 5 2 2 2 2 10" xfId="8997" xr:uid="{570DACA4-D166-4528-BFED-16BA11C5259E}"/>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2 2 2" xfId="15775" xr:uid="{EC82CAE6-9959-428B-B44E-B19B5F4E43AA}"/>
    <cellStyle name="Normal 5 2 2 2 2 2 2 2 2 3" xfId="11557" xr:uid="{176C8239-4200-45D2-8C27-1EA1CB91D736}"/>
    <cellStyle name="Normal 5 2 2 2 2 2 2 2 3" xfId="5201" xr:uid="{00000000-0005-0000-0000-0000FD160000}"/>
    <cellStyle name="Normal 5 2 2 2 2 2 2 2 3 2" xfId="13630" xr:uid="{D0536901-405D-46BF-A5E1-F47A8A30EF1B}"/>
    <cellStyle name="Normal 5 2 2 2 2 2 2 2 4" xfId="9412" xr:uid="{B6541711-5B2B-4091-A6ED-CEDA444A980F}"/>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2 2 2" xfId="16188" xr:uid="{211F4644-DD8E-40BF-A0E7-392E63DE7C3C}"/>
    <cellStyle name="Normal 5 2 2 2 2 2 2 3 2 3" xfId="11970" xr:uid="{2AEDB8C4-92D4-4F7F-9F47-62F14A58C643}"/>
    <cellStyle name="Normal 5 2 2 2 2 2 2 3 3" xfId="5614" xr:uid="{00000000-0005-0000-0000-000001170000}"/>
    <cellStyle name="Normal 5 2 2 2 2 2 2 3 3 2" xfId="14043" xr:uid="{200C20C6-E48B-4263-80F5-AE69CDDD7862}"/>
    <cellStyle name="Normal 5 2 2 2 2 2 2 3 4" xfId="9825" xr:uid="{DDB1081A-7421-4347-A54C-09D31FCDFD63}"/>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2 2 2" xfId="16601" xr:uid="{807930A3-772E-4F5E-8627-4249C529CB04}"/>
    <cellStyle name="Normal 5 2 2 2 2 2 2 4 2 3" xfId="12383" xr:uid="{0EB9644F-3B7B-41C5-B74E-9E7ED85E034D}"/>
    <cellStyle name="Normal 5 2 2 2 2 2 2 4 3" xfId="6027" xr:uid="{00000000-0005-0000-0000-000005170000}"/>
    <cellStyle name="Normal 5 2 2 2 2 2 2 4 3 2" xfId="14456" xr:uid="{9D459EF7-3475-442F-AD19-D8E672DE6475}"/>
    <cellStyle name="Normal 5 2 2 2 2 2 2 4 4" xfId="10238" xr:uid="{F06389A5-C098-4205-8BFF-EE2995A49E27}"/>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2 2 2" xfId="17014" xr:uid="{E42F3A68-7C7A-4BFE-B15E-9173ACCEE72B}"/>
    <cellStyle name="Normal 5 2 2 2 2 2 2 5 2 3" xfId="12796" xr:uid="{D39E17F0-1427-4C9A-A73C-46C82902F38F}"/>
    <cellStyle name="Normal 5 2 2 2 2 2 2 5 3" xfId="6440" xr:uid="{00000000-0005-0000-0000-000009170000}"/>
    <cellStyle name="Normal 5 2 2 2 2 2 2 5 3 2" xfId="14869" xr:uid="{19728A07-DC56-4778-94FF-EBF20AFA710A}"/>
    <cellStyle name="Normal 5 2 2 2 2 2 2 5 4" xfId="10651" xr:uid="{770E5D0C-4406-48E5-83C6-5D6FCA5BA38E}"/>
    <cellStyle name="Normal 5 2 2 2 2 2 2 6" xfId="2568" xr:uid="{00000000-0005-0000-0000-00000A170000}"/>
    <cellStyle name="Normal 5 2 2 2 2 2 2 6 2" xfId="6853" xr:uid="{00000000-0005-0000-0000-00000B170000}"/>
    <cellStyle name="Normal 5 2 2 2 2 2 2 6 2 2" xfId="15282" xr:uid="{8990F076-FA91-4989-8578-6D331303716C}"/>
    <cellStyle name="Normal 5 2 2 2 2 2 2 6 3" xfId="11064" xr:uid="{CD541EDF-6038-4737-9679-74EE59F73141}"/>
    <cellStyle name="Normal 5 2 2 2 2 2 2 7" xfId="4788" xr:uid="{00000000-0005-0000-0000-00000C170000}"/>
    <cellStyle name="Normal 5 2 2 2 2 2 2 7 2" xfId="13217" xr:uid="{ACD2156E-9E77-4044-9973-EFF2AB428FB0}"/>
    <cellStyle name="Normal 5 2 2 2 2 2 2 8" xfId="8999" xr:uid="{FF0753E9-E88E-4123-BD73-E734CD2B7494}"/>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2 2 2" xfId="15774" xr:uid="{F0ACBEE3-3E22-4E7E-9512-BEA51F91F015}"/>
    <cellStyle name="Normal 5 2 2 2 2 2 3 2 3" xfId="11556" xr:uid="{13207172-EDEF-437E-9797-9840BD397271}"/>
    <cellStyle name="Normal 5 2 2 2 2 2 3 3" xfId="5200" xr:uid="{00000000-0005-0000-0000-000010170000}"/>
    <cellStyle name="Normal 5 2 2 2 2 2 3 3 2" xfId="13629" xr:uid="{B8B5E1AE-D735-4D46-A14A-08C298B153FE}"/>
    <cellStyle name="Normal 5 2 2 2 2 2 3 4" xfId="9411" xr:uid="{792C2823-EBB1-4892-88C8-57750B182FD8}"/>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2 2 2" xfId="16187" xr:uid="{33468032-6B59-4F6B-9F06-C78936DA7F0C}"/>
    <cellStyle name="Normal 5 2 2 2 2 2 4 2 3" xfId="11969" xr:uid="{2DD5A419-F06D-4DF2-9EE5-8F5B66EF0C38}"/>
    <cellStyle name="Normal 5 2 2 2 2 2 4 3" xfId="5613" xr:uid="{00000000-0005-0000-0000-000014170000}"/>
    <cellStyle name="Normal 5 2 2 2 2 2 4 3 2" xfId="14042" xr:uid="{EB2B54CE-DC41-4395-BFBC-B6B024EEF598}"/>
    <cellStyle name="Normal 5 2 2 2 2 2 4 4" xfId="9824" xr:uid="{82EA5EF5-DD90-4791-9208-9AD225DEAB1E}"/>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2 2 2" xfId="16600" xr:uid="{8F6ABFCF-6546-450A-AF6A-380D4204A2B8}"/>
    <cellStyle name="Normal 5 2 2 2 2 2 5 2 3" xfId="12382" xr:uid="{90A79867-DCB6-4563-BB72-328C450375D4}"/>
    <cellStyle name="Normal 5 2 2 2 2 2 5 3" xfId="6026" xr:uid="{00000000-0005-0000-0000-000018170000}"/>
    <cellStyle name="Normal 5 2 2 2 2 2 5 3 2" xfId="14455" xr:uid="{38161886-3329-4376-A463-AA2811D2AFFA}"/>
    <cellStyle name="Normal 5 2 2 2 2 2 5 4" xfId="10237" xr:uid="{A00B755A-4949-48FF-BEFA-7B79029DFDA8}"/>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2 2 2" xfId="17013" xr:uid="{AB6CC2D9-058F-465B-9B75-18AE1D57035A}"/>
    <cellStyle name="Normal 5 2 2 2 2 2 6 2 3" xfId="12795" xr:uid="{24211FB5-6572-41EE-A464-E7A3C8CE7BB1}"/>
    <cellStyle name="Normal 5 2 2 2 2 2 6 3" xfId="6439" xr:uid="{00000000-0005-0000-0000-00001C170000}"/>
    <cellStyle name="Normal 5 2 2 2 2 2 6 3 2" xfId="14868" xr:uid="{7E72FFB5-EA44-4812-9524-139F4B3A2060}"/>
    <cellStyle name="Normal 5 2 2 2 2 2 6 4" xfId="10650" xr:uid="{82886E12-2E96-44AA-A6CB-33339737B762}"/>
    <cellStyle name="Normal 5 2 2 2 2 2 7" xfId="2567" xr:uid="{00000000-0005-0000-0000-00001D170000}"/>
    <cellStyle name="Normal 5 2 2 2 2 2 7 2" xfId="6852" xr:uid="{00000000-0005-0000-0000-00001E170000}"/>
    <cellStyle name="Normal 5 2 2 2 2 2 7 2 2" xfId="15281" xr:uid="{55D06407-38E6-48AC-BC39-C9836F31263F}"/>
    <cellStyle name="Normal 5 2 2 2 2 2 7 3" xfId="11063" xr:uid="{53BE26BF-8807-408B-969E-E34FFF938481}"/>
    <cellStyle name="Normal 5 2 2 2 2 2 8" xfId="4787" xr:uid="{00000000-0005-0000-0000-00001F170000}"/>
    <cellStyle name="Normal 5 2 2 2 2 2 8 2" xfId="13216" xr:uid="{7BEEE69C-8E09-4537-B4F9-CB9392C0F656}"/>
    <cellStyle name="Normal 5 2 2 2 2 2 9" xfId="8998" xr:uid="{D638A643-DEAD-41E9-B643-CCD6A556698C}"/>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2 2 2" xfId="15776" xr:uid="{F9B38F16-5B1C-4035-9139-5A4A9F265FB5}"/>
    <cellStyle name="Normal 5 2 2 2 2 3 2 2 3" xfId="11558" xr:uid="{F5973DBD-B9C7-40E8-93BB-BD1A8992EBEC}"/>
    <cellStyle name="Normal 5 2 2 2 2 3 2 3" xfId="5202" xr:uid="{00000000-0005-0000-0000-000024170000}"/>
    <cellStyle name="Normal 5 2 2 2 2 3 2 3 2" xfId="13631" xr:uid="{C18DEDF6-15EA-442D-90FD-B803A8AB4242}"/>
    <cellStyle name="Normal 5 2 2 2 2 3 2 4" xfId="9413" xr:uid="{15E7320E-F7BF-4B5C-991F-E80225D1CA86}"/>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2 2 2" xfId="16189" xr:uid="{E83B5620-862F-4634-AD4F-0A1123A70414}"/>
    <cellStyle name="Normal 5 2 2 2 2 3 3 2 3" xfId="11971" xr:uid="{238A6FC4-DE6E-4558-9869-87962FBD973A}"/>
    <cellStyle name="Normal 5 2 2 2 2 3 3 3" xfId="5615" xr:uid="{00000000-0005-0000-0000-000028170000}"/>
    <cellStyle name="Normal 5 2 2 2 2 3 3 3 2" xfId="14044" xr:uid="{DF6E5CB5-1AD4-45C7-83F0-E3FEE80FDF95}"/>
    <cellStyle name="Normal 5 2 2 2 2 3 3 4" xfId="9826" xr:uid="{9F046B44-88B8-4BA0-A9B2-55DF5DBA68F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2 2 2" xfId="16602" xr:uid="{270BA99C-F80B-4AAE-BE71-1FFF925C5F29}"/>
    <cellStyle name="Normal 5 2 2 2 2 3 4 2 3" xfId="12384" xr:uid="{3EA64B80-DA05-403C-B095-49E961655349}"/>
    <cellStyle name="Normal 5 2 2 2 2 3 4 3" xfId="6028" xr:uid="{00000000-0005-0000-0000-00002C170000}"/>
    <cellStyle name="Normal 5 2 2 2 2 3 4 3 2" xfId="14457" xr:uid="{CF2D5823-3989-4360-9E51-98041A55CB21}"/>
    <cellStyle name="Normal 5 2 2 2 2 3 4 4" xfId="10239" xr:uid="{E9F6DA94-DD39-4EE5-91F3-F6FEAECEB4C8}"/>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2 2 2" xfId="17015" xr:uid="{C51A63FF-5F9F-41B2-98E9-AB95275559B1}"/>
    <cellStyle name="Normal 5 2 2 2 2 3 5 2 3" xfId="12797" xr:uid="{4B33C21A-D772-468C-9884-EC87FC48E37B}"/>
    <cellStyle name="Normal 5 2 2 2 2 3 5 3" xfId="6441" xr:uid="{00000000-0005-0000-0000-000030170000}"/>
    <cellStyle name="Normal 5 2 2 2 2 3 5 3 2" xfId="14870" xr:uid="{3AC8864F-59FF-423F-8275-8967F3EA15B1}"/>
    <cellStyle name="Normal 5 2 2 2 2 3 5 4" xfId="10652" xr:uid="{ED0EE683-1E17-4FE0-A843-5BD64310F27C}"/>
    <cellStyle name="Normal 5 2 2 2 2 3 6" xfId="2569" xr:uid="{00000000-0005-0000-0000-000031170000}"/>
    <cellStyle name="Normal 5 2 2 2 2 3 6 2" xfId="6854" xr:uid="{00000000-0005-0000-0000-000032170000}"/>
    <cellStyle name="Normal 5 2 2 2 2 3 6 2 2" xfId="15283" xr:uid="{B8BA3494-C997-4690-A377-C2E3A2E6DA7E}"/>
    <cellStyle name="Normal 5 2 2 2 2 3 6 3" xfId="11065" xr:uid="{B81F6EA8-2CE2-4F49-A2E9-562909105FD6}"/>
    <cellStyle name="Normal 5 2 2 2 2 3 7" xfId="4789" xr:uid="{00000000-0005-0000-0000-000033170000}"/>
    <cellStyle name="Normal 5 2 2 2 2 3 7 2" xfId="13218" xr:uid="{D3F47476-A3F3-459F-9E22-6929167AD9F0}"/>
    <cellStyle name="Normal 5 2 2 2 2 3 8" xfId="9000" xr:uid="{560901DE-247A-46F8-B681-12C83BBA7477}"/>
    <cellStyle name="Normal 5 2 2 2 2 4" xfId="885" xr:uid="{00000000-0005-0000-0000-000034170000}"/>
    <cellStyle name="Normal 5 2 2 2 2 4 2" xfId="3120" xr:uid="{00000000-0005-0000-0000-000035170000}"/>
    <cellStyle name="Normal 5 2 2 2 2 4 2 2" xfId="7344" xr:uid="{00000000-0005-0000-0000-000036170000}"/>
    <cellStyle name="Normal 5 2 2 2 2 4 2 2 2" xfId="15773" xr:uid="{22495507-543F-494C-BC4B-F9F3C9540D43}"/>
    <cellStyle name="Normal 5 2 2 2 2 4 2 3" xfId="11555" xr:uid="{9F3E206D-7501-4660-8E6F-0131E28EAE5F}"/>
    <cellStyle name="Normal 5 2 2 2 2 4 3" xfId="5199" xr:uid="{00000000-0005-0000-0000-000037170000}"/>
    <cellStyle name="Normal 5 2 2 2 2 4 3 2" xfId="13628" xr:uid="{0683479C-80ED-4B49-9E29-01CAA8DE8204}"/>
    <cellStyle name="Normal 5 2 2 2 2 4 4" xfId="9410" xr:uid="{0E4B332C-8DC1-4D2F-B5CE-A27D7FD92545}"/>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2 2 2" xfId="16186" xr:uid="{0A845CE6-348F-409A-B191-D3D9E7D9EE87}"/>
    <cellStyle name="Normal 5 2 2 2 2 5 2 3" xfId="11968" xr:uid="{72329B36-66EC-4051-AA00-1B01B108AFA0}"/>
    <cellStyle name="Normal 5 2 2 2 2 5 3" xfId="5612" xr:uid="{00000000-0005-0000-0000-00003B170000}"/>
    <cellStyle name="Normal 5 2 2 2 2 5 3 2" xfId="14041" xr:uid="{D59D6842-A9B9-4B8E-A94C-FFBB1B03F7F6}"/>
    <cellStyle name="Normal 5 2 2 2 2 5 4" xfId="9823" xr:uid="{BE53828A-1CA9-44B9-8BA1-2AD51EF5DC1E}"/>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2 2 2" xfId="16599" xr:uid="{37745F84-E18B-472D-9A3A-7102EBAB8E65}"/>
    <cellStyle name="Normal 5 2 2 2 2 6 2 3" xfId="12381" xr:uid="{B0F3499B-0E1E-4F39-A0EA-1551ED0DA8D5}"/>
    <cellStyle name="Normal 5 2 2 2 2 6 3" xfId="6025" xr:uid="{00000000-0005-0000-0000-00003F170000}"/>
    <cellStyle name="Normal 5 2 2 2 2 6 3 2" xfId="14454" xr:uid="{6D022262-5C20-4268-A3C2-9B0A7D0A9344}"/>
    <cellStyle name="Normal 5 2 2 2 2 6 4" xfId="10236" xr:uid="{5EDD58F5-179C-469C-B81C-A6EE686816F6}"/>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2 2 2" xfId="17012" xr:uid="{5AF4418B-436F-4AF0-8CB8-ADD7CFC77847}"/>
    <cellStyle name="Normal 5 2 2 2 2 7 2 3" xfId="12794" xr:uid="{82704D0C-E9DC-443B-89FA-DEAA787D17DA}"/>
    <cellStyle name="Normal 5 2 2 2 2 7 3" xfId="6438" xr:uid="{00000000-0005-0000-0000-000043170000}"/>
    <cellStyle name="Normal 5 2 2 2 2 7 3 2" xfId="14867" xr:uid="{64BD1658-7E49-40A9-B823-449CC9EC5424}"/>
    <cellStyle name="Normal 5 2 2 2 2 7 4" xfId="10649" xr:uid="{4F3CF5E7-B811-48D3-A091-5AAF54AFF15E}"/>
    <cellStyle name="Normal 5 2 2 2 2 8" xfId="2566" xr:uid="{00000000-0005-0000-0000-000044170000}"/>
    <cellStyle name="Normal 5 2 2 2 2 8 2" xfId="6851" xr:uid="{00000000-0005-0000-0000-000045170000}"/>
    <cellStyle name="Normal 5 2 2 2 2 8 2 2" xfId="15280" xr:uid="{61BE5E29-9511-4458-B2FA-96CD1AD44100}"/>
    <cellStyle name="Normal 5 2 2 2 2 8 3" xfId="11062" xr:uid="{527B3A00-CF8F-4ACE-8DEE-5D650A12B264}"/>
    <cellStyle name="Normal 5 2 2 2 2 9" xfId="4786" xr:uid="{00000000-0005-0000-0000-000046170000}"/>
    <cellStyle name="Normal 5 2 2 2 2 9 2" xfId="13215" xr:uid="{EFE8FDF5-D1B9-49C0-BD02-87FE081C2BB5}"/>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2 2 2" xfId="15778" xr:uid="{737B4B24-9C66-49C7-9FF0-ACE2C9449A9F}"/>
    <cellStyle name="Normal 5 2 2 2 3 2 2 2 3" xfId="11560" xr:uid="{3A89B90B-511C-442B-AA84-DD786DA177B6}"/>
    <cellStyle name="Normal 5 2 2 2 3 2 2 3" xfId="5204" xr:uid="{00000000-0005-0000-0000-00004C170000}"/>
    <cellStyle name="Normal 5 2 2 2 3 2 2 3 2" xfId="13633" xr:uid="{73872500-9309-4C66-B379-697FDC75353B}"/>
    <cellStyle name="Normal 5 2 2 2 3 2 2 4" xfId="9415" xr:uid="{EC107F3B-E1F3-4FAF-913C-62B9CFF01CA5}"/>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2 2 2" xfId="16191" xr:uid="{66D5C514-8991-4545-8E8E-45E6742AA817}"/>
    <cellStyle name="Normal 5 2 2 2 3 2 3 2 3" xfId="11973" xr:uid="{99840D69-F66F-4FCF-9D72-7D8F805A8533}"/>
    <cellStyle name="Normal 5 2 2 2 3 2 3 3" xfId="5617" xr:uid="{00000000-0005-0000-0000-000050170000}"/>
    <cellStyle name="Normal 5 2 2 2 3 2 3 3 2" xfId="14046" xr:uid="{20D5DBC8-2828-439D-BBAB-337E53788D60}"/>
    <cellStyle name="Normal 5 2 2 2 3 2 3 4" xfId="9828" xr:uid="{09E7FFBC-51D8-4EAF-8BD1-85EDD3FA7AB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2 2 2" xfId="16604" xr:uid="{249F80DD-1C05-44EF-97A8-5AEB04589ECE}"/>
    <cellStyle name="Normal 5 2 2 2 3 2 4 2 3" xfId="12386" xr:uid="{ABCF2566-8A08-4D31-B1A4-F41FC80651F8}"/>
    <cellStyle name="Normal 5 2 2 2 3 2 4 3" xfId="6030" xr:uid="{00000000-0005-0000-0000-000054170000}"/>
    <cellStyle name="Normal 5 2 2 2 3 2 4 3 2" xfId="14459" xr:uid="{7C6C9D39-BD7E-410D-B908-D7A330F098D5}"/>
    <cellStyle name="Normal 5 2 2 2 3 2 4 4" xfId="10241" xr:uid="{6955E3DB-3496-4F35-BCC3-C8A5644AE6DF}"/>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2 2 2" xfId="17017" xr:uid="{3CD91280-810F-4FC4-B242-5668ECD3773C}"/>
    <cellStyle name="Normal 5 2 2 2 3 2 5 2 3" xfId="12799" xr:uid="{30058B7F-4F51-4F0F-BB72-2515B039998B}"/>
    <cellStyle name="Normal 5 2 2 2 3 2 5 3" xfId="6443" xr:uid="{00000000-0005-0000-0000-000058170000}"/>
    <cellStyle name="Normal 5 2 2 2 3 2 5 3 2" xfId="14872" xr:uid="{12F0AFF5-5633-4F4A-BEF1-FF438AC4977F}"/>
    <cellStyle name="Normal 5 2 2 2 3 2 5 4" xfId="10654" xr:uid="{F6B886EE-8856-487C-999A-F4B8C68122E7}"/>
    <cellStyle name="Normal 5 2 2 2 3 2 6" xfId="2571" xr:uid="{00000000-0005-0000-0000-000059170000}"/>
    <cellStyle name="Normal 5 2 2 2 3 2 6 2" xfId="6856" xr:uid="{00000000-0005-0000-0000-00005A170000}"/>
    <cellStyle name="Normal 5 2 2 2 3 2 6 2 2" xfId="15285" xr:uid="{49C485A0-7C9D-4F65-AB6D-511CB7AE10F2}"/>
    <cellStyle name="Normal 5 2 2 2 3 2 6 3" xfId="11067" xr:uid="{7986D573-BA50-4F47-AB3D-09D6CE0B05C4}"/>
    <cellStyle name="Normal 5 2 2 2 3 2 7" xfId="4791" xr:uid="{00000000-0005-0000-0000-00005B170000}"/>
    <cellStyle name="Normal 5 2 2 2 3 2 7 2" xfId="13220" xr:uid="{24CC729E-9961-4133-A4FF-383B2E3DA972}"/>
    <cellStyle name="Normal 5 2 2 2 3 2 8" xfId="9002" xr:uid="{2D724F64-B5AF-4B48-A10B-0693054AE168}"/>
    <cellStyle name="Normal 5 2 2 2 3 3" xfId="889" xr:uid="{00000000-0005-0000-0000-00005C170000}"/>
    <cellStyle name="Normal 5 2 2 2 3 3 2" xfId="3124" xr:uid="{00000000-0005-0000-0000-00005D170000}"/>
    <cellStyle name="Normal 5 2 2 2 3 3 2 2" xfId="7348" xr:uid="{00000000-0005-0000-0000-00005E170000}"/>
    <cellStyle name="Normal 5 2 2 2 3 3 2 2 2" xfId="15777" xr:uid="{CA221406-DA72-4839-98D5-F026F9F0C3A2}"/>
    <cellStyle name="Normal 5 2 2 2 3 3 2 3" xfId="11559" xr:uid="{0936DE7F-0FD3-4669-AD60-028F41A9B139}"/>
    <cellStyle name="Normal 5 2 2 2 3 3 3" xfId="5203" xr:uid="{00000000-0005-0000-0000-00005F170000}"/>
    <cellStyle name="Normal 5 2 2 2 3 3 3 2" xfId="13632" xr:uid="{E631DE9B-E734-4AA4-B909-8FBEB85B4AE3}"/>
    <cellStyle name="Normal 5 2 2 2 3 3 4" xfId="9414" xr:uid="{8E517729-057F-47F6-B8EB-4C264886EBCD}"/>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2 2 2" xfId="16190" xr:uid="{CA70FD25-B8A1-4B0C-B4E8-C314DDE49BD2}"/>
    <cellStyle name="Normal 5 2 2 2 3 4 2 3" xfId="11972" xr:uid="{BAC3CC3B-69C7-4878-AE89-FE52082F3954}"/>
    <cellStyle name="Normal 5 2 2 2 3 4 3" xfId="5616" xr:uid="{00000000-0005-0000-0000-000063170000}"/>
    <cellStyle name="Normal 5 2 2 2 3 4 3 2" xfId="14045" xr:uid="{6ADBE71E-EC08-4919-91BF-68F0BB5EAA24}"/>
    <cellStyle name="Normal 5 2 2 2 3 4 4" xfId="9827" xr:uid="{067AEDBE-CD3C-4D1D-949C-FD0085B0C834}"/>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2 2 2" xfId="16603" xr:uid="{6E27F137-F07B-475C-9079-F65EA5F99C97}"/>
    <cellStyle name="Normal 5 2 2 2 3 5 2 3" xfId="12385" xr:uid="{C56C04EC-54B7-4C2C-AD7A-E274FCB47B38}"/>
    <cellStyle name="Normal 5 2 2 2 3 5 3" xfId="6029" xr:uid="{00000000-0005-0000-0000-000067170000}"/>
    <cellStyle name="Normal 5 2 2 2 3 5 3 2" xfId="14458" xr:uid="{4181E0A8-979F-4B43-8495-A0F195F43DF2}"/>
    <cellStyle name="Normal 5 2 2 2 3 5 4" xfId="10240" xr:uid="{BED63D30-3FC8-4D17-8C1D-FBF771A5F29A}"/>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2 2 2" xfId="17016" xr:uid="{D873DBB3-292C-4D0C-B082-28E20A86DBD6}"/>
    <cellStyle name="Normal 5 2 2 2 3 6 2 3" xfId="12798" xr:uid="{0CE06C2A-A4DE-4D8F-A656-4120C1B75CC3}"/>
    <cellStyle name="Normal 5 2 2 2 3 6 3" xfId="6442" xr:uid="{00000000-0005-0000-0000-00006B170000}"/>
    <cellStyle name="Normal 5 2 2 2 3 6 3 2" xfId="14871" xr:uid="{DAE5C1AF-6A73-45E3-A489-B8EC86557E3A}"/>
    <cellStyle name="Normal 5 2 2 2 3 6 4" xfId="10653" xr:uid="{1B922708-06B7-4B40-B93A-82B1201B8E2F}"/>
    <cellStyle name="Normal 5 2 2 2 3 7" xfId="2570" xr:uid="{00000000-0005-0000-0000-00006C170000}"/>
    <cellStyle name="Normal 5 2 2 2 3 7 2" xfId="6855" xr:uid="{00000000-0005-0000-0000-00006D170000}"/>
    <cellStyle name="Normal 5 2 2 2 3 7 2 2" xfId="15284" xr:uid="{F0D231D3-460E-4015-A838-F574912F7AAC}"/>
    <cellStyle name="Normal 5 2 2 2 3 7 3" xfId="11066" xr:uid="{19DFD9C9-2713-48C2-B85F-C3E1D8D6115F}"/>
    <cellStyle name="Normal 5 2 2 2 3 8" xfId="4790" xr:uid="{00000000-0005-0000-0000-00006E170000}"/>
    <cellStyle name="Normal 5 2 2 2 3 8 2" xfId="13219" xr:uid="{32BC838F-3E41-413B-835A-CDE50397254B}"/>
    <cellStyle name="Normal 5 2 2 2 3 9" xfId="9001" xr:uid="{177AD36E-0712-4FFF-9DCA-FB58C2B10BA5}"/>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2 2 2" xfId="15779" xr:uid="{C39B4FBC-5762-4E5D-906B-D6FDFC2AD62E}"/>
    <cellStyle name="Normal 5 2 2 2 4 2 2 3" xfId="11561" xr:uid="{E0886CF7-AE5D-428F-A78F-5922D77E7674}"/>
    <cellStyle name="Normal 5 2 2 2 4 2 3" xfId="5205" xr:uid="{00000000-0005-0000-0000-000073170000}"/>
    <cellStyle name="Normal 5 2 2 2 4 2 3 2" xfId="13634" xr:uid="{45B3FD4C-D01A-4435-A20D-DA840C05E269}"/>
    <cellStyle name="Normal 5 2 2 2 4 2 4" xfId="9416" xr:uid="{8E04F2EF-B033-465F-BAE5-4F0A93FFF713}"/>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2 2 2" xfId="16192" xr:uid="{901125A2-BC17-4229-A3CF-76273334F952}"/>
    <cellStyle name="Normal 5 2 2 2 4 3 2 3" xfId="11974" xr:uid="{787859E6-23A3-44E2-AA63-29D3E308E998}"/>
    <cellStyle name="Normal 5 2 2 2 4 3 3" xfId="5618" xr:uid="{00000000-0005-0000-0000-000077170000}"/>
    <cellStyle name="Normal 5 2 2 2 4 3 3 2" xfId="14047" xr:uid="{FD400CB9-196B-4C3A-ACA2-60D56B143E6E}"/>
    <cellStyle name="Normal 5 2 2 2 4 3 4" xfId="9829" xr:uid="{F4FDBA6E-E6D9-43CD-9887-B36336FEE0AC}"/>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2 2 2" xfId="16605" xr:uid="{A7EDF474-87E9-4430-A529-7C3B9A340DC9}"/>
    <cellStyle name="Normal 5 2 2 2 4 4 2 3" xfId="12387" xr:uid="{7F60F1F9-20CD-4C78-8C74-8743A07D0D88}"/>
    <cellStyle name="Normal 5 2 2 2 4 4 3" xfId="6031" xr:uid="{00000000-0005-0000-0000-00007B170000}"/>
    <cellStyle name="Normal 5 2 2 2 4 4 3 2" xfId="14460" xr:uid="{222129EB-4939-4C29-AFEE-08E2F90D3A69}"/>
    <cellStyle name="Normal 5 2 2 2 4 4 4" xfId="10242" xr:uid="{AEFA90F1-6733-47F0-B7A3-33399DA1867B}"/>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2 2 2" xfId="17018" xr:uid="{ED36B88A-CCC3-4F86-AFE0-0310FBB5A462}"/>
    <cellStyle name="Normal 5 2 2 2 4 5 2 3" xfId="12800" xr:uid="{43AB32F9-1729-4F19-ACAA-FF3048A4AC2E}"/>
    <cellStyle name="Normal 5 2 2 2 4 5 3" xfId="6444" xr:uid="{00000000-0005-0000-0000-00007F170000}"/>
    <cellStyle name="Normal 5 2 2 2 4 5 3 2" xfId="14873" xr:uid="{84C2F7DD-364C-4209-9E06-B36FB10EDBC7}"/>
    <cellStyle name="Normal 5 2 2 2 4 5 4" xfId="10655" xr:uid="{B9393602-97DC-4F75-B3AF-C25D821F2CCB}"/>
    <cellStyle name="Normal 5 2 2 2 4 6" xfId="2572" xr:uid="{00000000-0005-0000-0000-000080170000}"/>
    <cellStyle name="Normal 5 2 2 2 4 6 2" xfId="6857" xr:uid="{00000000-0005-0000-0000-000081170000}"/>
    <cellStyle name="Normal 5 2 2 2 4 6 2 2" xfId="15286" xr:uid="{8904E979-2136-41D7-8714-3F7F3743B695}"/>
    <cellStyle name="Normal 5 2 2 2 4 6 3" xfId="11068" xr:uid="{FA3B694A-4888-4BFE-B76A-7C9355F378C7}"/>
    <cellStyle name="Normal 5 2 2 2 4 7" xfId="4792" xr:uid="{00000000-0005-0000-0000-000082170000}"/>
    <cellStyle name="Normal 5 2 2 2 4 7 2" xfId="13221" xr:uid="{6097AFC4-68FA-4567-ACE0-4166C749D38A}"/>
    <cellStyle name="Normal 5 2 2 2 4 8" xfId="9003" xr:uid="{AF7E6033-C725-4836-B965-2D51699F2FB9}"/>
    <cellStyle name="Normal 5 2 2 2 5" xfId="884" xr:uid="{00000000-0005-0000-0000-000083170000}"/>
    <cellStyle name="Normal 5 2 2 2 5 2" xfId="3119" xr:uid="{00000000-0005-0000-0000-000084170000}"/>
    <cellStyle name="Normal 5 2 2 2 5 2 2" xfId="7343" xr:uid="{00000000-0005-0000-0000-000085170000}"/>
    <cellStyle name="Normal 5 2 2 2 5 2 2 2" xfId="15772" xr:uid="{6262EFCB-0E3C-4628-9471-C55CBB7283BA}"/>
    <cellStyle name="Normal 5 2 2 2 5 2 3" xfId="11554" xr:uid="{33F28C68-9DBE-4925-BEEB-83563D3B1294}"/>
    <cellStyle name="Normal 5 2 2 2 5 3" xfId="5198" xr:uid="{00000000-0005-0000-0000-000086170000}"/>
    <cellStyle name="Normal 5 2 2 2 5 3 2" xfId="13627" xr:uid="{3F5D51CE-6603-4D5B-9381-159797AC88F1}"/>
    <cellStyle name="Normal 5 2 2 2 5 4" xfId="9409" xr:uid="{D29894C2-7B89-4BE6-8259-A7A92F6E0723}"/>
    <cellStyle name="Normal 5 2 2 2 6" xfId="1302" xr:uid="{00000000-0005-0000-0000-000087170000}"/>
    <cellStyle name="Normal 5 2 2 2 6 2" xfId="3532" xr:uid="{00000000-0005-0000-0000-000088170000}"/>
    <cellStyle name="Normal 5 2 2 2 6 2 2" xfId="7756" xr:uid="{00000000-0005-0000-0000-000089170000}"/>
    <cellStyle name="Normal 5 2 2 2 6 2 2 2" xfId="16185" xr:uid="{25D76346-2359-453D-B950-4E4F59EB0823}"/>
    <cellStyle name="Normal 5 2 2 2 6 2 3" xfId="11967" xr:uid="{59B70E20-9E6E-4840-B5BD-723F4307B3DC}"/>
    <cellStyle name="Normal 5 2 2 2 6 3" xfId="5611" xr:uid="{00000000-0005-0000-0000-00008A170000}"/>
    <cellStyle name="Normal 5 2 2 2 6 3 2" xfId="14040" xr:uid="{02B9EBFE-0B97-4DB8-A3F3-FE4E1DF49FEA}"/>
    <cellStyle name="Normal 5 2 2 2 6 4" xfId="9822" xr:uid="{AFC5518B-FCE7-4520-9307-0210637C0013}"/>
    <cellStyle name="Normal 5 2 2 2 7" xfId="1715" xr:uid="{00000000-0005-0000-0000-00008B170000}"/>
    <cellStyle name="Normal 5 2 2 2 7 2" xfId="3945" xr:uid="{00000000-0005-0000-0000-00008C170000}"/>
    <cellStyle name="Normal 5 2 2 2 7 2 2" xfId="8169" xr:uid="{00000000-0005-0000-0000-00008D170000}"/>
    <cellStyle name="Normal 5 2 2 2 7 2 2 2" xfId="16598" xr:uid="{244A88F0-15F6-4B7C-830A-B286229E3A24}"/>
    <cellStyle name="Normal 5 2 2 2 7 2 3" xfId="12380" xr:uid="{A928181B-A787-438E-B9AF-309C7CFDFA8E}"/>
    <cellStyle name="Normal 5 2 2 2 7 3" xfId="6024" xr:uid="{00000000-0005-0000-0000-00008E170000}"/>
    <cellStyle name="Normal 5 2 2 2 7 3 2" xfId="14453" xr:uid="{827BDEE4-6F23-4C91-9FF3-1E85B117EFF7}"/>
    <cellStyle name="Normal 5 2 2 2 7 4" xfId="10235" xr:uid="{0D5E3E54-245C-4756-AD09-1ACFBC7BB926}"/>
    <cellStyle name="Normal 5 2 2 2 8" xfId="2129" xr:uid="{00000000-0005-0000-0000-00008F170000}"/>
    <cellStyle name="Normal 5 2 2 2 8 2" xfId="4358" xr:uid="{00000000-0005-0000-0000-000090170000}"/>
    <cellStyle name="Normal 5 2 2 2 8 2 2" xfId="8582" xr:uid="{00000000-0005-0000-0000-000091170000}"/>
    <cellStyle name="Normal 5 2 2 2 8 2 2 2" xfId="17011" xr:uid="{839CAACE-782B-44E9-A39A-AC27A25027FB}"/>
    <cellStyle name="Normal 5 2 2 2 8 2 3" xfId="12793" xr:uid="{8690CDCB-A742-48A7-810F-9B3090215A86}"/>
    <cellStyle name="Normal 5 2 2 2 8 3" xfId="6437" xr:uid="{00000000-0005-0000-0000-000092170000}"/>
    <cellStyle name="Normal 5 2 2 2 8 3 2" xfId="14866" xr:uid="{C76B42DE-2C12-4696-B12B-165FBFED9B59}"/>
    <cellStyle name="Normal 5 2 2 2 8 4" xfId="10648" xr:uid="{1B012691-444B-4340-8974-306710F5009D}"/>
    <cellStyle name="Normal 5 2 2 2 9" xfId="2565" xr:uid="{00000000-0005-0000-0000-000093170000}"/>
    <cellStyle name="Normal 5 2 2 2 9 2" xfId="6850" xr:uid="{00000000-0005-0000-0000-000094170000}"/>
    <cellStyle name="Normal 5 2 2 2 9 2 2" xfId="15279" xr:uid="{74FCEA72-D819-4FB5-BF27-BE57E5FE4CB9}"/>
    <cellStyle name="Normal 5 2 2 2 9 3" xfId="11061" xr:uid="{DE087747-199D-41C6-8A74-BBBCB78C2D9B}"/>
    <cellStyle name="Normal 5 2 2 3" xfId="417" xr:uid="{00000000-0005-0000-0000-000095170000}"/>
    <cellStyle name="Normal 5 2 2 3 10" xfId="9004" xr:uid="{BC83F0BD-757C-4940-BB61-E7EA138CE42D}"/>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2 2 2" xfId="15782" xr:uid="{6E975E33-E8C3-48ED-9B82-23237B0DACBF}"/>
    <cellStyle name="Normal 5 2 2 3 2 2 2 2 3" xfId="11564" xr:uid="{285026FC-05A1-41F6-A102-7112A98AC514}"/>
    <cellStyle name="Normal 5 2 2 3 2 2 2 3" xfId="5208" xr:uid="{00000000-0005-0000-0000-00009B170000}"/>
    <cellStyle name="Normal 5 2 2 3 2 2 2 3 2" xfId="13637" xr:uid="{BB9BA0E2-3ED9-4DC1-81AF-7AEB46B6E7EB}"/>
    <cellStyle name="Normal 5 2 2 3 2 2 2 4" xfId="9419" xr:uid="{3BB0942E-95B6-4717-BB3B-A84942F79139}"/>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2 2 2" xfId="16195" xr:uid="{7C983173-F8B7-4E67-B085-9F7B1983D574}"/>
    <cellStyle name="Normal 5 2 2 3 2 2 3 2 3" xfId="11977" xr:uid="{23A2D67B-822C-45A7-8410-5DC86C7C3EB5}"/>
    <cellStyle name="Normal 5 2 2 3 2 2 3 3" xfId="5621" xr:uid="{00000000-0005-0000-0000-00009F170000}"/>
    <cellStyle name="Normal 5 2 2 3 2 2 3 3 2" xfId="14050" xr:uid="{418624B7-180A-4242-9365-7021FFA26B9F}"/>
    <cellStyle name="Normal 5 2 2 3 2 2 3 4" xfId="9832" xr:uid="{E0E120AB-41ED-4A50-9C4C-D25A038FFAC3}"/>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2 2 2" xfId="16608" xr:uid="{882161AA-8EE9-434C-B39F-0DF2779EDB10}"/>
    <cellStyle name="Normal 5 2 2 3 2 2 4 2 3" xfId="12390" xr:uid="{BF2067FC-CF5E-4800-9203-B091447467E0}"/>
    <cellStyle name="Normal 5 2 2 3 2 2 4 3" xfId="6034" xr:uid="{00000000-0005-0000-0000-0000A3170000}"/>
    <cellStyle name="Normal 5 2 2 3 2 2 4 3 2" xfId="14463" xr:uid="{7D36C0D3-5877-43F7-8ABB-D1BD38401885}"/>
    <cellStyle name="Normal 5 2 2 3 2 2 4 4" xfId="10245" xr:uid="{25E1E286-D70F-47C9-BF4B-2271CB5132FF}"/>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2 2 2" xfId="17021" xr:uid="{E201AB9B-459D-4E9E-9DC0-206A778C318E}"/>
    <cellStyle name="Normal 5 2 2 3 2 2 5 2 3" xfId="12803" xr:uid="{F0DE3A13-373A-4EDF-8DB9-2949C59A2EB4}"/>
    <cellStyle name="Normal 5 2 2 3 2 2 5 3" xfId="6447" xr:uid="{00000000-0005-0000-0000-0000A7170000}"/>
    <cellStyle name="Normal 5 2 2 3 2 2 5 3 2" xfId="14876" xr:uid="{F76E7DE0-4144-4240-A22C-66DC6EFDF056}"/>
    <cellStyle name="Normal 5 2 2 3 2 2 5 4" xfId="10658" xr:uid="{EB0252AD-E071-4784-AABB-A217103D3E97}"/>
    <cellStyle name="Normal 5 2 2 3 2 2 6" xfId="2575" xr:uid="{00000000-0005-0000-0000-0000A8170000}"/>
    <cellStyle name="Normal 5 2 2 3 2 2 6 2" xfId="6860" xr:uid="{00000000-0005-0000-0000-0000A9170000}"/>
    <cellStyle name="Normal 5 2 2 3 2 2 6 2 2" xfId="15289" xr:uid="{45C008F8-99F7-4B21-9132-079D137E2273}"/>
    <cellStyle name="Normal 5 2 2 3 2 2 6 3" xfId="11071" xr:uid="{3B5B750D-25F5-4571-9C30-A68C29FA7183}"/>
    <cellStyle name="Normal 5 2 2 3 2 2 7" xfId="4795" xr:uid="{00000000-0005-0000-0000-0000AA170000}"/>
    <cellStyle name="Normal 5 2 2 3 2 2 7 2" xfId="13224" xr:uid="{95A8E2F2-CC60-4950-80EE-7399AE6BD847}"/>
    <cellStyle name="Normal 5 2 2 3 2 2 8" xfId="9006" xr:uid="{8DBDFA50-0D47-4A68-9CF8-946D0A122161}"/>
    <cellStyle name="Normal 5 2 2 3 2 3" xfId="893" xr:uid="{00000000-0005-0000-0000-0000AB170000}"/>
    <cellStyle name="Normal 5 2 2 3 2 3 2" xfId="3128" xr:uid="{00000000-0005-0000-0000-0000AC170000}"/>
    <cellStyle name="Normal 5 2 2 3 2 3 2 2" xfId="7352" xr:uid="{00000000-0005-0000-0000-0000AD170000}"/>
    <cellStyle name="Normal 5 2 2 3 2 3 2 2 2" xfId="15781" xr:uid="{E0086B4F-56E1-4B0D-AB36-DBD9C92C9F5F}"/>
    <cellStyle name="Normal 5 2 2 3 2 3 2 3" xfId="11563" xr:uid="{193CA9F7-F789-4138-BE2A-B9DD7701A880}"/>
    <cellStyle name="Normal 5 2 2 3 2 3 3" xfId="5207" xr:uid="{00000000-0005-0000-0000-0000AE170000}"/>
    <cellStyle name="Normal 5 2 2 3 2 3 3 2" xfId="13636" xr:uid="{DA3762FD-5296-4853-8E41-416B6689500D}"/>
    <cellStyle name="Normal 5 2 2 3 2 3 4" xfId="9418" xr:uid="{2E33677B-4844-4191-9265-3CB08E2A7616}"/>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2 2 2" xfId="16194" xr:uid="{85E595F4-B35D-4F6A-BA6E-8272ED10100D}"/>
    <cellStyle name="Normal 5 2 2 3 2 4 2 3" xfId="11976" xr:uid="{B50A908D-4163-4E75-89AB-9ABC26AFB0AE}"/>
    <cellStyle name="Normal 5 2 2 3 2 4 3" xfId="5620" xr:uid="{00000000-0005-0000-0000-0000B2170000}"/>
    <cellStyle name="Normal 5 2 2 3 2 4 3 2" xfId="14049" xr:uid="{4D6764E7-69F7-4926-B07C-F840C369A930}"/>
    <cellStyle name="Normal 5 2 2 3 2 4 4" xfId="9831" xr:uid="{222D3CC3-82F2-4271-8E23-71F7FB72A11E}"/>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2 2 2" xfId="16607" xr:uid="{1957A8DD-CF5F-459F-842B-AB06935BFA3F}"/>
    <cellStyle name="Normal 5 2 2 3 2 5 2 3" xfId="12389" xr:uid="{8C4B4BA5-10D7-42BA-8094-3CD47BBF1FD1}"/>
    <cellStyle name="Normal 5 2 2 3 2 5 3" xfId="6033" xr:uid="{00000000-0005-0000-0000-0000B6170000}"/>
    <cellStyle name="Normal 5 2 2 3 2 5 3 2" xfId="14462" xr:uid="{C3BF74C0-98BF-4704-845A-671D07DCAC1B}"/>
    <cellStyle name="Normal 5 2 2 3 2 5 4" xfId="10244" xr:uid="{B975AA9E-3CB3-44E6-80A3-E65B3EE8F3CD}"/>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2 2 2" xfId="17020" xr:uid="{77EA7079-E172-4C18-9515-736DEAAA034A}"/>
    <cellStyle name="Normal 5 2 2 3 2 6 2 3" xfId="12802" xr:uid="{34DDDD84-71F3-4975-8BF4-28A456981DC1}"/>
    <cellStyle name="Normal 5 2 2 3 2 6 3" xfId="6446" xr:uid="{00000000-0005-0000-0000-0000BA170000}"/>
    <cellStyle name="Normal 5 2 2 3 2 6 3 2" xfId="14875" xr:uid="{DE81C021-E9E9-492D-B25A-1E512D191FC5}"/>
    <cellStyle name="Normal 5 2 2 3 2 6 4" xfId="10657" xr:uid="{1A9ECEC7-B4EE-434B-BB08-CB3086192B2F}"/>
    <cellStyle name="Normal 5 2 2 3 2 7" xfId="2574" xr:uid="{00000000-0005-0000-0000-0000BB170000}"/>
    <cellStyle name="Normal 5 2 2 3 2 7 2" xfId="6859" xr:uid="{00000000-0005-0000-0000-0000BC170000}"/>
    <cellStyle name="Normal 5 2 2 3 2 7 2 2" xfId="15288" xr:uid="{399015EE-3ECC-4C33-BB73-06735A0A6DF9}"/>
    <cellStyle name="Normal 5 2 2 3 2 7 3" xfId="11070" xr:uid="{B5C72779-6275-4CFC-9E65-C5B40190234F}"/>
    <cellStyle name="Normal 5 2 2 3 2 8" xfId="4794" xr:uid="{00000000-0005-0000-0000-0000BD170000}"/>
    <cellStyle name="Normal 5 2 2 3 2 8 2" xfId="13223" xr:uid="{2800F203-387E-49FA-ABAB-5BB4675B27EF}"/>
    <cellStyle name="Normal 5 2 2 3 2 9" xfId="9005" xr:uid="{A4E3D17C-8A68-48FF-9988-83544055646C}"/>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2 2 2" xfId="15783" xr:uid="{4C287922-D1E4-44E9-A16B-2B8663767FA4}"/>
    <cellStyle name="Normal 5 2 2 3 3 2 2 3" xfId="11565" xr:uid="{CDAB255B-4B3A-4243-909B-EE4E5DE17E7B}"/>
    <cellStyle name="Normal 5 2 2 3 3 2 3" xfId="5209" xr:uid="{00000000-0005-0000-0000-0000C2170000}"/>
    <cellStyle name="Normal 5 2 2 3 3 2 3 2" xfId="13638" xr:uid="{107538FB-9A48-47BA-89FF-55FCE229F1C5}"/>
    <cellStyle name="Normal 5 2 2 3 3 2 4" xfId="9420" xr:uid="{6FE5D23B-065E-4E1E-88E3-13577FC323CE}"/>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2 2 2" xfId="16196" xr:uid="{E29E84BE-5E47-49E7-AE32-8CD5DD5137D8}"/>
    <cellStyle name="Normal 5 2 2 3 3 3 2 3" xfId="11978" xr:uid="{A2D7F87A-E534-4146-B0B6-5DC975525D76}"/>
    <cellStyle name="Normal 5 2 2 3 3 3 3" xfId="5622" xr:uid="{00000000-0005-0000-0000-0000C6170000}"/>
    <cellStyle name="Normal 5 2 2 3 3 3 3 2" xfId="14051" xr:uid="{45611636-2AE0-4DE6-AB8D-ED9A5A948B5B}"/>
    <cellStyle name="Normal 5 2 2 3 3 3 4" xfId="9833" xr:uid="{C5BE69B6-ABB0-4CEA-81E6-759CE46F8C25}"/>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2 2 2" xfId="16609" xr:uid="{1BF8BD92-5B80-404B-83F0-FB7DB0B36DD5}"/>
    <cellStyle name="Normal 5 2 2 3 3 4 2 3" xfId="12391" xr:uid="{F0AD80A3-EE8E-46B5-9FBA-C90791297C20}"/>
    <cellStyle name="Normal 5 2 2 3 3 4 3" xfId="6035" xr:uid="{00000000-0005-0000-0000-0000CA170000}"/>
    <cellStyle name="Normal 5 2 2 3 3 4 3 2" xfId="14464" xr:uid="{A625D4D9-9739-48D4-8297-DC26A639EC75}"/>
    <cellStyle name="Normal 5 2 2 3 3 4 4" xfId="10246" xr:uid="{7C3E6BF4-5942-4C29-B612-E48F1CA34741}"/>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2 2 2" xfId="17022" xr:uid="{EE2D3CBA-7093-4C9A-8DD6-B17275DEFE8F}"/>
    <cellStyle name="Normal 5 2 2 3 3 5 2 3" xfId="12804" xr:uid="{84851694-421B-4EE8-A5D7-84480175EED8}"/>
    <cellStyle name="Normal 5 2 2 3 3 5 3" xfId="6448" xr:uid="{00000000-0005-0000-0000-0000CE170000}"/>
    <cellStyle name="Normal 5 2 2 3 3 5 3 2" xfId="14877" xr:uid="{A843153C-8FE1-47D8-B6C2-3B326953FF08}"/>
    <cellStyle name="Normal 5 2 2 3 3 5 4" xfId="10659" xr:uid="{CE6A6801-1707-47FC-A440-5777C130056F}"/>
    <cellStyle name="Normal 5 2 2 3 3 6" xfId="2576" xr:uid="{00000000-0005-0000-0000-0000CF170000}"/>
    <cellStyle name="Normal 5 2 2 3 3 6 2" xfId="6861" xr:uid="{00000000-0005-0000-0000-0000D0170000}"/>
    <cellStyle name="Normal 5 2 2 3 3 6 2 2" xfId="15290" xr:uid="{E75AA20A-E83A-4895-B461-46719D6EF8DD}"/>
    <cellStyle name="Normal 5 2 2 3 3 6 3" xfId="11072" xr:uid="{53156E12-2D58-4324-A007-960C9DF7AF76}"/>
    <cellStyle name="Normal 5 2 2 3 3 7" xfId="4796" xr:uid="{00000000-0005-0000-0000-0000D1170000}"/>
    <cellStyle name="Normal 5 2 2 3 3 7 2" xfId="13225" xr:uid="{469AEB1E-D09D-40EC-9FE0-2A47773FA66D}"/>
    <cellStyle name="Normal 5 2 2 3 3 8" xfId="9007" xr:uid="{AC7CFD3C-68D7-4AB9-AD08-CC25C7814FFB}"/>
    <cellStyle name="Normal 5 2 2 3 4" xfId="892" xr:uid="{00000000-0005-0000-0000-0000D2170000}"/>
    <cellStyle name="Normal 5 2 2 3 4 2" xfId="3127" xr:uid="{00000000-0005-0000-0000-0000D3170000}"/>
    <cellStyle name="Normal 5 2 2 3 4 2 2" xfId="7351" xr:uid="{00000000-0005-0000-0000-0000D4170000}"/>
    <cellStyle name="Normal 5 2 2 3 4 2 2 2" xfId="15780" xr:uid="{3ABEC8DB-AD44-407F-AF5F-7B68F3D4B8F9}"/>
    <cellStyle name="Normal 5 2 2 3 4 2 3" xfId="11562" xr:uid="{79809EAF-4F48-440A-8CD8-05AC0D665213}"/>
    <cellStyle name="Normal 5 2 2 3 4 3" xfId="5206" xr:uid="{00000000-0005-0000-0000-0000D5170000}"/>
    <cellStyle name="Normal 5 2 2 3 4 3 2" xfId="13635" xr:uid="{1C2429CB-12C8-4B24-8D6B-285686310AF9}"/>
    <cellStyle name="Normal 5 2 2 3 4 4" xfId="9417" xr:uid="{8C88918A-75F4-4C2A-B751-B1889270D277}"/>
    <cellStyle name="Normal 5 2 2 3 5" xfId="1310" xr:uid="{00000000-0005-0000-0000-0000D6170000}"/>
    <cellStyle name="Normal 5 2 2 3 5 2" xfId="3540" xr:uid="{00000000-0005-0000-0000-0000D7170000}"/>
    <cellStyle name="Normal 5 2 2 3 5 2 2" xfId="7764" xr:uid="{00000000-0005-0000-0000-0000D8170000}"/>
    <cellStyle name="Normal 5 2 2 3 5 2 2 2" xfId="16193" xr:uid="{674DE550-0990-4E75-88C0-DC8EB88BF4B5}"/>
    <cellStyle name="Normal 5 2 2 3 5 2 3" xfId="11975" xr:uid="{95854C4E-F936-4580-900A-E4F45750A24C}"/>
    <cellStyle name="Normal 5 2 2 3 5 3" xfId="5619" xr:uid="{00000000-0005-0000-0000-0000D9170000}"/>
    <cellStyle name="Normal 5 2 2 3 5 3 2" xfId="14048" xr:uid="{23B75940-4D62-4BFE-BD16-5C8EC7A0DBFC}"/>
    <cellStyle name="Normal 5 2 2 3 5 4" xfId="9830" xr:uid="{2A4F1985-71DA-4250-9360-1600E75213D8}"/>
    <cellStyle name="Normal 5 2 2 3 6" xfId="1723" xr:uid="{00000000-0005-0000-0000-0000DA170000}"/>
    <cellStyle name="Normal 5 2 2 3 6 2" xfId="3953" xr:uid="{00000000-0005-0000-0000-0000DB170000}"/>
    <cellStyle name="Normal 5 2 2 3 6 2 2" xfId="8177" xr:uid="{00000000-0005-0000-0000-0000DC170000}"/>
    <cellStyle name="Normal 5 2 2 3 6 2 2 2" xfId="16606" xr:uid="{9D71DF78-D952-436B-B08A-D1F34F55A2A0}"/>
    <cellStyle name="Normal 5 2 2 3 6 2 3" xfId="12388" xr:uid="{8CA52647-58F3-4809-AB1D-D7EFD9532D15}"/>
    <cellStyle name="Normal 5 2 2 3 6 3" xfId="6032" xr:uid="{00000000-0005-0000-0000-0000DD170000}"/>
    <cellStyle name="Normal 5 2 2 3 6 3 2" xfId="14461" xr:uid="{8E476758-36F7-4770-BE89-3F89E6E9A41A}"/>
    <cellStyle name="Normal 5 2 2 3 6 4" xfId="10243" xr:uid="{11232CDC-A246-449E-8D9C-A2A53475ACA4}"/>
    <cellStyle name="Normal 5 2 2 3 7" xfId="2137" xr:uid="{00000000-0005-0000-0000-0000DE170000}"/>
    <cellStyle name="Normal 5 2 2 3 7 2" xfId="4366" xr:uid="{00000000-0005-0000-0000-0000DF170000}"/>
    <cellStyle name="Normal 5 2 2 3 7 2 2" xfId="8590" xr:uid="{00000000-0005-0000-0000-0000E0170000}"/>
    <cellStyle name="Normal 5 2 2 3 7 2 2 2" xfId="17019" xr:uid="{1ABE5E37-2BC8-4BC6-A5E3-8705C8BBA13D}"/>
    <cellStyle name="Normal 5 2 2 3 7 2 3" xfId="12801" xr:uid="{0A944E05-57CF-4DC5-A353-BD829826C702}"/>
    <cellStyle name="Normal 5 2 2 3 7 3" xfId="6445" xr:uid="{00000000-0005-0000-0000-0000E1170000}"/>
    <cellStyle name="Normal 5 2 2 3 7 3 2" xfId="14874" xr:uid="{0F14D5A3-E029-4423-89FD-FC681191F191}"/>
    <cellStyle name="Normal 5 2 2 3 7 4" xfId="10656" xr:uid="{6ACD01C8-A0A0-41F1-B15D-A60920D6C225}"/>
    <cellStyle name="Normal 5 2 2 3 8" xfId="2573" xr:uid="{00000000-0005-0000-0000-0000E2170000}"/>
    <cellStyle name="Normal 5 2 2 3 8 2" xfId="6858" xr:uid="{00000000-0005-0000-0000-0000E3170000}"/>
    <cellStyle name="Normal 5 2 2 3 8 2 2" xfId="15287" xr:uid="{BCF2DE1A-A4DF-4E33-89D5-C5C1FB131EAD}"/>
    <cellStyle name="Normal 5 2 2 3 8 3" xfId="11069" xr:uid="{EF15F479-C85F-4C01-941A-59AD54656BC1}"/>
    <cellStyle name="Normal 5 2 2 3 9" xfId="4793" xr:uid="{00000000-0005-0000-0000-0000E4170000}"/>
    <cellStyle name="Normal 5 2 2 3 9 2" xfId="13222" xr:uid="{A1CEB94B-9F09-4671-9C50-4E7044C5013B}"/>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2 2 2" xfId="15785" xr:uid="{5D808418-EBCD-4B59-B599-77E1251239B9}"/>
    <cellStyle name="Normal 5 2 2 4 2 2 2 3" xfId="11567" xr:uid="{5A767F18-699B-4D46-BA19-4C05F4AE88F8}"/>
    <cellStyle name="Normal 5 2 2 4 2 2 3" xfId="5211" xr:uid="{00000000-0005-0000-0000-0000EA170000}"/>
    <cellStyle name="Normal 5 2 2 4 2 2 3 2" xfId="13640" xr:uid="{92522210-7CA7-4FDF-8364-8E708B0157E8}"/>
    <cellStyle name="Normal 5 2 2 4 2 2 4" xfId="9422" xr:uid="{00713CB5-265E-4894-8865-D858C89FC4C5}"/>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2 2 2" xfId="16198" xr:uid="{0539743F-B0A1-4EF7-8681-85FA67BA2788}"/>
    <cellStyle name="Normal 5 2 2 4 2 3 2 3" xfId="11980" xr:uid="{698A4A9A-93F0-4FA8-BE7A-99E3E0B61EEA}"/>
    <cellStyle name="Normal 5 2 2 4 2 3 3" xfId="5624" xr:uid="{00000000-0005-0000-0000-0000EE170000}"/>
    <cellStyle name="Normal 5 2 2 4 2 3 3 2" xfId="14053" xr:uid="{96224752-E04D-4283-8E34-BC0D177E85FE}"/>
    <cellStyle name="Normal 5 2 2 4 2 3 4" xfId="9835" xr:uid="{FE6FF9EB-42BC-47BA-959F-6DF8C60289C3}"/>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2 2 2" xfId="16611" xr:uid="{27BA971F-1545-40D1-9BF3-172AEDF7A1DF}"/>
    <cellStyle name="Normal 5 2 2 4 2 4 2 3" xfId="12393" xr:uid="{2F18151F-A7CC-4BD1-BC03-4A4CFB549F18}"/>
    <cellStyle name="Normal 5 2 2 4 2 4 3" xfId="6037" xr:uid="{00000000-0005-0000-0000-0000F2170000}"/>
    <cellStyle name="Normal 5 2 2 4 2 4 3 2" xfId="14466" xr:uid="{CA39343D-3EB3-4F8A-951D-58F1B7B3BADF}"/>
    <cellStyle name="Normal 5 2 2 4 2 4 4" xfId="10248" xr:uid="{2CA1865A-F78B-4ED4-B13B-DE4396C5B32A}"/>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2 2 2" xfId="17024" xr:uid="{D84CED4E-B02B-43E7-8E16-41A50B152C1A}"/>
    <cellStyle name="Normal 5 2 2 4 2 5 2 3" xfId="12806" xr:uid="{2D40A360-48DA-4541-B956-1535D8CF9180}"/>
    <cellStyle name="Normal 5 2 2 4 2 5 3" xfId="6450" xr:uid="{00000000-0005-0000-0000-0000F6170000}"/>
    <cellStyle name="Normal 5 2 2 4 2 5 3 2" xfId="14879" xr:uid="{28179023-A9F4-47A6-85C3-3489E2956BBD}"/>
    <cellStyle name="Normal 5 2 2 4 2 5 4" xfId="10661" xr:uid="{9401801D-E16B-421F-BBCF-91B1911AE1ED}"/>
    <cellStyle name="Normal 5 2 2 4 2 6" xfId="2578" xr:uid="{00000000-0005-0000-0000-0000F7170000}"/>
    <cellStyle name="Normal 5 2 2 4 2 6 2" xfId="6863" xr:uid="{00000000-0005-0000-0000-0000F8170000}"/>
    <cellStyle name="Normal 5 2 2 4 2 6 2 2" xfId="15292" xr:uid="{AB975C7B-A6B1-4135-B5CF-612A3F8C6E57}"/>
    <cellStyle name="Normal 5 2 2 4 2 6 3" xfId="11074" xr:uid="{652895E5-35F7-4672-B3D3-C9537C990175}"/>
    <cellStyle name="Normal 5 2 2 4 2 7" xfId="4798" xr:uid="{00000000-0005-0000-0000-0000F9170000}"/>
    <cellStyle name="Normal 5 2 2 4 2 7 2" xfId="13227" xr:uid="{7BC96C0B-46FE-400C-929D-90AE55FF4AAD}"/>
    <cellStyle name="Normal 5 2 2 4 2 8" xfId="9009" xr:uid="{8815CF7C-C39F-4C34-8478-F619C2F75E4C}"/>
    <cellStyle name="Normal 5 2 2 4 3" xfId="896" xr:uid="{00000000-0005-0000-0000-0000FA170000}"/>
    <cellStyle name="Normal 5 2 2 4 3 2" xfId="3131" xr:uid="{00000000-0005-0000-0000-0000FB170000}"/>
    <cellStyle name="Normal 5 2 2 4 3 2 2" xfId="7355" xr:uid="{00000000-0005-0000-0000-0000FC170000}"/>
    <cellStyle name="Normal 5 2 2 4 3 2 2 2" xfId="15784" xr:uid="{D6E9E43C-6920-4140-8D33-74FCFF8C5AEE}"/>
    <cellStyle name="Normal 5 2 2 4 3 2 3" xfId="11566" xr:uid="{EF73420D-013A-45EC-B0ED-684436849A59}"/>
    <cellStyle name="Normal 5 2 2 4 3 3" xfId="5210" xr:uid="{00000000-0005-0000-0000-0000FD170000}"/>
    <cellStyle name="Normal 5 2 2 4 3 3 2" xfId="13639" xr:uid="{FBB54970-BC88-4624-B04B-53F8E1495DCA}"/>
    <cellStyle name="Normal 5 2 2 4 3 4" xfId="9421" xr:uid="{77805A72-0E74-49B1-94D7-E5063B574DEB}"/>
    <cellStyle name="Normal 5 2 2 4 4" xfId="1314" xr:uid="{00000000-0005-0000-0000-0000FE170000}"/>
    <cellStyle name="Normal 5 2 2 4 4 2" xfId="3544" xr:uid="{00000000-0005-0000-0000-0000FF170000}"/>
    <cellStyle name="Normal 5 2 2 4 4 2 2" xfId="7768" xr:uid="{00000000-0005-0000-0000-000000180000}"/>
    <cellStyle name="Normal 5 2 2 4 4 2 2 2" xfId="16197" xr:uid="{571185F7-7FBB-412E-97CC-84B0193FF1C7}"/>
    <cellStyle name="Normal 5 2 2 4 4 2 3" xfId="11979" xr:uid="{514522EB-46BD-454A-9E64-5DA7BD7A7C08}"/>
    <cellStyle name="Normal 5 2 2 4 4 3" xfId="5623" xr:uid="{00000000-0005-0000-0000-000001180000}"/>
    <cellStyle name="Normal 5 2 2 4 4 3 2" xfId="14052" xr:uid="{C525C074-D743-47BA-9B42-7FEE4F8DFC9D}"/>
    <cellStyle name="Normal 5 2 2 4 4 4" xfId="9834" xr:uid="{5CA9A665-12A0-4D1D-9FD1-94D1E9D5E922}"/>
    <cellStyle name="Normal 5 2 2 4 5" xfId="1727" xr:uid="{00000000-0005-0000-0000-000002180000}"/>
    <cellStyle name="Normal 5 2 2 4 5 2" xfId="3957" xr:uid="{00000000-0005-0000-0000-000003180000}"/>
    <cellStyle name="Normal 5 2 2 4 5 2 2" xfId="8181" xr:uid="{00000000-0005-0000-0000-000004180000}"/>
    <cellStyle name="Normal 5 2 2 4 5 2 2 2" xfId="16610" xr:uid="{1445FAB8-4072-4E7D-9268-16FC3B6CACCE}"/>
    <cellStyle name="Normal 5 2 2 4 5 2 3" xfId="12392" xr:uid="{3A0F7135-89EE-442B-9801-C5B938CD734F}"/>
    <cellStyle name="Normal 5 2 2 4 5 3" xfId="6036" xr:uid="{00000000-0005-0000-0000-000005180000}"/>
    <cellStyle name="Normal 5 2 2 4 5 3 2" xfId="14465" xr:uid="{8E6E3507-C74E-4DDE-9F4A-E5C63D2C2A64}"/>
    <cellStyle name="Normal 5 2 2 4 5 4" xfId="10247" xr:uid="{CD25249A-CF89-4A7D-946A-A06A028201B5}"/>
    <cellStyle name="Normal 5 2 2 4 6" xfId="2141" xr:uid="{00000000-0005-0000-0000-000006180000}"/>
    <cellStyle name="Normal 5 2 2 4 6 2" xfId="4370" xr:uid="{00000000-0005-0000-0000-000007180000}"/>
    <cellStyle name="Normal 5 2 2 4 6 2 2" xfId="8594" xr:uid="{00000000-0005-0000-0000-000008180000}"/>
    <cellStyle name="Normal 5 2 2 4 6 2 2 2" xfId="17023" xr:uid="{5595007D-C100-4A1F-885D-1E33367728C6}"/>
    <cellStyle name="Normal 5 2 2 4 6 2 3" xfId="12805" xr:uid="{11E36CA9-7193-456B-B11C-1E51E6F44DFC}"/>
    <cellStyle name="Normal 5 2 2 4 6 3" xfId="6449" xr:uid="{00000000-0005-0000-0000-000009180000}"/>
    <cellStyle name="Normal 5 2 2 4 6 3 2" xfId="14878" xr:uid="{376A77D7-72D0-40B5-80C4-AF791B27868F}"/>
    <cellStyle name="Normal 5 2 2 4 6 4" xfId="10660" xr:uid="{3A9D34C9-47CE-45F8-AB80-3051D5414FA5}"/>
    <cellStyle name="Normal 5 2 2 4 7" xfId="2577" xr:uid="{00000000-0005-0000-0000-00000A180000}"/>
    <cellStyle name="Normal 5 2 2 4 7 2" xfId="6862" xr:uid="{00000000-0005-0000-0000-00000B180000}"/>
    <cellStyle name="Normal 5 2 2 4 7 2 2" xfId="15291" xr:uid="{22529E14-4A29-4C9A-BD51-8F5D6C24684B}"/>
    <cellStyle name="Normal 5 2 2 4 7 3" xfId="11073" xr:uid="{EBC02784-61D4-436C-8CC1-E59090DCD064}"/>
    <cellStyle name="Normal 5 2 2 4 8" xfId="4797" xr:uid="{00000000-0005-0000-0000-00000C180000}"/>
    <cellStyle name="Normal 5 2 2 4 8 2" xfId="13226" xr:uid="{4F272DBC-5CEA-4D84-A578-C2D826DE5253}"/>
    <cellStyle name="Normal 5 2 2 4 9" xfId="9008" xr:uid="{2D1D7A71-7DC4-46EB-B93C-EE367D2F635B}"/>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2 2 2" xfId="15786" xr:uid="{42899C0E-A814-4CB8-8810-7568992C8465}"/>
    <cellStyle name="Normal 5 2 2 5 2 2 3" xfId="11568" xr:uid="{17F7C93B-9964-410C-8B89-0F31B936EA8C}"/>
    <cellStyle name="Normal 5 2 2 5 2 3" xfId="5212" xr:uid="{00000000-0005-0000-0000-000011180000}"/>
    <cellStyle name="Normal 5 2 2 5 2 3 2" xfId="13641" xr:uid="{C1E62C15-E1B4-43FE-BBE2-3966F794666A}"/>
    <cellStyle name="Normal 5 2 2 5 2 4" xfId="9423" xr:uid="{08972902-9A22-4004-9263-69561AA6F60F}"/>
    <cellStyle name="Normal 5 2 2 5 3" xfId="1316" xr:uid="{00000000-0005-0000-0000-000012180000}"/>
    <cellStyle name="Normal 5 2 2 5 3 2" xfId="3546" xr:uid="{00000000-0005-0000-0000-000013180000}"/>
    <cellStyle name="Normal 5 2 2 5 3 2 2" xfId="7770" xr:uid="{00000000-0005-0000-0000-000014180000}"/>
    <cellStyle name="Normal 5 2 2 5 3 2 2 2" xfId="16199" xr:uid="{C0FF0C56-7936-41F6-988E-9033D0081CAC}"/>
    <cellStyle name="Normal 5 2 2 5 3 2 3" xfId="11981" xr:uid="{E9412B25-5EF9-40E2-A3FC-315785BD6F82}"/>
    <cellStyle name="Normal 5 2 2 5 3 3" xfId="5625" xr:uid="{00000000-0005-0000-0000-000015180000}"/>
    <cellStyle name="Normal 5 2 2 5 3 3 2" xfId="14054" xr:uid="{49B04F1D-5A20-4B8C-8E4C-220B179FB7F4}"/>
    <cellStyle name="Normal 5 2 2 5 3 4" xfId="9836" xr:uid="{6C2DA57E-0F76-4FE8-8F49-F81560BAD9D9}"/>
    <cellStyle name="Normal 5 2 2 5 4" xfId="1729" xr:uid="{00000000-0005-0000-0000-000016180000}"/>
    <cellStyle name="Normal 5 2 2 5 4 2" xfId="3959" xr:uid="{00000000-0005-0000-0000-000017180000}"/>
    <cellStyle name="Normal 5 2 2 5 4 2 2" xfId="8183" xr:uid="{00000000-0005-0000-0000-000018180000}"/>
    <cellStyle name="Normal 5 2 2 5 4 2 2 2" xfId="16612" xr:uid="{76F1B3DF-6230-4226-9C24-21D9E7CB25DB}"/>
    <cellStyle name="Normal 5 2 2 5 4 2 3" xfId="12394" xr:uid="{EBF44A48-8665-4D9F-BBDA-904E61286753}"/>
    <cellStyle name="Normal 5 2 2 5 4 3" xfId="6038" xr:uid="{00000000-0005-0000-0000-000019180000}"/>
    <cellStyle name="Normal 5 2 2 5 4 3 2" xfId="14467" xr:uid="{D09F8F4F-E2F4-4AE3-905D-0EC453373178}"/>
    <cellStyle name="Normal 5 2 2 5 4 4" xfId="10249" xr:uid="{68B1B742-62B3-40E2-8CA3-B92A226248CE}"/>
    <cellStyle name="Normal 5 2 2 5 5" xfId="2143" xr:uid="{00000000-0005-0000-0000-00001A180000}"/>
    <cellStyle name="Normal 5 2 2 5 5 2" xfId="4372" xr:uid="{00000000-0005-0000-0000-00001B180000}"/>
    <cellStyle name="Normal 5 2 2 5 5 2 2" xfId="8596" xr:uid="{00000000-0005-0000-0000-00001C180000}"/>
    <cellStyle name="Normal 5 2 2 5 5 2 2 2" xfId="17025" xr:uid="{37B3FBCF-930C-4008-92F5-3DC653A79E58}"/>
    <cellStyle name="Normal 5 2 2 5 5 2 3" xfId="12807" xr:uid="{E5A53198-9D76-4C5E-95C9-EE9EE898DCC3}"/>
    <cellStyle name="Normal 5 2 2 5 5 3" xfId="6451" xr:uid="{00000000-0005-0000-0000-00001D180000}"/>
    <cellStyle name="Normal 5 2 2 5 5 3 2" xfId="14880" xr:uid="{51AB60BC-0175-44E6-A756-7550AB078A35}"/>
    <cellStyle name="Normal 5 2 2 5 5 4" xfId="10662" xr:uid="{48B8F247-C243-4B4F-B8F3-5A63089863D1}"/>
    <cellStyle name="Normal 5 2 2 5 6" xfId="2579" xr:uid="{00000000-0005-0000-0000-00001E180000}"/>
    <cellStyle name="Normal 5 2 2 5 6 2" xfId="6864" xr:uid="{00000000-0005-0000-0000-00001F180000}"/>
    <cellStyle name="Normal 5 2 2 5 6 2 2" xfId="15293" xr:uid="{9AEF807C-89FB-4E6D-A177-FE5E3F86EF97}"/>
    <cellStyle name="Normal 5 2 2 5 6 3" xfId="11075" xr:uid="{BDCF3577-34B0-42D4-BF18-0B60D31F90BE}"/>
    <cellStyle name="Normal 5 2 2 5 7" xfId="4799" xr:uid="{00000000-0005-0000-0000-000020180000}"/>
    <cellStyle name="Normal 5 2 2 5 7 2" xfId="13228" xr:uid="{DFA15413-A034-41EB-8A4F-5CA512DF112E}"/>
    <cellStyle name="Normal 5 2 2 5 8" xfId="9010" xr:uid="{F9DA5350-FB1E-49DD-A57C-10D5146B29D0}"/>
    <cellStyle name="Normal 5 2 2 6" xfId="883" xr:uid="{00000000-0005-0000-0000-000021180000}"/>
    <cellStyle name="Normal 5 2 2 6 2" xfId="3118" xr:uid="{00000000-0005-0000-0000-000022180000}"/>
    <cellStyle name="Normal 5 2 2 6 2 2" xfId="7342" xr:uid="{00000000-0005-0000-0000-000023180000}"/>
    <cellStyle name="Normal 5 2 2 6 2 2 2" xfId="15771" xr:uid="{DC64BB2C-D534-4CB6-9B1B-704528DE6C48}"/>
    <cellStyle name="Normal 5 2 2 6 2 3" xfId="11553" xr:uid="{45B68E24-802D-4F5F-8BD2-900B10D189FF}"/>
    <cellStyle name="Normal 5 2 2 6 3" xfId="5197" xr:uid="{00000000-0005-0000-0000-000024180000}"/>
    <cellStyle name="Normal 5 2 2 6 3 2" xfId="13626" xr:uid="{41D94C96-7626-4E6F-850C-6637A2B77DB4}"/>
    <cellStyle name="Normal 5 2 2 6 4" xfId="9408" xr:uid="{6A90E7A5-2EF2-4D56-8CB5-5FD1FEB4304E}"/>
    <cellStyle name="Normal 5 2 2 7" xfId="1301" xr:uid="{00000000-0005-0000-0000-000025180000}"/>
    <cellStyle name="Normal 5 2 2 7 2" xfId="3531" xr:uid="{00000000-0005-0000-0000-000026180000}"/>
    <cellStyle name="Normal 5 2 2 7 2 2" xfId="7755" xr:uid="{00000000-0005-0000-0000-000027180000}"/>
    <cellStyle name="Normal 5 2 2 7 2 2 2" xfId="16184" xr:uid="{0EB2510E-04A2-4AD6-9D77-EA2AD7B9BC07}"/>
    <cellStyle name="Normal 5 2 2 7 2 3" xfId="11966" xr:uid="{904F60AD-F2A8-48BC-8D1F-5DB76AD8FF86}"/>
    <cellStyle name="Normal 5 2 2 7 3" xfId="5610" xr:uid="{00000000-0005-0000-0000-000028180000}"/>
    <cellStyle name="Normal 5 2 2 7 3 2" xfId="14039" xr:uid="{99B3CF84-36F9-4827-9659-FB92E0406ECC}"/>
    <cellStyle name="Normal 5 2 2 7 4" xfId="9821" xr:uid="{920B16DD-A88A-4F6E-A86D-183BCD25ECE8}"/>
    <cellStyle name="Normal 5 2 2 8" xfId="1714" xr:uid="{00000000-0005-0000-0000-000029180000}"/>
    <cellStyle name="Normal 5 2 2 8 2" xfId="3944" xr:uid="{00000000-0005-0000-0000-00002A180000}"/>
    <cellStyle name="Normal 5 2 2 8 2 2" xfId="8168" xr:uid="{00000000-0005-0000-0000-00002B180000}"/>
    <cellStyle name="Normal 5 2 2 8 2 2 2" xfId="16597" xr:uid="{81AA59EC-0D97-4E61-9D57-9A46106DAB4B}"/>
    <cellStyle name="Normal 5 2 2 8 2 3" xfId="12379" xr:uid="{111C3656-AA4A-4AD3-8CC3-3F1D8C8F7481}"/>
    <cellStyle name="Normal 5 2 2 8 3" xfId="6023" xr:uid="{00000000-0005-0000-0000-00002C180000}"/>
    <cellStyle name="Normal 5 2 2 8 3 2" xfId="14452" xr:uid="{61C9A792-CA3A-4904-BC5D-01E92365E959}"/>
    <cellStyle name="Normal 5 2 2 8 4" xfId="10234" xr:uid="{25517A65-07B6-414D-BE02-BC3B5AFA4791}"/>
    <cellStyle name="Normal 5 2 2 9" xfId="2128" xr:uid="{00000000-0005-0000-0000-00002D180000}"/>
    <cellStyle name="Normal 5 2 2 9 2" xfId="4357" xr:uid="{00000000-0005-0000-0000-00002E180000}"/>
    <cellStyle name="Normal 5 2 2 9 2 2" xfId="8581" xr:uid="{00000000-0005-0000-0000-00002F180000}"/>
    <cellStyle name="Normal 5 2 2 9 2 2 2" xfId="17010" xr:uid="{CB9AA839-B0D1-4785-92C9-9897DD1155BA}"/>
    <cellStyle name="Normal 5 2 2 9 2 3" xfId="12792" xr:uid="{B907747F-6F8C-4E08-93A9-484E862166E8}"/>
    <cellStyle name="Normal 5 2 2 9 3" xfId="6436" xr:uid="{00000000-0005-0000-0000-000030180000}"/>
    <cellStyle name="Normal 5 2 2 9 3 2" xfId="14865" xr:uid="{FB0926E7-ED06-4B99-909F-62225646DF8D}"/>
    <cellStyle name="Normal 5 2 2 9 4" xfId="10647" xr:uid="{347F421B-DC07-4216-B642-252E60F3CE52}"/>
    <cellStyle name="Normal 5 2 3" xfId="424" xr:uid="{00000000-0005-0000-0000-000031180000}"/>
    <cellStyle name="Normal 5 2 3 10" xfId="4800" xr:uid="{00000000-0005-0000-0000-000032180000}"/>
    <cellStyle name="Normal 5 2 3 10 2" xfId="13229" xr:uid="{46C48917-ADAF-4A67-8120-F62A7E0789A1}"/>
    <cellStyle name="Normal 5 2 3 11" xfId="9011" xr:uid="{0B9474DA-97AA-4D5C-ACDD-925628DD3BB7}"/>
    <cellStyle name="Normal 5 2 3 2" xfId="425" xr:uid="{00000000-0005-0000-0000-000033180000}"/>
    <cellStyle name="Normal 5 2 3 2 10" xfId="9012" xr:uid="{CA06F218-EE2D-40F5-B075-C28ECA15087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2 2 2" xfId="15790" xr:uid="{05578D46-3A5D-4FBD-85D5-441D29297F80}"/>
    <cellStyle name="Normal 5 2 3 2 2 2 2 2 3" xfId="11572" xr:uid="{0488E1CE-EA1B-459E-8699-2D01C2EE92C3}"/>
    <cellStyle name="Normal 5 2 3 2 2 2 2 3" xfId="5216" xr:uid="{00000000-0005-0000-0000-000039180000}"/>
    <cellStyle name="Normal 5 2 3 2 2 2 2 3 2" xfId="13645" xr:uid="{B143CB36-9146-4D40-8F39-B16C5DA9B5F2}"/>
    <cellStyle name="Normal 5 2 3 2 2 2 2 4" xfId="9427" xr:uid="{8FAF7393-5612-4698-BA80-8411C36F6D2A}"/>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2 2 2" xfId="16203" xr:uid="{1BCF05E8-31B8-4F0C-8265-55F3B11BF86B}"/>
    <cellStyle name="Normal 5 2 3 2 2 2 3 2 3" xfId="11985" xr:uid="{620AA8F5-2F64-4955-8F86-2BE932AA93AE}"/>
    <cellStyle name="Normal 5 2 3 2 2 2 3 3" xfId="5629" xr:uid="{00000000-0005-0000-0000-00003D180000}"/>
    <cellStyle name="Normal 5 2 3 2 2 2 3 3 2" xfId="14058" xr:uid="{B3BDA70E-0202-4818-8175-A7655805C167}"/>
    <cellStyle name="Normal 5 2 3 2 2 2 3 4" xfId="9840" xr:uid="{B0C9BC12-6C04-4C7C-A353-F50A41776E6F}"/>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2 2 2" xfId="16616" xr:uid="{7FBF73A6-EEF1-4D22-84D1-6AA31EAB73FD}"/>
    <cellStyle name="Normal 5 2 3 2 2 2 4 2 3" xfId="12398" xr:uid="{509A4DAC-5783-4D1F-9C57-88764D7AA72D}"/>
    <cellStyle name="Normal 5 2 3 2 2 2 4 3" xfId="6042" xr:uid="{00000000-0005-0000-0000-000041180000}"/>
    <cellStyle name="Normal 5 2 3 2 2 2 4 3 2" xfId="14471" xr:uid="{465D009D-12A6-4BA1-A869-F97C22F9892A}"/>
    <cellStyle name="Normal 5 2 3 2 2 2 4 4" xfId="10253" xr:uid="{99D96F8F-BD46-4ADB-B996-C62312FE1469}"/>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2 2 2" xfId="17029" xr:uid="{B57A47FA-7618-49B2-B61F-E23DFAFBC915}"/>
    <cellStyle name="Normal 5 2 3 2 2 2 5 2 3" xfId="12811" xr:uid="{39761BC3-18AB-4416-9788-B105B6851935}"/>
    <cellStyle name="Normal 5 2 3 2 2 2 5 3" xfId="6455" xr:uid="{00000000-0005-0000-0000-000045180000}"/>
    <cellStyle name="Normal 5 2 3 2 2 2 5 3 2" xfId="14884" xr:uid="{5969AFCE-191C-409E-9C1A-8A52D45C329F}"/>
    <cellStyle name="Normal 5 2 3 2 2 2 5 4" xfId="10666" xr:uid="{6EA983DC-7602-4195-8B1E-B7D8D1CE9FB9}"/>
    <cellStyle name="Normal 5 2 3 2 2 2 6" xfId="2583" xr:uid="{00000000-0005-0000-0000-000046180000}"/>
    <cellStyle name="Normal 5 2 3 2 2 2 6 2" xfId="6868" xr:uid="{00000000-0005-0000-0000-000047180000}"/>
    <cellStyle name="Normal 5 2 3 2 2 2 6 2 2" xfId="15297" xr:uid="{32B1C3DC-99EB-4C23-8B28-7258B340F5FD}"/>
    <cellStyle name="Normal 5 2 3 2 2 2 6 3" xfId="11079" xr:uid="{C479D4E1-8674-4FCC-B21E-3DBBA5D304FE}"/>
    <cellStyle name="Normal 5 2 3 2 2 2 7" xfId="4803" xr:uid="{00000000-0005-0000-0000-000048180000}"/>
    <cellStyle name="Normal 5 2 3 2 2 2 7 2" xfId="13232" xr:uid="{47C37DD5-96AE-49D1-81E5-C71021914DC3}"/>
    <cellStyle name="Normal 5 2 3 2 2 2 8" xfId="9014" xr:uid="{4818CB88-A586-42C5-8D22-2996950521BC}"/>
    <cellStyle name="Normal 5 2 3 2 2 3" xfId="901" xr:uid="{00000000-0005-0000-0000-000049180000}"/>
    <cellStyle name="Normal 5 2 3 2 2 3 2" xfId="3136" xr:uid="{00000000-0005-0000-0000-00004A180000}"/>
    <cellStyle name="Normal 5 2 3 2 2 3 2 2" xfId="7360" xr:uid="{00000000-0005-0000-0000-00004B180000}"/>
    <cellStyle name="Normal 5 2 3 2 2 3 2 2 2" xfId="15789" xr:uid="{C4DBB1E9-5639-419C-9A43-F1E05160E37B}"/>
    <cellStyle name="Normal 5 2 3 2 2 3 2 3" xfId="11571" xr:uid="{42C5020C-B9A3-486F-8BB6-1CDD339D7FBE}"/>
    <cellStyle name="Normal 5 2 3 2 2 3 3" xfId="5215" xr:uid="{00000000-0005-0000-0000-00004C180000}"/>
    <cellStyle name="Normal 5 2 3 2 2 3 3 2" xfId="13644" xr:uid="{3238EFA7-0DBB-4126-86C6-1A07B4F86732}"/>
    <cellStyle name="Normal 5 2 3 2 2 3 4" xfId="9426" xr:uid="{9E042A17-416A-4C47-AB66-063BB2436ADA}"/>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2 2 2" xfId="16202" xr:uid="{1DA742E1-C866-4555-A0AB-9D373D49D93C}"/>
    <cellStyle name="Normal 5 2 3 2 2 4 2 3" xfId="11984" xr:uid="{D1CBF28D-B5F9-4A47-A478-7EBB2077F839}"/>
    <cellStyle name="Normal 5 2 3 2 2 4 3" xfId="5628" xr:uid="{00000000-0005-0000-0000-000050180000}"/>
    <cellStyle name="Normal 5 2 3 2 2 4 3 2" xfId="14057" xr:uid="{871A0F0F-EBD0-4B29-9438-4857DBD141D1}"/>
    <cellStyle name="Normal 5 2 3 2 2 4 4" xfId="9839" xr:uid="{F8B40D64-33AC-4A84-A9B5-8128E5A432CA}"/>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2 2 2" xfId="16615" xr:uid="{68C5449B-D09C-4F54-A951-23300F5E152A}"/>
    <cellStyle name="Normal 5 2 3 2 2 5 2 3" xfId="12397" xr:uid="{3617C0F0-02D8-4A88-9473-736192970881}"/>
    <cellStyle name="Normal 5 2 3 2 2 5 3" xfId="6041" xr:uid="{00000000-0005-0000-0000-000054180000}"/>
    <cellStyle name="Normal 5 2 3 2 2 5 3 2" xfId="14470" xr:uid="{AECBD6BD-E8EB-4195-9F93-86B712E1860D}"/>
    <cellStyle name="Normal 5 2 3 2 2 5 4" xfId="10252" xr:uid="{1F4582B9-5897-448A-B745-8530F82E416F}"/>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2 2 2" xfId="17028" xr:uid="{E16B27E0-3916-4310-88AA-CD1754D381E2}"/>
    <cellStyle name="Normal 5 2 3 2 2 6 2 3" xfId="12810" xr:uid="{A2DF0FBB-688E-414B-ACF9-1A3DEB33DA21}"/>
    <cellStyle name="Normal 5 2 3 2 2 6 3" xfId="6454" xr:uid="{00000000-0005-0000-0000-000058180000}"/>
    <cellStyle name="Normal 5 2 3 2 2 6 3 2" xfId="14883" xr:uid="{E6764231-BF11-4D2B-B3B6-B4E6B254DF0D}"/>
    <cellStyle name="Normal 5 2 3 2 2 6 4" xfId="10665" xr:uid="{3D4BA361-6CEE-4480-BBED-18BF18AAE2E0}"/>
    <cellStyle name="Normal 5 2 3 2 2 7" xfId="2582" xr:uid="{00000000-0005-0000-0000-000059180000}"/>
    <cellStyle name="Normal 5 2 3 2 2 7 2" xfId="6867" xr:uid="{00000000-0005-0000-0000-00005A180000}"/>
    <cellStyle name="Normal 5 2 3 2 2 7 2 2" xfId="15296" xr:uid="{2CD7DB86-FA8A-46C9-9277-A07000DCA01F}"/>
    <cellStyle name="Normal 5 2 3 2 2 7 3" xfId="11078" xr:uid="{5BE8C968-B247-4114-8B82-2EB2AEF209F2}"/>
    <cellStyle name="Normal 5 2 3 2 2 8" xfId="4802" xr:uid="{00000000-0005-0000-0000-00005B180000}"/>
    <cellStyle name="Normal 5 2 3 2 2 8 2" xfId="13231" xr:uid="{FB69863D-5D90-41B5-BB5A-03EA8E5D00A5}"/>
    <cellStyle name="Normal 5 2 3 2 2 9" xfId="9013" xr:uid="{F9ED7D6F-A204-4EF4-BD09-654D0E6F2EAF}"/>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2 2 2" xfId="15791" xr:uid="{5AA53F98-0ED5-4F6D-AC8D-0F6C3123DE4C}"/>
    <cellStyle name="Normal 5 2 3 2 3 2 2 3" xfId="11573" xr:uid="{04C3B924-08F8-4E7A-9A7F-8F4B4FE085F5}"/>
    <cellStyle name="Normal 5 2 3 2 3 2 3" xfId="5217" xr:uid="{00000000-0005-0000-0000-000060180000}"/>
    <cellStyle name="Normal 5 2 3 2 3 2 3 2" xfId="13646" xr:uid="{8ADAEA45-D914-4526-8ED9-1F11896D2C0A}"/>
    <cellStyle name="Normal 5 2 3 2 3 2 4" xfId="9428" xr:uid="{C7819F60-3D48-485D-9280-4E99F6701F7C}"/>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2 2 2" xfId="16204" xr:uid="{B476C287-BBF1-4D5C-91F3-3FB97994E582}"/>
    <cellStyle name="Normal 5 2 3 2 3 3 2 3" xfId="11986" xr:uid="{D43142D0-13F4-421F-8391-C7C7448EDDAB}"/>
    <cellStyle name="Normal 5 2 3 2 3 3 3" xfId="5630" xr:uid="{00000000-0005-0000-0000-000064180000}"/>
    <cellStyle name="Normal 5 2 3 2 3 3 3 2" xfId="14059" xr:uid="{3B783A04-626B-44A3-8D52-A940B4B549B5}"/>
    <cellStyle name="Normal 5 2 3 2 3 3 4" xfId="9841" xr:uid="{8E6FB8B8-470E-40BB-BADA-A644D7849947}"/>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2 2 2" xfId="16617" xr:uid="{C9AAF606-4A1E-44D3-A6C2-165296A1C920}"/>
    <cellStyle name="Normal 5 2 3 2 3 4 2 3" xfId="12399" xr:uid="{20FBC606-A220-4A54-94AA-D57E8869CDB8}"/>
    <cellStyle name="Normal 5 2 3 2 3 4 3" xfId="6043" xr:uid="{00000000-0005-0000-0000-000068180000}"/>
    <cellStyle name="Normal 5 2 3 2 3 4 3 2" xfId="14472" xr:uid="{AED08195-89BD-44F8-9700-FDE02363F92C}"/>
    <cellStyle name="Normal 5 2 3 2 3 4 4" xfId="10254" xr:uid="{DF074B76-2E7F-4A3E-996B-A193F04F59A1}"/>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2 2 2" xfId="17030" xr:uid="{C06B82BE-8EEB-4E13-9449-1C6472DD0F37}"/>
    <cellStyle name="Normal 5 2 3 2 3 5 2 3" xfId="12812" xr:uid="{8C400567-F2F7-43E3-91B7-8F58E697EF7D}"/>
    <cellStyle name="Normal 5 2 3 2 3 5 3" xfId="6456" xr:uid="{00000000-0005-0000-0000-00006C180000}"/>
    <cellStyle name="Normal 5 2 3 2 3 5 3 2" xfId="14885" xr:uid="{2746C3AA-0639-40D8-B69B-1B26389EB485}"/>
    <cellStyle name="Normal 5 2 3 2 3 5 4" xfId="10667" xr:uid="{75E9E3CE-62B1-4AA4-8E52-C285A0AFBC94}"/>
    <cellStyle name="Normal 5 2 3 2 3 6" xfId="2584" xr:uid="{00000000-0005-0000-0000-00006D180000}"/>
    <cellStyle name="Normal 5 2 3 2 3 6 2" xfId="6869" xr:uid="{00000000-0005-0000-0000-00006E180000}"/>
    <cellStyle name="Normal 5 2 3 2 3 6 2 2" xfId="15298" xr:uid="{18CBDDE0-52C1-4C1A-AB39-95E3DC86F0E2}"/>
    <cellStyle name="Normal 5 2 3 2 3 6 3" xfId="11080" xr:uid="{0C367922-218D-4F8F-BEB7-60529613E6A8}"/>
    <cellStyle name="Normal 5 2 3 2 3 7" xfId="4804" xr:uid="{00000000-0005-0000-0000-00006F180000}"/>
    <cellStyle name="Normal 5 2 3 2 3 7 2" xfId="13233" xr:uid="{1A84B9F1-8F36-4107-B603-39A11AE0927F}"/>
    <cellStyle name="Normal 5 2 3 2 3 8" xfId="9015" xr:uid="{1BB65B5C-8068-4B7B-AD09-EA0C524B41EA}"/>
    <cellStyle name="Normal 5 2 3 2 4" xfId="900" xr:uid="{00000000-0005-0000-0000-000070180000}"/>
    <cellStyle name="Normal 5 2 3 2 4 2" xfId="3135" xr:uid="{00000000-0005-0000-0000-000071180000}"/>
    <cellStyle name="Normal 5 2 3 2 4 2 2" xfId="7359" xr:uid="{00000000-0005-0000-0000-000072180000}"/>
    <cellStyle name="Normal 5 2 3 2 4 2 2 2" xfId="15788" xr:uid="{5D33C553-8DD3-422B-976B-44E6476ACB02}"/>
    <cellStyle name="Normal 5 2 3 2 4 2 3" xfId="11570" xr:uid="{8BB0A190-202B-4996-947C-1A622B0190C6}"/>
    <cellStyle name="Normal 5 2 3 2 4 3" xfId="5214" xr:uid="{00000000-0005-0000-0000-000073180000}"/>
    <cellStyle name="Normal 5 2 3 2 4 3 2" xfId="13643" xr:uid="{0CAEE584-9A53-4D12-AEEA-F88149044C6F}"/>
    <cellStyle name="Normal 5 2 3 2 4 4" xfId="9425" xr:uid="{ED06EF41-3D06-4D8C-8D16-5435DF5E081B}"/>
    <cellStyle name="Normal 5 2 3 2 5" xfId="1318" xr:uid="{00000000-0005-0000-0000-000074180000}"/>
    <cellStyle name="Normal 5 2 3 2 5 2" xfId="3548" xr:uid="{00000000-0005-0000-0000-000075180000}"/>
    <cellStyle name="Normal 5 2 3 2 5 2 2" xfId="7772" xr:uid="{00000000-0005-0000-0000-000076180000}"/>
    <cellStyle name="Normal 5 2 3 2 5 2 2 2" xfId="16201" xr:uid="{43311821-78C2-404A-BB32-5CA203A260D5}"/>
    <cellStyle name="Normal 5 2 3 2 5 2 3" xfId="11983" xr:uid="{8244CF01-D281-44FB-A767-A3994C8A74A8}"/>
    <cellStyle name="Normal 5 2 3 2 5 3" xfId="5627" xr:uid="{00000000-0005-0000-0000-000077180000}"/>
    <cellStyle name="Normal 5 2 3 2 5 3 2" xfId="14056" xr:uid="{87CD8761-11BD-43D9-ADD3-D1C5BBCEA3C2}"/>
    <cellStyle name="Normal 5 2 3 2 5 4" xfId="9838" xr:uid="{605AC241-2FD3-4604-ABFB-D38540FCCB2E}"/>
    <cellStyle name="Normal 5 2 3 2 6" xfId="1731" xr:uid="{00000000-0005-0000-0000-000078180000}"/>
    <cellStyle name="Normal 5 2 3 2 6 2" xfId="3961" xr:uid="{00000000-0005-0000-0000-000079180000}"/>
    <cellStyle name="Normal 5 2 3 2 6 2 2" xfId="8185" xr:uid="{00000000-0005-0000-0000-00007A180000}"/>
    <cellStyle name="Normal 5 2 3 2 6 2 2 2" xfId="16614" xr:uid="{A42DD636-B8E2-4887-86DA-0E31B91F195E}"/>
    <cellStyle name="Normal 5 2 3 2 6 2 3" xfId="12396" xr:uid="{C9123786-C9B8-4F0F-BEA4-439BF4F88F26}"/>
    <cellStyle name="Normal 5 2 3 2 6 3" xfId="6040" xr:uid="{00000000-0005-0000-0000-00007B180000}"/>
    <cellStyle name="Normal 5 2 3 2 6 3 2" xfId="14469" xr:uid="{30ECFB82-FECE-4421-B1FE-33A99158E2A6}"/>
    <cellStyle name="Normal 5 2 3 2 6 4" xfId="10251" xr:uid="{2BDCD2E0-1D3C-4E4C-9EFD-86C58F94AE1B}"/>
    <cellStyle name="Normal 5 2 3 2 7" xfId="2145" xr:uid="{00000000-0005-0000-0000-00007C180000}"/>
    <cellStyle name="Normal 5 2 3 2 7 2" xfId="4374" xr:uid="{00000000-0005-0000-0000-00007D180000}"/>
    <cellStyle name="Normal 5 2 3 2 7 2 2" xfId="8598" xr:uid="{00000000-0005-0000-0000-00007E180000}"/>
    <cellStyle name="Normal 5 2 3 2 7 2 2 2" xfId="17027" xr:uid="{6AF46D4C-3044-4E21-854B-F0BF5E939A3C}"/>
    <cellStyle name="Normal 5 2 3 2 7 2 3" xfId="12809" xr:uid="{50139249-DD1A-4352-8DE3-BA9C2F99A6FE}"/>
    <cellStyle name="Normal 5 2 3 2 7 3" xfId="6453" xr:uid="{00000000-0005-0000-0000-00007F180000}"/>
    <cellStyle name="Normal 5 2 3 2 7 3 2" xfId="14882" xr:uid="{EF60ACF9-FC75-418F-8306-472BE68C8E27}"/>
    <cellStyle name="Normal 5 2 3 2 7 4" xfId="10664" xr:uid="{3CE624D7-B8EC-40B3-9249-D4856EAF1499}"/>
    <cellStyle name="Normal 5 2 3 2 8" xfId="2581" xr:uid="{00000000-0005-0000-0000-000080180000}"/>
    <cellStyle name="Normal 5 2 3 2 8 2" xfId="6866" xr:uid="{00000000-0005-0000-0000-000081180000}"/>
    <cellStyle name="Normal 5 2 3 2 8 2 2" xfId="15295" xr:uid="{73433413-B7D0-4CBE-94F0-DEB80DE5F582}"/>
    <cellStyle name="Normal 5 2 3 2 8 3" xfId="11077" xr:uid="{7ED8C818-BA81-4D4A-96ED-9DBEC4C8C7E5}"/>
    <cellStyle name="Normal 5 2 3 2 9" xfId="4801" xr:uid="{00000000-0005-0000-0000-000082180000}"/>
    <cellStyle name="Normal 5 2 3 2 9 2" xfId="13230" xr:uid="{C22E1CAC-3BCA-4CD0-8B25-E7A75EF9873D}"/>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2 2 2" xfId="15793" xr:uid="{D2DE0A38-B964-4E0C-9ED5-D98CEE411CFA}"/>
    <cellStyle name="Normal 5 2 3 3 2 2 2 3" xfId="11575" xr:uid="{B613C2D6-3392-4381-8989-59F13107B46D}"/>
    <cellStyle name="Normal 5 2 3 3 2 2 3" xfId="5219" xr:uid="{00000000-0005-0000-0000-000088180000}"/>
    <cellStyle name="Normal 5 2 3 3 2 2 3 2" xfId="13648" xr:uid="{44551134-AD92-4677-9C36-D3A72542EA0E}"/>
    <cellStyle name="Normal 5 2 3 3 2 2 4" xfId="9430" xr:uid="{79AC08A8-29B1-417E-B46C-6181185C1EEE}"/>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2 2 2" xfId="16206" xr:uid="{BC88B0B3-5970-4AC4-94E0-3D3B604CF441}"/>
    <cellStyle name="Normal 5 2 3 3 2 3 2 3" xfId="11988" xr:uid="{A74A9788-B2DC-42A5-82F2-864827E1794C}"/>
    <cellStyle name="Normal 5 2 3 3 2 3 3" xfId="5632" xr:uid="{00000000-0005-0000-0000-00008C180000}"/>
    <cellStyle name="Normal 5 2 3 3 2 3 3 2" xfId="14061" xr:uid="{0E6DC813-29F9-4028-BC0D-6B5681EB0DEE}"/>
    <cellStyle name="Normal 5 2 3 3 2 3 4" xfId="9843" xr:uid="{80828117-1B7F-407F-9746-490074EE3316}"/>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2 2 2" xfId="16619" xr:uid="{132EC167-9329-404E-84FA-1C931ADCAAEF}"/>
    <cellStyle name="Normal 5 2 3 3 2 4 2 3" xfId="12401" xr:uid="{49000FE9-EE42-492D-8CBF-A80B691D1CAD}"/>
    <cellStyle name="Normal 5 2 3 3 2 4 3" xfId="6045" xr:uid="{00000000-0005-0000-0000-000090180000}"/>
    <cellStyle name="Normal 5 2 3 3 2 4 3 2" xfId="14474" xr:uid="{CED9AD0F-8053-481E-A95D-103943B238EB}"/>
    <cellStyle name="Normal 5 2 3 3 2 4 4" xfId="10256" xr:uid="{D8AB8126-46A8-4A8A-AD39-324B8D2BE8C9}"/>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2 2 2" xfId="17032" xr:uid="{B88E9E2E-EE9C-4023-84AF-46B0926E15E4}"/>
    <cellStyle name="Normal 5 2 3 3 2 5 2 3" xfId="12814" xr:uid="{FB607681-8E67-4BB9-99AB-1CDCE4AE117F}"/>
    <cellStyle name="Normal 5 2 3 3 2 5 3" xfId="6458" xr:uid="{00000000-0005-0000-0000-000094180000}"/>
    <cellStyle name="Normal 5 2 3 3 2 5 3 2" xfId="14887" xr:uid="{9B8A78E1-0F65-44AE-97A4-FD37DF414D08}"/>
    <cellStyle name="Normal 5 2 3 3 2 5 4" xfId="10669" xr:uid="{02C921EC-B8CF-4E4B-AE2C-2EF3E57BA8E6}"/>
    <cellStyle name="Normal 5 2 3 3 2 6" xfId="2586" xr:uid="{00000000-0005-0000-0000-000095180000}"/>
    <cellStyle name="Normal 5 2 3 3 2 6 2" xfId="6871" xr:uid="{00000000-0005-0000-0000-000096180000}"/>
    <cellStyle name="Normal 5 2 3 3 2 6 2 2" xfId="15300" xr:uid="{E01108F9-C242-46E1-9453-D90EADB2AEEB}"/>
    <cellStyle name="Normal 5 2 3 3 2 6 3" xfId="11082" xr:uid="{4A739C3A-E1A5-4100-A0B6-34B5C91201B3}"/>
    <cellStyle name="Normal 5 2 3 3 2 7" xfId="4806" xr:uid="{00000000-0005-0000-0000-000097180000}"/>
    <cellStyle name="Normal 5 2 3 3 2 7 2" xfId="13235" xr:uid="{1394A0C1-B9AD-49A6-9518-6E1B6DF20922}"/>
    <cellStyle name="Normal 5 2 3 3 2 8" xfId="9017" xr:uid="{D698C148-60C1-4588-9CBC-FD1B1117204C}"/>
    <cellStyle name="Normal 5 2 3 3 3" xfId="904" xr:uid="{00000000-0005-0000-0000-000098180000}"/>
    <cellStyle name="Normal 5 2 3 3 3 2" xfId="3139" xr:uid="{00000000-0005-0000-0000-000099180000}"/>
    <cellStyle name="Normal 5 2 3 3 3 2 2" xfId="7363" xr:uid="{00000000-0005-0000-0000-00009A180000}"/>
    <cellStyle name="Normal 5 2 3 3 3 2 2 2" xfId="15792" xr:uid="{68FB8104-66CA-41AA-8FEA-792000A017FB}"/>
    <cellStyle name="Normal 5 2 3 3 3 2 3" xfId="11574" xr:uid="{265469C5-600D-4F3F-AFED-549F40BB35B9}"/>
    <cellStyle name="Normal 5 2 3 3 3 3" xfId="5218" xr:uid="{00000000-0005-0000-0000-00009B180000}"/>
    <cellStyle name="Normal 5 2 3 3 3 3 2" xfId="13647" xr:uid="{BE516352-CD0F-45F1-AFF1-6846D52DFA36}"/>
    <cellStyle name="Normal 5 2 3 3 3 4" xfId="9429" xr:uid="{DB231D9C-349A-4905-9192-17317558FF4E}"/>
    <cellStyle name="Normal 5 2 3 3 4" xfId="1322" xr:uid="{00000000-0005-0000-0000-00009C180000}"/>
    <cellStyle name="Normal 5 2 3 3 4 2" xfId="3552" xr:uid="{00000000-0005-0000-0000-00009D180000}"/>
    <cellStyle name="Normal 5 2 3 3 4 2 2" xfId="7776" xr:uid="{00000000-0005-0000-0000-00009E180000}"/>
    <cellStyle name="Normal 5 2 3 3 4 2 2 2" xfId="16205" xr:uid="{162FD833-E9F0-489B-9EF5-92A93E0F7CEB}"/>
    <cellStyle name="Normal 5 2 3 3 4 2 3" xfId="11987" xr:uid="{9EE013C4-2248-44F8-88D1-BB4A855D81C5}"/>
    <cellStyle name="Normal 5 2 3 3 4 3" xfId="5631" xr:uid="{00000000-0005-0000-0000-00009F180000}"/>
    <cellStyle name="Normal 5 2 3 3 4 3 2" xfId="14060" xr:uid="{19964D38-CAC1-426F-8BE7-F931E0047522}"/>
    <cellStyle name="Normal 5 2 3 3 4 4" xfId="9842" xr:uid="{B994A2E9-744B-41B8-B4E8-5DE5677F3800}"/>
    <cellStyle name="Normal 5 2 3 3 5" xfId="1735" xr:uid="{00000000-0005-0000-0000-0000A0180000}"/>
    <cellStyle name="Normal 5 2 3 3 5 2" xfId="3965" xr:uid="{00000000-0005-0000-0000-0000A1180000}"/>
    <cellStyle name="Normal 5 2 3 3 5 2 2" xfId="8189" xr:uid="{00000000-0005-0000-0000-0000A2180000}"/>
    <cellStyle name="Normal 5 2 3 3 5 2 2 2" xfId="16618" xr:uid="{616295BE-1923-4B88-8B8E-C79CD8011F90}"/>
    <cellStyle name="Normal 5 2 3 3 5 2 3" xfId="12400" xr:uid="{068C3D0C-CACB-4E5D-BFCE-FC43EB460B74}"/>
    <cellStyle name="Normal 5 2 3 3 5 3" xfId="6044" xr:uid="{00000000-0005-0000-0000-0000A3180000}"/>
    <cellStyle name="Normal 5 2 3 3 5 3 2" xfId="14473" xr:uid="{06108FEE-08EF-47A5-AA28-2F97FB72A4C4}"/>
    <cellStyle name="Normal 5 2 3 3 5 4" xfId="10255" xr:uid="{55EB97C5-3E00-48D0-9A0F-CE90502486D6}"/>
    <cellStyle name="Normal 5 2 3 3 6" xfId="2149" xr:uid="{00000000-0005-0000-0000-0000A4180000}"/>
    <cellStyle name="Normal 5 2 3 3 6 2" xfId="4378" xr:uid="{00000000-0005-0000-0000-0000A5180000}"/>
    <cellStyle name="Normal 5 2 3 3 6 2 2" xfId="8602" xr:uid="{00000000-0005-0000-0000-0000A6180000}"/>
    <cellStyle name="Normal 5 2 3 3 6 2 2 2" xfId="17031" xr:uid="{35DAA853-714F-4457-B049-2253A902F4A9}"/>
    <cellStyle name="Normal 5 2 3 3 6 2 3" xfId="12813" xr:uid="{89BEF2D8-898C-4B25-A6C6-A3D593223319}"/>
    <cellStyle name="Normal 5 2 3 3 6 3" xfId="6457" xr:uid="{00000000-0005-0000-0000-0000A7180000}"/>
    <cellStyle name="Normal 5 2 3 3 6 3 2" xfId="14886" xr:uid="{9BA92708-00F5-428B-AB9E-8CFEA3507342}"/>
    <cellStyle name="Normal 5 2 3 3 6 4" xfId="10668" xr:uid="{48501CD7-D19C-4829-81CD-ED3677D70F07}"/>
    <cellStyle name="Normal 5 2 3 3 7" xfId="2585" xr:uid="{00000000-0005-0000-0000-0000A8180000}"/>
    <cellStyle name="Normal 5 2 3 3 7 2" xfId="6870" xr:uid="{00000000-0005-0000-0000-0000A9180000}"/>
    <cellStyle name="Normal 5 2 3 3 7 2 2" xfId="15299" xr:uid="{1031278C-0003-4519-94AB-9D1F1742D252}"/>
    <cellStyle name="Normal 5 2 3 3 7 3" xfId="11081" xr:uid="{E227BB80-EF2D-416B-8443-C13A28CBF5CD}"/>
    <cellStyle name="Normal 5 2 3 3 8" xfId="4805" xr:uid="{00000000-0005-0000-0000-0000AA180000}"/>
    <cellStyle name="Normal 5 2 3 3 8 2" xfId="13234" xr:uid="{BA5A1BAA-ED1A-4AD1-A4DE-F9E01142CAA0}"/>
    <cellStyle name="Normal 5 2 3 3 9" xfId="9016" xr:uid="{68AB42DC-4FC5-4BD8-A5DB-EE838AA00C75}"/>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2 2 2" xfId="15794" xr:uid="{5248CBE8-5EE3-4D1E-87C2-5AD2A6140622}"/>
    <cellStyle name="Normal 5 2 3 4 2 2 3" xfId="11576" xr:uid="{855256E6-0022-4442-AAD2-FD02E811D25C}"/>
    <cellStyle name="Normal 5 2 3 4 2 3" xfId="5220" xr:uid="{00000000-0005-0000-0000-0000AF180000}"/>
    <cellStyle name="Normal 5 2 3 4 2 3 2" xfId="13649" xr:uid="{B85342C7-0555-41CD-A815-9BD5E9D53DFD}"/>
    <cellStyle name="Normal 5 2 3 4 2 4" xfId="9431" xr:uid="{CCA6C70A-1A99-4906-B2CE-801FCC897097}"/>
    <cellStyle name="Normal 5 2 3 4 3" xfId="1324" xr:uid="{00000000-0005-0000-0000-0000B0180000}"/>
    <cellStyle name="Normal 5 2 3 4 3 2" xfId="3554" xr:uid="{00000000-0005-0000-0000-0000B1180000}"/>
    <cellStyle name="Normal 5 2 3 4 3 2 2" xfId="7778" xr:uid="{00000000-0005-0000-0000-0000B2180000}"/>
    <cellStyle name="Normal 5 2 3 4 3 2 2 2" xfId="16207" xr:uid="{4BE37CFE-B321-4453-8FDD-7D89D226F72D}"/>
    <cellStyle name="Normal 5 2 3 4 3 2 3" xfId="11989" xr:uid="{0D8D6315-94FF-4407-8FC4-C9DCBA181232}"/>
    <cellStyle name="Normal 5 2 3 4 3 3" xfId="5633" xr:uid="{00000000-0005-0000-0000-0000B3180000}"/>
    <cellStyle name="Normal 5 2 3 4 3 3 2" xfId="14062" xr:uid="{606F9DFD-87F7-487D-9113-75E2F0696CD8}"/>
    <cellStyle name="Normal 5 2 3 4 3 4" xfId="9844" xr:uid="{2A5EB325-1D68-435F-A4ED-3745C2190260}"/>
    <cellStyle name="Normal 5 2 3 4 4" xfId="1737" xr:uid="{00000000-0005-0000-0000-0000B4180000}"/>
    <cellStyle name="Normal 5 2 3 4 4 2" xfId="3967" xr:uid="{00000000-0005-0000-0000-0000B5180000}"/>
    <cellStyle name="Normal 5 2 3 4 4 2 2" xfId="8191" xr:uid="{00000000-0005-0000-0000-0000B6180000}"/>
    <cellStyle name="Normal 5 2 3 4 4 2 2 2" xfId="16620" xr:uid="{F48C45EA-6292-4938-87EC-15AAE2849FC0}"/>
    <cellStyle name="Normal 5 2 3 4 4 2 3" xfId="12402" xr:uid="{61F683BA-0191-49B3-8E84-5BF0971769C9}"/>
    <cellStyle name="Normal 5 2 3 4 4 3" xfId="6046" xr:uid="{00000000-0005-0000-0000-0000B7180000}"/>
    <cellStyle name="Normal 5 2 3 4 4 3 2" xfId="14475" xr:uid="{814684FD-63B8-4A85-8A76-D6EE0E232C22}"/>
    <cellStyle name="Normal 5 2 3 4 4 4" xfId="10257" xr:uid="{0D96E631-4023-4B94-9883-921413FFFB05}"/>
    <cellStyle name="Normal 5 2 3 4 5" xfId="2151" xr:uid="{00000000-0005-0000-0000-0000B8180000}"/>
    <cellStyle name="Normal 5 2 3 4 5 2" xfId="4380" xr:uid="{00000000-0005-0000-0000-0000B9180000}"/>
    <cellStyle name="Normal 5 2 3 4 5 2 2" xfId="8604" xr:uid="{00000000-0005-0000-0000-0000BA180000}"/>
    <cellStyle name="Normal 5 2 3 4 5 2 2 2" xfId="17033" xr:uid="{6395FD22-BA88-46F7-BD9D-5D2CF87861FB}"/>
    <cellStyle name="Normal 5 2 3 4 5 2 3" xfId="12815" xr:uid="{F5A2F994-FDC6-4A0F-A326-25CA55CCE7C0}"/>
    <cellStyle name="Normal 5 2 3 4 5 3" xfId="6459" xr:uid="{00000000-0005-0000-0000-0000BB180000}"/>
    <cellStyle name="Normal 5 2 3 4 5 3 2" xfId="14888" xr:uid="{705704DB-4BFF-4AAB-8D99-BA672D05F100}"/>
    <cellStyle name="Normal 5 2 3 4 5 4" xfId="10670" xr:uid="{4BFEB463-9A00-4C63-90F6-3BE6FC3A6282}"/>
    <cellStyle name="Normal 5 2 3 4 6" xfId="2587" xr:uid="{00000000-0005-0000-0000-0000BC180000}"/>
    <cellStyle name="Normal 5 2 3 4 6 2" xfId="6872" xr:uid="{00000000-0005-0000-0000-0000BD180000}"/>
    <cellStyle name="Normal 5 2 3 4 6 2 2" xfId="15301" xr:uid="{99FE2002-EABF-41D7-BD4D-417E1B6BB34F}"/>
    <cellStyle name="Normal 5 2 3 4 6 3" xfId="11083" xr:uid="{8359D6B7-FE7F-4EE0-93D8-36FA71A43C26}"/>
    <cellStyle name="Normal 5 2 3 4 7" xfId="4807" xr:uid="{00000000-0005-0000-0000-0000BE180000}"/>
    <cellStyle name="Normal 5 2 3 4 7 2" xfId="13236" xr:uid="{6F35EE08-0283-4993-9EBC-B76B0755C6B8}"/>
    <cellStyle name="Normal 5 2 3 4 8" xfId="9018" xr:uid="{4637AB44-D2B7-46DE-8050-EEE1D5A68375}"/>
    <cellStyle name="Normal 5 2 3 5" xfId="899" xr:uid="{00000000-0005-0000-0000-0000BF180000}"/>
    <cellStyle name="Normal 5 2 3 5 2" xfId="3134" xr:uid="{00000000-0005-0000-0000-0000C0180000}"/>
    <cellStyle name="Normal 5 2 3 5 2 2" xfId="7358" xr:uid="{00000000-0005-0000-0000-0000C1180000}"/>
    <cellStyle name="Normal 5 2 3 5 2 2 2" xfId="15787" xr:uid="{EA974B93-CB0A-43B3-A285-4E03CA5CE35C}"/>
    <cellStyle name="Normal 5 2 3 5 2 3" xfId="11569" xr:uid="{F98D8A7B-7080-43D5-8743-FB9F970B8EEB}"/>
    <cellStyle name="Normal 5 2 3 5 3" xfId="5213" xr:uid="{00000000-0005-0000-0000-0000C2180000}"/>
    <cellStyle name="Normal 5 2 3 5 3 2" xfId="13642" xr:uid="{B292D05B-B2AD-43C9-BFC0-712DFF318CC3}"/>
    <cellStyle name="Normal 5 2 3 5 4" xfId="9424" xr:uid="{DBB5661B-7897-46BC-AA4F-4DE12B8F8299}"/>
    <cellStyle name="Normal 5 2 3 6" xfId="1317" xr:uid="{00000000-0005-0000-0000-0000C3180000}"/>
    <cellStyle name="Normal 5 2 3 6 2" xfId="3547" xr:uid="{00000000-0005-0000-0000-0000C4180000}"/>
    <cellStyle name="Normal 5 2 3 6 2 2" xfId="7771" xr:uid="{00000000-0005-0000-0000-0000C5180000}"/>
    <cellStyle name="Normal 5 2 3 6 2 2 2" xfId="16200" xr:uid="{B535D3F5-B6C3-4187-B9C5-D0663A61D9D1}"/>
    <cellStyle name="Normal 5 2 3 6 2 3" xfId="11982" xr:uid="{E9EA1CB3-CB7A-4E82-9F45-F80E466AECA4}"/>
    <cellStyle name="Normal 5 2 3 6 3" xfId="5626" xr:uid="{00000000-0005-0000-0000-0000C6180000}"/>
    <cellStyle name="Normal 5 2 3 6 3 2" xfId="14055" xr:uid="{117E2764-0DA9-4DA0-B23C-B3BD588FEE94}"/>
    <cellStyle name="Normal 5 2 3 6 4" xfId="9837" xr:uid="{57501CB3-1C0F-408A-968D-759AD6E70B35}"/>
    <cellStyle name="Normal 5 2 3 7" xfId="1730" xr:uid="{00000000-0005-0000-0000-0000C7180000}"/>
    <cellStyle name="Normal 5 2 3 7 2" xfId="3960" xr:uid="{00000000-0005-0000-0000-0000C8180000}"/>
    <cellStyle name="Normal 5 2 3 7 2 2" xfId="8184" xr:uid="{00000000-0005-0000-0000-0000C9180000}"/>
    <cellStyle name="Normal 5 2 3 7 2 2 2" xfId="16613" xr:uid="{194194F1-98EA-497A-BA19-59433513FE11}"/>
    <cellStyle name="Normal 5 2 3 7 2 3" xfId="12395" xr:uid="{35BCAFEA-BED8-4FD5-AF5D-5CD8FF1C68A5}"/>
    <cellStyle name="Normal 5 2 3 7 3" xfId="6039" xr:uid="{00000000-0005-0000-0000-0000CA180000}"/>
    <cellStyle name="Normal 5 2 3 7 3 2" xfId="14468" xr:uid="{AD80C03C-D3C9-4300-9EC0-9C21C7818E3A}"/>
    <cellStyle name="Normal 5 2 3 7 4" xfId="10250" xr:uid="{96959DC7-C98D-4E69-A45C-0F643AD5E47C}"/>
    <cellStyle name="Normal 5 2 3 8" xfId="2144" xr:uid="{00000000-0005-0000-0000-0000CB180000}"/>
    <cellStyle name="Normal 5 2 3 8 2" xfId="4373" xr:uid="{00000000-0005-0000-0000-0000CC180000}"/>
    <cellStyle name="Normal 5 2 3 8 2 2" xfId="8597" xr:uid="{00000000-0005-0000-0000-0000CD180000}"/>
    <cellStyle name="Normal 5 2 3 8 2 2 2" xfId="17026" xr:uid="{5B3B5964-E17B-469F-87C1-97CB37622F02}"/>
    <cellStyle name="Normal 5 2 3 8 2 3" xfId="12808" xr:uid="{51651FD7-2150-4723-BE2A-E46C4A0108CE}"/>
    <cellStyle name="Normal 5 2 3 8 3" xfId="6452" xr:uid="{00000000-0005-0000-0000-0000CE180000}"/>
    <cellStyle name="Normal 5 2 3 8 3 2" xfId="14881" xr:uid="{E1A8DF11-8979-44DA-9FEE-6A595EC69AD6}"/>
    <cellStyle name="Normal 5 2 3 8 4" xfId="10663" xr:uid="{20FC343F-8855-47D8-915C-3DA4815798E0}"/>
    <cellStyle name="Normal 5 2 3 9" xfId="2580" xr:uid="{00000000-0005-0000-0000-0000CF180000}"/>
    <cellStyle name="Normal 5 2 3 9 2" xfId="6865" xr:uid="{00000000-0005-0000-0000-0000D0180000}"/>
    <cellStyle name="Normal 5 2 3 9 2 2" xfId="15294" xr:uid="{0B7963E8-FD5F-4C6E-8016-AA32F6F208CF}"/>
    <cellStyle name="Normal 5 2 3 9 3" xfId="11076" xr:uid="{F2654ACA-BC95-4877-B0EE-B905623D2483}"/>
    <cellStyle name="Normal 5 2 4" xfId="432" xr:uid="{00000000-0005-0000-0000-0000D1180000}"/>
    <cellStyle name="Normal 5 2 4 10" xfId="9019" xr:uid="{40E0A659-7AEA-45E4-8536-433B6B075B4A}"/>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2 2 2" xfId="15797" xr:uid="{C35667EB-7AF6-4E83-8B85-29165445FCCB}"/>
    <cellStyle name="Normal 5 2 4 2 2 2 2 3" xfId="11579" xr:uid="{ED8DD1CE-B9C9-4605-9428-3AECCF80F8C0}"/>
    <cellStyle name="Normal 5 2 4 2 2 2 3" xfId="5223" xr:uid="{00000000-0005-0000-0000-0000D7180000}"/>
    <cellStyle name="Normal 5 2 4 2 2 2 3 2" xfId="13652" xr:uid="{7386E20D-5CF9-4D4A-A2F0-C32E038A223C}"/>
    <cellStyle name="Normal 5 2 4 2 2 2 4" xfId="9434" xr:uid="{5AEA3BA3-0B52-490B-8773-0A916F80D9AA}"/>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2 2 2" xfId="16210" xr:uid="{0D19CA67-66A0-4E9E-AFDA-DAF6A52991D9}"/>
    <cellStyle name="Normal 5 2 4 2 2 3 2 3" xfId="11992" xr:uid="{4BCEB9D1-EF67-486F-8733-B4D4A3307266}"/>
    <cellStyle name="Normal 5 2 4 2 2 3 3" xfId="5636" xr:uid="{00000000-0005-0000-0000-0000DB180000}"/>
    <cellStyle name="Normal 5 2 4 2 2 3 3 2" xfId="14065" xr:uid="{062E1B7E-15D0-4E92-94AB-E7191799A3FC}"/>
    <cellStyle name="Normal 5 2 4 2 2 3 4" xfId="9847" xr:uid="{E6830F62-2466-4B5A-92B6-27E309D0C20D}"/>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2 2 2" xfId="16623" xr:uid="{8B0275E5-0118-448D-91E6-1CDE7E14FC63}"/>
    <cellStyle name="Normal 5 2 4 2 2 4 2 3" xfId="12405" xr:uid="{C502397E-B09F-41E9-AFDA-C8F8FBC19D28}"/>
    <cellStyle name="Normal 5 2 4 2 2 4 3" xfId="6049" xr:uid="{00000000-0005-0000-0000-0000DF180000}"/>
    <cellStyle name="Normal 5 2 4 2 2 4 3 2" xfId="14478" xr:uid="{CE52A4D9-7991-4BC3-91F8-89BDE2DCA39A}"/>
    <cellStyle name="Normal 5 2 4 2 2 4 4" xfId="10260" xr:uid="{E0D710A4-277F-4DC8-BB6F-219D7FFB8B46}"/>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2 2 2" xfId="17036" xr:uid="{5EBBC9DE-21B0-4DAC-974A-F39467E62BE5}"/>
    <cellStyle name="Normal 5 2 4 2 2 5 2 3" xfId="12818" xr:uid="{0B433963-A81B-4263-801D-C33BEF5E873D}"/>
    <cellStyle name="Normal 5 2 4 2 2 5 3" xfId="6462" xr:uid="{00000000-0005-0000-0000-0000E3180000}"/>
    <cellStyle name="Normal 5 2 4 2 2 5 3 2" xfId="14891" xr:uid="{43FBD6A0-971D-44DB-8600-EC9CCAB2A2E8}"/>
    <cellStyle name="Normal 5 2 4 2 2 5 4" xfId="10673" xr:uid="{CC64F223-2435-4DF0-941A-6CFC2D6DA160}"/>
    <cellStyle name="Normal 5 2 4 2 2 6" xfId="2590" xr:uid="{00000000-0005-0000-0000-0000E4180000}"/>
    <cellStyle name="Normal 5 2 4 2 2 6 2" xfId="6875" xr:uid="{00000000-0005-0000-0000-0000E5180000}"/>
    <cellStyle name="Normal 5 2 4 2 2 6 2 2" xfId="15304" xr:uid="{ECFA9F3E-BA9E-4EC1-962A-44525FE0369E}"/>
    <cellStyle name="Normal 5 2 4 2 2 6 3" xfId="11086" xr:uid="{AFABE21D-FCBF-4173-877D-0A5C0238956B}"/>
    <cellStyle name="Normal 5 2 4 2 2 7" xfId="4810" xr:uid="{00000000-0005-0000-0000-0000E6180000}"/>
    <cellStyle name="Normal 5 2 4 2 2 7 2" xfId="13239" xr:uid="{72DB049A-59F8-4FD5-A3A5-E14BD7FBAE16}"/>
    <cellStyle name="Normal 5 2 4 2 2 8" xfId="9021" xr:uid="{06966E5F-EAD7-49D1-916F-14FC8DF6F748}"/>
    <cellStyle name="Normal 5 2 4 2 3" xfId="908" xr:uid="{00000000-0005-0000-0000-0000E7180000}"/>
    <cellStyle name="Normal 5 2 4 2 3 2" xfId="3143" xr:uid="{00000000-0005-0000-0000-0000E8180000}"/>
    <cellStyle name="Normal 5 2 4 2 3 2 2" xfId="7367" xr:uid="{00000000-0005-0000-0000-0000E9180000}"/>
    <cellStyle name="Normal 5 2 4 2 3 2 2 2" xfId="15796" xr:uid="{997ED09E-1964-4CF5-B1A1-E4AB71208BEF}"/>
    <cellStyle name="Normal 5 2 4 2 3 2 3" xfId="11578" xr:uid="{E30625C9-1DA9-4372-AAAA-1459052BBFA8}"/>
    <cellStyle name="Normal 5 2 4 2 3 3" xfId="5222" xr:uid="{00000000-0005-0000-0000-0000EA180000}"/>
    <cellStyle name="Normal 5 2 4 2 3 3 2" xfId="13651" xr:uid="{7A830407-7EED-48A5-89CC-27213DE0BAB4}"/>
    <cellStyle name="Normal 5 2 4 2 3 4" xfId="9433" xr:uid="{D9814F5C-EB12-4656-8CBC-F3BD1ECD4C75}"/>
    <cellStyle name="Normal 5 2 4 2 4" xfId="1326" xr:uid="{00000000-0005-0000-0000-0000EB180000}"/>
    <cellStyle name="Normal 5 2 4 2 4 2" xfId="3556" xr:uid="{00000000-0005-0000-0000-0000EC180000}"/>
    <cellStyle name="Normal 5 2 4 2 4 2 2" xfId="7780" xr:uid="{00000000-0005-0000-0000-0000ED180000}"/>
    <cellStyle name="Normal 5 2 4 2 4 2 2 2" xfId="16209" xr:uid="{DCFCC91A-2305-4FCA-92FD-D287CB10E560}"/>
    <cellStyle name="Normal 5 2 4 2 4 2 3" xfId="11991" xr:uid="{48CF081C-7E1C-4DD9-9A1B-837AEAEA3292}"/>
    <cellStyle name="Normal 5 2 4 2 4 3" xfId="5635" xr:uid="{00000000-0005-0000-0000-0000EE180000}"/>
    <cellStyle name="Normal 5 2 4 2 4 3 2" xfId="14064" xr:uid="{5F74D494-C86E-4536-92C5-9D9EE345AD13}"/>
    <cellStyle name="Normal 5 2 4 2 4 4" xfId="9846" xr:uid="{5D70447C-6066-420D-9089-9B0B93C26052}"/>
    <cellStyle name="Normal 5 2 4 2 5" xfId="1739" xr:uid="{00000000-0005-0000-0000-0000EF180000}"/>
    <cellStyle name="Normal 5 2 4 2 5 2" xfId="3969" xr:uid="{00000000-0005-0000-0000-0000F0180000}"/>
    <cellStyle name="Normal 5 2 4 2 5 2 2" xfId="8193" xr:uid="{00000000-0005-0000-0000-0000F1180000}"/>
    <cellStyle name="Normal 5 2 4 2 5 2 2 2" xfId="16622" xr:uid="{61AB5546-85B9-4D6C-AE76-0FFA0AE8A0D8}"/>
    <cellStyle name="Normal 5 2 4 2 5 2 3" xfId="12404" xr:uid="{337697A8-9184-47AA-BDE3-124126802FC2}"/>
    <cellStyle name="Normal 5 2 4 2 5 3" xfId="6048" xr:uid="{00000000-0005-0000-0000-0000F2180000}"/>
    <cellStyle name="Normal 5 2 4 2 5 3 2" xfId="14477" xr:uid="{F81EC43A-2FB9-4F9E-AB09-7EA8BA85A7EA}"/>
    <cellStyle name="Normal 5 2 4 2 5 4" xfId="10259" xr:uid="{0F01F8B7-96EF-4812-BE31-8C7870DCA273}"/>
    <cellStyle name="Normal 5 2 4 2 6" xfId="2153" xr:uid="{00000000-0005-0000-0000-0000F3180000}"/>
    <cellStyle name="Normal 5 2 4 2 6 2" xfId="4382" xr:uid="{00000000-0005-0000-0000-0000F4180000}"/>
    <cellStyle name="Normal 5 2 4 2 6 2 2" xfId="8606" xr:uid="{00000000-0005-0000-0000-0000F5180000}"/>
    <cellStyle name="Normal 5 2 4 2 6 2 2 2" xfId="17035" xr:uid="{776C6CEE-A1A5-4976-A2F0-5507789A970B}"/>
    <cellStyle name="Normal 5 2 4 2 6 2 3" xfId="12817" xr:uid="{7AD393E9-32BD-4914-80FE-278F0E0DF2C1}"/>
    <cellStyle name="Normal 5 2 4 2 6 3" xfId="6461" xr:uid="{00000000-0005-0000-0000-0000F6180000}"/>
    <cellStyle name="Normal 5 2 4 2 6 3 2" xfId="14890" xr:uid="{551ED96B-EE81-4759-9717-377B158D445D}"/>
    <cellStyle name="Normal 5 2 4 2 6 4" xfId="10672" xr:uid="{52004746-D5F4-4FA7-978B-7AE94875FE2E}"/>
    <cellStyle name="Normal 5 2 4 2 7" xfId="2589" xr:uid="{00000000-0005-0000-0000-0000F7180000}"/>
    <cellStyle name="Normal 5 2 4 2 7 2" xfId="6874" xr:uid="{00000000-0005-0000-0000-0000F8180000}"/>
    <cellStyle name="Normal 5 2 4 2 7 2 2" xfId="15303" xr:uid="{7347ECBB-639B-4893-A9CE-76E2DDDD3671}"/>
    <cellStyle name="Normal 5 2 4 2 7 3" xfId="11085" xr:uid="{DBBD9AA7-E7A7-4604-816D-5D03416E65B2}"/>
    <cellStyle name="Normal 5 2 4 2 8" xfId="4809" xr:uid="{00000000-0005-0000-0000-0000F9180000}"/>
    <cellStyle name="Normal 5 2 4 2 8 2" xfId="13238" xr:uid="{06848487-8C04-46E5-9D45-D415F7185CD8}"/>
    <cellStyle name="Normal 5 2 4 2 9" xfId="9020" xr:uid="{4DD0FA21-0BD1-416E-8BBD-41D91362382E}"/>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2 2 2" xfId="15798" xr:uid="{88FDF2CB-11E8-4B0A-A368-467E14B68900}"/>
    <cellStyle name="Normal 5 2 4 3 2 2 3" xfId="11580" xr:uid="{712CC909-1C78-4CBF-974E-A0AD2CC6C92E}"/>
    <cellStyle name="Normal 5 2 4 3 2 3" xfId="5224" xr:uid="{00000000-0005-0000-0000-0000FE180000}"/>
    <cellStyle name="Normal 5 2 4 3 2 3 2" xfId="13653" xr:uid="{89B17314-1C19-4B10-ABF5-DC505ADE6306}"/>
    <cellStyle name="Normal 5 2 4 3 2 4" xfId="9435" xr:uid="{14611692-D921-4621-A76C-D3FCC2E4A9E1}"/>
    <cellStyle name="Normal 5 2 4 3 3" xfId="1328" xr:uid="{00000000-0005-0000-0000-0000FF180000}"/>
    <cellStyle name="Normal 5 2 4 3 3 2" xfId="3558" xr:uid="{00000000-0005-0000-0000-000000190000}"/>
    <cellStyle name="Normal 5 2 4 3 3 2 2" xfId="7782" xr:uid="{00000000-0005-0000-0000-000001190000}"/>
    <cellStyle name="Normal 5 2 4 3 3 2 2 2" xfId="16211" xr:uid="{53319F6E-93A6-4B0A-9CDD-342DB4FC1B20}"/>
    <cellStyle name="Normal 5 2 4 3 3 2 3" xfId="11993" xr:uid="{B3ADD191-BFB6-46C8-A79C-D1F6E02372D6}"/>
    <cellStyle name="Normal 5 2 4 3 3 3" xfId="5637" xr:uid="{00000000-0005-0000-0000-000002190000}"/>
    <cellStyle name="Normal 5 2 4 3 3 3 2" xfId="14066" xr:uid="{6DFC32F6-FF13-45DE-8098-D1A39735FD6B}"/>
    <cellStyle name="Normal 5 2 4 3 3 4" xfId="9848" xr:uid="{83449D26-6040-4C3E-B67B-BBD16C0FE696}"/>
    <cellStyle name="Normal 5 2 4 3 4" xfId="1741" xr:uid="{00000000-0005-0000-0000-000003190000}"/>
    <cellStyle name="Normal 5 2 4 3 4 2" xfId="3971" xr:uid="{00000000-0005-0000-0000-000004190000}"/>
    <cellStyle name="Normal 5 2 4 3 4 2 2" xfId="8195" xr:uid="{00000000-0005-0000-0000-000005190000}"/>
    <cellStyle name="Normal 5 2 4 3 4 2 2 2" xfId="16624" xr:uid="{9CE3C35C-1910-414A-8FC2-611AFD52AC90}"/>
    <cellStyle name="Normal 5 2 4 3 4 2 3" xfId="12406" xr:uid="{97A78507-BC5B-45E1-A340-C9C5E69B9CC8}"/>
    <cellStyle name="Normal 5 2 4 3 4 3" xfId="6050" xr:uid="{00000000-0005-0000-0000-000006190000}"/>
    <cellStyle name="Normal 5 2 4 3 4 3 2" xfId="14479" xr:uid="{EB15C768-4185-4922-A267-4000A9B07EB5}"/>
    <cellStyle name="Normal 5 2 4 3 4 4" xfId="10261" xr:uid="{02BAC190-DD9E-49FB-9E58-01C8EE8131B2}"/>
    <cellStyle name="Normal 5 2 4 3 5" xfId="2155" xr:uid="{00000000-0005-0000-0000-000007190000}"/>
    <cellStyle name="Normal 5 2 4 3 5 2" xfId="4384" xr:uid="{00000000-0005-0000-0000-000008190000}"/>
    <cellStyle name="Normal 5 2 4 3 5 2 2" xfId="8608" xr:uid="{00000000-0005-0000-0000-000009190000}"/>
    <cellStyle name="Normal 5 2 4 3 5 2 2 2" xfId="17037" xr:uid="{EC7EF2E3-9E33-4DF4-95CA-DC2580DD4470}"/>
    <cellStyle name="Normal 5 2 4 3 5 2 3" xfId="12819" xr:uid="{09B45890-C9F5-4FA6-8D15-0DAB9A2D2204}"/>
    <cellStyle name="Normal 5 2 4 3 5 3" xfId="6463" xr:uid="{00000000-0005-0000-0000-00000A190000}"/>
    <cellStyle name="Normal 5 2 4 3 5 3 2" xfId="14892" xr:uid="{14539E41-8D11-422B-ABE0-4C9E2FDFFD94}"/>
    <cellStyle name="Normal 5 2 4 3 5 4" xfId="10674" xr:uid="{0615470B-6194-4089-A954-69E6BB76BB66}"/>
    <cellStyle name="Normal 5 2 4 3 6" xfId="2591" xr:uid="{00000000-0005-0000-0000-00000B190000}"/>
    <cellStyle name="Normal 5 2 4 3 6 2" xfId="6876" xr:uid="{00000000-0005-0000-0000-00000C190000}"/>
    <cellStyle name="Normal 5 2 4 3 6 2 2" xfId="15305" xr:uid="{39C1E8C6-4267-496D-A3D4-975102F410C2}"/>
    <cellStyle name="Normal 5 2 4 3 6 3" xfId="11087" xr:uid="{A0FAE83B-60CD-4205-B80F-B761A4EFD390}"/>
    <cellStyle name="Normal 5 2 4 3 7" xfId="4811" xr:uid="{00000000-0005-0000-0000-00000D190000}"/>
    <cellStyle name="Normal 5 2 4 3 7 2" xfId="13240" xr:uid="{6C957DE7-5785-4E38-8A1A-5F803685E00D}"/>
    <cellStyle name="Normal 5 2 4 3 8" xfId="9022" xr:uid="{0E29FAFF-FBBD-436D-9C9B-A75B6969EB4B}"/>
    <cellStyle name="Normal 5 2 4 4" xfId="907" xr:uid="{00000000-0005-0000-0000-00000E190000}"/>
    <cellStyle name="Normal 5 2 4 4 2" xfId="3142" xr:uid="{00000000-0005-0000-0000-00000F190000}"/>
    <cellStyle name="Normal 5 2 4 4 2 2" xfId="7366" xr:uid="{00000000-0005-0000-0000-000010190000}"/>
    <cellStyle name="Normal 5 2 4 4 2 2 2" xfId="15795" xr:uid="{5BB951F2-B1C0-431B-B7BE-F682A1C2DAE3}"/>
    <cellStyle name="Normal 5 2 4 4 2 3" xfId="11577" xr:uid="{7D2467DD-B2E1-49AD-B6AE-8541F62FED93}"/>
    <cellStyle name="Normal 5 2 4 4 3" xfId="5221" xr:uid="{00000000-0005-0000-0000-000011190000}"/>
    <cellStyle name="Normal 5 2 4 4 3 2" xfId="13650" xr:uid="{68EBBDCA-BFA8-44E4-A805-9E7F082102F3}"/>
    <cellStyle name="Normal 5 2 4 4 4" xfId="9432" xr:uid="{C6C658DD-200E-4947-A51D-84268FB0DDF2}"/>
    <cellStyle name="Normal 5 2 4 5" xfId="1325" xr:uid="{00000000-0005-0000-0000-000012190000}"/>
    <cellStyle name="Normal 5 2 4 5 2" xfId="3555" xr:uid="{00000000-0005-0000-0000-000013190000}"/>
    <cellStyle name="Normal 5 2 4 5 2 2" xfId="7779" xr:uid="{00000000-0005-0000-0000-000014190000}"/>
    <cellStyle name="Normal 5 2 4 5 2 2 2" xfId="16208" xr:uid="{3191A21C-F762-4ACB-BB85-E90878ED992C}"/>
    <cellStyle name="Normal 5 2 4 5 2 3" xfId="11990" xr:uid="{62CADCD3-98E5-447B-86CA-8C1D5BDA261C}"/>
    <cellStyle name="Normal 5 2 4 5 3" xfId="5634" xr:uid="{00000000-0005-0000-0000-000015190000}"/>
    <cellStyle name="Normal 5 2 4 5 3 2" xfId="14063" xr:uid="{B07036C0-57A7-491D-8CFF-5D8A055A109A}"/>
    <cellStyle name="Normal 5 2 4 5 4" xfId="9845" xr:uid="{6EC16D6F-567E-466D-8F5E-4F5F3DB0FBBE}"/>
    <cellStyle name="Normal 5 2 4 6" xfId="1738" xr:uid="{00000000-0005-0000-0000-000016190000}"/>
    <cellStyle name="Normal 5 2 4 6 2" xfId="3968" xr:uid="{00000000-0005-0000-0000-000017190000}"/>
    <cellStyle name="Normal 5 2 4 6 2 2" xfId="8192" xr:uid="{00000000-0005-0000-0000-000018190000}"/>
    <cellStyle name="Normal 5 2 4 6 2 2 2" xfId="16621" xr:uid="{65A065C3-3A5D-4880-955F-2B2FBEEB47E4}"/>
    <cellStyle name="Normal 5 2 4 6 2 3" xfId="12403" xr:uid="{4C736AB6-4EF7-4583-83A6-D00DE09DD55D}"/>
    <cellStyle name="Normal 5 2 4 6 3" xfId="6047" xr:uid="{00000000-0005-0000-0000-000019190000}"/>
    <cellStyle name="Normal 5 2 4 6 3 2" xfId="14476" xr:uid="{90768125-1BE1-4548-B6D7-00745FEAD39A}"/>
    <cellStyle name="Normal 5 2 4 6 4" xfId="10258" xr:uid="{D94AC580-0109-4195-83B1-1C52904D3B54}"/>
    <cellStyle name="Normal 5 2 4 7" xfId="2152" xr:uid="{00000000-0005-0000-0000-00001A190000}"/>
    <cellStyle name="Normal 5 2 4 7 2" xfId="4381" xr:uid="{00000000-0005-0000-0000-00001B190000}"/>
    <cellStyle name="Normal 5 2 4 7 2 2" xfId="8605" xr:uid="{00000000-0005-0000-0000-00001C190000}"/>
    <cellStyle name="Normal 5 2 4 7 2 2 2" xfId="17034" xr:uid="{05E67713-1929-4726-9276-DF6392064898}"/>
    <cellStyle name="Normal 5 2 4 7 2 3" xfId="12816" xr:uid="{2D92AC75-41BA-4FED-A1EC-741707C31102}"/>
    <cellStyle name="Normal 5 2 4 7 3" xfId="6460" xr:uid="{00000000-0005-0000-0000-00001D190000}"/>
    <cellStyle name="Normal 5 2 4 7 3 2" xfId="14889" xr:uid="{46018B9A-6051-49C4-99F0-99C47B6B8283}"/>
    <cellStyle name="Normal 5 2 4 7 4" xfId="10671" xr:uid="{CF651577-02BF-419F-8684-A66F01A9EC2F}"/>
    <cellStyle name="Normal 5 2 4 8" xfId="2588" xr:uid="{00000000-0005-0000-0000-00001E190000}"/>
    <cellStyle name="Normal 5 2 4 8 2" xfId="6873" xr:uid="{00000000-0005-0000-0000-00001F190000}"/>
    <cellStyle name="Normal 5 2 4 8 2 2" xfId="15302" xr:uid="{1282C043-5D26-4FC1-BC08-62542403AB9A}"/>
    <cellStyle name="Normal 5 2 4 8 3" xfId="11084" xr:uid="{49252D9F-998F-4BD4-A0E8-C5F7A87E35EC}"/>
    <cellStyle name="Normal 5 2 4 9" xfId="4808" xr:uid="{00000000-0005-0000-0000-000020190000}"/>
    <cellStyle name="Normal 5 2 4 9 2" xfId="13237" xr:uid="{7551D233-C247-4AC2-B613-B872FB210D98}"/>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2 2 2" xfId="15800" xr:uid="{07A0F0B6-C4BE-429A-8323-E8D911BB3CE9}"/>
    <cellStyle name="Normal 5 2 5 2 2 2 3" xfId="11582" xr:uid="{5A392407-F01A-4651-A89C-6141F80E6162}"/>
    <cellStyle name="Normal 5 2 5 2 2 3" xfId="5226" xr:uid="{00000000-0005-0000-0000-000026190000}"/>
    <cellStyle name="Normal 5 2 5 2 2 3 2" xfId="13655" xr:uid="{DD89B47B-A522-4885-81C3-157402870EA0}"/>
    <cellStyle name="Normal 5 2 5 2 2 4" xfId="9437" xr:uid="{F57363DF-FAA8-4815-8797-F352676B9858}"/>
    <cellStyle name="Normal 5 2 5 2 3" xfId="1330" xr:uid="{00000000-0005-0000-0000-000027190000}"/>
    <cellStyle name="Normal 5 2 5 2 3 2" xfId="3560" xr:uid="{00000000-0005-0000-0000-000028190000}"/>
    <cellStyle name="Normal 5 2 5 2 3 2 2" xfId="7784" xr:uid="{00000000-0005-0000-0000-000029190000}"/>
    <cellStyle name="Normal 5 2 5 2 3 2 2 2" xfId="16213" xr:uid="{C1E6ACFF-5BEB-4C71-844A-D55C33961521}"/>
    <cellStyle name="Normal 5 2 5 2 3 2 3" xfId="11995" xr:uid="{8050759D-8476-4C7F-8A96-5FA40963729E}"/>
    <cellStyle name="Normal 5 2 5 2 3 3" xfId="5639" xr:uid="{00000000-0005-0000-0000-00002A190000}"/>
    <cellStyle name="Normal 5 2 5 2 3 3 2" xfId="14068" xr:uid="{A14F8A02-FA88-41FE-B5AC-7386EFBFB703}"/>
    <cellStyle name="Normal 5 2 5 2 3 4" xfId="9850" xr:uid="{DD5703D4-081F-4112-BD71-8EEE785D3267}"/>
    <cellStyle name="Normal 5 2 5 2 4" xfId="1743" xr:uid="{00000000-0005-0000-0000-00002B190000}"/>
    <cellStyle name="Normal 5 2 5 2 4 2" xfId="3973" xr:uid="{00000000-0005-0000-0000-00002C190000}"/>
    <cellStyle name="Normal 5 2 5 2 4 2 2" xfId="8197" xr:uid="{00000000-0005-0000-0000-00002D190000}"/>
    <cellStyle name="Normal 5 2 5 2 4 2 2 2" xfId="16626" xr:uid="{CE8BBFB4-3BC7-4448-8BE2-9EA6D9349E4E}"/>
    <cellStyle name="Normal 5 2 5 2 4 2 3" xfId="12408" xr:uid="{41F40415-E44F-48BF-BC0E-BAD8EE335A99}"/>
    <cellStyle name="Normal 5 2 5 2 4 3" xfId="6052" xr:uid="{00000000-0005-0000-0000-00002E190000}"/>
    <cellStyle name="Normal 5 2 5 2 4 3 2" xfId="14481" xr:uid="{B886B151-D174-4C64-A6B7-B801669463D6}"/>
    <cellStyle name="Normal 5 2 5 2 4 4" xfId="10263" xr:uid="{6C505655-56A5-41F4-BB5E-07B9FB1AC25F}"/>
    <cellStyle name="Normal 5 2 5 2 5" xfId="2157" xr:uid="{00000000-0005-0000-0000-00002F190000}"/>
    <cellStyle name="Normal 5 2 5 2 5 2" xfId="4386" xr:uid="{00000000-0005-0000-0000-000030190000}"/>
    <cellStyle name="Normal 5 2 5 2 5 2 2" xfId="8610" xr:uid="{00000000-0005-0000-0000-000031190000}"/>
    <cellStyle name="Normal 5 2 5 2 5 2 2 2" xfId="17039" xr:uid="{A132359E-8891-4161-9003-9A13DBB537B6}"/>
    <cellStyle name="Normal 5 2 5 2 5 2 3" xfId="12821" xr:uid="{8FCA7285-276A-40D6-B464-D489E45BB768}"/>
    <cellStyle name="Normal 5 2 5 2 5 3" xfId="6465" xr:uid="{00000000-0005-0000-0000-000032190000}"/>
    <cellStyle name="Normal 5 2 5 2 5 3 2" xfId="14894" xr:uid="{A3D334B2-A1B0-462E-9E8B-07F65F5AFEE5}"/>
    <cellStyle name="Normal 5 2 5 2 5 4" xfId="10676" xr:uid="{B0A387B6-8B52-4E42-826E-D34EAA8186C7}"/>
    <cellStyle name="Normal 5 2 5 2 6" xfId="2593" xr:uid="{00000000-0005-0000-0000-000033190000}"/>
    <cellStyle name="Normal 5 2 5 2 6 2" xfId="6878" xr:uid="{00000000-0005-0000-0000-000034190000}"/>
    <cellStyle name="Normal 5 2 5 2 6 2 2" xfId="15307" xr:uid="{5A6D51C7-1B56-4466-9E7A-CA3A47F1B270}"/>
    <cellStyle name="Normal 5 2 5 2 6 3" xfId="11089" xr:uid="{E8C61238-ED34-4113-A73A-E5320418C3D0}"/>
    <cellStyle name="Normal 5 2 5 2 7" xfId="4813" xr:uid="{00000000-0005-0000-0000-000035190000}"/>
    <cellStyle name="Normal 5 2 5 2 7 2" xfId="13242" xr:uid="{D371E7B9-0169-445E-9645-3129482EF978}"/>
    <cellStyle name="Normal 5 2 5 2 8" xfId="9024" xr:uid="{042AF0AE-13EE-4310-A679-410455A1D5EA}"/>
    <cellStyle name="Normal 5 2 5 3" xfId="911" xr:uid="{00000000-0005-0000-0000-000036190000}"/>
    <cellStyle name="Normal 5 2 5 3 2" xfId="3146" xr:uid="{00000000-0005-0000-0000-000037190000}"/>
    <cellStyle name="Normal 5 2 5 3 2 2" xfId="7370" xr:uid="{00000000-0005-0000-0000-000038190000}"/>
    <cellStyle name="Normal 5 2 5 3 2 2 2" xfId="15799" xr:uid="{930509A8-E48F-4B3A-B663-C0B836CEE4B2}"/>
    <cellStyle name="Normal 5 2 5 3 2 3" xfId="11581" xr:uid="{225B58BD-A928-4ABC-BACC-4E235C6CA5AC}"/>
    <cellStyle name="Normal 5 2 5 3 3" xfId="5225" xr:uid="{00000000-0005-0000-0000-000039190000}"/>
    <cellStyle name="Normal 5 2 5 3 3 2" xfId="13654" xr:uid="{20DE9172-21DF-430F-84F9-52C8B881999E}"/>
    <cellStyle name="Normal 5 2 5 3 4" xfId="9436" xr:uid="{2BB012C9-C351-4EE1-9323-6C3AD8B668A5}"/>
    <cellStyle name="Normal 5 2 5 4" xfId="1329" xr:uid="{00000000-0005-0000-0000-00003A190000}"/>
    <cellStyle name="Normal 5 2 5 4 2" xfId="3559" xr:uid="{00000000-0005-0000-0000-00003B190000}"/>
    <cellStyle name="Normal 5 2 5 4 2 2" xfId="7783" xr:uid="{00000000-0005-0000-0000-00003C190000}"/>
    <cellStyle name="Normal 5 2 5 4 2 2 2" xfId="16212" xr:uid="{AF9E5381-EF68-4830-BFD9-9301F30223C6}"/>
    <cellStyle name="Normal 5 2 5 4 2 3" xfId="11994" xr:uid="{D27EB21D-B4D3-41F6-BC29-9C563A5CCAFB}"/>
    <cellStyle name="Normal 5 2 5 4 3" xfId="5638" xr:uid="{00000000-0005-0000-0000-00003D190000}"/>
    <cellStyle name="Normal 5 2 5 4 3 2" xfId="14067" xr:uid="{25804FDF-2DB2-4ACE-80B0-17CB4EB5F35C}"/>
    <cellStyle name="Normal 5 2 5 4 4" xfId="9849" xr:uid="{F7746EF4-DB35-4EC7-B456-DAB35BFF51C6}"/>
    <cellStyle name="Normal 5 2 5 5" xfId="1742" xr:uid="{00000000-0005-0000-0000-00003E190000}"/>
    <cellStyle name="Normal 5 2 5 5 2" xfId="3972" xr:uid="{00000000-0005-0000-0000-00003F190000}"/>
    <cellStyle name="Normal 5 2 5 5 2 2" xfId="8196" xr:uid="{00000000-0005-0000-0000-000040190000}"/>
    <cellStyle name="Normal 5 2 5 5 2 2 2" xfId="16625" xr:uid="{9337868D-4194-420E-9E4B-1F8792426838}"/>
    <cellStyle name="Normal 5 2 5 5 2 3" xfId="12407" xr:uid="{4CC52814-681F-4AFA-951B-6FC9E1E6519E}"/>
    <cellStyle name="Normal 5 2 5 5 3" xfId="6051" xr:uid="{00000000-0005-0000-0000-000041190000}"/>
    <cellStyle name="Normal 5 2 5 5 3 2" xfId="14480" xr:uid="{D3A78013-E902-48EC-AF9C-3802350DCF8A}"/>
    <cellStyle name="Normal 5 2 5 5 4" xfId="10262" xr:uid="{31B258C6-79D5-476D-B312-321B5E63C407}"/>
    <cellStyle name="Normal 5 2 5 6" xfId="2156" xr:uid="{00000000-0005-0000-0000-000042190000}"/>
    <cellStyle name="Normal 5 2 5 6 2" xfId="4385" xr:uid="{00000000-0005-0000-0000-000043190000}"/>
    <cellStyle name="Normal 5 2 5 6 2 2" xfId="8609" xr:uid="{00000000-0005-0000-0000-000044190000}"/>
    <cellStyle name="Normal 5 2 5 6 2 2 2" xfId="17038" xr:uid="{BAB16DE6-DAA7-42D1-B6C6-63D65CB251D1}"/>
    <cellStyle name="Normal 5 2 5 6 2 3" xfId="12820" xr:uid="{6B825319-13BF-476C-9516-E5FB30EBD4C5}"/>
    <cellStyle name="Normal 5 2 5 6 3" xfId="6464" xr:uid="{00000000-0005-0000-0000-000045190000}"/>
    <cellStyle name="Normal 5 2 5 6 3 2" xfId="14893" xr:uid="{FA5F08E7-EA30-433B-8613-09D169CEB8E1}"/>
    <cellStyle name="Normal 5 2 5 6 4" xfId="10675" xr:uid="{1B17F0A4-64D6-49F6-9BC1-0ACB6FF30263}"/>
    <cellStyle name="Normal 5 2 5 7" xfId="2592" xr:uid="{00000000-0005-0000-0000-000046190000}"/>
    <cellStyle name="Normal 5 2 5 7 2" xfId="6877" xr:uid="{00000000-0005-0000-0000-000047190000}"/>
    <cellStyle name="Normal 5 2 5 7 2 2" xfId="15306" xr:uid="{708CCF98-A870-45AA-8D46-FF3A169617F3}"/>
    <cellStyle name="Normal 5 2 5 7 3" xfId="11088" xr:uid="{0A944AEE-E5BD-460B-9FC3-75B1F73B05D5}"/>
    <cellStyle name="Normal 5 2 5 8" xfId="4812" xr:uid="{00000000-0005-0000-0000-000048190000}"/>
    <cellStyle name="Normal 5 2 5 8 2" xfId="13241" xr:uid="{8BA7E6C1-F5E3-4682-BE40-F05FAE1455D0}"/>
    <cellStyle name="Normal 5 2 5 9" xfId="9023" xr:uid="{B3F55154-2FC5-4BAF-8D5D-EDEF4B1AC155}"/>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2 2 2" xfId="15801" xr:uid="{FEC1F7AA-5F60-407D-A9CA-D17D09F831F6}"/>
    <cellStyle name="Normal 5 2 6 2 2 3" xfId="11583" xr:uid="{21407B65-4879-4AF2-B598-CEF1FDC16DC9}"/>
    <cellStyle name="Normal 5 2 6 2 3" xfId="5227" xr:uid="{00000000-0005-0000-0000-00004D190000}"/>
    <cellStyle name="Normal 5 2 6 2 3 2" xfId="13656" xr:uid="{60FBDFE1-177F-4604-94BB-F00610C52D7F}"/>
    <cellStyle name="Normal 5 2 6 2 4" xfId="9438" xr:uid="{9F1D3170-7246-4CD3-8347-85578AC4D86C}"/>
    <cellStyle name="Normal 5 2 6 3" xfId="1331" xr:uid="{00000000-0005-0000-0000-00004E190000}"/>
    <cellStyle name="Normal 5 2 6 3 2" xfId="3561" xr:uid="{00000000-0005-0000-0000-00004F190000}"/>
    <cellStyle name="Normal 5 2 6 3 2 2" xfId="7785" xr:uid="{00000000-0005-0000-0000-000050190000}"/>
    <cellStyle name="Normal 5 2 6 3 2 2 2" xfId="16214" xr:uid="{10EE934A-EC6E-4CF8-AC49-4C7560027A00}"/>
    <cellStyle name="Normal 5 2 6 3 2 3" xfId="11996" xr:uid="{A90FAEA2-DBBC-4526-8ED7-C3C93811301E}"/>
    <cellStyle name="Normal 5 2 6 3 3" xfId="5640" xr:uid="{00000000-0005-0000-0000-000051190000}"/>
    <cellStyle name="Normal 5 2 6 3 3 2" xfId="14069" xr:uid="{F9575392-4643-42F0-A2F8-8DD4E54C491F}"/>
    <cellStyle name="Normal 5 2 6 3 4" xfId="9851" xr:uid="{7225668E-9F1D-4138-9B32-45FF3C6B9999}"/>
    <cellStyle name="Normal 5 2 6 4" xfId="1744" xr:uid="{00000000-0005-0000-0000-000052190000}"/>
    <cellStyle name="Normal 5 2 6 4 2" xfId="3974" xr:uid="{00000000-0005-0000-0000-000053190000}"/>
    <cellStyle name="Normal 5 2 6 4 2 2" xfId="8198" xr:uid="{00000000-0005-0000-0000-000054190000}"/>
    <cellStyle name="Normal 5 2 6 4 2 2 2" xfId="16627" xr:uid="{1BA97B86-21F2-4B66-8E8F-DAD152754BC3}"/>
    <cellStyle name="Normal 5 2 6 4 2 3" xfId="12409" xr:uid="{6EB4BC25-F3DD-4E85-A73F-2908C818CF37}"/>
    <cellStyle name="Normal 5 2 6 4 3" xfId="6053" xr:uid="{00000000-0005-0000-0000-000055190000}"/>
    <cellStyle name="Normal 5 2 6 4 3 2" xfId="14482" xr:uid="{BAD4DAEF-BD77-483A-986A-51D6CFD3014C}"/>
    <cellStyle name="Normal 5 2 6 4 4" xfId="10264" xr:uid="{9260B5D8-142E-4999-BE16-76002DEBFAE9}"/>
    <cellStyle name="Normal 5 2 6 5" xfId="2158" xr:uid="{00000000-0005-0000-0000-000056190000}"/>
    <cellStyle name="Normal 5 2 6 5 2" xfId="4387" xr:uid="{00000000-0005-0000-0000-000057190000}"/>
    <cellStyle name="Normal 5 2 6 5 2 2" xfId="8611" xr:uid="{00000000-0005-0000-0000-000058190000}"/>
    <cellStyle name="Normal 5 2 6 5 2 2 2" xfId="17040" xr:uid="{13426110-765A-4FFD-A477-AD75FFB063DE}"/>
    <cellStyle name="Normal 5 2 6 5 2 3" xfId="12822" xr:uid="{8570D3B8-B79D-4B28-8CB9-34902FDE8CED}"/>
    <cellStyle name="Normal 5 2 6 5 3" xfId="6466" xr:uid="{00000000-0005-0000-0000-000059190000}"/>
    <cellStyle name="Normal 5 2 6 5 3 2" xfId="14895" xr:uid="{12D9BB7B-9C0E-4168-A474-E5BDD20D8608}"/>
    <cellStyle name="Normal 5 2 6 5 4" xfId="10677" xr:uid="{C79B2A0E-F85B-4830-83B0-DA7A5BF51908}"/>
    <cellStyle name="Normal 5 2 6 6" xfId="2594" xr:uid="{00000000-0005-0000-0000-00005A190000}"/>
    <cellStyle name="Normal 5 2 6 6 2" xfId="6879" xr:uid="{00000000-0005-0000-0000-00005B190000}"/>
    <cellStyle name="Normal 5 2 6 6 2 2" xfId="15308" xr:uid="{DECD004C-3BFD-4EEB-9119-68E643598FC8}"/>
    <cellStyle name="Normal 5 2 6 6 3" xfId="11090" xr:uid="{5A958CCF-FD09-4B22-A093-3D40C8C45E4F}"/>
    <cellStyle name="Normal 5 2 6 7" xfId="4814" xr:uid="{00000000-0005-0000-0000-00005C190000}"/>
    <cellStyle name="Normal 5 2 6 7 2" xfId="13243" xr:uid="{1251C930-D8FC-44E2-AB47-37F6FAC531C8}"/>
    <cellStyle name="Normal 5 2 6 8" xfId="9025" xr:uid="{294F7C15-8FD0-4D6D-A6E4-8EC2986E81B6}"/>
    <cellStyle name="Normal 5 2 7" xfId="882" xr:uid="{00000000-0005-0000-0000-00005D190000}"/>
    <cellStyle name="Normal 5 2 7 2" xfId="3117" xr:uid="{00000000-0005-0000-0000-00005E190000}"/>
    <cellStyle name="Normal 5 2 7 2 2" xfId="7341" xr:uid="{00000000-0005-0000-0000-00005F190000}"/>
    <cellStyle name="Normal 5 2 7 2 2 2" xfId="15770" xr:uid="{7133E841-C4F7-48A5-824C-0BCAA88B6B96}"/>
    <cellStyle name="Normal 5 2 7 2 3" xfId="11552" xr:uid="{6BE3A831-B8F5-486A-A265-A437AB1B951E}"/>
    <cellStyle name="Normal 5 2 7 3" xfId="5196" xr:uid="{00000000-0005-0000-0000-000060190000}"/>
    <cellStyle name="Normal 5 2 7 3 2" xfId="13625" xr:uid="{749B1854-06B1-4D1C-B74A-9A03A5999B5F}"/>
    <cellStyle name="Normal 5 2 7 4" xfId="9407" xr:uid="{2C762742-7531-4E02-849B-4D292EB5D1AF}"/>
    <cellStyle name="Normal 5 2 8" xfId="1300" xr:uid="{00000000-0005-0000-0000-000061190000}"/>
    <cellStyle name="Normal 5 2 8 2" xfId="3530" xr:uid="{00000000-0005-0000-0000-000062190000}"/>
    <cellStyle name="Normal 5 2 8 2 2" xfId="7754" xr:uid="{00000000-0005-0000-0000-000063190000}"/>
    <cellStyle name="Normal 5 2 8 2 2 2" xfId="16183" xr:uid="{DA97CA65-5D6E-4B58-A4E5-0692AF6471B3}"/>
    <cellStyle name="Normal 5 2 8 2 3" xfId="11965" xr:uid="{07AF8C84-3FDE-4FFD-BA04-0095379C4370}"/>
    <cellStyle name="Normal 5 2 8 3" xfId="5609" xr:uid="{00000000-0005-0000-0000-000064190000}"/>
    <cellStyle name="Normal 5 2 8 3 2" xfId="14038" xr:uid="{A9F80960-1A14-4440-9261-58DEE0348B08}"/>
    <cellStyle name="Normal 5 2 8 4" xfId="9820" xr:uid="{6B88D9A8-9453-4AE3-ACE6-37136F2E9C1B}"/>
    <cellStyle name="Normal 5 2 9" xfId="1713" xr:uid="{00000000-0005-0000-0000-000065190000}"/>
    <cellStyle name="Normal 5 2 9 2" xfId="3943" xr:uid="{00000000-0005-0000-0000-000066190000}"/>
    <cellStyle name="Normal 5 2 9 2 2" xfId="8167" xr:uid="{00000000-0005-0000-0000-000067190000}"/>
    <cellStyle name="Normal 5 2 9 2 2 2" xfId="16596" xr:uid="{E60AA38A-2CE2-491E-BBDA-CE28AFFD29A0}"/>
    <cellStyle name="Normal 5 2 9 2 3" xfId="12378" xr:uid="{F25A7476-E0EE-4EB9-B32F-FEF610FFDDA1}"/>
    <cellStyle name="Normal 5 2 9 3" xfId="6022" xr:uid="{00000000-0005-0000-0000-000068190000}"/>
    <cellStyle name="Normal 5 2 9 3 2" xfId="14451" xr:uid="{22EF951E-0461-4FDE-9D2E-ADE5AAFE034E}"/>
    <cellStyle name="Normal 5 2 9 4" xfId="10233" xr:uid="{ABE965B1-E7B6-4D76-8978-F6C33807ABBF}"/>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2 2 2" xfId="17041" xr:uid="{605B54DE-0D29-460B-B3FC-F8B827ECF3CB}"/>
    <cellStyle name="Normal 5 3 10 2 3" xfId="12823" xr:uid="{2768BB71-3731-444F-B567-3E8D5F9BB736}"/>
    <cellStyle name="Normal 5 3 10 3" xfId="6467" xr:uid="{00000000-0005-0000-0000-00006D190000}"/>
    <cellStyle name="Normal 5 3 10 3 2" xfId="14896" xr:uid="{539CAF07-FE32-466F-86C1-3B8A590C83F3}"/>
    <cellStyle name="Normal 5 3 10 4" xfId="10678" xr:uid="{0DA373EC-EA4C-4E7D-8A83-797799297A67}"/>
    <cellStyle name="Normal 5 3 11" xfId="2595" xr:uid="{00000000-0005-0000-0000-00006E190000}"/>
    <cellStyle name="Normal 5 3 11 2" xfId="6880" xr:uid="{00000000-0005-0000-0000-00006F190000}"/>
    <cellStyle name="Normal 5 3 11 2 2" xfId="15309" xr:uid="{DB3099FA-B704-45F5-B6CF-61D191A0377C}"/>
    <cellStyle name="Normal 5 3 11 3" xfId="11091" xr:uid="{F710ED57-E192-46C0-9794-2C15B193A321}"/>
    <cellStyle name="Normal 5 3 12" xfId="4815" xr:uid="{00000000-0005-0000-0000-000070190000}"/>
    <cellStyle name="Normal 5 3 12 2" xfId="13244" xr:uid="{BB9A3072-12BB-4B29-8C78-69BDA42F23E8}"/>
    <cellStyle name="Normal 5 3 13" xfId="9026" xr:uid="{E9802A3D-5E84-4737-93ED-305B21331B59}"/>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10 2" xfId="13245" xr:uid="{D44120C8-42A1-4304-BC77-8E1F650AC459}"/>
    <cellStyle name="Normal 5 3 3 11" xfId="9027" xr:uid="{FD01ED15-0306-42CD-AC66-DFA774666DFF}"/>
    <cellStyle name="Normal 5 3 3 2" xfId="442" xr:uid="{00000000-0005-0000-0000-000075190000}"/>
    <cellStyle name="Normal 5 3 3 2 10" xfId="9028" xr:uid="{454C1E0C-8372-4C90-82CF-97121ED5708D}"/>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2 2 2" xfId="15806" xr:uid="{98B32E60-8030-41CF-B283-61A2A6568B18}"/>
    <cellStyle name="Normal 5 3 3 2 2 2 2 2 3" xfId="11588" xr:uid="{8461FD6F-D64F-4E3E-8A06-F3FD673F2B2D}"/>
    <cellStyle name="Normal 5 3 3 2 2 2 2 3" xfId="5232" xr:uid="{00000000-0005-0000-0000-00007B190000}"/>
    <cellStyle name="Normal 5 3 3 2 2 2 2 3 2" xfId="13661" xr:uid="{EA38E9D9-0555-426E-9711-DCD2760A11D1}"/>
    <cellStyle name="Normal 5 3 3 2 2 2 2 4" xfId="9443" xr:uid="{B08F3CC9-D63E-4AC6-B112-8A04B03986E7}"/>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2 2 2" xfId="16219" xr:uid="{ACCAE84B-34E3-4BB4-B37B-A19672CF3F6E}"/>
    <cellStyle name="Normal 5 3 3 2 2 2 3 2 3" xfId="12001" xr:uid="{EC724FCB-C752-4430-A06B-19EF7804716C}"/>
    <cellStyle name="Normal 5 3 3 2 2 2 3 3" xfId="5645" xr:uid="{00000000-0005-0000-0000-00007F190000}"/>
    <cellStyle name="Normal 5 3 3 2 2 2 3 3 2" xfId="14074" xr:uid="{4EEA726D-5877-4B2D-8E00-805E1694B639}"/>
    <cellStyle name="Normal 5 3 3 2 2 2 3 4" xfId="9856" xr:uid="{D247086E-4848-4360-B756-937978E2651F}"/>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2 2 2" xfId="16632" xr:uid="{80E902ED-1ABD-402C-88CE-3A6C1FAF76B5}"/>
    <cellStyle name="Normal 5 3 3 2 2 2 4 2 3" xfId="12414" xr:uid="{E4299A8E-6187-427E-9349-527446D00F5E}"/>
    <cellStyle name="Normal 5 3 3 2 2 2 4 3" xfId="6058" xr:uid="{00000000-0005-0000-0000-000083190000}"/>
    <cellStyle name="Normal 5 3 3 2 2 2 4 3 2" xfId="14487" xr:uid="{5B4D20EA-06EC-42C6-BCE9-DFE82DA6FD08}"/>
    <cellStyle name="Normal 5 3 3 2 2 2 4 4" xfId="10269" xr:uid="{E091E454-FC1D-4DBD-8067-44604E94CD73}"/>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2 2 2" xfId="17045" xr:uid="{6EB51EAA-9E20-4B6F-B9B5-7BC8C1812BC2}"/>
    <cellStyle name="Normal 5 3 3 2 2 2 5 2 3" xfId="12827" xr:uid="{C12EA4FA-1B0E-41E2-A117-2318D04442EE}"/>
    <cellStyle name="Normal 5 3 3 2 2 2 5 3" xfId="6471" xr:uid="{00000000-0005-0000-0000-000087190000}"/>
    <cellStyle name="Normal 5 3 3 2 2 2 5 3 2" xfId="14900" xr:uid="{355C9956-01D9-4237-B578-A475B05DCD7B}"/>
    <cellStyle name="Normal 5 3 3 2 2 2 5 4" xfId="10682" xr:uid="{9BFB1E61-F8B8-4F89-B4DF-08B9B8DA58CD}"/>
    <cellStyle name="Normal 5 3 3 2 2 2 6" xfId="2599" xr:uid="{00000000-0005-0000-0000-000088190000}"/>
    <cellStyle name="Normal 5 3 3 2 2 2 6 2" xfId="6884" xr:uid="{00000000-0005-0000-0000-000089190000}"/>
    <cellStyle name="Normal 5 3 3 2 2 2 6 2 2" xfId="15313" xr:uid="{AC776D67-912C-4D72-B1FA-4D6B72F5C48C}"/>
    <cellStyle name="Normal 5 3 3 2 2 2 6 3" xfId="11095" xr:uid="{B7297D0C-DB36-4A9D-ABA5-55417E0E6269}"/>
    <cellStyle name="Normal 5 3 3 2 2 2 7" xfId="4819" xr:uid="{00000000-0005-0000-0000-00008A190000}"/>
    <cellStyle name="Normal 5 3 3 2 2 2 7 2" xfId="13248" xr:uid="{3CEE53F1-A00E-4134-823B-5B832CE9B839}"/>
    <cellStyle name="Normal 5 3 3 2 2 2 8" xfId="9030" xr:uid="{1612E0E6-CE2F-4FD5-8217-29126E4840A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2 2 2" xfId="15805" xr:uid="{E5198978-09A7-4A44-926B-4866A61E0056}"/>
    <cellStyle name="Normal 5 3 3 2 2 3 2 3" xfId="11587" xr:uid="{72AD3E96-09D6-43A0-8A7F-4DBB232F993B}"/>
    <cellStyle name="Normal 5 3 3 2 2 3 3" xfId="5231" xr:uid="{00000000-0005-0000-0000-00008E190000}"/>
    <cellStyle name="Normal 5 3 3 2 2 3 3 2" xfId="13660" xr:uid="{2546F7CB-10BD-4B61-B051-6A3AD9A2BFAE}"/>
    <cellStyle name="Normal 5 3 3 2 2 3 4" xfId="9442" xr:uid="{2FFA7A83-7C5B-4D74-88D9-4960F3AD6CD5}"/>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2 2 2" xfId="16218" xr:uid="{95444B79-DDFC-4460-8236-4F00963B0C87}"/>
    <cellStyle name="Normal 5 3 3 2 2 4 2 3" xfId="12000" xr:uid="{5049B4AF-19A0-40BD-9413-87F478678975}"/>
    <cellStyle name="Normal 5 3 3 2 2 4 3" xfId="5644" xr:uid="{00000000-0005-0000-0000-000092190000}"/>
    <cellStyle name="Normal 5 3 3 2 2 4 3 2" xfId="14073" xr:uid="{1D6201AC-1FDF-4E02-B927-564952272517}"/>
    <cellStyle name="Normal 5 3 3 2 2 4 4" xfId="9855" xr:uid="{E479C76D-AD85-47AF-BFE3-15244CF68878}"/>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2 2 2" xfId="16631" xr:uid="{8B2851DC-4111-4B60-88E6-38C2C444B9AF}"/>
    <cellStyle name="Normal 5 3 3 2 2 5 2 3" xfId="12413" xr:uid="{F933A349-58B8-40CF-903B-2BF74296F202}"/>
    <cellStyle name="Normal 5 3 3 2 2 5 3" xfId="6057" xr:uid="{00000000-0005-0000-0000-000096190000}"/>
    <cellStyle name="Normal 5 3 3 2 2 5 3 2" xfId="14486" xr:uid="{698423B0-2009-4C18-B423-9A9522C27BE0}"/>
    <cellStyle name="Normal 5 3 3 2 2 5 4" xfId="10268" xr:uid="{48A5C847-97EA-4DD4-B8CF-E66F9380D306}"/>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2 2 2" xfId="17044" xr:uid="{3B062A3C-0513-41BF-BA51-DC6E2DEB2B88}"/>
    <cellStyle name="Normal 5 3 3 2 2 6 2 3" xfId="12826" xr:uid="{84C1833B-0333-4283-B0DD-AB9A935707B4}"/>
    <cellStyle name="Normal 5 3 3 2 2 6 3" xfId="6470" xr:uid="{00000000-0005-0000-0000-00009A190000}"/>
    <cellStyle name="Normal 5 3 3 2 2 6 3 2" xfId="14899" xr:uid="{7592B62C-1B43-42EC-A401-75165ED8DDC4}"/>
    <cellStyle name="Normal 5 3 3 2 2 6 4" xfId="10681" xr:uid="{6D4522D8-2191-4977-BBA0-BF62B08ECE4C}"/>
    <cellStyle name="Normal 5 3 3 2 2 7" xfId="2598" xr:uid="{00000000-0005-0000-0000-00009B190000}"/>
    <cellStyle name="Normal 5 3 3 2 2 7 2" xfId="6883" xr:uid="{00000000-0005-0000-0000-00009C190000}"/>
    <cellStyle name="Normal 5 3 3 2 2 7 2 2" xfId="15312" xr:uid="{4FA2BF79-3937-45AA-878D-8F2FEF8E657D}"/>
    <cellStyle name="Normal 5 3 3 2 2 7 3" xfId="11094" xr:uid="{39BFEF25-C7B1-4A80-9421-B782B81F140F}"/>
    <cellStyle name="Normal 5 3 3 2 2 8" xfId="4818" xr:uid="{00000000-0005-0000-0000-00009D190000}"/>
    <cellStyle name="Normal 5 3 3 2 2 8 2" xfId="13247" xr:uid="{E2FAAF2B-6C53-435D-A2D7-21F289731279}"/>
    <cellStyle name="Normal 5 3 3 2 2 9" xfId="9029" xr:uid="{99E8D506-C0F2-4AF9-8B85-3CB37BA12CDF}"/>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2 2 2" xfId="15807" xr:uid="{773EFF04-78A5-4613-8440-DBE97BB6808B}"/>
    <cellStyle name="Normal 5 3 3 2 3 2 2 3" xfId="11589" xr:uid="{A33E13AC-A276-43B6-8854-72C64C559E64}"/>
    <cellStyle name="Normal 5 3 3 2 3 2 3" xfId="5233" xr:uid="{00000000-0005-0000-0000-0000A2190000}"/>
    <cellStyle name="Normal 5 3 3 2 3 2 3 2" xfId="13662" xr:uid="{018574A2-CBFE-4332-A480-311D0CA30C7A}"/>
    <cellStyle name="Normal 5 3 3 2 3 2 4" xfId="9444" xr:uid="{0B6C9BF6-46F6-4C9E-8204-9086FBEA4B2F}"/>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2 2 2" xfId="16220" xr:uid="{C6AF442A-1EC0-4606-BDC4-6FBE938BE2DF}"/>
    <cellStyle name="Normal 5 3 3 2 3 3 2 3" xfId="12002" xr:uid="{5E4C148B-1205-4391-A87E-92C9C3F2937A}"/>
    <cellStyle name="Normal 5 3 3 2 3 3 3" xfId="5646" xr:uid="{00000000-0005-0000-0000-0000A6190000}"/>
    <cellStyle name="Normal 5 3 3 2 3 3 3 2" xfId="14075" xr:uid="{B61628B8-66AD-40F1-8308-6B88E4609DD4}"/>
    <cellStyle name="Normal 5 3 3 2 3 3 4" xfId="9857" xr:uid="{D784CDF8-F1BC-45C4-AA4A-1DEE8246F1CF}"/>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2 2 2" xfId="16633" xr:uid="{E1898584-672A-4CE8-9948-B5D0C922B941}"/>
    <cellStyle name="Normal 5 3 3 2 3 4 2 3" xfId="12415" xr:uid="{333391FD-6D76-4538-A0D8-310A6C0049A5}"/>
    <cellStyle name="Normal 5 3 3 2 3 4 3" xfId="6059" xr:uid="{00000000-0005-0000-0000-0000AA190000}"/>
    <cellStyle name="Normal 5 3 3 2 3 4 3 2" xfId="14488" xr:uid="{C9A6D35E-546C-475E-9C82-30FCEC60899F}"/>
    <cellStyle name="Normal 5 3 3 2 3 4 4" xfId="10270" xr:uid="{57D55523-F2E4-4B2C-9B00-FA71B225136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2 2 2" xfId="17046" xr:uid="{E9C2F0E5-39E4-4444-8D87-A02F01E75C95}"/>
    <cellStyle name="Normal 5 3 3 2 3 5 2 3" xfId="12828" xr:uid="{CC5212B4-7A1C-4092-B2CD-CDC995760E2F}"/>
    <cellStyle name="Normal 5 3 3 2 3 5 3" xfId="6472" xr:uid="{00000000-0005-0000-0000-0000AE190000}"/>
    <cellStyle name="Normal 5 3 3 2 3 5 3 2" xfId="14901" xr:uid="{7ABF0F36-B0F1-4A26-88C1-A348885D0D0F}"/>
    <cellStyle name="Normal 5 3 3 2 3 5 4" xfId="10683" xr:uid="{0BC68D01-2E22-415B-9C05-B46EA51CD07A}"/>
    <cellStyle name="Normal 5 3 3 2 3 6" xfId="2600" xr:uid="{00000000-0005-0000-0000-0000AF190000}"/>
    <cellStyle name="Normal 5 3 3 2 3 6 2" xfId="6885" xr:uid="{00000000-0005-0000-0000-0000B0190000}"/>
    <cellStyle name="Normal 5 3 3 2 3 6 2 2" xfId="15314" xr:uid="{FD7533EE-189D-4DBF-90AE-B3B97AB50143}"/>
    <cellStyle name="Normal 5 3 3 2 3 6 3" xfId="11096" xr:uid="{BCDE9ACF-1B2E-4FC3-95AA-E9417D1F6A13}"/>
    <cellStyle name="Normal 5 3 3 2 3 7" xfId="4820" xr:uid="{00000000-0005-0000-0000-0000B1190000}"/>
    <cellStyle name="Normal 5 3 3 2 3 7 2" xfId="13249" xr:uid="{4A1785E6-0219-44D1-B195-CADCEB8190B1}"/>
    <cellStyle name="Normal 5 3 3 2 3 8" xfId="9031" xr:uid="{A5E3D71F-BBF0-464C-B8C7-31512C31E25E}"/>
    <cellStyle name="Normal 5 3 3 2 4" xfId="917" xr:uid="{00000000-0005-0000-0000-0000B2190000}"/>
    <cellStyle name="Normal 5 3 3 2 4 2" xfId="3151" xr:uid="{00000000-0005-0000-0000-0000B3190000}"/>
    <cellStyle name="Normal 5 3 3 2 4 2 2" xfId="7375" xr:uid="{00000000-0005-0000-0000-0000B4190000}"/>
    <cellStyle name="Normal 5 3 3 2 4 2 2 2" xfId="15804" xr:uid="{8B919E14-952D-41E1-B2DC-954C28D84A4C}"/>
    <cellStyle name="Normal 5 3 3 2 4 2 3" xfId="11586" xr:uid="{64F25569-1887-4FF2-9758-541B107DCBA1}"/>
    <cellStyle name="Normal 5 3 3 2 4 3" xfId="5230" xr:uid="{00000000-0005-0000-0000-0000B5190000}"/>
    <cellStyle name="Normal 5 3 3 2 4 3 2" xfId="13659" xr:uid="{F594587D-A7CC-490D-B852-A5CCD104CD2F}"/>
    <cellStyle name="Normal 5 3 3 2 4 4" xfId="9441" xr:uid="{F171EB56-C3C5-4DDA-ABD3-441A016E022C}"/>
    <cellStyle name="Normal 5 3 3 2 5" xfId="1334" xr:uid="{00000000-0005-0000-0000-0000B6190000}"/>
    <cellStyle name="Normal 5 3 3 2 5 2" xfId="3564" xr:uid="{00000000-0005-0000-0000-0000B7190000}"/>
    <cellStyle name="Normal 5 3 3 2 5 2 2" xfId="7788" xr:uid="{00000000-0005-0000-0000-0000B8190000}"/>
    <cellStyle name="Normal 5 3 3 2 5 2 2 2" xfId="16217" xr:uid="{A5B3859C-8B31-4F5A-B2D5-16DB9C0BC3C8}"/>
    <cellStyle name="Normal 5 3 3 2 5 2 3" xfId="11999" xr:uid="{EADD7D69-AC78-4E89-9241-25B72F8FCDB3}"/>
    <cellStyle name="Normal 5 3 3 2 5 3" xfId="5643" xr:uid="{00000000-0005-0000-0000-0000B9190000}"/>
    <cellStyle name="Normal 5 3 3 2 5 3 2" xfId="14072" xr:uid="{FEE01DA1-3E29-4A98-AE21-5F7C0C24E95F}"/>
    <cellStyle name="Normal 5 3 3 2 5 4" xfId="9854" xr:uid="{06608159-B857-4218-A3ED-B50766461DDF}"/>
    <cellStyle name="Normal 5 3 3 2 6" xfId="1747" xr:uid="{00000000-0005-0000-0000-0000BA190000}"/>
    <cellStyle name="Normal 5 3 3 2 6 2" xfId="3977" xr:uid="{00000000-0005-0000-0000-0000BB190000}"/>
    <cellStyle name="Normal 5 3 3 2 6 2 2" xfId="8201" xr:uid="{00000000-0005-0000-0000-0000BC190000}"/>
    <cellStyle name="Normal 5 3 3 2 6 2 2 2" xfId="16630" xr:uid="{550D9E8F-B4F5-42E1-8EE0-AC61E997E198}"/>
    <cellStyle name="Normal 5 3 3 2 6 2 3" xfId="12412" xr:uid="{37576C17-FF36-4EEF-B7DD-64DDD1B079B0}"/>
    <cellStyle name="Normal 5 3 3 2 6 3" xfId="6056" xr:uid="{00000000-0005-0000-0000-0000BD190000}"/>
    <cellStyle name="Normal 5 3 3 2 6 3 2" xfId="14485" xr:uid="{E08E54D7-20C2-43EE-A18B-C59815D565C6}"/>
    <cellStyle name="Normal 5 3 3 2 6 4" xfId="10267" xr:uid="{B50B8C74-7197-4FF5-830E-CFE72467484F}"/>
    <cellStyle name="Normal 5 3 3 2 7" xfId="2161" xr:uid="{00000000-0005-0000-0000-0000BE190000}"/>
    <cellStyle name="Normal 5 3 3 2 7 2" xfId="4390" xr:uid="{00000000-0005-0000-0000-0000BF190000}"/>
    <cellStyle name="Normal 5 3 3 2 7 2 2" xfId="8614" xr:uid="{00000000-0005-0000-0000-0000C0190000}"/>
    <cellStyle name="Normal 5 3 3 2 7 2 2 2" xfId="17043" xr:uid="{FD1CCDD9-2B41-4497-AB95-A41B4C0F298F}"/>
    <cellStyle name="Normal 5 3 3 2 7 2 3" xfId="12825" xr:uid="{2650D2B2-6BB2-4D62-815A-F3EC3580E77E}"/>
    <cellStyle name="Normal 5 3 3 2 7 3" xfId="6469" xr:uid="{00000000-0005-0000-0000-0000C1190000}"/>
    <cellStyle name="Normal 5 3 3 2 7 3 2" xfId="14898" xr:uid="{5709F2D0-8C73-48AC-8685-71285347910F}"/>
    <cellStyle name="Normal 5 3 3 2 7 4" xfId="10680" xr:uid="{22F88C90-5407-478E-853B-E0A66F28E4EF}"/>
    <cellStyle name="Normal 5 3 3 2 8" xfId="2597" xr:uid="{00000000-0005-0000-0000-0000C2190000}"/>
    <cellStyle name="Normal 5 3 3 2 8 2" xfId="6882" xr:uid="{00000000-0005-0000-0000-0000C3190000}"/>
    <cellStyle name="Normal 5 3 3 2 8 2 2" xfId="15311" xr:uid="{372DEF3E-2166-48BC-8F35-D01DFDF78E6D}"/>
    <cellStyle name="Normal 5 3 3 2 8 3" xfId="11093" xr:uid="{AF17C9FF-4424-4224-BC84-327FC6DA2657}"/>
    <cellStyle name="Normal 5 3 3 2 9" xfId="4817" xr:uid="{00000000-0005-0000-0000-0000C4190000}"/>
    <cellStyle name="Normal 5 3 3 2 9 2" xfId="13246" xr:uid="{BBD584F6-B96E-49C3-A529-409B4EA433C6}"/>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2 2 2" xfId="15809" xr:uid="{82C090FE-1467-4A4F-B70D-90A832556BC8}"/>
    <cellStyle name="Normal 5 3 3 3 2 2 2 3" xfId="11591" xr:uid="{E6859BB0-570A-4B63-BC62-B0101A147D62}"/>
    <cellStyle name="Normal 5 3 3 3 2 2 3" xfId="5235" xr:uid="{00000000-0005-0000-0000-0000CA190000}"/>
    <cellStyle name="Normal 5 3 3 3 2 2 3 2" xfId="13664" xr:uid="{F5F92433-957A-4128-9D9D-788B27EFAB28}"/>
    <cellStyle name="Normal 5 3 3 3 2 2 4" xfId="9446" xr:uid="{1954AE28-213E-46DD-B66B-14B96ECDFCE2}"/>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2 2 2" xfId="16222" xr:uid="{12E9601A-546F-43E3-8863-B345532A4116}"/>
    <cellStyle name="Normal 5 3 3 3 2 3 2 3" xfId="12004" xr:uid="{B39E1983-C488-4006-B2DE-314E762323D3}"/>
    <cellStyle name="Normal 5 3 3 3 2 3 3" xfId="5648" xr:uid="{00000000-0005-0000-0000-0000CE190000}"/>
    <cellStyle name="Normal 5 3 3 3 2 3 3 2" xfId="14077" xr:uid="{04950E8E-6B89-4F24-B352-FEA1AE55961C}"/>
    <cellStyle name="Normal 5 3 3 3 2 3 4" xfId="9859" xr:uid="{C52901EE-9F6F-4C99-AC90-C1B4C915C927}"/>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2 2 2" xfId="16635" xr:uid="{9D5E2721-C176-4B23-9FF0-DEC94D5ADF66}"/>
    <cellStyle name="Normal 5 3 3 3 2 4 2 3" xfId="12417" xr:uid="{E06067F2-088E-41A3-8968-8D14718A62D1}"/>
    <cellStyle name="Normal 5 3 3 3 2 4 3" xfId="6061" xr:uid="{00000000-0005-0000-0000-0000D2190000}"/>
    <cellStyle name="Normal 5 3 3 3 2 4 3 2" xfId="14490" xr:uid="{1307587F-E486-4091-A768-085CBAF94F94}"/>
    <cellStyle name="Normal 5 3 3 3 2 4 4" xfId="10272" xr:uid="{216E4F18-FF9F-4E65-B831-94736B69710F}"/>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2 2 2" xfId="17048" xr:uid="{C461892C-49D3-4317-92CC-8C4FE5FB6F09}"/>
    <cellStyle name="Normal 5 3 3 3 2 5 2 3" xfId="12830" xr:uid="{1EEB51EE-DC1A-4896-B240-6B497D421794}"/>
    <cellStyle name="Normal 5 3 3 3 2 5 3" xfId="6474" xr:uid="{00000000-0005-0000-0000-0000D6190000}"/>
    <cellStyle name="Normal 5 3 3 3 2 5 3 2" xfId="14903" xr:uid="{DB10BF55-2275-4113-9E90-9485CC64931F}"/>
    <cellStyle name="Normal 5 3 3 3 2 5 4" xfId="10685" xr:uid="{343A3D1D-613D-43FC-97A4-8B5C66E878EB}"/>
    <cellStyle name="Normal 5 3 3 3 2 6" xfId="2602" xr:uid="{00000000-0005-0000-0000-0000D7190000}"/>
    <cellStyle name="Normal 5 3 3 3 2 6 2" xfId="6887" xr:uid="{00000000-0005-0000-0000-0000D8190000}"/>
    <cellStyle name="Normal 5 3 3 3 2 6 2 2" xfId="15316" xr:uid="{C039135A-4EA7-4B1F-A991-A935F82118DB}"/>
    <cellStyle name="Normal 5 3 3 3 2 6 3" xfId="11098" xr:uid="{3EDDFC7D-257B-4758-840C-A42C00C9E843}"/>
    <cellStyle name="Normal 5 3 3 3 2 7" xfId="4822" xr:uid="{00000000-0005-0000-0000-0000D9190000}"/>
    <cellStyle name="Normal 5 3 3 3 2 7 2" xfId="13251" xr:uid="{75FD9A7E-5DFB-4896-9BDE-CCEE02B846EB}"/>
    <cellStyle name="Normal 5 3 3 3 2 8" xfId="9033" xr:uid="{EAF104A9-73F2-445C-8081-BF4793212F0E}"/>
    <cellStyle name="Normal 5 3 3 3 3" xfId="921" xr:uid="{00000000-0005-0000-0000-0000DA190000}"/>
    <cellStyle name="Normal 5 3 3 3 3 2" xfId="3155" xr:uid="{00000000-0005-0000-0000-0000DB190000}"/>
    <cellStyle name="Normal 5 3 3 3 3 2 2" xfId="7379" xr:uid="{00000000-0005-0000-0000-0000DC190000}"/>
    <cellStyle name="Normal 5 3 3 3 3 2 2 2" xfId="15808" xr:uid="{0773D53D-3905-4193-B717-5B9F7016014F}"/>
    <cellStyle name="Normal 5 3 3 3 3 2 3" xfId="11590" xr:uid="{E3EAAB12-66FE-464C-8122-5D587ECB43FB}"/>
    <cellStyle name="Normal 5 3 3 3 3 3" xfId="5234" xr:uid="{00000000-0005-0000-0000-0000DD190000}"/>
    <cellStyle name="Normal 5 3 3 3 3 3 2" xfId="13663" xr:uid="{619CBC8E-1236-40BC-8C7C-EB2602168821}"/>
    <cellStyle name="Normal 5 3 3 3 3 4" xfId="9445" xr:uid="{1801C4E0-0CB5-490A-AE1E-04B1C96D6A1E}"/>
    <cellStyle name="Normal 5 3 3 3 4" xfId="1338" xr:uid="{00000000-0005-0000-0000-0000DE190000}"/>
    <cellStyle name="Normal 5 3 3 3 4 2" xfId="3568" xr:uid="{00000000-0005-0000-0000-0000DF190000}"/>
    <cellStyle name="Normal 5 3 3 3 4 2 2" xfId="7792" xr:uid="{00000000-0005-0000-0000-0000E0190000}"/>
    <cellStyle name="Normal 5 3 3 3 4 2 2 2" xfId="16221" xr:uid="{297FE98B-A3B7-4151-A248-8ACA4EA8E205}"/>
    <cellStyle name="Normal 5 3 3 3 4 2 3" xfId="12003" xr:uid="{0C765AAF-089D-4896-8CCB-6DA5B3F0FDA1}"/>
    <cellStyle name="Normal 5 3 3 3 4 3" xfId="5647" xr:uid="{00000000-0005-0000-0000-0000E1190000}"/>
    <cellStyle name="Normal 5 3 3 3 4 3 2" xfId="14076" xr:uid="{546A5C64-30C6-475D-95DB-0F797C9D17C3}"/>
    <cellStyle name="Normal 5 3 3 3 4 4" xfId="9858" xr:uid="{5EAF2305-8686-4575-833F-4308219C5714}"/>
    <cellStyle name="Normal 5 3 3 3 5" xfId="1751" xr:uid="{00000000-0005-0000-0000-0000E2190000}"/>
    <cellStyle name="Normal 5 3 3 3 5 2" xfId="3981" xr:uid="{00000000-0005-0000-0000-0000E3190000}"/>
    <cellStyle name="Normal 5 3 3 3 5 2 2" xfId="8205" xr:uid="{00000000-0005-0000-0000-0000E4190000}"/>
    <cellStyle name="Normal 5 3 3 3 5 2 2 2" xfId="16634" xr:uid="{DF77AEFD-3564-478F-9EE4-59F591870E92}"/>
    <cellStyle name="Normal 5 3 3 3 5 2 3" xfId="12416" xr:uid="{9B99A3AC-ACCD-4B19-80E9-D1CDF8FAF6EF}"/>
    <cellStyle name="Normal 5 3 3 3 5 3" xfId="6060" xr:uid="{00000000-0005-0000-0000-0000E5190000}"/>
    <cellStyle name="Normal 5 3 3 3 5 3 2" xfId="14489" xr:uid="{0A6914D0-300B-4BD1-8B59-BB8AB91DF0D0}"/>
    <cellStyle name="Normal 5 3 3 3 5 4" xfId="10271" xr:uid="{00AF9087-3038-4B64-9393-38923CD302D1}"/>
    <cellStyle name="Normal 5 3 3 3 6" xfId="2165" xr:uid="{00000000-0005-0000-0000-0000E6190000}"/>
    <cellStyle name="Normal 5 3 3 3 6 2" xfId="4394" xr:uid="{00000000-0005-0000-0000-0000E7190000}"/>
    <cellStyle name="Normal 5 3 3 3 6 2 2" xfId="8618" xr:uid="{00000000-0005-0000-0000-0000E8190000}"/>
    <cellStyle name="Normal 5 3 3 3 6 2 2 2" xfId="17047" xr:uid="{2C74A7EA-BF33-4CD8-9C81-BAB6F1F7BB60}"/>
    <cellStyle name="Normal 5 3 3 3 6 2 3" xfId="12829" xr:uid="{795BF41F-255E-47FC-9E06-24DFDB3C676F}"/>
    <cellStyle name="Normal 5 3 3 3 6 3" xfId="6473" xr:uid="{00000000-0005-0000-0000-0000E9190000}"/>
    <cellStyle name="Normal 5 3 3 3 6 3 2" xfId="14902" xr:uid="{E0A546FD-D24C-463A-A8B2-836A780779B5}"/>
    <cellStyle name="Normal 5 3 3 3 6 4" xfId="10684" xr:uid="{A01C0F49-49FF-407A-8653-01ABB5CA55E7}"/>
    <cellStyle name="Normal 5 3 3 3 7" xfId="2601" xr:uid="{00000000-0005-0000-0000-0000EA190000}"/>
    <cellStyle name="Normal 5 3 3 3 7 2" xfId="6886" xr:uid="{00000000-0005-0000-0000-0000EB190000}"/>
    <cellStyle name="Normal 5 3 3 3 7 2 2" xfId="15315" xr:uid="{EBF5266B-0C05-4AFE-B02F-DEDADAA73CB8}"/>
    <cellStyle name="Normal 5 3 3 3 7 3" xfId="11097" xr:uid="{DB72A12B-1935-4B30-A2D6-3E7B1D49D276}"/>
    <cellStyle name="Normal 5 3 3 3 8" xfId="4821" xr:uid="{00000000-0005-0000-0000-0000EC190000}"/>
    <cellStyle name="Normal 5 3 3 3 8 2" xfId="13250" xr:uid="{47D68A71-D8BF-4449-AFD7-FCC7D1E04E49}"/>
    <cellStyle name="Normal 5 3 3 3 9" xfId="9032" xr:uid="{D4CE01D0-B076-4636-8FD0-D8415B7AA314}"/>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2 2 2" xfId="15810" xr:uid="{C30B2F2C-B622-474E-BDE4-3F5C2221997C}"/>
    <cellStyle name="Normal 5 3 3 4 2 2 3" xfId="11592" xr:uid="{13CA1F36-DE64-4857-90DB-94DC12B2005C}"/>
    <cellStyle name="Normal 5 3 3 4 2 3" xfId="5236" xr:uid="{00000000-0005-0000-0000-0000F1190000}"/>
    <cellStyle name="Normal 5 3 3 4 2 3 2" xfId="13665" xr:uid="{929CCE37-B112-4679-B358-28074068B1D0}"/>
    <cellStyle name="Normal 5 3 3 4 2 4" xfId="9447" xr:uid="{F8CB5E9E-26BC-4130-9131-85D7542B5B4A}"/>
    <cellStyle name="Normal 5 3 3 4 3" xfId="1340" xr:uid="{00000000-0005-0000-0000-0000F2190000}"/>
    <cellStyle name="Normal 5 3 3 4 3 2" xfId="3570" xr:uid="{00000000-0005-0000-0000-0000F3190000}"/>
    <cellStyle name="Normal 5 3 3 4 3 2 2" xfId="7794" xr:uid="{00000000-0005-0000-0000-0000F4190000}"/>
    <cellStyle name="Normal 5 3 3 4 3 2 2 2" xfId="16223" xr:uid="{49240C2F-4557-468F-AC5B-239D95BB6A5E}"/>
    <cellStyle name="Normal 5 3 3 4 3 2 3" xfId="12005" xr:uid="{B6C59458-C9F1-4C1F-8816-5B99EBCC9DE8}"/>
    <cellStyle name="Normal 5 3 3 4 3 3" xfId="5649" xr:uid="{00000000-0005-0000-0000-0000F5190000}"/>
    <cellStyle name="Normal 5 3 3 4 3 3 2" xfId="14078" xr:uid="{2D7A3E98-84D5-4CE6-9F9B-3648B91AA24A}"/>
    <cellStyle name="Normal 5 3 3 4 3 4" xfId="9860" xr:uid="{9E56F75C-2428-4329-B5BA-483889588D0E}"/>
    <cellStyle name="Normal 5 3 3 4 4" xfId="1753" xr:uid="{00000000-0005-0000-0000-0000F6190000}"/>
    <cellStyle name="Normal 5 3 3 4 4 2" xfId="3983" xr:uid="{00000000-0005-0000-0000-0000F7190000}"/>
    <cellStyle name="Normal 5 3 3 4 4 2 2" xfId="8207" xr:uid="{00000000-0005-0000-0000-0000F8190000}"/>
    <cellStyle name="Normal 5 3 3 4 4 2 2 2" xfId="16636" xr:uid="{C8B25C55-2619-42FE-8B26-6E40292EAF6F}"/>
    <cellStyle name="Normal 5 3 3 4 4 2 3" xfId="12418" xr:uid="{F0F57F8E-F420-47D9-883F-BA1090F0C57D}"/>
    <cellStyle name="Normal 5 3 3 4 4 3" xfId="6062" xr:uid="{00000000-0005-0000-0000-0000F9190000}"/>
    <cellStyle name="Normal 5 3 3 4 4 3 2" xfId="14491" xr:uid="{58DBC5E9-8AE6-4056-B66C-E8956A46C8C5}"/>
    <cellStyle name="Normal 5 3 3 4 4 4" xfId="10273" xr:uid="{F0F2713C-3A07-4914-BA6A-858B63BEC21D}"/>
    <cellStyle name="Normal 5 3 3 4 5" xfId="2167" xr:uid="{00000000-0005-0000-0000-0000FA190000}"/>
    <cellStyle name="Normal 5 3 3 4 5 2" xfId="4396" xr:uid="{00000000-0005-0000-0000-0000FB190000}"/>
    <cellStyle name="Normal 5 3 3 4 5 2 2" xfId="8620" xr:uid="{00000000-0005-0000-0000-0000FC190000}"/>
    <cellStyle name="Normal 5 3 3 4 5 2 2 2" xfId="17049" xr:uid="{F3CF3D99-6EA0-4BAF-8B73-6D94B2F0DD8C}"/>
    <cellStyle name="Normal 5 3 3 4 5 2 3" xfId="12831" xr:uid="{D389871E-B225-445B-9C86-2DD9B6F32BA9}"/>
    <cellStyle name="Normal 5 3 3 4 5 3" xfId="6475" xr:uid="{00000000-0005-0000-0000-0000FD190000}"/>
    <cellStyle name="Normal 5 3 3 4 5 3 2" xfId="14904" xr:uid="{172841C0-2DEC-4C14-8630-4196E7982C45}"/>
    <cellStyle name="Normal 5 3 3 4 5 4" xfId="10686" xr:uid="{DE1E7186-B9CF-4B70-8F94-0EAE5008DA2F}"/>
    <cellStyle name="Normal 5 3 3 4 6" xfId="2603" xr:uid="{00000000-0005-0000-0000-0000FE190000}"/>
    <cellStyle name="Normal 5 3 3 4 6 2" xfId="6888" xr:uid="{00000000-0005-0000-0000-0000FF190000}"/>
    <cellStyle name="Normal 5 3 3 4 6 2 2" xfId="15317" xr:uid="{A57EA4AE-45AB-4B69-AFEC-3FCC3A3537EB}"/>
    <cellStyle name="Normal 5 3 3 4 6 3" xfId="11099" xr:uid="{71ACF311-7D3E-404E-819D-134E5A2055E1}"/>
    <cellStyle name="Normal 5 3 3 4 7" xfId="4823" xr:uid="{00000000-0005-0000-0000-0000001A0000}"/>
    <cellStyle name="Normal 5 3 3 4 7 2" xfId="13252" xr:uid="{FC9C8C29-09CF-4BE1-890F-EBE5B72485BA}"/>
    <cellStyle name="Normal 5 3 3 4 8" xfId="9034" xr:uid="{F69BE986-AA18-4D2A-B4A4-7D034ABA8953}"/>
    <cellStyle name="Normal 5 3 3 5" xfId="916" xr:uid="{00000000-0005-0000-0000-0000011A0000}"/>
    <cellStyle name="Normal 5 3 3 5 2" xfId="3150" xr:uid="{00000000-0005-0000-0000-0000021A0000}"/>
    <cellStyle name="Normal 5 3 3 5 2 2" xfId="7374" xr:uid="{00000000-0005-0000-0000-0000031A0000}"/>
    <cellStyle name="Normal 5 3 3 5 2 2 2" xfId="15803" xr:uid="{34BD43B7-E2AF-403C-9CB7-61F193382BEC}"/>
    <cellStyle name="Normal 5 3 3 5 2 3" xfId="11585" xr:uid="{6D4AAFBC-7072-463D-A6C2-AAE9FC7A7005}"/>
    <cellStyle name="Normal 5 3 3 5 3" xfId="5229" xr:uid="{00000000-0005-0000-0000-0000041A0000}"/>
    <cellStyle name="Normal 5 3 3 5 3 2" xfId="13658" xr:uid="{EE30E37D-A93F-4FCE-9009-B54FCAC73F9C}"/>
    <cellStyle name="Normal 5 3 3 5 4" xfId="9440" xr:uid="{5ACD086C-7D74-4D2F-9D7F-589EF650CC9F}"/>
    <cellStyle name="Normal 5 3 3 6" xfId="1333" xr:uid="{00000000-0005-0000-0000-0000051A0000}"/>
    <cellStyle name="Normal 5 3 3 6 2" xfId="3563" xr:uid="{00000000-0005-0000-0000-0000061A0000}"/>
    <cellStyle name="Normal 5 3 3 6 2 2" xfId="7787" xr:uid="{00000000-0005-0000-0000-0000071A0000}"/>
    <cellStyle name="Normal 5 3 3 6 2 2 2" xfId="16216" xr:uid="{2D81FCBF-F2EF-4099-802D-3FFA15C25B25}"/>
    <cellStyle name="Normal 5 3 3 6 2 3" xfId="11998" xr:uid="{53B42CE9-053D-4DE0-A6B1-54B27BF59F1B}"/>
    <cellStyle name="Normal 5 3 3 6 3" xfId="5642" xr:uid="{00000000-0005-0000-0000-0000081A0000}"/>
    <cellStyle name="Normal 5 3 3 6 3 2" xfId="14071" xr:uid="{F45B9538-A84E-435A-B622-DE206D59DB5E}"/>
    <cellStyle name="Normal 5 3 3 6 4" xfId="9853" xr:uid="{2DD508C2-F538-4896-94F4-69129D0966EE}"/>
    <cellStyle name="Normal 5 3 3 7" xfId="1746" xr:uid="{00000000-0005-0000-0000-0000091A0000}"/>
    <cellStyle name="Normal 5 3 3 7 2" xfId="3976" xr:uid="{00000000-0005-0000-0000-00000A1A0000}"/>
    <cellStyle name="Normal 5 3 3 7 2 2" xfId="8200" xr:uid="{00000000-0005-0000-0000-00000B1A0000}"/>
    <cellStyle name="Normal 5 3 3 7 2 2 2" xfId="16629" xr:uid="{30EF8BAC-8A1D-4F9F-BB1B-E0DD6A2DB32A}"/>
    <cellStyle name="Normal 5 3 3 7 2 3" xfId="12411" xr:uid="{7D2E2BBC-C4FF-47EA-87D1-BD26A2D6E9C3}"/>
    <cellStyle name="Normal 5 3 3 7 3" xfId="6055" xr:uid="{00000000-0005-0000-0000-00000C1A0000}"/>
    <cellStyle name="Normal 5 3 3 7 3 2" xfId="14484" xr:uid="{EF56FFFF-BAF8-48CF-AD1C-DA18D8BBF1F4}"/>
    <cellStyle name="Normal 5 3 3 7 4" xfId="10266" xr:uid="{EA15352C-B3FD-4F82-8C0C-08852DCDD7D1}"/>
    <cellStyle name="Normal 5 3 3 8" xfId="2160" xr:uid="{00000000-0005-0000-0000-00000D1A0000}"/>
    <cellStyle name="Normal 5 3 3 8 2" xfId="4389" xr:uid="{00000000-0005-0000-0000-00000E1A0000}"/>
    <cellStyle name="Normal 5 3 3 8 2 2" xfId="8613" xr:uid="{00000000-0005-0000-0000-00000F1A0000}"/>
    <cellStyle name="Normal 5 3 3 8 2 2 2" xfId="17042" xr:uid="{EEDB0D8D-8329-4AFC-9E46-48C9A9CEEB4B}"/>
    <cellStyle name="Normal 5 3 3 8 2 3" xfId="12824" xr:uid="{05EA1390-3E84-46C3-8986-B8BE6DC348EC}"/>
    <cellStyle name="Normal 5 3 3 8 3" xfId="6468" xr:uid="{00000000-0005-0000-0000-0000101A0000}"/>
    <cellStyle name="Normal 5 3 3 8 3 2" xfId="14897" xr:uid="{BD95D478-4C09-404A-BA3F-2A17838C9BA2}"/>
    <cellStyle name="Normal 5 3 3 8 4" xfId="10679" xr:uid="{B2950C05-F88D-4D39-A41F-16C2B67348DE}"/>
    <cellStyle name="Normal 5 3 3 9" xfId="2596" xr:uid="{00000000-0005-0000-0000-0000111A0000}"/>
    <cellStyle name="Normal 5 3 3 9 2" xfId="6881" xr:uid="{00000000-0005-0000-0000-0000121A0000}"/>
    <cellStyle name="Normal 5 3 3 9 2 2" xfId="15310" xr:uid="{E5AFBB58-141A-4ACA-B739-DCD79A152D97}"/>
    <cellStyle name="Normal 5 3 3 9 3" xfId="11092" xr:uid="{18BF7AFD-6BC5-45D1-8135-74465DB6C46A}"/>
    <cellStyle name="Normal 5 3 4" xfId="449" xr:uid="{00000000-0005-0000-0000-0000131A0000}"/>
    <cellStyle name="Normal 5 3 4 10" xfId="9035" xr:uid="{113456EF-42C2-427A-A50E-7AB57640D7E9}"/>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2 2 2" xfId="15813" xr:uid="{1440B04E-556C-4818-831F-EC9EB8821114}"/>
    <cellStyle name="Normal 5 3 4 2 2 2 2 3" xfId="11595" xr:uid="{F2BDC2DB-3EA1-4F5B-B8A2-9C2851CB4D03}"/>
    <cellStyle name="Normal 5 3 4 2 2 2 3" xfId="5239" xr:uid="{00000000-0005-0000-0000-0000191A0000}"/>
    <cellStyle name="Normal 5 3 4 2 2 2 3 2" xfId="13668" xr:uid="{922DE496-73FF-4A30-A983-944A6D1B2088}"/>
    <cellStyle name="Normal 5 3 4 2 2 2 4" xfId="9450" xr:uid="{87A361DE-8A45-4E76-BD42-C3560F452E48}"/>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2 2 2" xfId="16226" xr:uid="{BF52D90D-7839-42DE-85F8-64FBE4233448}"/>
    <cellStyle name="Normal 5 3 4 2 2 3 2 3" xfId="12008" xr:uid="{62A5ECDE-67A7-4BDC-9E3F-8A6B031936DF}"/>
    <cellStyle name="Normal 5 3 4 2 2 3 3" xfId="5652" xr:uid="{00000000-0005-0000-0000-00001D1A0000}"/>
    <cellStyle name="Normal 5 3 4 2 2 3 3 2" xfId="14081" xr:uid="{BEE465CE-D2AC-470C-A4E0-2222D03E723B}"/>
    <cellStyle name="Normal 5 3 4 2 2 3 4" xfId="9863" xr:uid="{4BE8D736-A534-42F9-B4B1-5D48CA365DE7}"/>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2 2 2" xfId="16639" xr:uid="{61A5780C-65FA-4F2E-9BE6-BD015CEA0704}"/>
    <cellStyle name="Normal 5 3 4 2 2 4 2 3" xfId="12421" xr:uid="{15255DC0-2A95-47DC-B0D6-2EB637B53913}"/>
    <cellStyle name="Normal 5 3 4 2 2 4 3" xfId="6065" xr:uid="{00000000-0005-0000-0000-0000211A0000}"/>
    <cellStyle name="Normal 5 3 4 2 2 4 3 2" xfId="14494" xr:uid="{884621B8-5F04-4956-9317-2977EF572905}"/>
    <cellStyle name="Normal 5 3 4 2 2 4 4" xfId="10276" xr:uid="{DBC23136-A35F-453A-8C1C-02EE2AE75981}"/>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2 2 2" xfId="17052" xr:uid="{2492E689-BA2E-4D34-AE10-BED20F2E0B71}"/>
    <cellStyle name="Normal 5 3 4 2 2 5 2 3" xfId="12834" xr:uid="{83411BC4-6C40-4EA3-AF36-FB436875B8A2}"/>
    <cellStyle name="Normal 5 3 4 2 2 5 3" xfId="6478" xr:uid="{00000000-0005-0000-0000-0000251A0000}"/>
    <cellStyle name="Normal 5 3 4 2 2 5 3 2" xfId="14907" xr:uid="{AB223EB7-235E-4E7F-9266-348F4A556E98}"/>
    <cellStyle name="Normal 5 3 4 2 2 5 4" xfId="10689" xr:uid="{0A306B2E-F7CD-4537-8B9D-54A8AF890D8C}"/>
    <cellStyle name="Normal 5 3 4 2 2 6" xfId="2606" xr:uid="{00000000-0005-0000-0000-0000261A0000}"/>
    <cellStyle name="Normal 5 3 4 2 2 6 2" xfId="6891" xr:uid="{00000000-0005-0000-0000-0000271A0000}"/>
    <cellStyle name="Normal 5 3 4 2 2 6 2 2" xfId="15320" xr:uid="{E5A23233-3053-487D-8390-51CAA4C84E2B}"/>
    <cellStyle name="Normal 5 3 4 2 2 6 3" xfId="11102" xr:uid="{36A20362-F0B4-4B7A-80E5-C71CB6720790}"/>
    <cellStyle name="Normal 5 3 4 2 2 7" xfId="4826" xr:uid="{00000000-0005-0000-0000-0000281A0000}"/>
    <cellStyle name="Normal 5 3 4 2 2 7 2" xfId="13255" xr:uid="{27BC96B8-31C7-4659-8709-1B9DDEC12E3D}"/>
    <cellStyle name="Normal 5 3 4 2 2 8" xfId="9037" xr:uid="{B94B5436-0B34-43A6-8D96-37B6791C01E8}"/>
    <cellStyle name="Normal 5 3 4 2 3" xfId="925" xr:uid="{00000000-0005-0000-0000-0000291A0000}"/>
    <cellStyle name="Normal 5 3 4 2 3 2" xfId="3159" xr:uid="{00000000-0005-0000-0000-00002A1A0000}"/>
    <cellStyle name="Normal 5 3 4 2 3 2 2" xfId="7383" xr:uid="{00000000-0005-0000-0000-00002B1A0000}"/>
    <cellStyle name="Normal 5 3 4 2 3 2 2 2" xfId="15812" xr:uid="{5437AC40-48F8-48B7-ACDE-CDDBE2509745}"/>
    <cellStyle name="Normal 5 3 4 2 3 2 3" xfId="11594" xr:uid="{F54037A5-4E28-4644-A0C8-D5D898DD8709}"/>
    <cellStyle name="Normal 5 3 4 2 3 3" xfId="5238" xr:uid="{00000000-0005-0000-0000-00002C1A0000}"/>
    <cellStyle name="Normal 5 3 4 2 3 3 2" xfId="13667" xr:uid="{EBEDC7D5-5B23-426D-B6AA-12C711287047}"/>
    <cellStyle name="Normal 5 3 4 2 3 4" xfId="9449" xr:uid="{58271824-CE43-4BD0-B58D-581CA7454ADA}"/>
    <cellStyle name="Normal 5 3 4 2 4" xfId="1342" xr:uid="{00000000-0005-0000-0000-00002D1A0000}"/>
    <cellStyle name="Normal 5 3 4 2 4 2" xfId="3572" xr:uid="{00000000-0005-0000-0000-00002E1A0000}"/>
    <cellStyle name="Normal 5 3 4 2 4 2 2" xfId="7796" xr:uid="{00000000-0005-0000-0000-00002F1A0000}"/>
    <cellStyle name="Normal 5 3 4 2 4 2 2 2" xfId="16225" xr:uid="{3E72DE0C-2600-406E-A578-D648E59C47AA}"/>
    <cellStyle name="Normal 5 3 4 2 4 2 3" xfId="12007" xr:uid="{CA3D4653-5646-46E5-A125-5F785D9282CE}"/>
    <cellStyle name="Normal 5 3 4 2 4 3" xfId="5651" xr:uid="{00000000-0005-0000-0000-0000301A0000}"/>
    <cellStyle name="Normal 5 3 4 2 4 3 2" xfId="14080" xr:uid="{5106606C-FE51-4042-8421-20500D148C80}"/>
    <cellStyle name="Normal 5 3 4 2 4 4" xfId="9862" xr:uid="{0B5DD5CE-3B15-4063-BD55-BD84AEBB1D30}"/>
    <cellStyle name="Normal 5 3 4 2 5" xfId="1755" xr:uid="{00000000-0005-0000-0000-0000311A0000}"/>
    <cellStyle name="Normal 5 3 4 2 5 2" xfId="3985" xr:uid="{00000000-0005-0000-0000-0000321A0000}"/>
    <cellStyle name="Normal 5 3 4 2 5 2 2" xfId="8209" xr:uid="{00000000-0005-0000-0000-0000331A0000}"/>
    <cellStyle name="Normal 5 3 4 2 5 2 2 2" xfId="16638" xr:uid="{CF41D7BC-4945-4AE4-854F-59A4D8C7FE1B}"/>
    <cellStyle name="Normal 5 3 4 2 5 2 3" xfId="12420" xr:uid="{23030316-28F8-4059-8731-CE0436BE4DF4}"/>
    <cellStyle name="Normal 5 3 4 2 5 3" xfId="6064" xr:uid="{00000000-0005-0000-0000-0000341A0000}"/>
    <cellStyle name="Normal 5 3 4 2 5 3 2" xfId="14493" xr:uid="{0B5D20DA-A0A7-4574-AFB1-963C3C3A6263}"/>
    <cellStyle name="Normal 5 3 4 2 5 4" xfId="10275" xr:uid="{D0D6B66E-A109-43C7-871F-7B4CC2C55B07}"/>
    <cellStyle name="Normal 5 3 4 2 6" xfId="2169" xr:uid="{00000000-0005-0000-0000-0000351A0000}"/>
    <cellStyle name="Normal 5 3 4 2 6 2" xfId="4398" xr:uid="{00000000-0005-0000-0000-0000361A0000}"/>
    <cellStyle name="Normal 5 3 4 2 6 2 2" xfId="8622" xr:uid="{00000000-0005-0000-0000-0000371A0000}"/>
    <cellStyle name="Normal 5 3 4 2 6 2 2 2" xfId="17051" xr:uid="{C4B15734-6293-48E1-9CA7-2D62AEAEA657}"/>
    <cellStyle name="Normal 5 3 4 2 6 2 3" xfId="12833" xr:uid="{DA0A2259-2A2C-49A7-B494-C3B1391611DF}"/>
    <cellStyle name="Normal 5 3 4 2 6 3" xfId="6477" xr:uid="{00000000-0005-0000-0000-0000381A0000}"/>
    <cellStyle name="Normal 5 3 4 2 6 3 2" xfId="14906" xr:uid="{DBA730B7-EAAC-4D6F-AD48-AF411698CB66}"/>
    <cellStyle name="Normal 5 3 4 2 6 4" xfId="10688" xr:uid="{F790C429-A06A-420E-9E11-D4CB3DADC379}"/>
    <cellStyle name="Normal 5 3 4 2 7" xfId="2605" xr:uid="{00000000-0005-0000-0000-0000391A0000}"/>
    <cellStyle name="Normal 5 3 4 2 7 2" xfId="6890" xr:uid="{00000000-0005-0000-0000-00003A1A0000}"/>
    <cellStyle name="Normal 5 3 4 2 7 2 2" xfId="15319" xr:uid="{CB48446D-DA14-424C-8674-FD5198DCAB1D}"/>
    <cellStyle name="Normal 5 3 4 2 7 3" xfId="11101" xr:uid="{198D2C0D-9D7D-466A-91EA-3675730FBDE4}"/>
    <cellStyle name="Normal 5 3 4 2 8" xfId="4825" xr:uid="{00000000-0005-0000-0000-00003B1A0000}"/>
    <cellStyle name="Normal 5 3 4 2 8 2" xfId="13254" xr:uid="{70769E4F-B238-4ACA-B815-BBEDCCCAFDD0}"/>
    <cellStyle name="Normal 5 3 4 2 9" xfId="9036" xr:uid="{8858C696-FD05-442A-807A-867214616D42}"/>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2 2 2" xfId="15814" xr:uid="{34FA6A1F-EF02-4C22-BF29-3ED1932B855F}"/>
    <cellStyle name="Normal 5 3 4 3 2 2 3" xfId="11596" xr:uid="{2712DDDB-111C-4A12-A68D-0A4DC68484FA}"/>
    <cellStyle name="Normal 5 3 4 3 2 3" xfId="5240" xr:uid="{00000000-0005-0000-0000-0000401A0000}"/>
    <cellStyle name="Normal 5 3 4 3 2 3 2" xfId="13669" xr:uid="{8167B0EC-2C3B-4363-8BA0-284C7C0C2CED}"/>
    <cellStyle name="Normal 5 3 4 3 2 4" xfId="9451" xr:uid="{4600D52A-7ED9-405C-AF11-6345D305A91D}"/>
    <cellStyle name="Normal 5 3 4 3 3" xfId="1344" xr:uid="{00000000-0005-0000-0000-0000411A0000}"/>
    <cellStyle name="Normal 5 3 4 3 3 2" xfId="3574" xr:uid="{00000000-0005-0000-0000-0000421A0000}"/>
    <cellStyle name="Normal 5 3 4 3 3 2 2" xfId="7798" xr:uid="{00000000-0005-0000-0000-0000431A0000}"/>
    <cellStyle name="Normal 5 3 4 3 3 2 2 2" xfId="16227" xr:uid="{5E18B8E2-C70A-4CB3-A19A-3E97759396A2}"/>
    <cellStyle name="Normal 5 3 4 3 3 2 3" xfId="12009" xr:uid="{C9411F7F-CA36-4599-9F5B-141266699D8F}"/>
    <cellStyle name="Normal 5 3 4 3 3 3" xfId="5653" xr:uid="{00000000-0005-0000-0000-0000441A0000}"/>
    <cellStyle name="Normal 5 3 4 3 3 3 2" xfId="14082" xr:uid="{1FB2157F-D8D9-4BBF-BDE5-81B836F2DDE3}"/>
    <cellStyle name="Normal 5 3 4 3 3 4" xfId="9864" xr:uid="{8D51535F-1E08-4169-AA60-BB22E5AE275F}"/>
    <cellStyle name="Normal 5 3 4 3 4" xfId="1757" xr:uid="{00000000-0005-0000-0000-0000451A0000}"/>
    <cellStyle name="Normal 5 3 4 3 4 2" xfId="3987" xr:uid="{00000000-0005-0000-0000-0000461A0000}"/>
    <cellStyle name="Normal 5 3 4 3 4 2 2" xfId="8211" xr:uid="{00000000-0005-0000-0000-0000471A0000}"/>
    <cellStyle name="Normal 5 3 4 3 4 2 2 2" xfId="16640" xr:uid="{9D559C4F-D419-44EF-88ED-FBEF606780EE}"/>
    <cellStyle name="Normal 5 3 4 3 4 2 3" xfId="12422" xr:uid="{FDC6ADC7-4AB7-44DF-A611-BBCF30BE2DC3}"/>
    <cellStyle name="Normal 5 3 4 3 4 3" xfId="6066" xr:uid="{00000000-0005-0000-0000-0000481A0000}"/>
    <cellStyle name="Normal 5 3 4 3 4 3 2" xfId="14495" xr:uid="{36BA9CC9-45F3-42E2-AA61-0467BAEF04FB}"/>
    <cellStyle name="Normal 5 3 4 3 4 4" xfId="10277" xr:uid="{88B8B3D4-3748-4D4C-8F38-A50382A5E9B1}"/>
    <cellStyle name="Normal 5 3 4 3 5" xfId="2171" xr:uid="{00000000-0005-0000-0000-0000491A0000}"/>
    <cellStyle name="Normal 5 3 4 3 5 2" xfId="4400" xr:uid="{00000000-0005-0000-0000-00004A1A0000}"/>
    <cellStyle name="Normal 5 3 4 3 5 2 2" xfId="8624" xr:uid="{00000000-0005-0000-0000-00004B1A0000}"/>
    <cellStyle name="Normal 5 3 4 3 5 2 2 2" xfId="17053" xr:uid="{A588BD25-0231-427E-B72B-63886ABC0A80}"/>
    <cellStyle name="Normal 5 3 4 3 5 2 3" xfId="12835" xr:uid="{63898551-C7A9-4FE8-8CDB-A1FCE2595F88}"/>
    <cellStyle name="Normal 5 3 4 3 5 3" xfId="6479" xr:uid="{00000000-0005-0000-0000-00004C1A0000}"/>
    <cellStyle name="Normal 5 3 4 3 5 3 2" xfId="14908" xr:uid="{5B01A618-0C8F-4500-899E-AEAEC57AE443}"/>
    <cellStyle name="Normal 5 3 4 3 5 4" xfId="10690" xr:uid="{9ED19B34-E125-4687-A7DC-A5FD7629ABE9}"/>
    <cellStyle name="Normal 5 3 4 3 6" xfId="2607" xr:uid="{00000000-0005-0000-0000-00004D1A0000}"/>
    <cellStyle name="Normal 5 3 4 3 6 2" xfId="6892" xr:uid="{00000000-0005-0000-0000-00004E1A0000}"/>
    <cellStyle name="Normal 5 3 4 3 6 2 2" xfId="15321" xr:uid="{FE54D890-F699-476F-A538-425229FF6501}"/>
    <cellStyle name="Normal 5 3 4 3 6 3" xfId="11103" xr:uid="{47E0025C-4470-4BAD-889C-3383BB759AC0}"/>
    <cellStyle name="Normal 5 3 4 3 7" xfId="4827" xr:uid="{00000000-0005-0000-0000-00004F1A0000}"/>
    <cellStyle name="Normal 5 3 4 3 7 2" xfId="13256" xr:uid="{DE320943-E09B-4C3B-9D7E-EFDB4E87BAD5}"/>
    <cellStyle name="Normal 5 3 4 3 8" xfId="9038" xr:uid="{20F0C712-91C6-47E9-8F2C-54589D8BB562}"/>
    <cellStyle name="Normal 5 3 4 4" xfId="924" xr:uid="{00000000-0005-0000-0000-0000501A0000}"/>
    <cellStyle name="Normal 5 3 4 4 2" xfId="3158" xr:uid="{00000000-0005-0000-0000-0000511A0000}"/>
    <cellStyle name="Normal 5 3 4 4 2 2" xfId="7382" xr:uid="{00000000-0005-0000-0000-0000521A0000}"/>
    <cellStyle name="Normal 5 3 4 4 2 2 2" xfId="15811" xr:uid="{F31C0924-3764-45D1-B1EF-C4C6DF0A8A06}"/>
    <cellStyle name="Normal 5 3 4 4 2 3" xfId="11593" xr:uid="{12945861-AE6C-4F07-8803-51CFDA7A9752}"/>
    <cellStyle name="Normal 5 3 4 4 3" xfId="5237" xr:uid="{00000000-0005-0000-0000-0000531A0000}"/>
    <cellStyle name="Normal 5 3 4 4 3 2" xfId="13666" xr:uid="{23EA78E2-17C0-42BD-A1D4-59FF4CE4F12D}"/>
    <cellStyle name="Normal 5 3 4 4 4" xfId="9448" xr:uid="{867D5516-7767-4EBE-8B22-309567C15ABC}"/>
    <cellStyle name="Normal 5 3 4 5" xfId="1341" xr:uid="{00000000-0005-0000-0000-0000541A0000}"/>
    <cellStyle name="Normal 5 3 4 5 2" xfId="3571" xr:uid="{00000000-0005-0000-0000-0000551A0000}"/>
    <cellStyle name="Normal 5 3 4 5 2 2" xfId="7795" xr:uid="{00000000-0005-0000-0000-0000561A0000}"/>
    <cellStyle name="Normal 5 3 4 5 2 2 2" xfId="16224" xr:uid="{AC708702-029E-4618-A300-EBE0BA6BE69F}"/>
    <cellStyle name="Normal 5 3 4 5 2 3" xfId="12006" xr:uid="{6647F7C1-BE9A-48C1-B798-AD24D0028084}"/>
    <cellStyle name="Normal 5 3 4 5 3" xfId="5650" xr:uid="{00000000-0005-0000-0000-0000571A0000}"/>
    <cellStyle name="Normal 5 3 4 5 3 2" xfId="14079" xr:uid="{BFD8EDCF-1E04-4C47-99FC-1F08F89EAF10}"/>
    <cellStyle name="Normal 5 3 4 5 4" xfId="9861" xr:uid="{B11BFD19-75D7-46AF-ACE3-E3D34945E5C6}"/>
    <cellStyle name="Normal 5 3 4 6" xfId="1754" xr:uid="{00000000-0005-0000-0000-0000581A0000}"/>
    <cellStyle name="Normal 5 3 4 6 2" xfId="3984" xr:uid="{00000000-0005-0000-0000-0000591A0000}"/>
    <cellStyle name="Normal 5 3 4 6 2 2" xfId="8208" xr:uid="{00000000-0005-0000-0000-00005A1A0000}"/>
    <cellStyle name="Normal 5 3 4 6 2 2 2" xfId="16637" xr:uid="{1614482C-F478-482D-910F-AD922538C7DC}"/>
    <cellStyle name="Normal 5 3 4 6 2 3" xfId="12419" xr:uid="{15539C79-B86A-4167-842C-70C5C2CA15FE}"/>
    <cellStyle name="Normal 5 3 4 6 3" xfId="6063" xr:uid="{00000000-0005-0000-0000-00005B1A0000}"/>
    <cellStyle name="Normal 5 3 4 6 3 2" xfId="14492" xr:uid="{87E86096-62E5-4C47-BBA0-65C387F5DCC3}"/>
    <cellStyle name="Normal 5 3 4 6 4" xfId="10274" xr:uid="{431ADCCC-3BC9-425A-B03C-96D39A26F34D}"/>
    <cellStyle name="Normal 5 3 4 7" xfId="2168" xr:uid="{00000000-0005-0000-0000-00005C1A0000}"/>
    <cellStyle name="Normal 5 3 4 7 2" xfId="4397" xr:uid="{00000000-0005-0000-0000-00005D1A0000}"/>
    <cellStyle name="Normal 5 3 4 7 2 2" xfId="8621" xr:uid="{00000000-0005-0000-0000-00005E1A0000}"/>
    <cellStyle name="Normal 5 3 4 7 2 2 2" xfId="17050" xr:uid="{348532D3-3692-4690-B551-FB8E76F56A29}"/>
    <cellStyle name="Normal 5 3 4 7 2 3" xfId="12832" xr:uid="{81F4EE6A-3638-48D4-8E45-4824A79C8EBC}"/>
    <cellStyle name="Normal 5 3 4 7 3" xfId="6476" xr:uid="{00000000-0005-0000-0000-00005F1A0000}"/>
    <cellStyle name="Normal 5 3 4 7 3 2" xfId="14905" xr:uid="{C45B8DC2-5A20-4CF0-9BD5-5FD82315255A}"/>
    <cellStyle name="Normal 5 3 4 7 4" xfId="10687" xr:uid="{CEE05605-9E05-48DC-AEF7-AB99B48B0F62}"/>
    <cellStyle name="Normal 5 3 4 8" xfId="2604" xr:uid="{00000000-0005-0000-0000-0000601A0000}"/>
    <cellStyle name="Normal 5 3 4 8 2" xfId="6889" xr:uid="{00000000-0005-0000-0000-0000611A0000}"/>
    <cellStyle name="Normal 5 3 4 8 2 2" xfId="15318" xr:uid="{2393AC7B-16D0-442C-8741-8D4A73271B48}"/>
    <cellStyle name="Normal 5 3 4 8 3" xfId="11100" xr:uid="{A608CB56-C56E-4D64-879C-ABB6F8E0EF60}"/>
    <cellStyle name="Normal 5 3 4 9" xfId="4824" xr:uid="{00000000-0005-0000-0000-0000621A0000}"/>
    <cellStyle name="Normal 5 3 4 9 2" xfId="13253" xr:uid="{307D8058-40A4-4395-81AE-37FD93F2D4B5}"/>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2 2 2" xfId="15816" xr:uid="{2F285AC4-537C-44EC-B094-0F7C31E7B32C}"/>
    <cellStyle name="Normal 5 3 5 2 2 2 3" xfId="11598" xr:uid="{128E81E9-86D3-4F35-9281-C5E53EC43F45}"/>
    <cellStyle name="Normal 5 3 5 2 2 3" xfId="5242" xr:uid="{00000000-0005-0000-0000-0000681A0000}"/>
    <cellStyle name="Normal 5 3 5 2 2 3 2" xfId="13671" xr:uid="{CAD95C01-56CF-4A75-B6CE-8E50D8F5A7B9}"/>
    <cellStyle name="Normal 5 3 5 2 2 4" xfId="9453" xr:uid="{63883C68-E3E4-4103-8FBB-1946D47B3451}"/>
    <cellStyle name="Normal 5 3 5 2 3" xfId="1346" xr:uid="{00000000-0005-0000-0000-0000691A0000}"/>
    <cellStyle name="Normal 5 3 5 2 3 2" xfId="3576" xr:uid="{00000000-0005-0000-0000-00006A1A0000}"/>
    <cellStyle name="Normal 5 3 5 2 3 2 2" xfId="7800" xr:uid="{00000000-0005-0000-0000-00006B1A0000}"/>
    <cellStyle name="Normal 5 3 5 2 3 2 2 2" xfId="16229" xr:uid="{1A7C523F-348B-4C2F-9176-B2371EAB1663}"/>
    <cellStyle name="Normal 5 3 5 2 3 2 3" xfId="12011" xr:uid="{54B90AF4-9501-452C-BA9A-CF1D8DF67F07}"/>
    <cellStyle name="Normal 5 3 5 2 3 3" xfId="5655" xr:uid="{00000000-0005-0000-0000-00006C1A0000}"/>
    <cellStyle name="Normal 5 3 5 2 3 3 2" xfId="14084" xr:uid="{EB546535-7563-436B-B6F6-BAEFF624CF39}"/>
    <cellStyle name="Normal 5 3 5 2 3 4" xfId="9866" xr:uid="{EE1D1BBE-5C1D-4884-A5A1-942729D6B42B}"/>
    <cellStyle name="Normal 5 3 5 2 4" xfId="1759" xr:uid="{00000000-0005-0000-0000-00006D1A0000}"/>
    <cellStyle name="Normal 5 3 5 2 4 2" xfId="3989" xr:uid="{00000000-0005-0000-0000-00006E1A0000}"/>
    <cellStyle name="Normal 5 3 5 2 4 2 2" xfId="8213" xr:uid="{00000000-0005-0000-0000-00006F1A0000}"/>
    <cellStyle name="Normal 5 3 5 2 4 2 2 2" xfId="16642" xr:uid="{0C02BD81-7FA2-4BAD-A76F-D9AC8C94E16A}"/>
    <cellStyle name="Normal 5 3 5 2 4 2 3" xfId="12424" xr:uid="{8492BB21-F7D5-41C8-8217-4CF1BE02CF13}"/>
    <cellStyle name="Normal 5 3 5 2 4 3" xfId="6068" xr:uid="{00000000-0005-0000-0000-0000701A0000}"/>
    <cellStyle name="Normal 5 3 5 2 4 3 2" xfId="14497" xr:uid="{21136102-246D-4CEB-BF12-72196E6F77AF}"/>
    <cellStyle name="Normal 5 3 5 2 4 4" xfId="10279" xr:uid="{64E01275-5493-4451-A39A-10CB7CEADC33}"/>
    <cellStyle name="Normal 5 3 5 2 5" xfId="2173" xr:uid="{00000000-0005-0000-0000-0000711A0000}"/>
    <cellStyle name="Normal 5 3 5 2 5 2" xfId="4402" xr:uid="{00000000-0005-0000-0000-0000721A0000}"/>
    <cellStyle name="Normal 5 3 5 2 5 2 2" xfId="8626" xr:uid="{00000000-0005-0000-0000-0000731A0000}"/>
    <cellStyle name="Normal 5 3 5 2 5 2 2 2" xfId="17055" xr:uid="{DB802FA6-7AD7-4C68-9311-78E0E7255ACD}"/>
    <cellStyle name="Normal 5 3 5 2 5 2 3" xfId="12837" xr:uid="{43815835-FB7A-4A9A-B80F-71BDB192FF34}"/>
    <cellStyle name="Normal 5 3 5 2 5 3" xfId="6481" xr:uid="{00000000-0005-0000-0000-0000741A0000}"/>
    <cellStyle name="Normal 5 3 5 2 5 3 2" xfId="14910" xr:uid="{54DE4349-F9F6-4054-A8D7-C74D84C67354}"/>
    <cellStyle name="Normal 5 3 5 2 5 4" xfId="10692" xr:uid="{220EFF61-F5C3-4DF7-84AF-3511C488A326}"/>
    <cellStyle name="Normal 5 3 5 2 6" xfId="2609" xr:uid="{00000000-0005-0000-0000-0000751A0000}"/>
    <cellStyle name="Normal 5 3 5 2 6 2" xfId="6894" xr:uid="{00000000-0005-0000-0000-0000761A0000}"/>
    <cellStyle name="Normal 5 3 5 2 6 2 2" xfId="15323" xr:uid="{420FBF8F-665E-4A04-B418-26BFAB4721B1}"/>
    <cellStyle name="Normal 5 3 5 2 6 3" xfId="11105" xr:uid="{177FA779-312F-4315-AE07-A8E560F54403}"/>
    <cellStyle name="Normal 5 3 5 2 7" xfId="4829" xr:uid="{00000000-0005-0000-0000-0000771A0000}"/>
    <cellStyle name="Normal 5 3 5 2 7 2" xfId="13258" xr:uid="{86777B7A-3FB8-4D83-AB44-B00E273E3204}"/>
    <cellStyle name="Normal 5 3 5 2 8" xfId="9040" xr:uid="{63F1AE5F-30BD-495C-A166-8547E4544042}"/>
    <cellStyle name="Normal 5 3 5 3" xfId="928" xr:uid="{00000000-0005-0000-0000-0000781A0000}"/>
    <cellStyle name="Normal 5 3 5 3 2" xfId="3162" xr:uid="{00000000-0005-0000-0000-0000791A0000}"/>
    <cellStyle name="Normal 5 3 5 3 2 2" xfId="7386" xr:uid="{00000000-0005-0000-0000-00007A1A0000}"/>
    <cellStyle name="Normal 5 3 5 3 2 2 2" xfId="15815" xr:uid="{5DA6BF67-AE38-4ED1-B7AB-527495EF443B}"/>
    <cellStyle name="Normal 5 3 5 3 2 3" xfId="11597" xr:uid="{F2B77C27-7770-41C4-ADDF-EE45E1CC5DF1}"/>
    <cellStyle name="Normal 5 3 5 3 3" xfId="5241" xr:uid="{00000000-0005-0000-0000-00007B1A0000}"/>
    <cellStyle name="Normal 5 3 5 3 3 2" xfId="13670" xr:uid="{E54A05D2-D542-4A3A-A86C-61EFB812E9F6}"/>
    <cellStyle name="Normal 5 3 5 3 4" xfId="9452" xr:uid="{78B48923-E674-4F08-9920-7D19FDF0F9F3}"/>
    <cellStyle name="Normal 5 3 5 4" xfId="1345" xr:uid="{00000000-0005-0000-0000-00007C1A0000}"/>
    <cellStyle name="Normal 5 3 5 4 2" xfId="3575" xr:uid="{00000000-0005-0000-0000-00007D1A0000}"/>
    <cellStyle name="Normal 5 3 5 4 2 2" xfId="7799" xr:uid="{00000000-0005-0000-0000-00007E1A0000}"/>
    <cellStyle name="Normal 5 3 5 4 2 2 2" xfId="16228" xr:uid="{A5B994BC-4F72-41C6-ADBF-F1ABB7B42610}"/>
    <cellStyle name="Normal 5 3 5 4 2 3" xfId="12010" xr:uid="{D368E9A2-F574-42F0-8B87-6611E45EF705}"/>
    <cellStyle name="Normal 5 3 5 4 3" xfId="5654" xr:uid="{00000000-0005-0000-0000-00007F1A0000}"/>
    <cellStyle name="Normal 5 3 5 4 3 2" xfId="14083" xr:uid="{5DE83B26-2988-4C9E-8FAF-27539756D1EE}"/>
    <cellStyle name="Normal 5 3 5 4 4" xfId="9865" xr:uid="{18BABF8E-B39F-43B9-8430-0763A35189BC}"/>
    <cellStyle name="Normal 5 3 5 5" xfId="1758" xr:uid="{00000000-0005-0000-0000-0000801A0000}"/>
    <cellStyle name="Normal 5 3 5 5 2" xfId="3988" xr:uid="{00000000-0005-0000-0000-0000811A0000}"/>
    <cellStyle name="Normal 5 3 5 5 2 2" xfId="8212" xr:uid="{00000000-0005-0000-0000-0000821A0000}"/>
    <cellStyle name="Normal 5 3 5 5 2 2 2" xfId="16641" xr:uid="{8DD4F794-FBF7-4E47-86DE-ADAB70B730CF}"/>
    <cellStyle name="Normal 5 3 5 5 2 3" xfId="12423" xr:uid="{1BC8945A-857B-490A-A86F-BEDF04F96CE8}"/>
    <cellStyle name="Normal 5 3 5 5 3" xfId="6067" xr:uid="{00000000-0005-0000-0000-0000831A0000}"/>
    <cellStyle name="Normal 5 3 5 5 3 2" xfId="14496" xr:uid="{6D81C110-E7A8-48D4-BFBE-EEFB9A2210C1}"/>
    <cellStyle name="Normal 5 3 5 5 4" xfId="10278" xr:uid="{37BCDAAF-5146-4FE8-9BA2-13A651AE4924}"/>
    <cellStyle name="Normal 5 3 5 6" xfId="2172" xr:uid="{00000000-0005-0000-0000-0000841A0000}"/>
    <cellStyle name="Normal 5 3 5 6 2" xfId="4401" xr:uid="{00000000-0005-0000-0000-0000851A0000}"/>
    <cellStyle name="Normal 5 3 5 6 2 2" xfId="8625" xr:uid="{00000000-0005-0000-0000-0000861A0000}"/>
    <cellStyle name="Normal 5 3 5 6 2 2 2" xfId="17054" xr:uid="{1BC2FAAA-2CEF-49B6-88ED-FE7E714AE8C1}"/>
    <cellStyle name="Normal 5 3 5 6 2 3" xfId="12836" xr:uid="{51246F7C-01EB-4FEB-BA14-8D3348881D1F}"/>
    <cellStyle name="Normal 5 3 5 6 3" xfId="6480" xr:uid="{00000000-0005-0000-0000-0000871A0000}"/>
    <cellStyle name="Normal 5 3 5 6 3 2" xfId="14909" xr:uid="{BEFBEB9C-6D41-472E-867C-FA64238375ED}"/>
    <cellStyle name="Normal 5 3 5 6 4" xfId="10691" xr:uid="{6DED67D0-5302-4082-9ED8-07D62F00AC6E}"/>
    <cellStyle name="Normal 5 3 5 7" xfId="2608" xr:uid="{00000000-0005-0000-0000-0000881A0000}"/>
    <cellStyle name="Normal 5 3 5 7 2" xfId="6893" xr:uid="{00000000-0005-0000-0000-0000891A0000}"/>
    <cellStyle name="Normal 5 3 5 7 2 2" xfId="15322" xr:uid="{04CB2085-71AF-41D1-9F32-1A1F5DB56B83}"/>
    <cellStyle name="Normal 5 3 5 7 3" xfId="11104" xr:uid="{E62EB3EE-F7FE-4BCC-A1B7-AA80A6F97E9D}"/>
    <cellStyle name="Normal 5 3 5 8" xfId="4828" xr:uid="{00000000-0005-0000-0000-00008A1A0000}"/>
    <cellStyle name="Normal 5 3 5 8 2" xfId="13257" xr:uid="{1433FC98-567E-47C5-A08A-8700960BFF76}"/>
    <cellStyle name="Normal 5 3 5 9" xfId="9039" xr:uid="{96F2FA3B-478B-463F-B7EA-2315AF426718}"/>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2 2 2" xfId="15817" xr:uid="{08C7BCD6-6164-40E8-8169-46BDD48F2C81}"/>
    <cellStyle name="Normal 5 3 6 2 2 3" xfId="11599" xr:uid="{CC588236-4865-4A55-9873-2D6304CB440E}"/>
    <cellStyle name="Normal 5 3 6 2 3" xfId="5243" xr:uid="{00000000-0005-0000-0000-00008F1A0000}"/>
    <cellStyle name="Normal 5 3 6 2 3 2" xfId="13672" xr:uid="{DB911DB3-FBE9-4F11-81E7-03206F0FDE16}"/>
    <cellStyle name="Normal 5 3 6 2 4" xfId="9454" xr:uid="{C3FC34D4-1FB6-4290-B4B7-8C28BCCADD5C}"/>
    <cellStyle name="Normal 5 3 6 3" xfId="1347" xr:uid="{00000000-0005-0000-0000-0000901A0000}"/>
    <cellStyle name="Normal 5 3 6 3 2" xfId="3577" xr:uid="{00000000-0005-0000-0000-0000911A0000}"/>
    <cellStyle name="Normal 5 3 6 3 2 2" xfId="7801" xr:uid="{00000000-0005-0000-0000-0000921A0000}"/>
    <cellStyle name="Normal 5 3 6 3 2 2 2" xfId="16230" xr:uid="{CFB7E380-1ABC-4094-A8A4-49E3A9C59531}"/>
    <cellStyle name="Normal 5 3 6 3 2 3" xfId="12012" xr:uid="{09BA6590-59F7-409F-878B-3995C07B14F3}"/>
    <cellStyle name="Normal 5 3 6 3 3" xfId="5656" xr:uid="{00000000-0005-0000-0000-0000931A0000}"/>
    <cellStyle name="Normal 5 3 6 3 3 2" xfId="14085" xr:uid="{2061C8A2-87B0-4C1F-BC80-69E6AB6B6A0F}"/>
    <cellStyle name="Normal 5 3 6 3 4" xfId="9867" xr:uid="{254A3650-3A69-4B96-B49A-0C8CB8E818B4}"/>
    <cellStyle name="Normal 5 3 6 4" xfId="1760" xr:uid="{00000000-0005-0000-0000-0000941A0000}"/>
    <cellStyle name="Normal 5 3 6 4 2" xfId="3990" xr:uid="{00000000-0005-0000-0000-0000951A0000}"/>
    <cellStyle name="Normal 5 3 6 4 2 2" xfId="8214" xr:uid="{00000000-0005-0000-0000-0000961A0000}"/>
    <cellStyle name="Normal 5 3 6 4 2 2 2" xfId="16643" xr:uid="{0A4D07D9-796C-4011-9C48-CFF9E283840E}"/>
    <cellStyle name="Normal 5 3 6 4 2 3" xfId="12425" xr:uid="{8BFB46A7-412D-4C62-A8B6-36E5D050B831}"/>
    <cellStyle name="Normal 5 3 6 4 3" xfId="6069" xr:uid="{00000000-0005-0000-0000-0000971A0000}"/>
    <cellStyle name="Normal 5 3 6 4 3 2" xfId="14498" xr:uid="{BD28E957-2564-4A38-B36F-F94B8F940113}"/>
    <cellStyle name="Normal 5 3 6 4 4" xfId="10280" xr:uid="{84F5EF5C-C3F2-4D0D-A36B-83D44807DD7E}"/>
    <cellStyle name="Normal 5 3 6 5" xfId="2174" xr:uid="{00000000-0005-0000-0000-0000981A0000}"/>
    <cellStyle name="Normal 5 3 6 5 2" xfId="4403" xr:uid="{00000000-0005-0000-0000-0000991A0000}"/>
    <cellStyle name="Normal 5 3 6 5 2 2" xfId="8627" xr:uid="{00000000-0005-0000-0000-00009A1A0000}"/>
    <cellStyle name="Normal 5 3 6 5 2 2 2" xfId="17056" xr:uid="{B3A72E38-339A-43DB-97DB-74D5EE76EDA4}"/>
    <cellStyle name="Normal 5 3 6 5 2 3" xfId="12838" xr:uid="{ADD17C9A-4FDB-45B2-A306-76E2A4603FBB}"/>
    <cellStyle name="Normal 5 3 6 5 3" xfId="6482" xr:uid="{00000000-0005-0000-0000-00009B1A0000}"/>
    <cellStyle name="Normal 5 3 6 5 3 2" xfId="14911" xr:uid="{7C2640E9-299D-4F27-AFAB-98486A8D69D1}"/>
    <cellStyle name="Normal 5 3 6 5 4" xfId="10693" xr:uid="{2C53047F-98EF-41CE-AEB2-7B21606EA854}"/>
    <cellStyle name="Normal 5 3 6 6" xfId="2610" xr:uid="{00000000-0005-0000-0000-00009C1A0000}"/>
    <cellStyle name="Normal 5 3 6 6 2" xfId="6895" xr:uid="{00000000-0005-0000-0000-00009D1A0000}"/>
    <cellStyle name="Normal 5 3 6 6 2 2" xfId="15324" xr:uid="{AFD2F98E-8785-4FA1-8CA1-85812AA1FC79}"/>
    <cellStyle name="Normal 5 3 6 6 3" xfId="11106" xr:uid="{FA5FE81A-4A77-47FA-A3EB-94AB7CE3F8AF}"/>
    <cellStyle name="Normal 5 3 6 7" xfId="4830" xr:uid="{00000000-0005-0000-0000-00009E1A0000}"/>
    <cellStyle name="Normal 5 3 6 7 2" xfId="13259" xr:uid="{6ADED259-ABD3-4C75-98D2-469D53B106DB}"/>
    <cellStyle name="Normal 5 3 6 8" xfId="9041" xr:uid="{558F5F47-B0F7-4F63-A0F8-FEE3028136CA}"/>
    <cellStyle name="Normal 5 3 7" xfId="914" xr:uid="{00000000-0005-0000-0000-00009F1A0000}"/>
    <cellStyle name="Normal 5 3 7 2" xfId="3149" xr:uid="{00000000-0005-0000-0000-0000A01A0000}"/>
    <cellStyle name="Normal 5 3 7 2 2" xfId="7373" xr:uid="{00000000-0005-0000-0000-0000A11A0000}"/>
    <cellStyle name="Normal 5 3 7 2 2 2" xfId="15802" xr:uid="{C0F120AA-07E0-4627-8689-BB66A66CD11A}"/>
    <cellStyle name="Normal 5 3 7 2 3" xfId="11584" xr:uid="{32BA220F-A171-4474-BA8D-735705B540D7}"/>
    <cellStyle name="Normal 5 3 7 3" xfId="5228" xr:uid="{00000000-0005-0000-0000-0000A21A0000}"/>
    <cellStyle name="Normal 5 3 7 3 2" xfId="13657" xr:uid="{81A7E0F3-D53C-49C2-93C4-DF8BFFB2E0DF}"/>
    <cellStyle name="Normal 5 3 7 4" xfId="9439" xr:uid="{7A92DEFD-4E24-4C5B-900C-79E7D5FAF3DB}"/>
    <cellStyle name="Normal 5 3 8" xfId="1332" xr:uid="{00000000-0005-0000-0000-0000A31A0000}"/>
    <cellStyle name="Normal 5 3 8 2" xfId="3562" xr:uid="{00000000-0005-0000-0000-0000A41A0000}"/>
    <cellStyle name="Normal 5 3 8 2 2" xfId="7786" xr:uid="{00000000-0005-0000-0000-0000A51A0000}"/>
    <cellStyle name="Normal 5 3 8 2 2 2" xfId="16215" xr:uid="{D49EDD5E-0994-41F7-8066-D75A7B5280CB}"/>
    <cellStyle name="Normal 5 3 8 2 3" xfId="11997" xr:uid="{D5651DF9-D42F-4EFA-8481-502285D35B58}"/>
    <cellStyle name="Normal 5 3 8 3" xfId="5641" xr:uid="{00000000-0005-0000-0000-0000A61A0000}"/>
    <cellStyle name="Normal 5 3 8 3 2" xfId="14070" xr:uid="{21C492C2-0697-4C92-8B2E-D9AD5D0776DB}"/>
    <cellStyle name="Normal 5 3 8 4" xfId="9852" xr:uid="{1416651B-7641-4A1D-9397-BC15479FBDBF}"/>
    <cellStyle name="Normal 5 3 9" xfId="1745" xr:uid="{00000000-0005-0000-0000-0000A71A0000}"/>
    <cellStyle name="Normal 5 3 9 2" xfId="3975" xr:uid="{00000000-0005-0000-0000-0000A81A0000}"/>
    <cellStyle name="Normal 5 3 9 2 2" xfId="8199" xr:uid="{00000000-0005-0000-0000-0000A91A0000}"/>
    <cellStyle name="Normal 5 3 9 2 2 2" xfId="16628" xr:uid="{303117ED-B216-43FA-80F7-6F04D6ED66D7}"/>
    <cellStyle name="Normal 5 3 9 2 3" xfId="12410" xr:uid="{3C8A9CCB-3B2D-4391-AC0D-F6812D343C5D}"/>
    <cellStyle name="Normal 5 3 9 3" xfId="6054" xr:uid="{00000000-0005-0000-0000-0000AA1A0000}"/>
    <cellStyle name="Normal 5 3 9 3 2" xfId="14483" xr:uid="{C149CA83-D26A-4FD4-B644-538EFEDF5167}"/>
    <cellStyle name="Normal 5 3 9 4" xfId="10265" xr:uid="{998FDB00-30EC-4592-AC8E-17C2C629CB28}"/>
    <cellStyle name="Normal 5 4" xfId="456" xr:uid="{00000000-0005-0000-0000-0000AB1A0000}"/>
    <cellStyle name="Normal 5 4 10" xfId="4831" xr:uid="{00000000-0005-0000-0000-0000AC1A0000}"/>
    <cellStyle name="Normal 5 4 10 2" xfId="13260" xr:uid="{97D9539D-F43D-4526-8420-EB2884C16B62}"/>
    <cellStyle name="Normal 5 4 11" xfId="9042" xr:uid="{FCFEC2D7-A762-4D5B-AD1C-2B4934E5BF2A}"/>
    <cellStyle name="Normal 5 4 2" xfId="457" xr:uid="{00000000-0005-0000-0000-0000AD1A0000}"/>
    <cellStyle name="Normal 5 4 2 10" xfId="9043" xr:uid="{A528815E-3768-47EE-8722-F92553249328}"/>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2 2 2" xfId="15821" xr:uid="{CB9AF81C-A15A-458D-A54E-B8A83A6FBBBE}"/>
    <cellStyle name="Normal 5 4 2 2 2 2 2 3" xfId="11603" xr:uid="{B4E361DB-DCB6-4010-8812-96F50363502C}"/>
    <cellStyle name="Normal 5 4 2 2 2 2 3" xfId="5247" xr:uid="{00000000-0005-0000-0000-0000B31A0000}"/>
    <cellStyle name="Normal 5 4 2 2 2 2 3 2" xfId="13676" xr:uid="{1D24FEE1-2721-42A2-B759-6C62C801966F}"/>
    <cellStyle name="Normal 5 4 2 2 2 2 4" xfId="9458" xr:uid="{6A8D7377-B276-465A-9D13-7205CDFD22B9}"/>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2 2 2" xfId="16234" xr:uid="{ED8AED7F-17B4-4744-8A4E-B978BD5DBC03}"/>
    <cellStyle name="Normal 5 4 2 2 2 3 2 3" xfId="12016" xr:uid="{E67D0E07-8023-4012-A66D-907FE37082D5}"/>
    <cellStyle name="Normal 5 4 2 2 2 3 3" xfId="5660" xr:uid="{00000000-0005-0000-0000-0000B71A0000}"/>
    <cellStyle name="Normal 5 4 2 2 2 3 3 2" xfId="14089" xr:uid="{0674575B-BD58-4C01-9531-3FB20F738FB1}"/>
    <cellStyle name="Normal 5 4 2 2 2 3 4" xfId="9871" xr:uid="{806AA6C3-401A-4239-B875-F037B8EC7739}"/>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2 2 2" xfId="16647" xr:uid="{71FB4F06-8238-4CDE-84A1-2511C9A18AC3}"/>
    <cellStyle name="Normal 5 4 2 2 2 4 2 3" xfId="12429" xr:uid="{872E361B-B9B1-407F-B5FE-D5184FE46E6B}"/>
    <cellStyle name="Normal 5 4 2 2 2 4 3" xfId="6073" xr:uid="{00000000-0005-0000-0000-0000BB1A0000}"/>
    <cellStyle name="Normal 5 4 2 2 2 4 3 2" xfId="14502" xr:uid="{C0904659-1119-424D-B064-F4C7A4D1C984}"/>
    <cellStyle name="Normal 5 4 2 2 2 4 4" xfId="10284" xr:uid="{D354BF66-7D86-41CC-A72B-763CE8FFC7F2}"/>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2 2 2" xfId="17060" xr:uid="{8F33E8F1-D40E-4917-A35F-4266B39D23FC}"/>
    <cellStyle name="Normal 5 4 2 2 2 5 2 3" xfId="12842" xr:uid="{ECD918F2-5929-4D06-9E17-BCA37DF7376B}"/>
    <cellStyle name="Normal 5 4 2 2 2 5 3" xfId="6486" xr:uid="{00000000-0005-0000-0000-0000BF1A0000}"/>
    <cellStyle name="Normal 5 4 2 2 2 5 3 2" xfId="14915" xr:uid="{0B29145C-0BEB-4FA0-A55A-127ECFC6EBE0}"/>
    <cellStyle name="Normal 5 4 2 2 2 5 4" xfId="10697" xr:uid="{B079D3D2-BEC3-44A4-8DFD-982AFDD4B728}"/>
    <cellStyle name="Normal 5 4 2 2 2 6" xfId="2614" xr:uid="{00000000-0005-0000-0000-0000C01A0000}"/>
    <cellStyle name="Normal 5 4 2 2 2 6 2" xfId="6899" xr:uid="{00000000-0005-0000-0000-0000C11A0000}"/>
    <cellStyle name="Normal 5 4 2 2 2 6 2 2" xfId="15328" xr:uid="{2D49C389-B907-476A-8231-77EE78E1359B}"/>
    <cellStyle name="Normal 5 4 2 2 2 6 3" xfId="11110" xr:uid="{1461B911-CAD2-4571-9EB7-55A317012747}"/>
    <cellStyle name="Normal 5 4 2 2 2 7" xfId="4834" xr:uid="{00000000-0005-0000-0000-0000C21A0000}"/>
    <cellStyle name="Normal 5 4 2 2 2 7 2" xfId="13263" xr:uid="{12617B39-02E0-4F13-8272-E3A3DB10FF4B}"/>
    <cellStyle name="Normal 5 4 2 2 2 8" xfId="9045" xr:uid="{0B12C319-F72E-4A9D-85EB-8F0DF0E1905B}"/>
    <cellStyle name="Normal 5 4 2 2 3" xfId="933" xr:uid="{00000000-0005-0000-0000-0000C31A0000}"/>
    <cellStyle name="Normal 5 4 2 2 3 2" xfId="3167" xr:uid="{00000000-0005-0000-0000-0000C41A0000}"/>
    <cellStyle name="Normal 5 4 2 2 3 2 2" xfId="7391" xr:uid="{00000000-0005-0000-0000-0000C51A0000}"/>
    <cellStyle name="Normal 5 4 2 2 3 2 2 2" xfId="15820" xr:uid="{BB3F50CB-F5F4-491C-845F-0621CED35F7F}"/>
    <cellStyle name="Normal 5 4 2 2 3 2 3" xfId="11602" xr:uid="{0F23D21B-9D75-43A9-B0EB-DBB11B9AE01C}"/>
    <cellStyle name="Normal 5 4 2 2 3 3" xfId="5246" xr:uid="{00000000-0005-0000-0000-0000C61A0000}"/>
    <cellStyle name="Normal 5 4 2 2 3 3 2" xfId="13675" xr:uid="{83995507-B522-40AF-B96A-C4F15EEE79A7}"/>
    <cellStyle name="Normal 5 4 2 2 3 4" xfId="9457" xr:uid="{039BCEA1-84AC-46DE-899A-405F1F0A33C5}"/>
    <cellStyle name="Normal 5 4 2 2 4" xfId="1350" xr:uid="{00000000-0005-0000-0000-0000C71A0000}"/>
    <cellStyle name="Normal 5 4 2 2 4 2" xfId="3580" xr:uid="{00000000-0005-0000-0000-0000C81A0000}"/>
    <cellStyle name="Normal 5 4 2 2 4 2 2" xfId="7804" xr:uid="{00000000-0005-0000-0000-0000C91A0000}"/>
    <cellStyle name="Normal 5 4 2 2 4 2 2 2" xfId="16233" xr:uid="{E65AB3AA-BB4E-4EFA-A4F5-969A345C5457}"/>
    <cellStyle name="Normal 5 4 2 2 4 2 3" xfId="12015" xr:uid="{6B981C50-6416-48EF-9773-322596E375EC}"/>
    <cellStyle name="Normal 5 4 2 2 4 3" xfId="5659" xr:uid="{00000000-0005-0000-0000-0000CA1A0000}"/>
    <cellStyle name="Normal 5 4 2 2 4 3 2" xfId="14088" xr:uid="{EC2B4E0B-CFD6-4641-8562-796898CA4BCB}"/>
    <cellStyle name="Normal 5 4 2 2 4 4" xfId="9870" xr:uid="{8EAB3818-0429-451C-B8D6-7A9D2417CF0F}"/>
    <cellStyle name="Normal 5 4 2 2 5" xfId="1763" xr:uid="{00000000-0005-0000-0000-0000CB1A0000}"/>
    <cellStyle name="Normal 5 4 2 2 5 2" xfId="3993" xr:uid="{00000000-0005-0000-0000-0000CC1A0000}"/>
    <cellStyle name="Normal 5 4 2 2 5 2 2" xfId="8217" xr:uid="{00000000-0005-0000-0000-0000CD1A0000}"/>
    <cellStyle name="Normal 5 4 2 2 5 2 2 2" xfId="16646" xr:uid="{22658DE3-1A28-4A9B-B463-796CC77C85A4}"/>
    <cellStyle name="Normal 5 4 2 2 5 2 3" xfId="12428" xr:uid="{89115D86-031C-4533-85E1-82D9E12A9A27}"/>
    <cellStyle name="Normal 5 4 2 2 5 3" xfId="6072" xr:uid="{00000000-0005-0000-0000-0000CE1A0000}"/>
    <cellStyle name="Normal 5 4 2 2 5 3 2" xfId="14501" xr:uid="{F9D61AC5-C64D-4ABD-84A4-F6553075EF36}"/>
    <cellStyle name="Normal 5 4 2 2 5 4" xfId="10283" xr:uid="{1D553370-3FC3-430A-8BB4-212F77C1227E}"/>
    <cellStyle name="Normal 5 4 2 2 6" xfId="2177" xr:uid="{00000000-0005-0000-0000-0000CF1A0000}"/>
    <cellStyle name="Normal 5 4 2 2 6 2" xfId="4406" xr:uid="{00000000-0005-0000-0000-0000D01A0000}"/>
    <cellStyle name="Normal 5 4 2 2 6 2 2" xfId="8630" xr:uid="{00000000-0005-0000-0000-0000D11A0000}"/>
    <cellStyle name="Normal 5 4 2 2 6 2 2 2" xfId="17059" xr:uid="{1C27EBF2-7370-4A5E-986C-6673AA6D7919}"/>
    <cellStyle name="Normal 5 4 2 2 6 2 3" xfId="12841" xr:uid="{299BB30A-895C-42A5-B851-5CBFBDE9F493}"/>
    <cellStyle name="Normal 5 4 2 2 6 3" xfId="6485" xr:uid="{00000000-0005-0000-0000-0000D21A0000}"/>
    <cellStyle name="Normal 5 4 2 2 6 3 2" xfId="14914" xr:uid="{1875211B-8574-4754-98E8-DF3F2E30AA8E}"/>
    <cellStyle name="Normal 5 4 2 2 6 4" xfId="10696" xr:uid="{A02CD908-1325-4E87-89BF-2212FD3C7C24}"/>
    <cellStyle name="Normal 5 4 2 2 7" xfId="2613" xr:uid="{00000000-0005-0000-0000-0000D31A0000}"/>
    <cellStyle name="Normal 5 4 2 2 7 2" xfId="6898" xr:uid="{00000000-0005-0000-0000-0000D41A0000}"/>
    <cellStyle name="Normal 5 4 2 2 7 2 2" xfId="15327" xr:uid="{FD3981E4-84B8-4E45-A290-85109430BFC2}"/>
    <cellStyle name="Normal 5 4 2 2 7 3" xfId="11109" xr:uid="{CDF1EFA7-9A4D-4F9B-BC76-BACDD5BADACA}"/>
    <cellStyle name="Normal 5 4 2 2 8" xfId="4833" xr:uid="{00000000-0005-0000-0000-0000D51A0000}"/>
    <cellStyle name="Normal 5 4 2 2 8 2" xfId="13262" xr:uid="{1C0FD552-8412-488C-A99C-0CDC7A8AA9C0}"/>
    <cellStyle name="Normal 5 4 2 2 9" xfId="9044" xr:uid="{D39C3B9D-4D05-4E2A-B6B9-3E3854F48EA9}"/>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2 2 2" xfId="15822" xr:uid="{CC9BD794-9458-4F62-AC08-29B290917D26}"/>
    <cellStyle name="Normal 5 4 2 3 2 2 3" xfId="11604" xr:uid="{D2084783-C7F9-4EF9-9626-A6AA5202F829}"/>
    <cellStyle name="Normal 5 4 2 3 2 3" xfId="5248" xr:uid="{00000000-0005-0000-0000-0000DA1A0000}"/>
    <cellStyle name="Normal 5 4 2 3 2 3 2" xfId="13677" xr:uid="{9CBC3885-6F1F-419A-B37A-23D47B0CA846}"/>
    <cellStyle name="Normal 5 4 2 3 2 4" xfId="9459" xr:uid="{515A0A82-36D5-4374-ACC4-703369BC08CF}"/>
    <cellStyle name="Normal 5 4 2 3 3" xfId="1352" xr:uid="{00000000-0005-0000-0000-0000DB1A0000}"/>
    <cellStyle name="Normal 5 4 2 3 3 2" xfId="3582" xr:uid="{00000000-0005-0000-0000-0000DC1A0000}"/>
    <cellStyle name="Normal 5 4 2 3 3 2 2" xfId="7806" xr:uid="{00000000-0005-0000-0000-0000DD1A0000}"/>
    <cellStyle name="Normal 5 4 2 3 3 2 2 2" xfId="16235" xr:uid="{7AE07E38-5FBA-4E40-B0E4-1CFC45980AF7}"/>
    <cellStyle name="Normal 5 4 2 3 3 2 3" xfId="12017" xr:uid="{E3BE0978-D65D-4C44-9115-E029D3F76F5B}"/>
    <cellStyle name="Normal 5 4 2 3 3 3" xfId="5661" xr:uid="{00000000-0005-0000-0000-0000DE1A0000}"/>
    <cellStyle name="Normal 5 4 2 3 3 3 2" xfId="14090" xr:uid="{9D27017F-24D2-425C-8A4C-15FFE0496C62}"/>
    <cellStyle name="Normal 5 4 2 3 3 4" xfId="9872" xr:uid="{7892F12C-223E-4211-871D-0A248ADCB4D6}"/>
    <cellStyle name="Normal 5 4 2 3 4" xfId="1765" xr:uid="{00000000-0005-0000-0000-0000DF1A0000}"/>
    <cellStyle name="Normal 5 4 2 3 4 2" xfId="3995" xr:uid="{00000000-0005-0000-0000-0000E01A0000}"/>
    <cellStyle name="Normal 5 4 2 3 4 2 2" xfId="8219" xr:uid="{00000000-0005-0000-0000-0000E11A0000}"/>
    <cellStyle name="Normal 5 4 2 3 4 2 2 2" xfId="16648" xr:uid="{F536277F-DF5B-4AA0-9E67-C88531ADF8FD}"/>
    <cellStyle name="Normal 5 4 2 3 4 2 3" xfId="12430" xr:uid="{F90538CF-134F-4851-B245-6A0BD31A6191}"/>
    <cellStyle name="Normal 5 4 2 3 4 3" xfId="6074" xr:uid="{00000000-0005-0000-0000-0000E21A0000}"/>
    <cellStyle name="Normal 5 4 2 3 4 3 2" xfId="14503" xr:uid="{754A05A8-8C9E-40F9-A1E2-7E537BEDE35F}"/>
    <cellStyle name="Normal 5 4 2 3 4 4" xfId="10285" xr:uid="{D51215FC-C3B8-4551-82DD-F8CC6603B47A}"/>
    <cellStyle name="Normal 5 4 2 3 5" xfId="2179" xr:uid="{00000000-0005-0000-0000-0000E31A0000}"/>
    <cellStyle name="Normal 5 4 2 3 5 2" xfId="4408" xr:uid="{00000000-0005-0000-0000-0000E41A0000}"/>
    <cellStyle name="Normal 5 4 2 3 5 2 2" xfId="8632" xr:uid="{00000000-0005-0000-0000-0000E51A0000}"/>
    <cellStyle name="Normal 5 4 2 3 5 2 2 2" xfId="17061" xr:uid="{1517F457-FAB2-4F9B-BD89-948A8C9E5822}"/>
    <cellStyle name="Normal 5 4 2 3 5 2 3" xfId="12843" xr:uid="{CB29095F-F57B-4B4E-8A16-34E474DA627F}"/>
    <cellStyle name="Normal 5 4 2 3 5 3" xfId="6487" xr:uid="{00000000-0005-0000-0000-0000E61A0000}"/>
    <cellStyle name="Normal 5 4 2 3 5 3 2" xfId="14916" xr:uid="{73314B89-7CAB-4CE1-893F-B1650D8DF1BA}"/>
    <cellStyle name="Normal 5 4 2 3 5 4" xfId="10698" xr:uid="{A772AADD-AF71-4586-A317-D27A021CA2A0}"/>
    <cellStyle name="Normal 5 4 2 3 6" xfId="2615" xr:uid="{00000000-0005-0000-0000-0000E71A0000}"/>
    <cellStyle name="Normal 5 4 2 3 6 2" xfId="6900" xr:uid="{00000000-0005-0000-0000-0000E81A0000}"/>
    <cellStyle name="Normal 5 4 2 3 6 2 2" xfId="15329" xr:uid="{0A437659-3040-403D-8C4C-F1497A47817C}"/>
    <cellStyle name="Normal 5 4 2 3 6 3" xfId="11111" xr:uid="{2BA62DEE-379E-4C6B-A468-C1C51C17C9C2}"/>
    <cellStyle name="Normal 5 4 2 3 7" xfId="4835" xr:uid="{00000000-0005-0000-0000-0000E91A0000}"/>
    <cellStyle name="Normal 5 4 2 3 7 2" xfId="13264" xr:uid="{6F710FBC-77CD-4BF4-A953-366D00A08259}"/>
    <cellStyle name="Normal 5 4 2 3 8" xfId="9046" xr:uid="{AC368BE0-5C68-473D-8B61-30B9E32F87B6}"/>
    <cellStyle name="Normal 5 4 2 4" xfId="932" xr:uid="{00000000-0005-0000-0000-0000EA1A0000}"/>
    <cellStyle name="Normal 5 4 2 4 2" xfId="3166" xr:uid="{00000000-0005-0000-0000-0000EB1A0000}"/>
    <cellStyle name="Normal 5 4 2 4 2 2" xfId="7390" xr:uid="{00000000-0005-0000-0000-0000EC1A0000}"/>
    <cellStyle name="Normal 5 4 2 4 2 2 2" xfId="15819" xr:uid="{55266329-1BF6-401D-9B6D-1A9FECA280D2}"/>
    <cellStyle name="Normal 5 4 2 4 2 3" xfId="11601" xr:uid="{6F4A4D91-1F93-4CC1-A5ED-9474CC1DAEEC}"/>
    <cellStyle name="Normal 5 4 2 4 3" xfId="5245" xr:uid="{00000000-0005-0000-0000-0000ED1A0000}"/>
    <cellStyle name="Normal 5 4 2 4 3 2" xfId="13674" xr:uid="{0996A2A0-87BB-4025-9CC9-C3AFF6D0D657}"/>
    <cellStyle name="Normal 5 4 2 4 4" xfId="9456" xr:uid="{AFA102D2-D642-4659-BE8D-06B94D4043A0}"/>
    <cellStyle name="Normal 5 4 2 5" xfId="1349" xr:uid="{00000000-0005-0000-0000-0000EE1A0000}"/>
    <cellStyle name="Normal 5 4 2 5 2" xfId="3579" xr:uid="{00000000-0005-0000-0000-0000EF1A0000}"/>
    <cellStyle name="Normal 5 4 2 5 2 2" xfId="7803" xr:uid="{00000000-0005-0000-0000-0000F01A0000}"/>
    <cellStyle name="Normal 5 4 2 5 2 2 2" xfId="16232" xr:uid="{C781A8AA-E37E-4F31-A000-8F561E546C51}"/>
    <cellStyle name="Normal 5 4 2 5 2 3" xfId="12014" xr:uid="{CC521DBE-8EEC-4175-BD3A-51DFACBDB965}"/>
    <cellStyle name="Normal 5 4 2 5 3" xfId="5658" xr:uid="{00000000-0005-0000-0000-0000F11A0000}"/>
    <cellStyle name="Normal 5 4 2 5 3 2" xfId="14087" xr:uid="{4F0B299F-E9DF-40BC-97D5-3E8CDF877E76}"/>
    <cellStyle name="Normal 5 4 2 5 4" xfId="9869" xr:uid="{42085544-7545-420B-86C0-ABD1589D70C9}"/>
    <cellStyle name="Normal 5 4 2 6" xfId="1762" xr:uid="{00000000-0005-0000-0000-0000F21A0000}"/>
    <cellStyle name="Normal 5 4 2 6 2" xfId="3992" xr:uid="{00000000-0005-0000-0000-0000F31A0000}"/>
    <cellStyle name="Normal 5 4 2 6 2 2" xfId="8216" xr:uid="{00000000-0005-0000-0000-0000F41A0000}"/>
    <cellStyle name="Normal 5 4 2 6 2 2 2" xfId="16645" xr:uid="{C07C5796-FEA4-45E9-BA17-781E2AFEA7E6}"/>
    <cellStyle name="Normal 5 4 2 6 2 3" xfId="12427" xr:uid="{703F44B6-C812-464E-9293-2A27BEB004A5}"/>
    <cellStyle name="Normal 5 4 2 6 3" xfId="6071" xr:uid="{00000000-0005-0000-0000-0000F51A0000}"/>
    <cellStyle name="Normal 5 4 2 6 3 2" xfId="14500" xr:uid="{EABDAB32-4952-4234-86A4-606862C73C00}"/>
    <cellStyle name="Normal 5 4 2 6 4" xfId="10282" xr:uid="{E7A4B82C-0BDB-4D8A-ADF9-BB7CCCF8A928}"/>
    <cellStyle name="Normal 5 4 2 7" xfId="2176" xr:uid="{00000000-0005-0000-0000-0000F61A0000}"/>
    <cellStyle name="Normal 5 4 2 7 2" xfId="4405" xr:uid="{00000000-0005-0000-0000-0000F71A0000}"/>
    <cellStyle name="Normal 5 4 2 7 2 2" xfId="8629" xr:uid="{00000000-0005-0000-0000-0000F81A0000}"/>
    <cellStyle name="Normal 5 4 2 7 2 2 2" xfId="17058" xr:uid="{F8E58707-0B83-4787-AD8E-D98610871E56}"/>
    <cellStyle name="Normal 5 4 2 7 2 3" xfId="12840" xr:uid="{12D5AFCB-7AA1-4A8B-AB87-A1D45293DB00}"/>
    <cellStyle name="Normal 5 4 2 7 3" xfId="6484" xr:uid="{00000000-0005-0000-0000-0000F91A0000}"/>
    <cellStyle name="Normal 5 4 2 7 3 2" xfId="14913" xr:uid="{04D3CB67-9C06-4313-AEBD-C8A2CB89E72E}"/>
    <cellStyle name="Normal 5 4 2 7 4" xfId="10695" xr:uid="{D10B50B6-3778-4348-A36C-58D4D90E813B}"/>
    <cellStyle name="Normal 5 4 2 8" xfId="2612" xr:uid="{00000000-0005-0000-0000-0000FA1A0000}"/>
    <cellStyle name="Normal 5 4 2 8 2" xfId="6897" xr:uid="{00000000-0005-0000-0000-0000FB1A0000}"/>
    <cellStyle name="Normal 5 4 2 8 2 2" xfId="15326" xr:uid="{57B105E5-0772-4466-A019-E58556B8B289}"/>
    <cellStyle name="Normal 5 4 2 8 3" xfId="11108" xr:uid="{FFC3D3AF-C51B-49C3-87A5-7CCC66B76DBC}"/>
    <cellStyle name="Normal 5 4 2 9" xfId="4832" xr:uid="{00000000-0005-0000-0000-0000FC1A0000}"/>
    <cellStyle name="Normal 5 4 2 9 2" xfId="13261" xr:uid="{03D13E22-DE80-4A45-8B6F-CC2B9107C0ED}"/>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2 2 2" xfId="15824" xr:uid="{C6C60E0D-8AD3-4E2B-9CF1-AD588F75574D}"/>
    <cellStyle name="Normal 5 4 3 2 2 2 3" xfId="11606" xr:uid="{3FA42CAD-B680-4FCD-9452-F546472AD88A}"/>
    <cellStyle name="Normal 5 4 3 2 2 3" xfId="5250" xr:uid="{00000000-0005-0000-0000-0000021B0000}"/>
    <cellStyle name="Normal 5 4 3 2 2 3 2" xfId="13679" xr:uid="{5B944346-220A-4732-8DE2-EB248C72EDEC}"/>
    <cellStyle name="Normal 5 4 3 2 2 4" xfId="9461" xr:uid="{9CEEC320-1E6C-4260-A061-9397B3605D5B}"/>
    <cellStyle name="Normal 5 4 3 2 3" xfId="1354" xr:uid="{00000000-0005-0000-0000-0000031B0000}"/>
    <cellStyle name="Normal 5 4 3 2 3 2" xfId="3584" xr:uid="{00000000-0005-0000-0000-0000041B0000}"/>
    <cellStyle name="Normal 5 4 3 2 3 2 2" xfId="7808" xr:uid="{00000000-0005-0000-0000-0000051B0000}"/>
    <cellStyle name="Normal 5 4 3 2 3 2 2 2" xfId="16237" xr:uid="{5596CF9B-A60A-424E-B7A0-FA4C7B5F786E}"/>
    <cellStyle name="Normal 5 4 3 2 3 2 3" xfId="12019" xr:uid="{7501F194-E698-4BAE-A524-FA4DA234F40F}"/>
    <cellStyle name="Normal 5 4 3 2 3 3" xfId="5663" xr:uid="{00000000-0005-0000-0000-0000061B0000}"/>
    <cellStyle name="Normal 5 4 3 2 3 3 2" xfId="14092" xr:uid="{F5644DF2-6E67-4078-B305-D193824BEC2A}"/>
    <cellStyle name="Normal 5 4 3 2 3 4" xfId="9874" xr:uid="{FB698532-C9FD-4203-8217-5EE3637B2885}"/>
    <cellStyle name="Normal 5 4 3 2 4" xfId="1767" xr:uid="{00000000-0005-0000-0000-0000071B0000}"/>
    <cellStyle name="Normal 5 4 3 2 4 2" xfId="3997" xr:uid="{00000000-0005-0000-0000-0000081B0000}"/>
    <cellStyle name="Normal 5 4 3 2 4 2 2" xfId="8221" xr:uid="{00000000-0005-0000-0000-0000091B0000}"/>
    <cellStyle name="Normal 5 4 3 2 4 2 2 2" xfId="16650" xr:uid="{EA04D958-06F6-403D-A3DB-D25992D3D7DA}"/>
    <cellStyle name="Normal 5 4 3 2 4 2 3" xfId="12432" xr:uid="{E80FC0C4-48A5-4A82-8F32-2B567514483C}"/>
    <cellStyle name="Normal 5 4 3 2 4 3" xfId="6076" xr:uid="{00000000-0005-0000-0000-00000A1B0000}"/>
    <cellStyle name="Normal 5 4 3 2 4 3 2" xfId="14505" xr:uid="{A43AE3F9-44E0-4118-8AB5-4B80F3E50D2D}"/>
    <cellStyle name="Normal 5 4 3 2 4 4" xfId="10287" xr:uid="{53778373-347A-4EAE-AFF6-F9FFC81064A4}"/>
    <cellStyle name="Normal 5 4 3 2 5" xfId="2181" xr:uid="{00000000-0005-0000-0000-00000B1B0000}"/>
    <cellStyle name="Normal 5 4 3 2 5 2" xfId="4410" xr:uid="{00000000-0005-0000-0000-00000C1B0000}"/>
    <cellStyle name="Normal 5 4 3 2 5 2 2" xfId="8634" xr:uid="{00000000-0005-0000-0000-00000D1B0000}"/>
    <cellStyle name="Normal 5 4 3 2 5 2 2 2" xfId="17063" xr:uid="{73ED0D66-A0B0-4F43-92DE-96DDA39F8C48}"/>
    <cellStyle name="Normal 5 4 3 2 5 2 3" xfId="12845" xr:uid="{231AB644-2B1B-4452-8C8C-7A826A859577}"/>
    <cellStyle name="Normal 5 4 3 2 5 3" xfId="6489" xr:uid="{00000000-0005-0000-0000-00000E1B0000}"/>
    <cellStyle name="Normal 5 4 3 2 5 3 2" xfId="14918" xr:uid="{64F13157-7DEB-4074-B052-A70E7CE66D5B}"/>
    <cellStyle name="Normal 5 4 3 2 5 4" xfId="10700" xr:uid="{0B259D59-AE32-4E90-9861-0A79833CDC20}"/>
    <cellStyle name="Normal 5 4 3 2 6" xfId="2617" xr:uid="{00000000-0005-0000-0000-00000F1B0000}"/>
    <cellStyle name="Normal 5 4 3 2 6 2" xfId="6902" xr:uid="{00000000-0005-0000-0000-0000101B0000}"/>
    <cellStyle name="Normal 5 4 3 2 6 2 2" xfId="15331" xr:uid="{B18E7D83-DFDE-4722-8722-10D2B30D674F}"/>
    <cellStyle name="Normal 5 4 3 2 6 3" xfId="11113" xr:uid="{D19C9F9A-401E-419D-8BC8-19F0FDD7D07B}"/>
    <cellStyle name="Normal 5 4 3 2 7" xfId="4837" xr:uid="{00000000-0005-0000-0000-0000111B0000}"/>
    <cellStyle name="Normal 5 4 3 2 7 2" xfId="13266" xr:uid="{A5985CBA-92E9-49D2-BB18-5CB6C40E0290}"/>
    <cellStyle name="Normal 5 4 3 2 8" xfId="9048" xr:uid="{CFF96221-E43C-4592-94EE-148F0F97DFCC}"/>
    <cellStyle name="Normal 5 4 3 3" xfId="936" xr:uid="{00000000-0005-0000-0000-0000121B0000}"/>
    <cellStyle name="Normal 5 4 3 3 2" xfId="3170" xr:uid="{00000000-0005-0000-0000-0000131B0000}"/>
    <cellStyle name="Normal 5 4 3 3 2 2" xfId="7394" xr:uid="{00000000-0005-0000-0000-0000141B0000}"/>
    <cellStyle name="Normal 5 4 3 3 2 2 2" xfId="15823" xr:uid="{9C49338E-7251-46CF-A925-45672AD2A471}"/>
    <cellStyle name="Normal 5 4 3 3 2 3" xfId="11605" xr:uid="{2FBF7CEC-B4C5-484B-B421-D153EB00B120}"/>
    <cellStyle name="Normal 5 4 3 3 3" xfId="5249" xr:uid="{00000000-0005-0000-0000-0000151B0000}"/>
    <cellStyle name="Normal 5 4 3 3 3 2" xfId="13678" xr:uid="{FE306339-52CB-4BF9-8ACE-C4CC536B32C1}"/>
    <cellStyle name="Normal 5 4 3 3 4" xfId="9460" xr:uid="{1BEF345D-9970-449B-8593-FB71CCFE2A9B}"/>
    <cellStyle name="Normal 5 4 3 4" xfId="1353" xr:uid="{00000000-0005-0000-0000-0000161B0000}"/>
    <cellStyle name="Normal 5 4 3 4 2" xfId="3583" xr:uid="{00000000-0005-0000-0000-0000171B0000}"/>
    <cellStyle name="Normal 5 4 3 4 2 2" xfId="7807" xr:uid="{00000000-0005-0000-0000-0000181B0000}"/>
    <cellStyle name="Normal 5 4 3 4 2 2 2" xfId="16236" xr:uid="{A0260667-C468-4418-886D-B55F8D0610F8}"/>
    <cellStyle name="Normal 5 4 3 4 2 3" xfId="12018" xr:uid="{8FE72EC2-C0A4-40AC-ABDD-0C09A8C442C8}"/>
    <cellStyle name="Normal 5 4 3 4 3" xfId="5662" xr:uid="{00000000-0005-0000-0000-0000191B0000}"/>
    <cellStyle name="Normal 5 4 3 4 3 2" xfId="14091" xr:uid="{45D29CA0-9A05-4664-A80B-F5D1FACE773F}"/>
    <cellStyle name="Normal 5 4 3 4 4" xfId="9873" xr:uid="{41A37DCB-8DBF-4A8A-9358-794E5E91480F}"/>
    <cellStyle name="Normal 5 4 3 5" xfId="1766" xr:uid="{00000000-0005-0000-0000-00001A1B0000}"/>
    <cellStyle name="Normal 5 4 3 5 2" xfId="3996" xr:uid="{00000000-0005-0000-0000-00001B1B0000}"/>
    <cellStyle name="Normal 5 4 3 5 2 2" xfId="8220" xr:uid="{00000000-0005-0000-0000-00001C1B0000}"/>
    <cellStyle name="Normal 5 4 3 5 2 2 2" xfId="16649" xr:uid="{B12DE902-1F6B-4EA6-BBBD-5A6938C66883}"/>
    <cellStyle name="Normal 5 4 3 5 2 3" xfId="12431" xr:uid="{E6DF2AFD-6D75-4110-AB32-5128F0930B8C}"/>
    <cellStyle name="Normal 5 4 3 5 3" xfId="6075" xr:uid="{00000000-0005-0000-0000-00001D1B0000}"/>
    <cellStyle name="Normal 5 4 3 5 3 2" xfId="14504" xr:uid="{5D914EFD-A988-4CC3-8CC8-C20823BDFC99}"/>
    <cellStyle name="Normal 5 4 3 5 4" xfId="10286" xr:uid="{99108D6F-B072-43CA-99D2-BD9B5DAB3D2A}"/>
    <cellStyle name="Normal 5 4 3 6" xfId="2180" xr:uid="{00000000-0005-0000-0000-00001E1B0000}"/>
    <cellStyle name="Normal 5 4 3 6 2" xfId="4409" xr:uid="{00000000-0005-0000-0000-00001F1B0000}"/>
    <cellStyle name="Normal 5 4 3 6 2 2" xfId="8633" xr:uid="{00000000-0005-0000-0000-0000201B0000}"/>
    <cellStyle name="Normal 5 4 3 6 2 2 2" xfId="17062" xr:uid="{9F1DD5D0-E7FF-47F1-A158-561E7BB584D0}"/>
    <cellStyle name="Normal 5 4 3 6 2 3" xfId="12844" xr:uid="{B771BE4A-40A6-48C7-BE1E-EC5B14921FBD}"/>
    <cellStyle name="Normal 5 4 3 6 3" xfId="6488" xr:uid="{00000000-0005-0000-0000-0000211B0000}"/>
    <cellStyle name="Normal 5 4 3 6 3 2" xfId="14917" xr:uid="{9B138AA6-4CCC-4742-ABA6-D1C68FD1CA21}"/>
    <cellStyle name="Normal 5 4 3 6 4" xfId="10699" xr:uid="{CC67C50F-91F2-45CE-AE3F-17707BB8B4D5}"/>
    <cellStyle name="Normal 5 4 3 7" xfId="2616" xr:uid="{00000000-0005-0000-0000-0000221B0000}"/>
    <cellStyle name="Normal 5 4 3 7 2" xfId="6901" xr:uid="{00000000-0005-0000-0000-0000231B0000}"/>
    <cellStyle name="Normal 5 4 3 7 2 2" xfId="15330" xr:uid="{C3FE5E7D-1F47-4F64-91B3-9E54E5D2936F}"/>
    <cellStyle name="Normal 5 4 3 7 3" xfId="11112" xr:uid="{5536E7A7-265D-4551-8372-EC1F2BED3975}"/>
    <cellStyle name="Normal 5 4 3 8" xfId="4836" xr:uid="{00000000-0005-0000-0000-0000241B0000}"/>
    <cellStyle name="Normal 5 4 3 8 2" xfId="13265" xr:uid="{DDA6651D-38AB-4EDD-8749-15122AD7DD0F}"/>
    <cellStyle name="Normal 5 4 3 9" xfId="9047" xr:uid="{FC91618A-D60E-4048-ABCB-7539DBD2DD12}"/>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2 2 2" xfId="15825" xr:uid="{6045E624-F693-43A8-9DE2-822723563B70}"/>
    <cellStyle name="Normal 5 4 4 2 2 3" xfId="11607" xr:uid="{A78847C5-557E-460B-96AA-A5F248757D2D}"/>
    <cellStyle name="Normal 5 4 4 2 3" xfId="5251" xr:uid="{00000000-0005-0000-0000-0000291B0000}"/>
    <cellStyle name="Normal 5 4 4 2 3 2" xfId="13680" xr:uid="{7636524C-4CEC-4E6C-B95D-B50085990B04}"/>
    <cellStyle name="Normal 5 4 4 2 4" xfId="9462" xr:uid="{920E904D-440E-4FD3-BE6B-6A3604F72838}"/>
    <cellStyle name="Normal 5 4 4 3" xfId="1355" xr:uid="{00000000-0005-0000-0000-00002A1B0000}"/>
    <cellStyle name="Normal 5 4 4 3 2" xfId="3585" xr:uid="{00000000-0005-0000-0000-00002B1B0000}"/>
    <cellStyle name="Normal 5 4 4 3 2 2" xfId="7809" xr:uid="{00000000-0005-0000-0000-00002C1B0000}"/>
    <cellStyle name="Normal 5 4 4 3 2 2 2" xfId="16238" xr:uid="{1242A641-CEC9-4AD4-97CB-D7F1102DFC95}"/>
    <cellStyle name="Normal 5 4 4 3 2 3" xfId="12020" xr:uid="{BEC1BC16-63F6-49E9-BB21-43DA9C7095ED}"/>
    <cellStyle name="Normal 5 4 4 3 3" xfId="5664" xr:uid="{00000000-0005-0000-0000-00002D1B0000}"/>
    <cellStyle name="Normal 5 4 4 3 3 2" xfId="14093" xr:uid="{A113F5B1-CCD1-4506-A240-32C7169452E2}"/>
    <cellStyle name="Normal 5 4 4 3 4" xfId="9875" xr:uid="{B4A1A94C-88BD-4650-BDB5-D756ACF117B6}"/>
    <cellStyle name="Normal 5 4 4 4" xfId="1768" xr:uid="{00000000-0005-0000-0000-00002E1B0000}"/>
    <cellStyle name="Normal 5 4 4 4 2" xfId="3998" xr:uid="{00000000-0005-0000-0000-00002F1B0000}"/>
    <cellStyle name="Normal 5 4 4 4 2 2" xfId="8222" xr:uid="{00000000-0005-0000-0000-0000301B0000}"/>
    <cellStyle name="Normal 5 4 4 4 2 2 2" xfId="16651" xr:uid="{E9B18DE7-C766-494F-BD12-B42D0FAF204D}"/>
    <cellStyle name="Normal 5 4 4 4 2 3" xfId="12433" xr:uid="{64458C18-BDD5-4F92-B2C5-0CD091316E4A}"/>
    <cellStyle name="Normal 5 4 4 4 3" xfId="6077" xr:uid="{00000000-0005-0000-0000-0000311B0000}"/>
    <cellStyle name="Normal 5 4 4 4 3 2" xfId="14506" xr:uid="{A37D3F1F-3C6E-468B-B14F-B14551FC06B3}"/>
    <cellStyle name="Normal 5 4 4 4 4" xfId="10288" xr:uid="{436546F7-32DD-42BC-83B6-EABF56480839}"/>
    <cellStyle name="Normal 5 4 4 5" xfId="2182" xr:uid="{00000000-0005-0000-0000-0000321B0000}"/>
    <cellStyle name="Normal 5 4 4 5 2" xfId="4411" xr:uid="{00000000-0005-0000-0000-0000331B0000}"/>
    <cellStyle name="Normal 5 4 4 5 2 2" xfId="8635" xr:uid="{00000000-0005-0000-0000-0000341B0000}"/>
    <cellStyle name="Normal 5 4 4 5 2 2 2" xfId="17064" xr:uid="{0E976E61-5BBA-4760-8832-CC37F437AE2B}"/>
    <cellStyle name="Normal 5 4 4 5 2 3" xfId="12846" xr:uid="{0A9D18EE-B161-42CC-AC1C-98CBA2CD3F96}"/>
    <cellStyle name="Normal 5 4 4 5 3" xfId="6490" xr:uid="{00000000-0005-0000-0000-0000351B0000}"/>
    <cellStyle name="Normal 5 4 4 5 3 2" xfId="14919" xr:uid="{689BE749-29DD-48E4-9270-986E6031C493}"/>
    <cellStyle name="Normal 5 4 4 5 4" xfId="10701" xr:uid="{8AC9BAB9-98F2-456C-96D8-27CC71E46242}"/>
    <cellStyle name="Normal 5 4 4 6" xfId="2618" xr:uid="{00000000-0005-0000-0000-0000361B0000}"/>
    <cellStyle name="Normal 5 4 4 6 2" xfId="6903" xr:uid="{00000000-0005-0000-0000-0000371B0000}"/>
    <cellStyle name="Normal 5 4 4 6 2 2" xfId="15332" xr:uid="{5EA66596-B30D-4CC0-958C-4D0ED064F655}"/>
    <cellStyle name="Normal 5 4 4 6 3" xfId="11114" xr:uid="{5525268A-6478-468E-9C31-9757070AFDC4}"/>
    <cellStyle name="Normal 5 4 4 7" xfId="4838" xr:uid="{00000000-0005-0000-0000-0000381B0000}"/>
    <cellStyle name="Normal 5 4 4 7 2" xfId="13267" xr:uid="{5C27FD6E-8B74-47CB-B9E1-67A62CD2C86B}"/>
    <cellStyle name="Normal 5 4 4 8" xfId="9049" xr:uid="{77E72B80-FF76-43CE-A4A3-F20725C94533}"/>
    <cellStyle name="Normal 5 4 5" xfId="931" xr:uid="{00000000-0005-0000-0000-0000391B0000}"/>
    <cellStyle name="Normal 5 4 5 2" xfId="3165" xr:uid="{00000000-0005-0000-0000-00003A1B0000}"/>
    <cellStyle name="Normal 5 4 5 2 2" xfId="7389" xr:uid="{00000000-0005-0000-0000-00003B1B0000}"/>
    <cellStyle name="Normal 5 4 5 2 2 2" xfId="15818" xr:uid="{D6FE33CA-A5B5-4B9C-A12C-A153FDDF0B45}"/>
    <cellStyle name="Normal 5 4 5 2 3" xfId="11600" xr:uid="{40C7C532-0476-45F0-A006-8BC00B76E0BF}"/>
    <cellStyle name="Normal 5 4 5 3" xfId="5244" xr:uid="{00000000-0005-0000-0000-00003C1B0000}"/>
    <cellStyle name="Normal 5 4 5 3 2" xfId="13673" xr:uid="{7C32FF78-8537-424C-8F63-423B28867340}"/>
    <cellStyle name="Normal 5 4 5 4" xfId="9455" xr:uid="{B2228409-13FD-4558-991A-E804701740A6}"/>
    <cellStyle name="Normal 5 4 6" xfId="1348" xr:uid="{00000000-0005-0000-0000-00003D1B0000}"/>
    <cellStyle name="Normal 5 4 6 2" xfId="3578" xr:uid="{00000000-0005-0000-0000-00003E1B0000}"/>
    <cellStyle name="Normal 5 4 6 2 2" xfId="7802" xr:uid="{00000000-0005-0000-0000-00003F1B0000}"/>
    <cellStyle name="Normal 5 4 6 2 2 2" xfId="16231" xr:uid="{EADF36F7-A5D0-47A7-A049-FB8D9114D847}"/>
    <cellStyle name="Normal 5 4 6 2 3" xfId="12013" xr:uid="{86BAACA4-74DA-48A2-A360-24536ACD5D41}"/>
    <cellStyle name="Normal 5 4 6 3" xfId="5657" xr:uid="{00000000-0005-0000-0000-0000401B0000}"/>
    <cellStyle name="Normal 5 4 6 3 2" xfId="14086" xr:uid="{1AF236A8-4877-4BE9-8597-A05F7BA3F2DE}"/>
    <cellStyle name="Normal 5 4 6 4" xfId="9868" xr:uid="{86F825DE-EADF-4793-BE3C-4F2C852299D1}"/>
    <cellStyle name="Normal 5 4 7" xfId="1761" xr:uid="{00000000-0005-0000-0000-0000411B0000}"/>
    <cellStyle name="Normal 5 4 7 2" xfId="3991" xr:uid="{00000000-0005-0000-0000-0000421B0000}"/>
    <cellStyle name="Normal 5 4 7 2 2" xfId="8215" xr:uid="{00000000-0005-0000-0000-0000431B0000}"/>
    <cellStyle name="Normal 5 4 7 2 2 2" xfId="16644" xr:uid="{38CD47D6-3C2C-452A-B1FB-35C354AD00F0}"/>
    <cellStyle name="Normal 5 4 7 2 3" xfId="12426" xr:uid="{E672F476-690C-4088-8B5C-FEDB2F1FB5C8}"/>
    <cellStyle name="Normal 5 4 7 3" xfId="6070" xr:uid="{00000000-0005-0000-0000-0000441B0000}"/>
    <cellStyle name="Normal 5 4 7 3 2" xfId="14499" xr:uid="{7370D804-CAF1-43BB-AD26-1E98C7BE0D0B}"/>
    <cellStyle name="Normal 5 4 7 4" xfId="10281" xr:uid="{C688A415-5297-429D-AFD5-BC10CF701A71}"/>
    <cellStyle name="Normal 5 4 8" xfId="2175" xr:uid="{00000000-0005-0000-0000-0000451B0000}"/>
    <cellStyle name="Normal 5 4 8 2" xfId="4404" xr:uid="{00000000-0005-0000-0000-0000461B0000}"/>
    <cellStyle name="Normal 5 4 8 2 2" xfId="8628" xr:uid="{00000000-0005-0000-0000-0000471B0000}"/>
    <cellStyle name="Normal 5 4 8 2 2 2" xfId="17057" xr:uid="{FAB4089A-5FF9-4B59-9244-07F95380F6A6}"/>
    <cellStyle name="Normal 5 4 8 2 3" xfId="12839" xr:uid="{4F861989-E49D-499B-9BB6-7FCD7FF74CFF}"/>
    <cellStyle name="Normal 5 4 8 3" xfId="6483" xr:uid="{00000000-0005-0000-0000-0000481B0000}"/>
    <cellStyle name="Normal 5 4 8 3 2" xfId="14912" xr:uid="{48581E9F-DC8E-4915-9C65-F58446485D64}"/>
    <cellStyle name="Normal 5 4 8 4" xfId="10694" xr:uid="{D6E68B0D-8FD5-4444-B25A-B9A660875711}"/>
    <cellStyle name="Normal 5 4 9" xfId="2611" xr:uid="{00000000-0005-0000-0000-0000491B0000}"/>
    <cellStyle name="Normal 5 4 9 2" xfId="6896" xr:uid="{00000000-0005-0000-0000-00004A1B0000}"/>
    <cellStyle name="Normal 5 4 9 2 2" xfId="15325" xr:uid="{348CE901-2618-4702-942F-238467A40337}"/>
    <cellStyle name="Normal 5 4 9 3" xfId="11107" xr:uid="{941CBA30-422F-4753-9563-8F95ECD95A55}"/>
    <cellStyle name="Normal 5 5" xfId="464" xr:uid="{00000000-0005-0000-0000-00004B1B0000}"/>
    <cellStyle name="Normal 5 5 10" xfId="9050" xr:uid="{4DB0A68F-CB95-4822-9E23-3BF90B869CCC}"/>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2 2 2" xfId="15828" xr:uid="{2E52F11D-3368-421A-8B71-FE3EAED3DB3E}"/>
    <cellStyle name="Normal 5 5 2 2 2 2 3" xfId="11610" xr:uid="{17044517-F09F-4443-8F90-CA78181A32C7}"/>
    <cellStyle name="Normal 5 5 2 2 2 3" xfId="5254" xr:uid="{00000000-0005-0000-0000-0000511B0000}"/>
    <cellStyle name="Normal 5 5 2 2 2 3 2" xfId="13683" xr:uid="{514C905F-5E3D-42D6-B5EA-F4BAD4504E5A}"/>
    <cellStyle name="Normal 5 5 2 2 2 4" xfId="9465" xr:uid="{C22D53B5-6FDD-412F-8E39-3EE09B8D9F82}"/>
    <cellStyle name="Normal 5 5 2 2 3" xfId="1358" xr:uid="{00000000-0005-0000-0000-0000521B0000}"/>
    <cellStyle name="Normal 5 5 2 2 3 2" xfId="3588" xr:uid="{00000000-0005-0000-0000-0000531B0000}"/>
    <cellStyle name="Normal 5 5 2 2 3 2 2" xfId="7812" xr:uid="{00000000-0005-0000-0000-0000541B0000}"/>
    <cellStyle name="Normal 5 5 2 2 3 2 2 2" xfId="16241" xr:uid="{28CA0CA0-80CF-4D84-8573-8BEAA1A6B0C5}"/>
    <cellStyle name="Normal 5 5 2 2 3 2 3" xfId="12023" xr:uid="{BFFF4D64-962F-45FC-B99B-53328D7CD72F}"/>
    <cellStyle name="Normal 5 5 2 2 3 3" xfId="5667" xr:uid="{00000000-0005-0000-0000-0000551B0000}"/>
    <cellStyle name="Normal 5 5 2 2 3 3 2" xfId="14096" xr:uid="{080B9CDA-BC03-4C4E-8697-B470B491BC28}"/>
    <cellStyle name="Normal 5 5 2 2 3 4" xfId="9878" xr:uid="{B42D13ED-DAA1-4AC9-A19C-7C6916001BB2}"/>
    <cellStyle name="Normal 5 5 2 2 4" xfId="1771" xr:uid="{00000000-0005-0000-0000-0000561B0000}"/>
    <cellStyle name="Normal 5 5 2 2 4 2" xfId="4001" xr:uid="{00000000-0005-0000-0000-0000571B0000}"/>
    <cellStyle name="Normal 5 5 2 2 4 2 2" xfId="8225" xr:uid="{00000000-0005-0000-0000-0000581B0000}"/>
    <cellStyle name="Normal 5 5 2 2 4 2 2 2" xfId="16654" xr:uid="{A52F6FB2-805D-45ED-9328-3D8971D6C959}"/>
    <cellStyle name="Normal 5 5 2 2 4 2 3" xfId="12436" xr:uid="{0AD289DB-9907-4262-8D0E-DBF2231016C0}"/>
    <cellStyle name="Normal 5 5 2 2 4 3" xfId="6080" xr:uid="{00000000-0005-0000-0000-0000591B0000}"/>
    <cellStyle name="Normal 5 5 2 2 4 3 2" xfId="14509" xr:uid="{E630D4E1-E8E6-4845-8E3E-D148AD504823}"/>
    <cellStyle name="Normal 5 5 2 2 4 4" xfId="10291" xr:uid="{1FE3E91C-2660-4542-B644-5C3509F2D32A}"/>
    <cellStyle name="Normal 5 5 2 2 5" xfId="2185" xr:uid="{00000000-0005-0000-0000-00005A1B0000}"/>
    <cellStyle name="Normal 5 5 2 2 5 2" xfId="4414" xr:uid="{00000000-0005-0000-0000-00005B1B0000}"/>
    <cellStyle name="Normal 5 5 2 2 5 2 2" xfId="8638" xr:uid="{00000000-0005-0000-0000-00005C1B0000}"/>
    <cellStyle name="Normal 5 5 2 2 5 2 2 2" xfId="17067" xr:uid="{C0BBB79E-BDDD-4511-ADE9-C445F8E25D51}"/>
    <cellStyle name="Normal 5 5 2 2 5 2 3" xfId="12849" xr:uid="{991AB875-4B69-49AE-9B7B-509B56C27820}"/>
    <cellStyle name="Normal 5 5 2 2 5 3" xfId="6493" xr:uid="{00000000-0005-0000-0000-00005D1B0000}"/>
    <cellStyle name="Normal 5 5 2 2 5 3 2" xfId="14922" xr:uid="{22EBC687-B3BA-416C-8E5E-42A48EC4C021}"/>
    <cellStyle name="Normal 5 5 2 2 5 4" xfId="10704" xr:uid="{882A2724-5E19-4F24-A500-AEB27F172BEE}"/>
    <cellStyle name="Normal 5 5 2 2 6" xfId="2621" xr:uid="{00000000-0005-0000-0000-00005E1B0000}"/>
    <cellStyle name="Normal 5 5 2 2 6 2" xfId="6906" xr:uid="{00000000-0005-0000-0000-00005F1B0000}"/>
    <cellStyle name="Normal 5 5 2 2 6 2 2" xfId="15335" xr:uid="{1F7CDC07-73A3-4761-AB12-77291B6ED6F6}"/>
    <cellStyle name="Normal 5 5 2 2 6 3" xfId="11117" xr:uid="{9FEAF2BD-F630-43F0-A20F-8ECE38A12E6B}"/>
    <cellStyle name="Normal 5 5 2 2 7" xfId="4841" xr:uid="{00000000-0005-0000-0000-0000601B0000}"/>
    <cellStyle name="Normal 5 5 2 2 7 2" xfId="13270" xr:uid="{A6139F88-F5F5-4FAB-84F1-4120B12663F5}"/>
    <cellStyle name="Normal 5 5 2 2 8" xfId="9052" xr:uid="{E7FE10C1-2FE6-4755-9F17-9007BC7D8D13}"/>
    <cellStyle name="Normal 5 5 2 3" xfId="940" xr:uid="{00000000-0005-0000-0000-0000611B0000}"/>
    <cellStyle name="Normal 5 5 2 3 2" xfId="3174" xr:uid="{00000000-0005-0000-0000-0000621B0000}"/>
    <cellStyle name="Normal 5 5 2 3 2 2" xfId="7398" xr:uid="{00000000-0005-0000-0000-0000631B0000}"/>
    <cellStyle name="Normal 5 5 2 3 2 2 2" xfId="15827" xr:uid="{50385171-68A4-420F-A394-5B3C7DFDEAF2}"/>
    <cellStyle name="Normal 5 5 2 3 2 3" xfId="11609" xr:uid="{C00B499C-FDF4-48B3-8795-1A752D734961}"/>
    <cellStyle name="Normal 5 5 2 3 3" xfId="5253" xr:uid="{00000000-0005-0000-0000-0000641B0000}"/>
    <cellStyle name="Normal 5 5 2 3 3 2" xfId="13682" xr:uid="{C14E39C0-2553-40ED-97EE-037598C0CD6A}"/>
    <cellStyle name="Normal 5 5 2 3 4" xfId="9464" xr:uid="{C8222831-87A9-4FF0-9E3D-26E334D6643C}"/>
    <cellStyle name="Normal 5 5 2 4" xfId="1357" xr:uid="{00000000-0005-0000-0000-0000651B0000}"/>
    <cellStyle name="Normal 5 5 2 4 2" xfId="3587" xr:uid="{00000000-0005-0000-0000-0000661B0000}"/>
    <cellStyle name="Normal 5 5 2 4 2 2" xfId="7811" xr:uid="{00000000-0005-0000-0000-0000671B0000}"/>
    <cellStyle name="Normal 5 5 2 4 2 2 2" xfId="16240" xr:uid="{4B065059-E9DD-49F4-AE0D-62814F562A2F}"/>
    <cellStyle name="Normal 5 5 2 4 2 3" xfId="12022" xr:uid="{88B1BB11-B7AE-4B26-A0C5-B7DE43D45A9D}"/>
    <cellStyle name="Normal 5 5 2 4 3" xfId="5666" xr:uid="{00000000-0005-0000-0000-0000681B0000}"/>
    <cellStyle name="Normal 5 5 2 4 3 2" xfId="14095" xr:uid="{2BE7557D-0546-4162-B657-0A69F312EA6D}"/>
    <cellStyle name="Normal 5 5 2 4 4" xfId="9877" xr:uid="{A0C4A166-2A4A-428D-AFE0-B70FD7E48F94}"/>
    <cellStyle name="Normal 5 5 2 5" xfId="1770" xr:uid="{00000000-0005-0000-0000-0000691B0000}"/>
    <cellStyle name="Normal 5 5 2 5 2" xfId="4000" xr:uid="{00000000-0005-0000-0000-00006A1B0000}"/>
    <cellStyle name="Normal 5 5 2 5 2 2" xfId="8224" xr:uid="{00000000-0005-0000-0000-00006B1B0000}"/>
    <cellStyle name="Normal 5 5 2 5 2 2 2" xfId="16653" xr:uid="{3692011D-5128-4C15-953B-52ADF632EBA4}"/>
    <cellStyle name="Normal 5 5 2 5 2 3" xfId="12435" xr:uid="{C6DD4768-1675-4B5B-8CD2-C088DEE99AF9}"/>
    <cellStyle name="Normal 5 5 2 5 3" xfId="6079" xr:uid="{00000000-0005-0000-0000-00006C1B0000}"/>
    <cellStyle name="Normal 5 5 2 5 3 2" xfId="14508" xr:uid="{BD26B3A1-7663-4856-8D76-BF637A8E8F17}"/>
    <cellStyle name="Normal 5 5 2 5 4" xfId="10290" xr:uid="{080D2872-2E8E-4495-A266-8B02037A4EA6}"/>
    <cellStyle name="Normal 5 5 2 6" xfId="2184" xr:uid="{00000000-0005-0000-0000-00006D1B0000}"/>
    <cellStyle name="Normal 5 5 2 6 2" xfId="4413" xr:uid="{00000000-0005-0000-0000-00006E1B0000}"/>
    <cellStyle name="Normal 5 5 2 6 2 2" xfId="8637" xr:uid="{00000000-0005-0000-0000-00006F1B0000}"/>
    <cellStyle name="Normal 5 5 2 6 2 2 2" xfId="17066" xr:uid="{E7EE59C6-BCE1-462E-91CD-C1755D0C97FA}"/>
    <cellStyle name="Normal 5 5 2 6 2 3" xfId="12848" xr:uid="{1F300E41-A968-43BC-B98C-B94EE61CDD32}"/>
    <cellStyle name="Normal 5 5 2 6 3" xfId="6492" xr:uid="{00000000-0005-0000-0000-0000701B0000}"/>
    <cellStyle name="Normal 5 5 2 6 3 2" xfId="14921" xr:uid="{488B20EF-B627-48AB-8FA0-801E2AD74813}"/>
    <cellStyle name="Normal 5 5 2 6 4" xfId="10703" xr:uid="{17B55E8A-0841-4CEE-B92B-CC4C3CC8868D}"/>
    <cellStyle name="Normal 5 5 2 7" xfId="2620" xr:uid="{00000000-0005-0000-0000-0000711B0000}"/>
    <cellStyle name="Normal 5 5 2 7 2" xfId="6905" xr:uid="{00000000-0005-0000-0000-0000721B0000}"/>
    <cellStyle name="Normal 5 5 2 7 2 2" xfId="15334" xr:uid="{C9FE4015-9946-41EF-B6DC-032CB6C91D3B}"/>
    <cellStyle name="Normal 5 5 2 7 3" xfId="11116" xr:uid="{92637A57-1911-4E4C-9C71-DCDB8D01FD9C}"/>
    <cellStyle name="Normal 5 5 2 8" xfId="4840" xr:uid="{00000000-0005-0000-0000-0000731B0000}"/>
    <cellStyle name="Normal 5 5 2 8 2" xfId="13269" xr:uid="{75BB2AF4-7016-4F1C-AEC5-5760653117E6}"/>
    <cellStyle name="Normal 5 5 2 9" xfId="9051" xr:uid="{D4BBF9C5-5548-47B1-A06D-B3B232E0D6A1}"/>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2 2 2" xfId="15829" xr:uid="{05FF39F4-293C-44BA-8855-A184BAADDDA5}"/>
    <cellStyle name="Normal 5 5 3 2 2 3" xfId="11611" xr:uid="{B1E6B910-36C2-45EF-9472-ED56F0B2350E}"/>
    <cellStyle name="Normal 5 5 3 2 3" xfId="5255" xr:uid="{00000000-0005-0000-0000-0000781B0000}"/>
    <cellStyle name="Normal 5 5 3 2 3 2" xfId="13684" xr:uid="{F28B94E4-5F50-4EF4-847B-38AC497CDBEF}"/>
    <cellStyle name="Normal 5 5 3 2 4" xfId="9466" xr:uid="{C5FE981F-476A-4C48-926D-D241FF59E7AA}"/>
    <cellStyle name="Normal 5 5 3 3" xfId="1359" xr:uid="{00000000-0005-0000-0000-0000791B0000}"/>
    <cellStyle name="Normal 5 5 3 3 2" xfId="3589" xr:uid="{00000000-0005-0000-0000-00007A1B0000}"/>
    <cellStyle name="Normal 5 5 3 3 2 2" xfId="7813" xr:uid="{00000000-0005-0000-0000-00007B1B0000}"/>
    <cellStyle name="Normal 5 5 3 3 2 2 2" xfId="16242" xr:uid="{EE7C2E35-59D6-4F82-8090-5834B477B916}"/>
    <cellStyle name="Normal 5 5 3 3 2 3" xfId="12024" xr:uid="{95674EB1-A944-475F-BA99-52D61DBDFB42}"/>
    <cellStyle name="Normal 5 5 3 3 3" xfId="5668" xr:uid="{00000000-0005-0000-0000-00007C1B0000}"/>
    <cellStyle name="Normal 5 5 3 3 3 2" xfId="14097" xr:uid="{78C26115-9950-45C8-9721-66E35E9705C5}"/>
    <cellStyle name="Normal 5 5 3 3 4" xfId="9879" xr:uid="{8C4EBBFD-96F1-452E-A448-799BAC158414}"/>
    <cellStyle name="Normal 5 5 3 4" xfId="1772" xr:uid="{00000000-0005-0000-0000-00007D1B0000}"/>
    <cellStyle name="Normal 5 5 3 4 2" xfId="4002" xr:uid="{00000000-0005-0000-0000-00007E1B0000}"/>
    <cellStyle name="Normal 5 5 3 4 2 2" xfId="8226" xr:uid="{00000000-0005-0000-0000-00007F1B0000}"/>
    <cellStyle name="Normal 5 5 3 4 2 2 2" xfId="16655" xr:uid="{DDBA1847-B9DB-4B6D-84C2-6C7C7FB4C127}"/>
    <cellStyle name="Normal 5 5 3 4 2 3" xfId="12437" xr:uid="{6EFA0E47-B4FD-47DF-8D0E-F8F7F3E9FA2C}"/>
    <cellStyle name="Normal 5 5 3 4 3" xfId="6081" xr:uid="{00000000-0005-0000-0000-0000801B0000}"/>
    <cellStyle name="Normal 5 5 3 4 3 2" xfId="14510" xr:uid="{1C5471F0-168D-4207-BF26-4BE70C4FD454}"/>
    <cellStyle name="Normal 5 5 3 4 4" xfId="10292" xr:uid="{2014620E-E924-4C41-8EA1-6A816DACF37D}"/>
    <cellStyle name="Normal 5 5 3 5" xfId="2186" xr:uid="{00000000-0005-0000-0000-0000811B0000}"/>
    <cellStyle name="Normal 5 5 3 5 2" xfId="4415" xr:uid="{00000000-0005-0000-0000-0000821B0000}"/>
    <cellStyle name="Normal 5 5 3 5 2 2" xfId="8639" xr:uid="{00000000-0005-0000-0000-0000831B0000}"/>
    <cellStyle name="Normal 5 5 3 5 2 2 2" xfId="17068" xr:uid="{15C886C6-3664-41DF-B85D-ADD0A6B1D67A}"/>
    <cellStyle name="Normal 5 5 3 5 2 3" xfId="12850" xr:uid="{56074AF6-8EC6-4D13-878E-B52F883A05CE}"/>
    <cellStyle name="Normal 5 5 3 5 3" xfId="6494" xr:uid="{00000000-0005-0000-0000-0000841B0000}"/>
    <cellStyle name="Normal 5 5 3 5 3 2" xfId="14923" xr:uid="{9C78AFDE-9B9C-4419-80D7-F3EADA326249}"/>
    <cellStyle name="Normal 5 5 3 5 4" xfId="10705" xr:uid="{C94A3344-F40B-4605-9E20-16EAE4E50F51}"/>
    <cellStyle name="Normal 5 5 3 6" xfId="2622" xr:uid="{00000000-0005-0000-0000-0000851B0000}"/>
    <cellStyle name="Normal 5 5 3 6 2" xfId="6907" xr:uid="{00000000-0005-0000-0000-0000861B0000}"/>
    <cellStyle name="Normal 5 5 3 6 2 2" xfId="15336" xr:uid="{785E7C78-F632-4E42-AF1A-97E76FCFBFBF}"/>
    <cellStyle name="Normal 5 5 3 6 3" xfId="11118" xr:uid="{D11F9266-7CCD-41A8-8E72-CFBBDEB4DB24}"/>
    <cellStyle name="Normal 5 5 3 7" xfId="4842" xr:uid="{00000000-0005-0000-0000-0000871B0000}"/>
    <cellStyle name="Normal 5 5 3 7 2" xfId="13271" xr:uid="{9109DD61-2B4C-4621-96C5-0AC82B801982}"/>
    <cellStyle name="Normal 5 5 3 8" xfId="9053" xr:uid="{CAAF3545-1F92-4271-8F57-09E15B73D86D}"/>
    <cellStyle name="Normal 5 5 4" xfId="939" xr:uid="{00000000-0005-0000-0000-0000881B0000}"/>
    <cellStyle name="Normal 5 5 4 2" xfId="3173" xr:uid="{00000000-0005-0000-0000-0000891B0000}"/>
    <cellStyle name="Normal 5 5 4 2 2" xfId="7397" xr:uid="{00000000-0005-0000-0000-00008A1B0000}"/>
    <cellStyle name="Normal 5 5 4 2 2 2" xfId="15826" xr:uid="{A65A68EA-6DF7-4ED2-87EE-00F885946106}"/>
    <cellStyle name="Normal 5 5 4 2 3" xfId="11608" xr:uid="{1CDA71CA-7FCE-4F41-BDEB-5B0F46D28534}"/>
    <cellStyle name="Normal 5 5 4 3" xfId="5252" xr:uid="{00000000-0005-0000-0000-00008B1B0000}"/>
    <cellStyle name="Normal 5 5 4 3 2" xfId="13681" xr:uid="{EB97DFD8-451F-44A9-BCD1-EB92C186D756}"/>
    <cellStyle name="Normal 5 5 4 4" xfId="9463" xr:uid="{663E6C06-E978-4E92-B4AE-B5C94A3875EC}"/>
    <cellStyle name="Normal 5 5 5" xfId="1356" xr:uid="{00000000-0005-0000-0000-00008C1B0000}"/>
    <cellStyle name="Normal 5 5 5 2" xfId="3586" xr:uid="{00000000-0005-0000-0000-00008D1B0000}"/>
    <cellStyle name="Normal 5 5 5 2 2" xfId="7810" xr:uid="{00000000-0005-0000-0000-00008E1B0000}"/>
    <cellStyle name="Normal 5 5 5 2 2 2" xfId="16239" xr:uid="{DCC49786-A83E-4A78-8BD6-26AEB7E50AC9}"/>
    <cellStyle name="Normal 5 5 5 2 3" xfId="12021" xr:uid="{6D41CB3C-651D-463E-AE6F-82DC22612A66}"/>
    <cellStyle name="Normal 5 5 5 3" xfId="5665" xr:uid="{00000000-0005-0000-0000-00008F1B0000}"/>
    <cellStyle name="Normal 5 5 5 3 2" xfId="14094" xr:uid="{CDCD8E71-0F56-43A2-B53A-9B281EB4AF71}"/>
    <cellStyle name="Normal 5 5 5 4" xfId="9876" xr:uid="{6BB2424E-52DD-4252-A77D-0B087CE4D934}"/>
    <cellStyle name="Normal 5 5 6" xfId="1769" xr:uid="{00000000-0005-0000-0000-0000901B0000}"/>
    <cellStyle name="Normal 5 5 6 2" xfId="3999" xr:uid="{00000000-0005-0000-0000-0000911B0000}"/>
    <cellStyle name="Normal 5 5 6 2 2" xfId="8223" xr:uid="{00000000-0005-0000-0000-0000921B0000}"/>
    <cellStyle name="Normal 5 5 6 2 2 2" xfId="16652" xr:uid="{8F6EFEFE-CD75-4196-AFBF-C8B4CE91A755}"/>
    <cellStyle name="Normal 5 5 6 2 3" xfId="12434" xr:uid="{17D67AA4-9D0E-4C87-937F-928FD9E4FFF6}"/>
    <cellStyle name="Normal 5 5 6 3" xfId="6078" xr:uid="{00000000-0005-0000-0000-0000931B0000}"/>
    <cellStyle name="Normal 5 5 6 3 2" xfId="14507" xr:uid="{C475C8B4-C1D8-456C-883F-D8D647F2191C}"/>
    <cellStyle name="Normal 5 5 6 4" xfId="10289" xr:uid="{63607181-3928-42BE-844E-DC506C754129}"/>
    <cellStyle name="Normal 5 5 7" xfId="2183" xr:uid="{00000000-0005-0000-0000-0000941B0000}"/>
    <cellStyle name="Normal 5 5 7 2" xfId="4412" xr:uid="{00000000-0005-0000-0000-0000951B0000}"/>
    <cellStyle name="Normal 5 5 7 2 2" xfId="8636" xr:uid="{00000000-0005-0000-0000-0000961B0000}"/>
    <cellStyle name="Normal 5 5 7 2 2 2" xfId="17065" xr:uid="{D0A57A48-05C5-4DE7-B40A-125DC98AFB92}"/>
    <cellStyle name="Normal 5 5 7 2 3" xfId="12847" xr:uid="{1F7F2C0C-18A5-4CDF-B4E2-75B7F0AA429B}"/>
    <cellStyle name="Normal 5 5 7 3" xfId="6491" xr:uid="{00000000-0005-0000-0000-0000971B0000}"/>
    <cellStyle name="Normal 5 5 7 3 2" xfId="14920" xr:uid="{3759D5DB-0DB4-466E-9B58-462DDEE5BCDE}"/>
    <cellStyle name="Normal 5 5 7 4" xfId="10702" xr:uid="{32FFEE34-CF87-405D-9DBB-4D695D4FF55B}"/>
    <cellStyle name="Normal 5 5 8" xfId="2619" xr:uid="{00000000-0005-0000-0000-0000981B0000}"/>
    <cellStyle name="Normal 5 5 8 2" xfId="6904" xr:uid="{00000000-0005-0000-0000-0000991B0000}"/>
    <cellStyle name="Normal 5 5 8 2 2" xfId="15333" xr:uid="{19B9C7EE-B9FD-450E-8E48-53E175DBE5AC}"/>
    <cellStyle name="Normal 5 5 8 3" xfId="11115" xr:uid="{E96332AE-368F-4CEC-946B-51BBBC8158C4}"/>
    <cellStyle name="Normal 5 5 9" xfId="4839" xr:uid="{00000000-0005-0000-0000-00009A1B0000}"/>
    <cellStyle name="Normal 5 5 9 2" xfId="13268" xr:uid="{C968D213-E925-4B67-9434-B6036DD281E2}"/>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2 2 2" xfId="15831" xr:uid="{600ECDC4-DC87-4DE2-934C-A9499AB49C5B}"/>
    <cellStyle name="Normal 5 6 2 2 2 3" xfId="11613" xr:uid="{3580984C-3987-4F81-8C0C-F843F08A32BF}"/>
    <cellStyle name="Normal 5 6 2 2 3" xfId="5257" xr:uid="{00000000-0005-0000-0000-0000A01B0000}"/>
    <cellStyle name="Normal 5 6 2 2 3 2" xfId="13686" xr:uid="{D43CBF46-323A-4DFE-9F7D-CA108981AE6B}"/>
    <cellStyle name="Normal 5 6 2 2 4" xfId="9468" xr:uid="{0469AD61-20D5-48CA-9981-44472AE88C5B}"/>
    <cellStyle name="Normal 5 6 2 3" xfId="1361" xr:uid="{00000000-0005-0000-0000-0000A11B0000}"/>
    <cellStyle name="Normal 5 6 2 3 2" xfId="3591" xr:uid="{00000000-0005-0000-0000-0000A21B0000}"/>
    <cellStyle name="Normal 5 6 2 3 2 2" xfId="7815" xr:uid="{00000000-0005-0000-0000-0000A31B0000}"/>
    <cellStyle name="Normal 5 6 2 3 2 2 2" xfId="16244" xr:uid="{C33093EA-B3B9-454A-84F6-36FDE102E46F}"/>
    <cellStyle name="Normal 5 6 2 3 2 3" xfId="12026" xr:uid="{80FB93D8-CD70-4B87-B6F6-E3A05E8B2767}"/>
    <cellStyle name="Normal 5 6 2 3 3" xfId="5670" xr:uid="{00000000-0005-0000-0000-0000A41B0000}"/>
    <cellStyle name="Normal 5 6 2 3 3 2" xfId="14099" xr:uid="{3B37079A-490E-44AC-B6F5-ABBDFD1956DD}"/>
    <cellStyle name="Normal 5 6 2 3 4" xfId="9881" xr:uid="{1F029E00-8099-499F-944C-23BFD1376CAA}"/>
    <cellStyle name="Normal 5 6 2 4" xfId="1774" xr:uid="{00000000-0005-0000-0000-0000A51B0000}"/>
    <cellStyle name="Normal 5 6 2 4 2" xfId="4004" xr:uid="{00000000-0005-0000-0000-0000A61B0000}"/>
    <cellStyle name="Normal 5 6 2 4 2 2" xfId="8228" xr:uid="{00000000-0005-0000-0000-0000A71B0000}"/>
    <cellStyle name="Normal 5 6 2 4 2 2 2" xfId="16657" xr:uid="{31C4A4C7-B79E-47BA-86AB-935C792915E4}"/>
    <cellStyle name="Normal 5 6 2 4 2 3" xfId="12439" xr:uid="{D4A0DA73-EBE2-4B2A-9FD6-E04EE8A15363}"/>
    <cellStyle name="Normal 5 6 2 4 3" xfId="6083" xr:uid="{00000000-0005-0000-0000-0000A81B0000}"/>
    <cellStyle name="Normal 5 6 2 4 3 2" xfId="14512" xr:uid="{87915752-D3FE-492F-9D32-A53B733C8FB8}"/>
    <cellStyle name="Normal 5 6 2 4 4" xfId="10294" xr:uid="{2C208660-7734-4322-90D1-F00221755148}"/>
    <cellStyle name="Normal 5 6 2 5" xfId="2188" xr:uid="{00000000-0005-0000-0000-0000A91B0000}"/>
    <cellStyle name="Normal 5 6 2 5 2" xfId="4417" xr:uid="{00000000-0005-0000-0000-0000AA1B0000}"/>
    <cellStyle name="Normal 5 6 2 5 2 2" xfId="8641" xr:uid="{00000000-0005-0000-0000-0000AB1B0000}"/>
    <cellStyle name="Normal 5 6 2 5 2 2 2" xfId="17070" xr:uid="{3E6F9F68-4EB2-4F53-AA36-3E93E9164FF7}"/>
    <cellStyle name="Normal 5 6 2 5 2 3" xfId="12852" xr:uid="{D12F091E-E3B1-42A1-A18C-CC46C143B965}"/>
    <cellStyle name="Normal 5 6 2 5 3" xfId="6496" xr:uid="{00000000-0005-0000-0000-0000AC1B0000}"/>
    <cellStyle name="Normal 5 6 2 5 3 2" xfId="14925" xr:uid="{2B1541B9-F677-4AB4-B23E-48C9661366A5}"/>
    <cellStyle name="Normal 5 6 2 5 4" xfId="10707" xr:uid="{FF4C2A00-6535-433D-9E95-F8033350E2AF}"/>
    <cellStyle name="Normal 5 6 2 6" xfId="2624" xr:uid="{00000000-0005-0000-0000-0000AD1B0000}"/>
    <cellStyle name="Normal 5 6 2 6 2" xfId="6909" xr:uid="{00000000-0005-0000-0000-0000AE1B0000}"/>
    <cellStyle name="Normal 5 6 2 6 2 2" xfId="15338" xr:uid="{82BCE38D-4659-4D28-932F-66C9AF65080C}"/>
    <cellStyle name="Normal 5 6 2 6 3" xfId="11120" xr:uid="{8CB781A3-661A-4A3A-8EA1-3795EB5175F6}"/>
    <cellStyle name="Normal 5 6 2 7" xfId="4844" xr:uid="{00000000-0005-0000-0000-0000AF1B0000}"/>
    <cellStyle name="Normal 5 6 2 7 2" xfId="13273" xr:uid="{0DA28298-43CF-41FE-A1C3-69F55BA062AF}"/>
    <cellStyle name="Normal 5 6 2 8" xfId="9055" xr:uid="{76451AAB-513F-4CF2-8297-7FBA543B171B}"/>
    <cellStyle name="Normal 5 6 3" xfId="943" xr:uid="{00000000-0005-0000-0000-0000B01B0000}"/>
    <cellStyle name="Normal 5 6 3 2" xfId="3177" xr:uid="{00000000-0005-0000-0000-0000B11B0000}"/>
    <cellStyle name="Normal 5 6 3 2 2" xfId="7401" xr:uid="{00000000-0005-0000-0000-0000B21B0000}"/>
    <cellStyle name="Normal 5 6 3 2 2 2" xfId="15830" xr:uid="{BB8A5635-2746-4712-B347-E441F21DA050}"/>
    <cellStyle name="Normal 5 6 3 2 3" xfId="11612" xr:uid="{74B65117-7322-4486-9432-8613E6EB86CC}"/>
    <cellStyle name="Normal 5 6 3 3" xfId="5256" xr:uid="{00000000-0005-0000-0000-0000B31B0000}"/>
    <cellStyle name="Normal 5 6 3 3 2" xfId="13685" xr:uid="{FD83EF26-75F2-44E0-A712-9083BDA67BA8}"/>
    <cellStyle name="Normal 5 6 3 4" xfId="9467" xr:uid="{B0A78F35-3994-426A-9139-98A393264176}"/>
    <cellStyle name="Normal 5 6 4" xfId="1360" xr:uid="{00000000-0005-0000-0000-0000B41B0000}"/>
    <cellStyle name="Normal 5 6 4 2" xfId="3590" xr:uid="{00000000-0005-0000-0000-0000B51B0000}"/>
    <cellStyle name="Normal 5 6 4 2 2" xfId="7814" xr:uid="{00000000-0005-0000-0000-0000B61B0000}"/>
    <cellStyle name="Normal 5 6 4 2 2 2" xfId="16243" xr:uid="{47C2C563-4A05-477D-BFA2-0518A4CDD29F}"/>
    <cellStyle name="Normal 5 6 4 2 3" xfId="12025" xr:uid="{AC31481C-56B7-41D6-9280-338F32A63548}"/>
    <cellStyle name="Normal 5 6 4 3" xfId="5669" xr:uid="{00000000-0005-0000-0000-0000B71B0000}"/>
    <cellStyle name="Normal 5 6 4 3 2" xfId="14098" xr:uid="{C8568D9E-6C0A-4F21-80D8-4AD3A2351109}"/>
    <cellStyle name="Normal 5 6 4 4" xfId="9880" xr:uid="{C07CDB0F-E3E5-4107-B140-4ACA6414C1AE}"/>
    <cellStyle name="Normal 5 6 5" xfId="1773" xr:uid="{00000000-0005-0000-0000-0000B81B0000}"/>
    <cellStyle name="Normal 5 6 5 2" xfId="4003" xr:uid="{00000000-0005-0000-0000-0000B91B0000}"/>
    <cellStyle name="Normal 5 6 5 2 2" xfId="8227" xr:uid="{00000000-0005-0000-0000-0000BA1B0000}"/>
    <cellStyle name="Normal 5 6 5 2 2 2" xfId="16656" xr:uid="{B3BC8942-D69C-45C7-BC7D-35CADE9B5AC1}"/>
    <cellStyle name="Normal 5 6 5 2 3" xfId="12438" xr:uid="{803F1C78-7B35-46B8-AD2B-498EDD567C99}"/>
    <cellStyle name="Normal 5 6 5 3" xfId="6082" xr:uid="{00000000-0005-0000-0000-0000BB1B0000}"/>
    <cellStyle name="Normal 5 6 5 3 2" xfId="14511" xr:uid="{6F58AAFE-8DBC-4289-8485-BE894CC7A345}"/>
    <cellStyle name="Normal 5 6 5 4" xfId="10293" xr:uid="{A4BD00F7-8565-42B3-A7D3-976F6020C4E5}"/>
    <cellStyle name="Normal 5 6 6" xfId="2187" xr:uid="{00000000-0005-0000-0000-0000BC1B0000}"/>
    <cellStyle name="Normal 5 6 6 2" xfId="4416" xr:uid="{00000000-0005-0000-0000-0000BD1B0000}"/>
    <cellStyle name="Normal 5 6 6 2 2" xfId="8640" xr:uid="{00000000-0005-0000-0000-0000BE1B0000}"/>
    <cellStyle name="Normal 5 6 6 2 2 2" xfId="17069" xr:uid="{79B3711D-76F7-449F-BC79-958B3325A567}"/>
    <cellStyle name="Normal 5 6 6 2 3" xfId="12851" xr:uid="{F40671E6-A2F5-492E-B9E4-DF6AD3E1113E}"/>
    <cellStyle name="Normal 5 6 6 3" xfId="6495" xr:uid="{00000000-0005-0000-0000-0000BF1B0000}"/>
    <cellStyle name="Normal 5 6 6 3 2" xfId="14924" xr:uid="{6CD64CEA-2B58-46A6-B829-D082348C11DB}"/>
    <cellStyle name="Normal 5 6 6 4" xfId="10706" xr:uid="{7DF4FD47-5A53-476E-874D-9CDAD99DE0FB}"/>
    <cellStyle name="Normal 5 6 7" xfId="2623" xr:uid="{00000000-0005-0000-0000-0000C01B0000}"/>
    <cellStyle name="Normal 5 6 7 2" xfId="6908" xr:uid="{00000000-0005-0000-0000-0000C11B0000}"/>
    <cellStyle name="Normal 5 6 7 2 2" xfId="15337" xr:uid="{CA63CC3E-4DB0-4F39-B92D-4FEBE0E18521}"/>
    <cellStyle name="Normal 5 6 7 3" xfId="11119" xr:uid="{61A1FB2A-0E6C-4484-B6A9-7EED909F886D}"/>
    <cellStyle name="Normal 5 6 8" xfId="4843" xr:uid="{00000000-0005-0000-0000-0000C21B0000}"/>
    <cellStyle name="Normal 5 6 8 2" xfId="13272" xr:uid="{0BEC6C59-09BF-4DC2-8542-D5562F48A222}"/>
    <cellStyle name="Normal 5 6 9" xfId="9054" xr:uid="{0E71632D-4FB8-40FA-BE9D-C0ACBB5E0102}"/>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2 2 2" xfId="15832" xr:uid="{83399ECB-0B1C-48BD-91D1-ADCF4A6AF85F}"/>
    <cellStyle name="Normal 5 7 2 2 3" xfId="11614" xr:uid="{D17036DF-90A2-4568-B503-8D05F5613642}"/>
    <cellStyle name="Normal 5 7 2 3" xfId="5258" xr:uid="{00000000-0005-0000-0000-0000C71B0000}"/>
    <cellStyle name="Normal 5 7 2 3 2" xfId="13687" xr:uid="{E0BB354F-5140-4AA5-A1F2-B5103A9FE713}"/>
    <cellStyle name="Normal 5 7 2 4" xfId="9469" xr:uid="{C44DD486-6E1C-4167-80DA-670A2BD62CAD}"/>
    <cellStyle name="Normal 5 7 3" xfId="1362" xr:uid="{00000000-0005-0000-0000-0000C81B0000}"/>
    <cellStyle name="Normal 5 7 3 2" xfId="3592" xr:uid="{00000000-0005-0000-0000-0000C91B0000}"/>
    <cellStyle name="Normal 5 7 3 2 2" xfId="7816" xr:uid="{00000000-0005-0000-0000-0000CA1B0000}"/>
    <cellStyle name="Normal 5 7 3 2 2 2" xfId="16245" xr:uid="{7E76D310-478C-470F-955B-209DAB8C4A48}"/>
    <cellStyle name="Normal 5 7 3 2 3" xfId="12027" xr:uid="{9E52A153-4CA7-4E5D-A53B-CFCEB89BF208}"/>
    <cellStyle name="Normal 5 7 3 3" xfId="5671" xr:uid="{00000000-0005-0000-0000-0000CB1B0000}"/>
    <cellStyle name="Normal 5 7 3 3 2" xfId="14100" xr:uid="{62BBED0C-BCC4-40A2-9786-2D0A3BF6BBB5}"/>
    <cellStyle name="Normal 5 7 3 4" xfId="9882" xr:uid="{F263BD3D-70CF-498E-B928-04D1031043BF}"/>
    <cellStyle name="Normal 5 7 4" xfId="1775" xr:uid="{00000000-0005-0000-0000-0000CC1B0000}"/>
    <cellStyle name="Normal 5 7 4 2" xfId="4005" xr:uid="{00000000-0005-0000-0000-0000CD1B0000}"/>
    <cellStyle name="Normal 5 7 4 2 2" xfId="8229" xr:uid="{00000000-0005-0000-0000-0000CE1B0000}"/>
    <cellStyle name="Normal 5 7 4 2 2 2" xfId="16658" xr:uid="{CD67A536-82E4-4266-B912-8B7B5C38EDE3}"/>
    <cellStyle name="Normal 5 7 4 2 3" xfId="12440" xr:uid="{AC8477D1-6D4F-4698-B497-0DA4FB6FCC7B}"/>
    <cellStyle name="Normal 5 7 4 3" xfId="6084" xr:uid="{00000000-0005-0000-0000-0000CF1B0000}"/>
    <cellStyle name="Normal 5 7 4 3 2" xfId="14513" xr:uid="{D2FD2561-9EED-4A93-85B7-387B5DB7D29A}"/>
    <cellStyle name="Normal 5 7 4 4" xfId="10295" xr:uid="{2FBCC3FD-2F06-43D8-964A-F9437FB47473}"/>
    <cellStyle name="Normal 5 7 5" xfId="2189" xr:uid="{00000000-0005-0000-0000-0000D01B0000}"/>
    <cellStyle name="Normal 5 7 5 2" xfId="4418" xr:uid="{00000000-0005-0000-0000-0000D11B0000}"/>
    <cellStyle name="Normal 5 7 5 2 2" xfId="8642" xr:uid="{00000000-0005-0000-0000-0000D21B0000}"/>
    <cellStyle name="Normal 5 7 5 2 2 2" xfId="17071" xr:uid="{952775E2-F225-4F56-85EE-A318C6A02D63}"/>
    <cellStyle name="Normal 5 7 5 2 3" xfId="12853" xr:uid="{6B637F06-50DE-4481-A6A9-FB6E5E8084F7}"/>
    <cellStyle name="Normal 5 7 5 3" xfId="6497" xr:uid="{00000000-0005-0000-0000-0000D31B0000}"/>
    <cellStyle name="Normal 5 7 5 3 2" xfId="14926" xr:uid="{D6E3BDF4-C6EB-439C-BF4F-12A7D522B994}"/>
    <cellStyle name="Normal 5 7 5 4" xfId="10708" xr:uid="{180108DE-5497-4020-A549-7DEFA1CED32E}"/>
    <cellStyle name="Normal 5 7 6" xfId="2625" xr:uid="{00000000-0005-0000-0000-0000D41B0000}"/>
    <cellStyle name="Normal 5 7 6 2" xfId="6910" xr:uid="{00000000-0005-0000-0000-0000D51B0000}"/>
    <cellStyle name="Normal 5 7 6 2 2" xfId="15339" xr:uid="{7023DCA7-A376-450C-BA24-10EB0041A99E}"/>
    <cellStyle name="Normal 5 7 6 3" xfId="11121" xr:uid="{8B7248A7-44D8-40B9-B6B2-2586EB6C3F04}"/>
    <cellStyle name="Normal 5 7 7" xfId="4845" xr:uid="{00000000-0005-0000-0000-0000D61B0000}"/>
    <cellStyle name="Normal 5 7 7 2" xfId="13274" xr:uid="{88114822-F310-42D5-8330-67E89090D6BD}"/>
    <cellStyle name="Normal 5 7 8" xfId="9056" xr:uid="{5AC2B0C4-1141-4C10-9B79-AC0F553BDD9A}"/>
    <cellStyle name="Normal 5 8" xfId="881" xr:uid="{00000000-0005-0000-0000-0000D71B0000}"/>
    <cellStyle name="Normal 5 8 2" xfId="3116" xr:uid="{00000000-0005-0000-0000-0000D81B0000}"/>
    <cellStyle name="Normal 5 8 2 2" xfId="7340" xr:uid="{00000000-0005-0000-0000-0000D91B0000}"/>
    <cellStyle name="Normal 5 8 2 2 2" xfId="15769" xr:uid="{D99EC0EF-45B0-46A0-A081-884D299F94AA}"/>
    <cellStyle name="Normal 5 8 2 3" xfId="11551" xr:uid="{C97ED251-6E4A-49F9-B253-394C64244EA8}"/>
    <cellStyle name="Normal 5 8 3" xfId="5195" xr:uid="{00000000-0005-0000-0000-0000DA1B0000}"/>
    <cellStyle name="Normal 5 8 3 2" xfId="13624" xr:uid="{A06D3D93-8A65-4654-9353-976A0BB1FD6D}"/>
    <cellStyle name="Normal 5 8 4" xfId="9406" xr:uid="{36F1AD54-88F3-4291-8E44-223984A3F4FF}"/>
    <cellStyle name="Normal 5 9" xfId="1299" xr:uid="{00000000-0005-0000-0000-0000DB1B0000}"/>
    <cellStyle name="Normal 5 9 2" xfId="3529" xr:uid="{00000000-0005-0000-0000-0000DC1B0000}"/>
    <cellStyle name="Normal 5 9 2 2" xfId="7753" xr:uid="{00000000-0005-0000-0000-0000DD1B0000}"/>
    <cellStyle name="Normal 5 9 2 2 2" xfId="16182" xr:uid="{2F7C5F89-28CF-4CB0-92C3-1CD323B4BB96}"/>
    <cellStyle name="Normal 5 9 2 3" xfId="11964" xr:uid="{66AE1587-E0F1-4548-BC33-814C2A7F377D}"/>
    <cellStyle name="Normal 5 9 3" xfId="5608" xr:uid="{00000000-0005-0000-0000-0000DE1B0000}"/>
    <cellStyle name="Normal 5 9 3 2" xfId="14037" xr:uid="{A92104B7-07CE-4C21-9B04-C918D530F126}"/>
    <cellStyle name="Normal 5 9 4" xfId="9819" xr:uid="{A2F7B412-68DF-4DD6-A021-18BDB6F3BCA7}"/>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2 2 2" xfId="17072" xr:uid="{C00BE62B-4174-4814-8E26-CEE045A8E1C3}"/>
    <cellStyle name="Normal 8 10 2 3" xfId="12854" xr:uid="{749722C4-2ECD-4FD1-845A-66C3BEC548E3}"/>
    <cellStyle name="Normal 8 10 3" xfId="6498" xr:uid="{00000000-0005-0000-0000-0000EA1B0000}"/>
    <cellStyle name="Normal 8 10 3 2" xfId="14927" xr:uid="{03D3438B-C9A0-45DB-9377-9E2DD8ACB8B9}"/>
    <cellStyle name="Normal 8 10 4" xfId="10709" xr:uid="{CE05C7A3-9537-4983-B8F6-E0E7C7E67E72}"/>
    <cellStyle name="Normal 8 11" xfId="2626" xr:uid="{00000000-0005-0000-0000-0000EB1B0000}"/>
    <cellStyle name="Normal 8 11 2" xfId="6911" xr:uid="{00000000-0005-0000-0000-0000EC1B0000}"/>
    <cellStyle name="Normal 8 11 2 2" xfId="15340" xr:uid="{F21480DE-7601-4C69-B3B7-5FFAC1265443}"/>
    <cellStyle name="Normal 8 11 3" xfId="11122" xr:uid="{FE0907E0-F54C-4620-A53D-31FB164A04CD}"/>
    <cellStyle name="Normal 8 12" xfId="4846" xr:uid="{00000000-0005-0000-0000-0000ED1B0000}"/>
    <cellStyle name="Normal 8 12 2" xfId="13275" xr:uid="{97280983-2BF8-4625-A032-EA27D751FFF7}"/>
    <cellStyle name="Normal 8 13" xfId="9057" xr:uid="{48B5FCA7-188D-48FB-9A7E-7323EE19860E}"/>
    <cellStyle name="Normal 8 2" xfId="479" xr:uid="{00000000-0005-0000-0000-0000EE1B0000}"/>
    <cellStyle name="Normal 8 2 10" xfId="2627" xr:uid="{00000000-0005-0000-0000-0000EF1B0000}"/>
    <cellStyle name="Normal 8 2 10 2" xfId="6912" xr:uid="{00000000-0005-0000-0000-0000F01B0000}"/>
    <cellStyle name="Normal 8 2 10 2 2" xfId="15341" xr:uid="{DEE155D8-CB45-449B-97C3-C8D8B83C5B3A}"/>
    <cellStyle name="Normal 8 2 10 3" xfId="11123" xr:uid="{50087A12-E2D6-49C1-85D6-58AC4CDC8A73}"/>
    <cellStyle name="Normal 8 2 11" xfId="4847" xr:uid="{00000000-0005-0000-0000-0000F11B0000}"/>
    <cellStyle name="Normal 8 2 11 2" xfId="13276" xr:uid="{9F9B2C3B-49FE-4B4E-84F3-E70DF3A153DD}"/>
    <cellStyle name="Normal 8 2 12" xfId="9058" xr:uid="{D03E0F12-A268-4DA7-810E-8EB4D09E9D34}"/>
    <cellStyle name="Normal 8 2 2" xfId="480" xr:uid="{00000000-0005-0000-0000-0000F21B0000}"/>
    <cellStyle name="Normal 8 2 2 10" xfId="4848" xr:uid="{00000000-0005-0000-0000-0000F31B0000}"/>
    <cellStyle name="Normal 8 2 2 10 2" xfId="13277" xr:uid="{C887B9D4-1706-4478-95E1-850D4DB9F903}"/>
    <cellStyle name="Normal 8 2 2 11" xfId="9059" xr:uid="{DCDA2E18-6892-4DB4-9822-5E1338157669}"/>
    <cellStyle name="Normal 8 2 2 2" xfId="481" xr:uid="{00000000-0005-0000-0000-0000F41B0000}"/>
    <cellStyle name="Normal 8 2 2 2 10" xfId="9060" xr:uid="{C83D0E8A-402E-4CC3-A930-469257A08833}"/>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2 2 2" xfId="15838" xr:uid="{05AE6D75-8FC3-4EF8-8472-CD867C61520D}"/>
    <cellStyle name="Normal 8 2 2 2 2 2 2 2 3" xfId="11620" xr:uid="{9E97D2D1-7505-41AA-97C8-15A986D17ED9}"/>
    <cellStyle name="Normal 8 2 2 2 2 2 2 3" xfId="5264" xr:uid="{00000000-0005-0000-0000-0000FA1B0000}"/>
    <cellStyle name="Normal 8 2 2 2 2 2 2 3 2" xfId="13693" xr:uid="{CC833B1E-6855-48EA-9774-ADBE7DFAAF6E}"/>
    <cellStyle name="Normal 8 2 2 2 2 2 2 4" xfId="9475" xr:uid="{8F301BBF-ADFA-4651-919B-4C7BC43A39D9}"/>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2 2 2" xfId="16251" xr:uid="{91C9B869-3CD9-4B84-B315-2C25177CE30A}"/>
    <cellStyle name="Normal 8 2 2 2 2 2 3 2 3" xfId="12033" xr:uid="{C6A3AD53-1842-4CA6-BE77-AA6346D44B3E}"/>
    <cellStyle name="Normal 8 2 2 2 2 2 3 3" xfId="5677" xr:uid="{00000000-0005-0000-0000-0000FE1B0000}"/>
    <cellStyle name="Normal 8 2 2 2 2 2 3 3 2" xfId="14106" xr:uid="{B67CFC2F-774A-4531-91BD-4535FF0869BE}"/>
    <cellStyle name="Normal 8 2 2 2 2 2 3 4" xfId="9888" xr:uid="{4D5F6B45-1ECC-44C0-A2A6-2D2010121582}"/>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2 2 2" xfId="16664" xr:uid="{28B14FF1-EAAF-4873-A14B-B218DEE19960}"/>
    <cellStyle name="Normal 8 2 2 2 2 2 4 2 3" xfId="12446" xr:uid="{9BBC3A68-8B2E-4148-A883-3CA5D95309CC}"/>
    <cellStyle name="Normal 8 2 2 2 2 2 4 3" xfId="6090" xr:uid="{00000000-0005-0000-0000-0000021C0000}"/>
    <cellStyle name="Normal 8 2 2 2 2 2 4 3 2" xfId="14519" xr:uid="{932B1A38-EC5F-411B-8760-9A1C7BECB20A}"/>
    <cellStyle name="Normal 8 2 2 2 2 2 4 4" xfId="10301" xr:uid="{D4D07381-E9AE-496A-B1E7-B3715A38F7F7}"/>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2 2 2" xfId="17077" xr:uid="{ACD9A517-EF93-45A8-BBB2-1871A2EA1C73}"/>
    <cellStyle name="Normal 8 2 2 2 2 2 5 2 3" xfId="12859" xr:uid="{E27FAE51-4947-4C40-95A3-539783213303}"/>
    <cellStyle name="Normal 8 2 2 2 2 2 5 3" xfId="6503" xr:uid="{00000000-0005-0000-0000-0000061C0000}"/>
    <cellStyle name="Normal 8 2 2 2 2 2 5 3 2" xfId="14932" xr:uid="{D37DDD07-2B1C-4382-A8DF-5003D9147F43}"/>
    <cellStyle name="Normal 8 2 2 2 2 2 5 4" xfId="10714" xr:uid="{97307003-CDF2-44D8-8DB9-0F276ACBCC21}"/>
    <cellStyle name="Normal 8 2 2 2 2 2 6" xfId="2631" xr:uid="{00000000-0005-0000-0000-0000071C0000}"/>
    <cellStyle name="Normal 8 2 2 2 2 2 6 2" xfId="6916" xr:uid="{00000000-0005-0000-0000-0000081C0000}"/>
    <cellStyle name="Normal 8 2 2 2 2 2 6 2 2" xfId="15345" xr:uid="{26D71589-E89A-4A2C-8899-5F66C20CF8FB}"/>
    <cellStyle name="Normal 8 2 2 2 2 2 6 3" xfId="11127" xr:uid="{84F16605-8250-4515-9057-EC13EFB646F4}"/>
    <cellStyle name="Normal 8 2 2 2 2 2 7" xfId="4851" xr:uid="{00000000-0005-0000-0000-0000091C0000}"/>
    <cellStyle name="Normal 8 2 2 2 2 2 7 2" xfId="13280" xr:uid="{3F5AFB20-E351-4C14-859C-736D019717A5}"/>
    <cellStyle name="Normal 8 2 2 2 2 2 8" xfId="9062" xr:uid="{773523B0-1BE8-42DB-96FF-06E6EEB9CBE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2 2 2" xfId="15837" xr:uid="{A6F4EBDE-5C3C-4AD7-A1F5-B15585C48C28}"/>
    <cellStyle name="Normal 8 2 2 2 2 3 2 3" xfId="11619" xr:uid="{CAD1B7FA-BB2C-4FE9-A51D-39C898F277D5}"/>
    <cellStyle name="Normal 8 2 2 2 2 3 3" xfId="5263" xr:uid="{00000000-0005-0000-0000-00000D1C0000}"/>
    <cellStyle name="Normal 8 2 2 2 2 3 3 2" xfId="13692" xr:uid="{07F58A53-90B5-4439-8E7A-0CF578AA4D76}"/>
    <cellStyle name="Normal 8 2 2 2 2 3 4" xfId="9474" xr:uid="{8D572B94-E6DC-4A8B-8B0C-66FD8C5BA7BB}"/>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2 2 2" xfId="16250" xr:uid="{E9986557-B680-43C6-8682-21BADBEE4E47}"/>
    <cellStyle name="Normal 8 2 2 2 2 4 2 3" xfId="12032" xr:uid="{579434EB-4468-4F2E-A3C4-0EF0F980FE94}"/>
    <cellStyle name="Normal 8 2 2 2 2 4 3" xfId="5676" xr:uid="{00000000-0005-0000-0000-0000111C0000}"/>
    <cellStyle name="Normal 8 2 2 2 2 4 3 2" xfId="14105" xr:uid="{55F1AA27-62BA-485E-9EF9-B6BB4792CC4F}"/>
    <cellStyle name="Normal 8 2 2 2 2 4 4" xfId="9887" xr:uid="{905E1C9C-AC92-4B28-A67C-EA899A06AE07}"/>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2 2 2" xfId="16663" xr:uid="{9696A273-E133-4717-9493-52132F8A76BA}"/>
    <cellStyle name="Normal 8 2 2 2 2 5 2 3" xfId="12445" xr:uid="{C90D1DEB-8AB8-44FC-84BC-74C67874B098}"/>
    <cellStyle name="Normal 8 2 2 2 2 5 3" xfId="6089" xr:uid="{00000000-0005-0000-0000-0000151C0000}"/>
    <cellStyle name="Normal 8 2 2 2 2 5 3 2" xfId="14518" xr:uid="{C0E1DD02-01DF-4247-8073-6C2CA8923B43}"/>
    <cellStyle name="Normal 8 2 2 2 2 5 4" xfId="10300" xr:uid="{1F309D82-7E59-4DEB-AE08-F4A2699D12DA}"/>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2 2 2" xfId="17076" xr:uid="{27622A51-A4DC-4FC8-A6E3-79F6BFAFC45F}"/>
    <cellStyle name="Normal 8 2 2 2 2 6 2 3" xfId="12858" xr:uid="{E5E80447-C13E-4937-A0FA-7576E17ED957}"/>
    <cellStyle name="Normal 8 2 2 2 2 6 3" xfId="6502" xr:uid="{00000000-0005-0000-0000-0000191C0000}"/>
    <cellStyle name="Normal 8 2 2 2 2 6 3 2" xfId="14931" xr:uid="{990296B3-BF4F-4C47-920D-1BE05EEAB858}"/>
    <cellStyle name="Normal 8 2 2 2 2 6 4" xfId="10713" xr:uid="{F2767835-E8CB-4CDE-9447-3698F3F1242D}"/>
    <cellStyle name="Normal 8 2 2 2 2 7" xfId="2630" xr:uid="{00000000-0005-0000-0000-00001A1C0000}"/>
    <cellStyle name="Normal 8 2 2 2 2 7 2" xfId="6915" xr:uid="{00000000-0005-0000-0000-00001B1C0000}"/>
    <cellStyle name="Normal 8 2 2 2 2 7 2 2" xfId="15344" xr:uid="{47FDED6A-08B9-4CCB-8A6E-366D1F55BED6}"/>
    <cellStyle name="Normal 8 2 2 2 2 7 3" xfId="11126" xr:uid="{3B9E8D22-C936-4940-B2D9-103679E45714}"/>
    <cellStyle name="Normal 8 2 2 2 2 8" xfId="4850" xr:uid="{00000000-0005-0000-0000-00001C1C0000}"/>
    <cellStyle name="Normal 8 2 2 2 2 8 2" xfId="13279" xr:uid="{9EDB3646-77F6-4C52-B6D3-8FC2CFDCA294}"/>
    <cellStyle name="Normal 8 2 2 2 2 9" xfId="9061" xr:uid="{97C94DC9-B42E-4778-8533-53DC7C12B691}"/>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2 2 2" xfId="15839" xr:uid="{C1F116B0-88FB-48CE-AE68-8B19E24FDD3F}"/>
    <cellStyle name="Normal 8 2 2 2 3 2 2 3" xfId="11621" xr:uid="{F7543B83-8991-46BF-922D-FCAEF2BCB9C5}"/>
    <cellStyle name="Normal 8 2 2 2 3 2 3" xfId="5265" xr:uid="{00000000-0005-0000-0000-0000211C0000}"/>
    <cellStyle name="Normal 8 2 2 2 3 2 3 2" xfId="13694" xr:uid="{7757A5B5-BFFF-4BC1-BAF2-9024069F1F02}"/>
    <cellStyle name="Normal 8 2 2 2 3 2 4" xfId="9476" xr:uid="{72AF00C0-BA49-427E-B84E-847F1C9472CC}"/>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2 2 2" xfId="16252" xr:uid="{95CD1EFB-0838-4349-A113-186345B6DF1C}"/>
    <cellStyle name="Normal 8 2 2 2 3 3 2 3" xfId="12034" xr:uid="{9C206AF7-4A38-4DCA-937D-05E9DE588270}"/>
    <cellStyle name="Normal 8 2 2 2 3 3 3" xfId="5678" xr:uid="{00000000-0005-0000-0000-0000251C0000}"/>
    <cellStyle name="Normal 8 2 2 2 3 3 3 2" xfId="14107" xr:uid="{4CE6EC18-9528-42EA-A8E4-0C93DF008226}"/>
    <cellStyle name="Normal 8 2 2 2 3 3 4" xfId="9889" xr:uid="{83BAA92B-7826-42F9-B6F3-AFE2A3FEE2DD}"/>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2 2 2" xfId="16665" xr:uid="{E727F20E-9E56-4448-9E52-088BEE6ACEDB}"/>
    <cellStyle name="Normal 8 2 2 2 3 4 2 3" xfId="12447" xr:uid="{DD32AD7A-FC36-400C-B07C-D7F8F232F9D0}"/>
    <cellStyle name="Normal 8 2 2 2 3 4 3" xfId="6091" xr:uid="{00000000-0005-0000-0000-0000291C0000}"/>
    <cellStyle name="Normal 8 2 2 2 3 4 3 2" xfId="14520" xr:uid="{AB9ADA5A-F54A-42D2-8028-8FBAE9CFFDBA}"/>
    <cellStyle name="Normal 8 2 2 2 3 4 4" xfId="10302" xr:uid="{6F6DEF6E-3965-4516-9089-FCCE2D2AA60C}"/>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2 2 2" xfId="17078" xr:uid="{84012676-67B6-4F5B-AE64-CE31EFA97049}"/>
    <cellStyle name="Normal 8 2 2 2 3 5 2 3" xfId="12860" xr:uid="{7B363655-B072-4D04-9F06-9C930351CCC3}"/>
    <cellStyle name="Normal 8 2 2 2 3 5 3" xfId="6504" xr:uid="{00000000-0005-0000-0000-00002D1C0000}"/>
    <cellStyle name="Normal 8 2 2 2 3 5 3 2" xfId="14933" xr:uid="{1DB93ADF-45C9-4E48-9555-38C26356B65F}"/>
    <cellStyle name="Normal 8 2 2 2 3 5 4" xfId="10715" xr:uid="{DA3BE9AE-B290-4B11-9AB9-951F472CE8A0}"/>
    <cellStyle name="Normal 8 2 2 2 3 6" xfId="2632" xr:uid="{00000000-0005-0000-0000-00002E1C0000}"/>
    <cellStyle name="Normal 8 2 2 2 3 6 2" xfId="6917" xr:uid="{00000000-0005-0000-0000-00002F1C0000}"/>
    <cellStyle name="Normal 8 2 2 2 3 6 2 2" xfId="15346" xr:uid="{FBB6E36F-9E48-491B-B662-83610A233B63}"/>
    <cellStyle name="Normal 8 2 2 2 3 6 3" xfId="11128" xr:uid="{DF0630AF-2962-4FF9-9F0B-4BA04D8C17AD}"/>
    <cellStyle name="Normal 8 2 2 2 3 7" xfId="4852" xr:uid="{00000000-0005-0000-0000-0000301C0000}"/>
    <cellStyle name="Normal 8 2 2 2 3 7 2" xfId="13281" xr:uid="{49C1BED1-596B-4204-BFD1-23BEC88A6639}"/>
    <cellStyle name="Normal 8 2 2 2 3 8" xfId="9063" xr:uid="{25D3398F-7009-4CF5-BA81-40807E510F43}"/>
    <cellStyle name="Normal 8 2 2 2 4" xfId="949" xr:uid="{00000000-0005-0000-0000-0000311C0000}"/>
    <cellStyle name="Normal 8 2 2 2 4 2" xfId="3183" xr:uid="{00000000-0005-0000-0000-0000321C0000}"/>
    <cellStyle name="Normal 8 2 2 2 4 2 2" xfId="7407" xr:uid="{00000000-0005-0000-0000-0000331C0000}"/>
    <cellStyle name="Normal 8 2 2 2 4 2 2 2" xfId="15836" xr:uid="{1DBA6814-29B6-4731-B4BE-C737B00DBEFB}"/>
    <cellStyle name="Normal 8 2 2 2 4 2 3" xfId="11618" xr:uid="{261FC941-09B2-4F9B-B4D3-E1328483BFA0}"/>
    <cellStyle name="Normal 8 2 2 2 4 3" xfId="5262" xr:uid="{00000000-0005-0000-0000-0000341C0000}"/>
    <cellStyle name="Normal 8 2 2 2 4 3 2" xfId="13691" xr:uid="{A90BF165-3900-4A4C-B5C5-0C1CA94AEC5D}"/>
    <cellStyle name="Normal 8 2 2 2 4 4" xfId="9473" xr:uid="{45576FB9-B6C3-4B6A-AB9D-E1B3C233D7FF}"/>
    <cellStyle name="Normal 8 2 2 2 5" xfId="1366" xr:uid="{00000000-0005-0000-0000-0000351C0000}"/>
    <cellStyle name="Normal 8 2 2 2 5 2" xfId="3596" xr:uid="{00000000-0005-0000-0000-0000361C0000}"/>
    <cellStyle name="Normal 8 2 2 2 5 2 2" xfId="7820" xr:uid="{00000000-0005-0000-0000-0000371C0000}"/>
    <cellStyle name="Normal 8 2 2 2 5 2 2 2" xfId="16249" xr:uid="{0D82303C-9D31-4A68-9476-7AEB944582BC}"/>
    <cellStyle name="Normal 8 2 2 2 5 2 3" xfId="12031" xr:uid="{1E64BBA2-4E44-4B18-97B6-C8DFD88C885E}"/>
    <cellStyle name="Normal 8 2 2 2 5 3" xfId="5675" xr:uid="{00000000-0005-0000-0000-0000381C0000}"/>
    <cellStyle name="Normal 8 2 2 2 5 3 2" xfId="14104" xr:uid="{D5AEE444-A9E6-40BF-AB0F-AFB39AC41B8B}"/>
    <cellStyle name="Normal 8 2 2 2 5 4" xfId="9886" xr:uid="{B11E3C75-A430-4E1A-9A7E-2D18C14347D6}"/>
    <cellStyle name="Normal 8 2 2 2 6" xfId="1779" xr:uid="{00000000-0005-0000-0000-0000391C0000}"/>
    <cellStyle name="Normal 8 2 2 2 6 2" xfId="4009" xr:uid="{00000000-0005-0000-0000-00003A1C0000}"/>
    <cellStyle name="Normal 8 2 2 2 6 2 2" xfId="8233" xr:uid="{00000000-0005-0000-0000-00003B1C0000}"/>
    <cellStyle name="Normal 8 2 2 2 6 2 2 2" xfId="16662" xr:uid="{FBFE85E3-24A9-41A1-82FC-B8BD4732E2D0}"/>
    <cellStyle name="Normal 8 2 2 2 6 2 3" xfId="12444" xr:uid="{90361F7D-75D9-4EBA-B549-2B6C3FD90E09}"/>
    <cellStyle name="Normal 8 2 2 2 6 3" xfId="6088" xr:uid="{00000000-0005-0000-0000-00003C1C0000}"/>
    <cellStyle name="Normal 8 2 2 2 6 3 2" xfId="14517" xr:uid="{78AAB0B7-071B-4FA6-BB21-A8CB1FEB7051}"/>
    <cellStyle name="Normal 8 2 2 2 6 4" xfId="10299" xr:uid="{BCC5694E-8A7E-4ACD-9538-90DB96570A4F}"/>
    <cellStyle name="Normal 8 2 2 2 7" xfId="2193" xr:uid="{00000000-0005-0000-0000-00003D1C0000}"/>
    <cellStyle name="Normal 8 2 2 2 7 2" xfId="4422" xr:uid="{00000000-0005-0000-0000-00003E1C0000}"/>
    <cellStyle name="Normal 8 2 2 2 7 2 2" xfId="8646" xr:uid="{00000000-0005-0000-0000-00003F1C0000}"/>
    <cellStyle name="Normal 8 2 2 2 7 2 2 2" xfId="17075" xr:uid="{DBE8E618-7E55-4BC1-91F0-C60E2336F792}"/>
    <cellStyle name="Normal 8 2 2 2 7 2 3" xfId="12857" xr:uid="{AA50E7DB-7321-4C39-A8D5-D33FA8F980E9}"/>
    <cellStyle name="Normal 8 2 2 2 7 3" xfId="6501" xr:uid="{00000000-0005-0000-0000-0000401C0000}"/>
    <cellStyle name="Normal 8 2 2 2 7 3 2" xfId="14930" xr:uid="{64644C35-A5E4-4EBE-8F40-07FEB970DF3A}"/>
    <cellStyle name="Normal 8 2 2 2 7 4" xfId="10712" xr:uid="{04249E9E-19D7-4916-A0B0-1CDBDE99386F}"/>
    <cellStyle name="Normal 8 2 2 2 8" xfId="2629" xr:uid="{00000000-0005-0000-0000-0000411C0000}"/>
    <cellStyle name="Normal 8 2 2 2 8 2" xfId="6914" xr:uid="{00000000-0005-0000-0000-0000421C0000}"/>
    <cellStyle name="Normal 8 2 2 2 8 2 2" xfId="15343" xr:uid="{960DCBA5-1859-4299-89A2-30300DBF0384}"/>
    <cellStyle name="Normal 8 2 2 2 8 3" xfId="11125" xr:uid="{1EDBA83A-4B15-4AD0-B1B5-444000960C1A}"/>
    <cellStyle name="Normal 8 2 2 2 9" xfId="4849" xr:uid="{00000000-0005-0000-0000-0000431C0000}"/>
    <cellStyle name="Normal 8 2 2 2 9 2" xfId="13278" xr:uid="{7D24D392-CB8D-4B97-8304-C211D4957127}"/>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2 2 2" xfId="15841" xr:uid="{EA2D6E7F-A810-4A97-91AB-E893E9618350}"/>
    <cellStyle name="Normal 8 2 2 3 2 2 2 3" xfId="11623" xr:uid="{796F4B3A-B667-40AE-B429-23E629C8893D}"/>
    <cellStyle name="Normal 8 2 2 3 2 2 3" xfId="5267" xr:uid="{00000000-0005-0000-0000-0000491C0000}"/>
    <cellStyle name="Normal 8 2 2 3 2 2 3 2" xfId="13696" xr:uid="{E5E5795F-7D8B-41D2-BBC4-0060388F6524}"/>
    <cellStyle name="Normal 8 2 2 3 2 2 4" xfId="9478" xr:uid="{777977E7-E526-4D9A-BD64-8CF1FC01CDAA}"/>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2 2 2" xfId="16254" xr:uid="{AD733C64-6DCF-4ABF-BDDA-18AD5F48E218}"/>
    <cellStyle name="Normal 8 2 2 3 2 3 2 3" xfId="12036" xr:uid="{80D321C5-FD41-4F21-B586-2CE3819288DE}"/>
    <cellStyle name="Normal 8 2 2 3 2 3 3" xfId="5680" xr:uid="{00000000-0005-0000-0000-00004D1C0000}"/>
    <cellStyle name="Normal 8 2 2 3 2 3 3 2" xfId="14109" xr:uid="{0D61459A-5977-4C19-8F97-FC282851991C}"/>
    <cellStyle name="Normal 8 2 2 3 2 3 4" xfId="9891" xr:uid="{B8FD6379-7779-4DC3-B904-C2758731EA6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2 2 2" xfId="16667" xr:uid="{30520A54-DBA4-4149-8B57-5ABA987295FC}"/>
    <cellStyle name="Normal 8 2 2 3 2 4 2 3" xfId="12449" xr:uid="{CAC2DE61-71BD-481E-8246-C9FAAC8FEB23}"/>
    <cellStyle name="Normal 8 2 2 3 2 4 3" xfId="6093" xr:uid="{00000000-0005-0000-0000-0000511C0000}"/>
    <cellStyle name="Normal 8 2 2 3 2 4 3 2" xfId="14522" xr:uid="{FCBAA54E-7607-4362-8972-65E58420EFBB}"/>
    <cellStyle name="Normal 8 2 2 3 2 4 4" xfId="10304" xr:uid="{857C8C77-2D1B-4362-A521-0D13E31C2CE1}"/>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2 2 2" xfId="17080" xr:uid="{60AB4B5D-C5F4-467B-88D8-28AC3AC31F8B}"/>
    <cellStyle name="Normal 8 2 2 3 2 5 2 3" xfId="12862" xr:uid="{D1165FB1-F046-4418-9EFD-9C03429FFDFD}"/>
    <cellStyle name="Normal 8 2 2 3 2 5 3" xfId="6506" xr:uid="{00000000-0005-0000-0000-0000551C0000}"/>
    <cellStyle name="Normal 8 2 2 3 2 5 3 2" xfId="14935" xr:uid="{6B7B15A8-179A-4E8A-9878-796A4A681529}"/>
    <cellStyle name="Normal 8 2 2 3 2 5 4" xfId="10717" xr:uid="{56ED059F-D649-4D27-B37C-281E5DE4DE84}"/>
    <cellStyle name="Normal 8 2 2 3 2 6" xfId="2634" xr:uid="{00000000-0005-0000-0000-0000561C0000}"/>
    <cellStyle name="Normal 8 2 2 3 2 6 2" xfId="6919" xr:uid="{00000000-0005-0000-0000-0000571C0000}"/>
    <cellStyle name="Normal 8 2 2 3 2 6 2 2" xfId="15348" xr:uid="{3C0CBF5A-DEBA-47E2-8002-3DF8EFD4BE58}"/>
    <cellStyle name="Normal 8 2 2 3 2 6 3" xfId="11130" xr:uid="{9CC2FA20-67E9-4F09-BA04-D952CC09908C}"/>
    <cellStyle name="Normal 8 2 2 3 2 7" xfId="4854" xr:uid="{00000000-0005-0000-0000-0000581C0000}"/>
    <cellStyle name="Normal 8 2 2 3 2 7 2" xfId="13283" xr:uid="{97360A66-6D13-47D8-8D6F-6606A5726BD5}"/>
    <cellStyle name="Normal 8 2 2 3 2 8" xfId="9065" xr:uid="{8502EA10-ED76-4835-B625-7007935D2B47}"/>
    <cellStyle name="Normal 8 2 2 3 3" xfId="953" xr:uid="{00000000-0005-0000-0000-0000591C0000}"/>
    <cellStyle name="Normal 8 2 2 3 3 2" xfId="3187" xr:uid="{00000000-0005-0000-0000-00005A1C0000}"/>
    <cellStyle name="Normal 8 2 2 3 3 2 2" xfId="7411" xr:uid="{00000000-0005-0000-0000-00005B1C0000}"/>
    <cellStyle name="Normal 8 2 2 3 3 2 2 2" xfId="15840" xr:uid="{0E43D4B0-D674-4AB0-AC94-27C9F09EA567}"/>
    <cellStyle name="Normal 8 2 2 3 3 2 3" xfId="11622" xr:uid="{8FF4565E-A9E6-48C3-8451-CC0F3AACD14F}"/>
    <cellStyle name="Normal 8 2 2 3 3 3" xfId="5266" xr:uid="{00000000-0005-0000-0000-00005C1C0000}"/>
    <cellStyle name="Normal 8 2 2 3 3 3 2" xfId="13695" xr:uid="{FBBB86CF-573C-4E05-9E44-41C20DFE69E5}"/>
    <cellStyle name="Normal 8 2 2 3 3 4" xfId="9477" xr:uid="{3AE77C2B-46BD-4430-B4A0-4713E9BB3819}"/>
    <cellStyle name="Normal 8 2 2 3 4" xfId="1370" xr:uid="{00000000-0005-0000-0000-00005D1C0000}"/>
    <cellStyle name="Normal 8 2 2 3 4 2" xfId="3600" xr:uid="{00000000-0005-0000-0000-00005E1C0000}"/>
    <cellStyle name="Normal 8 2 2 3 4 2 2" xfId="7824" xr:uid="{00000000-0005-0000-0000-00005F1C0000}"/>
    <cellStyle name="Normal 8 2 2 3 4 2 2 2" xfId="16253" xr:uid="{F903C698-0321-4F89-BADF-C441B43E2775}"/>
    <cellStyle name="Normal 8 2 2 3 4 2 3" xfId="12035" xr:uid="{18F9730A-6F30-4842-AA83-AD34BE186731}"/>
    <cellStyle name="Normal 8 2 2 3 4 3" xfId="5679" xr:uid="{00000000-0005-0000-0000-0000601C0000}"/>
    <cellStyle name="Normal 8 2 2 3 4 3 2" xfId="14108" xr:uid="{253916EA-97D6-4184-96E8-7D8BD60826A2}"/>
    <cellStyle name="Normal 8 2 2 3 4 4" xfId="9890" xr:uid="{C51383E8-040B-43B1-B9F9-0CD66715B4FA}"/>
    <cellStyle name="Normal 8 2 2 3 5" xfId="1783" xr:uid="{00000000-0005-0000-0000-0000611C0000}"/>
    <cellStyle name="Normal 8 2 2 3 5 2" xfId="4013" xr:uid="{00000000-0005-0000-0000-0000621C0000}"/>
    <cellStyle name="Normal 8 2 2 3 5 2 2" xfId="8237" xr:uid="{00000000-0005-0000-0000-0000631C0000}"/>
    <cellStyle name="Normal 8 2 2 3 5 2 2 2" xfId="16666" xr:uid="{D954AFBD-06A7-4465-BA85-B711DF02FDBC}"/>
    <cellStyle name="Normal 8 2 2 3 5 2 3" xfId="12448" xr:uid="{8A09F5BD-65CD-4BE8-BE4B-A4BCBEC290F1}"/>
    <cellStyle name="Normal 8 2 2 3 5 3" xfId="6092" xr:uid="{00000000-0005-0000-0000-0000641C0000}"/>
    <cellStyle name="Normal 8 2 2 3 5 3 2" xfId="14521" xr:uid="{9FB2F9DB-8B29-46E4-ABCD-38465D35D077}"/>
    <cellStyle name="Normal 8 2 2 3 5 4" xfId="10303" xr:uid="{0131601B-CB0A-4E74-AC7F-59C7606DA8B1}"/>
    <cellStyle name="Normal 8 2 2 3 6" xfId="2197" xr:uid="{00000000-0005-0000-0000-0000651C0000}"/>
    <cellStyle name="Normal 8 2 2 3 6 2" xfId="4426" xr:uid="{00000000-0005-0000-0000-0000661C0000}"/>
    <cellStyle name="Normal 8 2 2 3 6 2 2" xfId="8650" xr:uid="{00000000-0005-0000-0000-0000671C0000}"/>
    <cellStyle name="Normal 8 2 2 3 6 2 2 2" xfId="17079" xr:uid="{45104F1C-1534-4BCC-9BA1-FB3E4079B325}"/>
    <cellStyle name="Normal 8 2 2 3 6 2 3" xfId="12861" xr:uid="{08E0CA5E-219E-4CB4-8881-463B04A07A1D}"/>
    <cellStyle name="Normal 8 2 2 3 6 3" xfId="6505" xr:uid="{00000000-0005-0000-0000-0000681C0000}"/>
    <cellStyle name="Normal 8 2 2 3 6 3 2" xfId="14934" xr:uid="{4D34D51C-DBAE-49C2-881F-90D18527ED44}"/>
    <cellStyle name="Normal 8 2 2 3 6 4" xfId="10716" xr:uid="{58CDC93D-F21D-428B-A469-A87C4ECE994F}"/>
    <cellStyle name="Normal 8 2 2 3 7" xfId="2633" xr:uid="{00000000-0005-0000-0000-0000691C0000}"/>
    <cellStyle name="Normal 8 2 2 3 7 2" xfId="6918" xr:uid="{00000000-0005-0000-0000-00006A1C0000}"/>
    <cellStyle name="Normal 8 2 2 3 7 2 2" xfId="15347" xr:uid="{AC389571-0F51-483D-80FC-5739E6B27ECC}"/>
    <cellStyle name="Normal 8 2 2 3 7 3" xfId="11129" xr:uid="{33E6308D-6372-4493-A36A-8ED63F28F12A}"/>
    <cellStyle name="Normal 8 2 2 3 8" xfId="4853" xr:uid="{00000000-0005-0000-0000-00006B1C0000}"/>
    <cellStyle name="Normal 8 2 2 3 8 2" xfId="13282" xr:uid="{2DB3959D-0B5D-4044-BED1-C4C768422D6E}"/>
    <cellStyle name="Normal 8 2 2 3 9" xfId="9064" xr:uid="{CBB1C635-21F4-47B7-A931-699557B3D6D6}"/>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2 2 2" xfId="15842" xr:uid="{B9A7B3ED-A95E-4DEF-B7CB-0138DF482F42}"/>
    <cellStyle name="Normal 8 2 2 4 2 2 3" xfId="11624" xr:uid="{7A91DA3F-53A1-477D-BCDA-B8E69AC834CB}"/>
    <cellStyle name="Normal 8 2 2 4 2 3" xfId="5268" xr:uid="{00000000-0005-0000-0000-0000701C0000}"/>
    <cellStyle name="Normal 8 2 2 4 2 3 2" xfId="13697" xr:uid="{1F33C90B-E515-44E1-9F8F-7ACD931E9F7A}"/>
    <cellStyle name="Normal 8 2 2 4 2 4" xfId="9479" xr:uid="{00DF2C2B-454B-4725-A3EF-071DD7BF09A2}"/>
    <cellStyle name="Normal 8 2 2 4 3" xfId="1372" xr:uid="{00000000-0005-0000-0000-0000711C0000}"/>
    <cellStyle name="Normal 8 2 2 4 3 2" xfId="3602" xr:uid="{00000000-0005-0000-0000-0000721C0000}"/>
    <cellStyle name="Normal 8 2 2 4 3 2 2" xfId="7826" xr:uid="{00000000-0005-0000-0000-0000731C0000}"/>
    <cellStyle name="Normal 8 2 2 4 3 2 2 2" xfId="16255" xr:uid="{976E480E-CC13-4E6C-98E5-D93FAEECFFC5}"/>
    <cellStyle name="Normal 8 2 2 4 3 2 3" xfId="12037" xr:uid="{5378099E-EAD3-4A4B-B6B7-82BACB214920}"/>
    <cellStyle name="Normal 8 2 2 4 3 3" xfId="5681" xr:uid="{00000000-0005-0000-0000-0000741C0000}"/>
    <cellStyle name="Normal 8 2 2 4 3 3 2" xfId="14110" xr:uid="{57E0F615-1ABC-411F-9891-834C0C6E2063}"/>
    <cellStyle name="Normal 8 2 2 4 3 4" xfId="9892" xr:uid="{48C399BD-01CE-4A37-B3F1-699BDFE34F68}"/>
    <cellStyle name="Normal 8 2 2 4 4" xfId="1785" xr:uid="{00000000-0005-0000-0000-0000751C0000}"/>
    <cellStyle name="Normal 8 2 2 4 4 2" xfId="4015" xr:uid="{00000000-0005-0000-0000-0000761C0000}"/>
    <cellStyle name="Normal 8 2 2 4 4 2 2" xfId="8239" xr:uid="{00000000-0005-0000-0000-0000771C0000}"/>
    <cellStyle name="Normal 8 2 2 4 4 2 2 2" xfId="16668" xr:uid="{5B3841A2-9020-4376-A98B-6CEC7E7E4732}"/>
    <cellStyle name="Normal 8 2 2 4 4 2 3" xfId="12450" xr:uid="{C3596C32-8332-4514-8053-1933E3298FB0}"/>
    <cellStyle name="Normal 8 2 2 4 4 3" xfId="6094" xr:uid="{00000000-0005-0000-0000-0000781C0000}"/>
    <cellStyle name="Normal 8 2 2 4 4 3 2" xfId="14523" xr:uid="{C8DC50F8-B7BA-4444-891F-23AD26E6F6AD}"/>
    <cellStyle name="Normal 8 2 2 4 4 4" xfId="10305" xr:uid="{C8283BD4-1064-4C0F-B09A-EB81EC8CC8CC}"/>
    <cellStyle name="Normal 8 2 2 4 5" xfId="2199" xr:uid="{00000000-0005-0000-0000-0000791C0000}"/>
    <cellStyle name="Normal 8 2 2 4 5 2" xfId="4428" xr:uid="{00000000-0005-0000-0000-00007A1C0000}"/>
    <cellStyle name="Normal 8 2 2 4 5 2 2" xfId="8652" xr:uid="{00000000-0005-0000-0000-00007B1C0000}"/>
    <cellStyle name="Normal 8 2 2 4 5 2 2 2" xfId="17081" xr:uid="{63928A26-1E0E-4C91-B35C-B6B4C3ABC672}"/>
    <cellStyle name="Normal 8 2 2 4 5 2 3" xfId="12863" xr:uid="{156BA3CD-09E9-4336-AEE8-BE0FBB31C4E1}"/>
    <cellStyle name="Normal 8 2 2 4 5 3" xfId="6507" xr:uid="{00000000-0005-0000-0000-00007C1C0000}"/>
    <cellStyle name="Normal 8 2 2 4 5 3 2" xfId="14936" xr:uid="{76FDDDBA-D46B-493C-90F2-1E3CBE847533}"/>
    <cellStyle name="Normal 8 2 2 4 5 4" xfId="10718" xr:uid="{ABE3963C-9C5D-4D60-9664-7DA7F16DBF8A}"/>
    <cellStyle name="Normal 8 2 2 4 6" xfId="2635" xr:uid="{00000000-0005-0000-0000-00007D1C0000}"/>
    <cellStyle name="Normal 8 2 2 4 6 2" xfId="6920" xr:uid="{00000000-0005-0000-0000-00007E1C0000}"/>
    <cellStyle name="Normal 8 2 2 4 6 2 2" xfId="15349" xr:uid="{EB2A2A5F-940D-420A-8853-F1D47111F2D3}"/>
    <cellStyle name="Normal 8 2 2 4 6 3" xfId="11131" xr:uid="{317643AA-9596-4C97-991C-17E9C45FCD50}"/>
    <cellStyle name="Normal 8 2 2 4 7" xfId="4855" xr:uid="{00000000-0005-0000-0000-00007F1C0000}"/>
    <cellStyle name="Normal 8 2 2 4 7 2" xfId="13284" xr:uid="{46FEA135-D729-47FE-96E4-324B001D5B17}"/>
    <cellStyle name="Normal 8 2 2 4 8" xfId="9066" xr:uid="{A97890D7-AB3E-408E-ABF6-78496E302C9C}"/>
    <cellStyle name="Normal 8 2 2 5" xfId="948" xr:uid="{00000000-0005-0000-0000-0000801C0000}"/>
    <cellStyle name="Normal 8 2 2 5 2" xfId="3182" xr:uid="{00000000-0005-0000-0000-0000811C0000}"/>
    <cellStyle name="Normal 8 2 2 5 2 2" xfId="7406" xr:uid="{00000000-0005-0000-0000-0000821C0000}"/>
    <cellStyle name="Normal 8 2 2 5 2 2 2" xfId="15835" xr:uid="{9D16E05A-E964-4EB2-A810-E606FE0F72D6}"/>
    <cellStyle name="Normal 8 2 2 5 2 3" xfId="11617" xr:uid="{251F784A-AD72-455B-B376-3C18DBDC054A}"/>
    <cellStyle name="Normal 8 2 2 5 3" xfId="5261" xr:uid="{00000000-0005-0000-0000-0000831C0000}"/>
    <cellStyle name="Normal 8 2 2 5 3 2" xfId="13690" xr:uid="{729ED561-DC29-4C8B-A835-B2AB4A5CDD5C}"/>
    <cellStyle name="Normal 8 2 2 5 4" xfId="9472" xr:uid="{F7C0235B-9AC1-487B-9BE7-91C764590619}"/>
    <cellStyle name="Normal 8 2 2 6" xfId="1365" xr:uid="{00000000-0005-0000-0000-0000841C0000}"/>
    <cellStyle name="Normal 8 2 2 6 2" xfId="3595" xr:uid="{00000000-0005-0000-0000-0000851C0000}"/>
    <cellStyle name="Normal 8 2 2 6 2 2" xfId="7819" xr:uid="{00000000-0005-0000-0000-0000861C0000}"/>
    <cellStyle name="Normal 8 2 2 6 2 2 2" xfId="16248" xr:uid="{DD520EDC-62B5-4B59-8BC1-024B66F3DF18}"/>
    <cellStyle name="Normal 8 2 2 6 2 3" xfId="12030" xr:uid="{F085BC77-EF5B-408F-8DE0-5C24D1640CEB}"/>
    <cellStyle name="Normal 8 2 2 6 3" xfId="5674" xr:uid="{00000000-0005-0000-0000-0000871C0000}"/>
    <cellStyle name="Normal 8 2 2 6 3 2" xfId="14103" xr:uid="{3500E22C-745C-4716-8C03-338EE4A09C15}"/>
    <cellStyle name="Normal 8 2 2 6 4" xfId="9885" xr:uid="{3FAA5E2A-C798-4921-8134-8E2ED0D5457A}"/>
    <cellStyle name="Normal 8 2 2 7" xfId="1778" xr:uid="{00000000-0005-0000-0000-0000881C0000}"/>
    <cellStyle name="Normal 8 2 2 7 2" xfId="4008" xr:uid="{00000000-0005-0000-0000-0000891C0000}"/>
    <cellStyle name="Normal 8 2 2 7 2 2" xfId="8232" xr:uid="{00000000-0005-0000-0000-00008A1C0000}"/>
    <cellStyle name="Normal 8 2 2 7 2 2 2" xfId="16661" xr:uid="{F8C43CFC-DCA1-4285-A962-C89931BF777A}"/>
    <cellStyle name="Normal 8 2 2 7 2 3" xfId="12443" xr:uid="{61F35495-A631-4065-9D3C-9185A8DA7FD1}"/>
    <cellStyle name="Normal 8 2 2 7 3" xfId="6087" xr:uid="{00000000-0005-0000-0000-00008B1C0000}"/>
    <cellStyle name="Normal 8 2 2 7 3 2" xfId="14516" xr:uid="{49B9249B-0ABB-4D2E-8808-66D2A700F8C9}"/>
    <cellStyle name="Normal 8 2 2 7 4" xfId="10298" xr:uid="{EEA6F1F4-E28D-437E-ACF2-4CD2B24CD981}"/>
    <cellStyle name="Normal 8 2 2 8" xfId="2192" xr:uid="{00000000-0005-0000-0000-00008C1C0000}"/>
    <cellStyle name="Normal 8 2 2 8 2" xfId="4421" xr:uid="{00000000-0005-0000-0000-00008D1C0000}"/>
    <cellStyle name="Normal 8 2 2 8 2 2" xfId="8645" xr:uid="{00000000-0005-0000-0000-00008E1C0000}"/>
    <cellStyle name="Normal 8 2 2 8 2 2 2" xfId="17074" xr:uid="{35322101-740D-4EB7-9CE0-6D2E34DF973D}"/>
    <cellStyle name="Normal 8 2 2 8 2 3" xfId="12856" xr:uid="{54691442-0239-4A12-8E1A-22485E57A24E}"/>
    <cellStyle name="Normal 8 2 2 8 3" xfId="6500" xr:uid="{00000000-0005-0000-0000-00008F1C0000}"/>
    <cellStyle name="Normal 8 2 2 8 3 2" xfId="14929" xr:uid="{4FCC1806-F782-4A9A-B3C5-693F72ADAA61}"/>
    <cellStyle name="Normal 8 2 2 8 4" xfId="10711" xr:uid="{112ECF19-C5A3-4588-B099-25FD22892A35}"/>
    <cellStyle name="Normal 8 2 2 9" xfId="2628" xr:uid="{00000000-0005-0000-0000-0000901C0000}"/>
    <cellStyle name="Normal 8 2 2 9 2" xfId="6913" xr:uid="{00000000-0005-0000-0000-0000911C0000}"/>
    <cellStyle name="Normal 8 2 2 9 2 2" xfId="15342" xr:uid="{6BB76C22-0A4B-4513-8A5F-D93B5E6702E4}"/>
    <cellStyle name="Normal 8 2 2 9 3" xfId="11124" xr:uid="{512C0A3B-A852-49C4-8E04-1C0EF7E201EE}"/>
    <cellStyle name="Normal 8 2 3" xfId="488" xr:uid="{00000000-0005-0000-0000-0000921C0000}"/>
    <cellStyle name="Normal 8 2 3 10" xfId="9067" xr:uid="{57B02352-3278-4091-9FA2-3181B418BE0E}"/>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2 2 2" xfId="15845" xr:uid="{410DDD3B-C5CC-4584-948E-536F0EA6F3B3}"/>
    <cellStyle name="Normal 8 2 3 2 2 2 2 3" xfId="11627" xr:uid="{8B6F71DA-2256-412E-9287-0FA3DE78B29F}"/>
    <cellStyle name="Normal 8 2 3 2 2 2 3" xfId="5271" xr:uid="{00000000-0005-0000-0000-0000981C0000}"/>
    <cellStyle name="Normal 8 2 3 2 2 2 3 2" xfId="13700" xr:uid="{9157FE79-2A41-4973-A8F3-6FA40C8E8A58}"/>
    <cellStyle name="Normal 8 2 3 2 2 2 4" xfId="9482" xr:uid="{EC84C154-59A9-4861-B5A1-CF3AD077882D}"/>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2 2 2" xfId="16258" xr:uid="{327D3737-986F-43B6-8140-C2B2BB5FA758}"/>
    <cellStyle name="Normal 8 2 3 2 2 3 2 3" xfId="12040" xr:uid="{D62658B6-0977-40D7-81BE-2CFC3DB0C3C6}"/>
    <cellStyle name="Normal 8 2 3 2 2 3 3" xfId="5684" xr:uid="{00000000-0005-0000-0000-00009C1C0000}"/>
    <cellStyle name="Normal 8 2 3 2 2 3 3 2" xfId="14113" xr:uid="{79EC0D88-D4B1-4CB2-8759-155D6A1796D5}"/>
    <cellStyle name="Normal 8 2 3 2 2 3 4" xfId="9895" xr:uid="{71795401-727E-43F0-9E6F-5A502FCA8B22}"/>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2 2 2" xfId="16671" xr:uid="{BA7E706E-B1FF-491D-A7E9-77B5C70F524C}"/>
    <cellStyle name="Normal 8 2 3 2 2 4 2 3" xfId="12453" xr:uid="{4BA5E702-65C1-4021-93A3-62454BAB40E8}"/>
    <cellStyle name="Normal 8 2 3 2 2 4 3" xfId="6097" xr:uid="{00000000-0005-0000-0000-0000A01C0000}"/>
    <cellStyle name="Normal 8 2 3 2 2 4 3 2" xfId="14526" xr:uid="{7A50968C-3B48-40C0-A7B8-92B9E3CA5279}"/>
    <cellStyle name="Normal 8 2 3 2 2 4 4" xfId="10308" xr:uid="{3EE932C9-D1C0-4789-A1C2-C3822215B3A8}"/>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2 2 2" xfId="17084" xr:uid="{6463A1B7-9EDB-4BE1-922F-005100617242}"/>
    <cellStyle name="Normal 8 2 3 2 2 5 2 3" xfId="12866" xr:uid="{DA8340B5-628D-4E8D-B22D-8F845C7DA93D}"/>
    <cellStyle name="Normal 8 2 3 2 2 5 3" xfId="6510" xr:uid="{00000000-0005-0000-0000-0000A41C0000}"/>
    <cellStyle name="Normal 8 2 3 2 2 5 3 2" xfId="14939" xr:uid="{7447B9C8-A356-4AA5-8D16-647DCD87453C}"/>
    <cellStyle name="Normal 8 2 3 2 2 5 4" xfId="10721" xr:uid="{1E61DD5E-DC3D-4811-953D-266BBA43FA99}"/>
    <cellStyle name="Normal 8 2 3 2 2 6" xfId="2638" xr:uid="{00000000-0005-0000-0000-0000A51C0000}"/>
    <cellStyle name="Normal 8 2 3 2 2 6 2" xfId="6923" xr:uid="{00000000-0005-0000-0000-0000A61C0000}"/>
    <cellStyle name="Normal 8 2 3 2 2 6 2 2" xfId="15352" xr:uid="{25EAA73E-BD5E-4A4E-9E65-45783A3C06B3}"/>
    <cellStyle name="Normal 8 2 3 2 2 6 3" xfId="11134" xr:uid="{07F130CC-2D4D-4830-9E00-0A501CA27DE2}"/>
    <cellStyle name="Normal 8 2 3 2 2 7" xfId="4858" xr:uid="{00000000-0005-0000-0000-0000A71C0000}"/>
    <cellStyle name="Normal 8 2 3 2 2 7 2" xfId="13287" xr:uid="{E5EE2388-2AD9-4D3D-8056-F6E66C1901F0}"/>
    <cellStyle name="Normal 8 2 3 2 2 8" xfId="9069" xr:uid="{5B01E1B4-D25A-4C54-8F3E-E7DBC3FCBDCB}"/>
    <cellStyle name="Normal 8 2 3 2 3" xfId="957" xr:uid="{00000000-0005-0000-0000-0000A81C0000}"/>
    <cellStyle name="Normal 8 2 3 2 3 2" xfId="3191" xr:uid="{00000000-0005-0000-0000-0000A91C0000}"/>
    <cellStyle name="Normal 8 2 3 2 3 2 2" xfId="7415" xr:uid="{00000000-0005-0000-0000-0000AA1C0000}"/>
    <cellStyle name="Normal 8 2 3 2 3 2 2 2" xfId="15844" xr:uid="{3C54984C-019A-48E7-8460-03A961BBC2B7}"/>
    <cellStyle name="Normal 8 2 3 2 3 2 3" xfId="11626" xr:uid="{97B1582D-7359-4831-B2C6-70BC401FCE40}"/>
    <cellStyle name="Normal 8 2 3 2 3 3" xfId="5270" xr:uid="{00000000-0005-0000-0000-0000AB1C0000}"/>
    <cellStyle name="Normal 8 2 3 2 3 3 2" xfId="13699" xr:uid="{077CE620-5CF9-4EC2-8F26-95CC6DA2EDB7}"/>
    <cellStyle name="Normal 8 2 3 2 3 4" xfId="9481" xr:uid="{DF34B4ED-3825-45C9-945C-BB3BD0562E39}"/>
    <cellStyle name="Normal 8 2 3 2 4" xfId="1374" xr:uid="{00000000-0005-0000-0000-0000AC1C0000}"/>
    <cellStyle name="Normal 8 2 3 2 4 2" xfId="3604" xr:uid="{00000000-0005-0000-0000-0000AD1C0000}"/>
    <cellStyle name="Normal 8 2 3 2 4 2 2" xfId="7828" xr:uid="{00000000-0005-0000-0000-0000AE1C0000}"/>
    <cellStyle name="Normal 8 2 3 2 4 2 2 2" xfId="16257" xr:uid="{DF44D8D4-89D2-408B-9E3B-821133476FAA}"/>
    <cellStyle name="Normal 8 2 3 2 4 2 3" xfId="12039" xr:uid="{BB9EF84E-75F1-47FE-BC70-C87EE528A6CF}"/>
    <cellStyle name="Normal 8 2 3 2 4 3" xfId="5683" xr:uid="{00000000-0005-0000-0000-0000AF1C0000}"/>
    <cellStyle name="Normal 8 2 3 2 4 3 2" xfId="14112" xr:uid="{B8BC92F8-A008-4D24-A610-FAE05B77135B}"/>
    <cellStyle name="Normal 8 2 3 2 4 4" xfId="9894" xr:uid="{2820A3B9-0FB9-4EDD-B9C0-B24F21D84002}"/>
    <cellStyle name="Normal 8 2 3 2 5" xfId="1787" xr:uid="{00000000-0005-0000-0000-0000B01C0000}"/>
    <cellStyle name="Normal 8 2 3 2 5 2" xfId="4017" xr:uid="{00000000-0005-0000-0000-0000B11C0000}"/>
    <cellStyle name="Normal 8 2 3 2 5 2 2" xfId="8241" xr:uid="{00000000-0005-0000-0000-0000B21C0000}"/>
    <cellStyle name="Normal 8 2 3 2 5 2 2 2" xfId="16670" xr:uid="{9BC7F8D9-A6F4-4FBD-A991-13BA32D6679B}"/>
    <cellStyle name="Normal 8 2 3 2 5 2 3" xfId="12452" xr:uid="{5A5584DB-5B4D-4C25-9F85-74879ACEDD8B}"/>
    <cellStyle name="Normal 8 2 3 2 5 3" xfId="6096" xr:uid="{00000000-0005-0000-0000-0000B31C0000}"/>
    <cellStyle name="Normal 8 2 3 2 5 3 2" xfId="14525" xr:uid="{BFC2AF54-6A20-4F9F-9AAB-0251E9690F10}"/>
    <cellStyle name="Normal 8 2 3 2 5 4" xfId="10307" xr:uid="{22D38CF0-59D0-4837-85C4-9782234D39ED}"/>
    <cellStyle name="Normal 8 2 3 2 6" xfId="2201" xr:uid="{00000000-0005-0000-0000-0000B41C0000}"/>
    <cellStyle name="Normal 8 2 3 2 6 2" xfId="4430" xr:uid="{00000000-0005-0000-0000-0000B51C0000}"/>
    <cellStyle name="Normal 8 2 3 2 6 2 2" xfId="8654" xr:uid="{00000000-0005-0000-0000-0000B61C0000}"/>
    <cellStyle name="Normal 8 2 3 2 6 2 2 2" xfId="17083" xr:uid="{F2D93B08-628D-4237-B173-2283ED721311}"/>
    <cellStyle name="Normal 8 2 3 2 6 2 3" xfId="12865" xr:uid="{B043EFD3-4226-4234-A727-AE3B3A73D41F}"/>
    <cellStyle name="Normal 8 2 3 2 6 3" xfId="6509" xr:uid="{00000000-0005-0000-0000-0000B71C0000}"/>
    <cellStyle name="Normal 8 2 3 2 6 3 2" xfId="14938" xr:uid="{99CD6EBD-C803-4896-A3E7-07ADC836AF79}"/>
    <cellStyle name="Normal 8 2 3 2 6 4" xfId="10720" xr:uid="{A8BEEF13-CA8E-4AA2-BC3B-3295242F2523}"/>
    <cellStyle name="Normal 8 2 3 2 7" xfId="2637" xr:uid="{00000000-0005-0000-0000-0000B81C0000}"/>
    <cellStyle name="Normal 8 2 3 2 7 2" xfId="6922" xr:uid="{00000000-0005-0000-0000-0000B91C0000}"/>
    <cellStyle name="Normal 8 2 3 2 7 2 2" xfId="15351" xr:uid="{BD5511AA-F756-453F-ADCE-85306D81882C}"/>
    <cellStyle name="Normal 8 2 3 2 7 3" xfId="11133" xr:uid="{5A1B0E22-9C0B-43F8-968F-15C00A7159B4}"/>
    <cellStyle name="Normal 8 2 3 2 8" xfId="4857" xr:uid="{00000000-0005-0000-0000-0000BA1C0000}"/>
    <cellStyle name="Normal 8 2 3 2 8 2" xfId="13286" xr:uid="{61F483D8-15E9-434C-9DA6-B9E8D33240EE}"/>
    <cellStyle name="Normal 8 2 3 2 9" xfId="9068" xr:uid="{9A8A67DF-CFF8-41ED-87B2-99F73DBC3102}"/>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2 2 2" xfId="15846" xr:uid="{690D0152-2D37-4EA1-B6CD-1ECF51C93A6E}"/>
    <cellStyle name="Normal 8 2 3 3 2 2 3" xfId="11628" xr:uid="{B1463A63-797C-40C0-BFD5-92C2FFC32C52}"/>
    <cellStyle name="Normal 8 2 3 3 2 3" xfId="5272" xr:uid="{00000000-0005-0000-0000-0000BF1C0000}"/>
    <cellStyle name="Normal 8 2 3 3 2 3 2" xfId="13701" xr:uid="{C18B04A6-CC57-4D03-AF84-E6B607BAF50E}"/>
    <cellStyle name="Normal 8 2 3 3 2 4" xfId="9483" xr:uid="{7E755C8E-8480-4E4F-8740-A9467F55AFCA}"/>
    <cellStyle name="Normal 8 2 3 3 3" xfId="1376" xr:uid="{00000000-0005-0000-0000-0000C01C0000}"/>
    <cellStyle name="Normal 8 2 3 3 3 2" xfId="3606" xr:uid="{00000000-0005-0000-0000-0000C11C0000}"/>
    <cellStyle name="Normal 8 2 3 3 3 2 2" xfId="7830" xr:uid="{00000000-0005-0000-0000-0000C21C0000}"/>
    <cellStyle name="Normal 8 2 3 3 3 2 2 2" xfId="16259" xr:uid="{E67AAF3B-9E81-4038-95A1-A55DC551C79A}"/>
    <cellStyle name="Normal 8 2 3 3 3 2 3" xfId="12041" xr:uid="{DA60731B-F475-41C7-B6EA-5B4F8EA24214}"/>
    <cellStyle name="Normal 8 2 3 3 3 3" xfId="5685" xr:uid="{00000000-0005-0000-0000-0000C31C0000}"/>
    <cellStyle name="Normal 8 2 3 3 3 3 2" xfId="14114" xr:uid="{BB59EE3D-7BA9-49D7-99A1-1D61DDC6CD22}"/>
    <cellStyle name="Normal 8 2 3 3 3 4" xfId="9896" xr:uid="{C6259F2A-D3AA-41F8-B8A1-2D563FC77B4D}"/>
    <cellStyle name="Normal 8 2 3 3 4" xfId="1789" xr:uid="{00000000-0005-0000-0000-0000C41C0000}"/>
    <cellStyle name="Normal 8 2 3 3 4 2" xfId="4019" xr:uid="{00000000-0005-0000-0000-0000C51C0000}"/>
    <cellStyle name="Normal 8 2 3 3 4 2 2" xfId="8243" xr:uid="{00000000-0005-0000-0000-0000C61C0000}"/>
    <cellStyle name="Normal 8 2 3 3 4 2 2 2" xfId="16672" xr:uid="{FC3EE118-B584-42E1-876A-F3FBE9E215EA}"/>
    <cellStyle name="Normal 8 2 3 3 4 2 3" xfId="12454" xr:uid="{4F881765-D40B-4DFD-A1FE-75349091B732}"/>
    <cellStyle name="Normal 8 2 3 3 4 3" xfId="6098" xr:uid="{00000000-0005-0000-0000-0000C71C0000}"/>
    <cellStyle name="Normal 8 2 3 3 4 3 2" xfId="14527" xr:uid="{824B377B-D4ED-4136-9572-FE7BEC7F2838}"/>
    <cellStyle name="Normal 8 2 3 3 4 4" xfId="10309" xr:uid="{93BCDE61-E304-4D4B-ACC7-0C22CD3F3514}"/>
    <cellStyle name="Normal 8 2 3 3 5" xfId="2203" xr:uid="{00000000-0005-0000-0000-0000C81C0000}"/>
    <cellStyle name="Normal 8 2 3 3 5 2" xfId="4432" xr:uid="{00000000-0005-0000-0000-0000C91C0000}"/>
    <cellStyle name="Normal 8 2 3 3 5 2 2" xfId="8656" xr:uid="{00000000-0005-0000-0000-0000CA1C0000}"/>
    <cellStyle name="Normal 8 2 3 3 5 2 2 2" xfId="17085" xr:uid="{94C71AA3-70EC-4AA2-9B9C-02A0D27C46DD}"/>
    <cellStyle name="Normal 8 2 3 3 5 2 3" xfId="12867" xr:uid="{53C1ED71-192B-41AE-B6A6-308A56986D5F}"/>
    <cellStyle name="Normal 8 2 3 3 5 3" xfId="6511" xr:uid="{00000000-0005-0000-0000-0000CB1C0000}"/>
    <cellStyle name="Normal 8 2 3 3 5 3 2" xfId="14940" xr:uid="{821D68DD-B556-45B7-A8BE-C02C7B91C204}"/>
    <cellStyle name="Normal 8 2 3 3 5 4" xfId="10722" xr:uid="{0DD19A53-1853-44C7-A0E0-000D4FCCED53}"/>
    <cellStyle name="Normal 8 2 3 3 6" xfId="2639" xr:uid="{00000000-0005-0000-0000-0000CC1C0000}"/>
    <cellStyle name="Normal 8 2 3 3 6 2" xfId="6924" xr:uid="{00000000-0005-0000-0000-0000CD1C0000}"/>
    <cellStyle name="Normal 8 2 3 3 6 2 2" xfId="15353" xr:uid="{A35A118E-D751-4308-A7C0-870F13550C9B}"/>
    <cellStyle name="Normal 8 2 3 3 6 3" xfId="11135" xr:uid="{DC0B9844-7F89-4700-BD41-5AAD0CE4A273}"/>
    <cellStyle name="Normal 8 2 3 3 7" xfId="4859" xr:uid="{00000000-0005-0000-0000-0000CE1C0000}"/>
    <cellStyle name="Normal 8 2 3 3 7 2" xfId="13288" xr:uid="{4724CE69-9D27-40AC-997F-1C9FB188C7BC}"/>
    <cellStyle name="Normal 8 2 3 3 8" xfId="9070" xr:uid="{6220A2A6-40FC-4F9F-9CEE-12E8A278A4C9}"/>
    <cellStyle name="Normal 8 2 3 4" xfId="956" xr:uid="{00000000-0005-0000-0000-0000CF1C0000}"/>
    <cellStyle name="Normal 8 2 3 4 2" xfId="3190" xr:uid="{00000000-0005-0000-0000-0000D01C0000}"/>
    <cellStyle name="Normal 8 2 3 4 2 2" xfId="7414" xr:uid="{00000000-0005-0000-0000-0000D11C0000}"/>
    <cellStyle name="Normal 8 2 3 4 2 2 2" xfId="15843" xr:uid="{5BFFD713-9584-4AC8-A21A-5F3A8E7425F1}"/>
    <cellStyle name="Normal 8 2 3 4 2 3" xfId="11625" xr:uid="{43EB583A-B2AD-4DF1-A0E3-2896B220B051}"/>
    <cellStyle name="Normal 8 2 3 4 3" xfId="5269" xr:uid="{00000000-0005-0000-0000-0000D21C0000}"/>
    <cellStyle name="Normal 8 2 3 4 3 2" xfId="13698" xr:uid="{CEE89F51-726C-4E8D-B53C-E3F2CD8EF23B}"/>
    <cellStyle name="Normal 8 2 3 4 4" xfId="9480" xr:uid="{3C7FA2D4-475B-44EA-9ECD-5CB5C63FC9B9}"/>
    <cellStyle name="Normal 8 2 3 5" xfId="1373" xr:uid="{00000000-0005-0000-0000-0000D31C0000}"/>
    <cellStyle name="Normal 8 2 3 5 2" xfId="3603" xr:uid="{00000000-0005-0000-0000-0000D41C0000}"/>
    <cellStyle name="Normal 8 2 3 5 2 2" xfId="7827" xr:uid="{00000000-0005-0000-0000-0000D51C0000}"/>
    <cellStyle name="Normal 8 2 3 5 2 2 2" xfId="16256" xr:uid="{6B9361C8-553D-424E-BF76-FC695441C43A}"/>
    <cellStyle name="Normal 8 2 3 5 2 3" xfId="12038" xr:uid="{6CA0DB18-EB1C-442B-9747-D2D01B9A1358}"/>
    <cellStyle name="Normal 8 2 3 5 3" xfId="5682" xr:uid="{00000000-0005-0000-0000-0000D61C0000}"/>
    <cellStyle name="Normal 8 2 3 5 3 2" xfId="14111" xr:uid="{ABC4D4C6-82BC-4554-8979-55B1D85E6670}"/>
    <cellStyle name="Normal 8 2 3 5 4" xfId="9893" xr:uid="{9C5B5134-4D7A-4DBE-8C0A-244E18EE0EE7}"/>
    <cellStyle name="Normal 8 2 3 6" xfId="1786" xr:uid="{00000000-0005-0000-0000-0000D71C0000}"/>
    <cellStyle name="Normal 8 2 3 6 2" xfId="4016" xr:uid="{00000000-0005-0000-0000-0000D81C0000}"/>
    <cellStyle name="Normal 8 2 3 6 2 2" xfId="8240" xr:uid="{00000000-0005-0000-0000-0000D91C0000}"/>
    <cellStyle name="Normal 8 2 3 6 2 2 2" xfId="16669" xr:uid="{4596C439-4A3F-4FF6-8EB1-FFDE80A2B99E}"/>
    <cellStyle name="Normal 8 2 3 6 2 3" xfId="12451" xr:uid="{B55A041E-378C-40F4-8632-2BE0A1051613}"/>
    <cellStyle name="Normal 8 2 3 6 3" xfId="6095" xr:uid="{00000000-0005-0000-0000-0000DA1C0000}"/>
    <cellStyle name="Normal 8 2 3 6 3 2" xfId="14524" xr:uid="{AD299D82-31D0-4F31-9D5B-3D34010ACA9F}"/>
    <cellStyle name="Normal 8 2 3 6 4" xfId="10306" xr:uid="{98251947-8B33-4A57-A602-DECECC399F5C}"/>
    <cellStyle name="Normal 8 2 3 7" xfId="2200" xr:uid="{00000000-0005-0000-0000-0000DB1C0000}"/>
    <cellStyle name="Normal 8 2 3 7 2" xfId="4429" xr:uid="{00000000-0005-0000-0000-0000DC1C0000}"/>
    <cellStyle name="Normal 8 2 3 7 2 2" xfId="8653" xr:uid="{00000000-0005-0000-0000-0000DD1C0000}"/>
    <cellStyle name="Normal 8 2 3 7 2 2 2" xfId="17082" xr:uid="{73A43469-F492-4B17-8405-FC5FBD896764}"/>
    <cellStyle name="Normal 8 2 3 7 2 3" xfId="12864" xr:uid="{0E366E28-8515-4654-A120-162A2FE9FC55}"/>
    <cellStyle name="Normal 8 2 3 7 3" xfId="6508" xr:uid="{00000000-0005-0000-0000-0000DE1C0000}"/>
    <cellStyle name="Normal 8 2 3 7 3 2" xfId="14937" xr:uid="{7B9483BC-4A66-4F6A-85B1-5DD4E431BB36}"/>
    <cellStyle name="Normal 8 2 3 7 4" xfId="10719" xr:uid="{E891D0C8-3174-4507-A26A-855C53060DA8}"/>
    <cellStyle name="Normal 8 2 3 8" xfId="2636" xr:uid="{00000000-0005-0000-0000-0000DF1C0000}"/>
    <cellStyle name="Normal 8 2 3 8 2" xfId="6921" xr:uid="{00000000-0005-0000-0000-0000E01C0000}"/>
    <cellStyle name="Normal 8 2 3 8 2 2" xfId="15350" xr:uid="{641812DB-FFAB-4C46-BEA4-DB3BD042EF79}"/>
    <cellStyle name="Normal 8 2 3 8 3" xfId="11132" xr:uid="{FF5B02F4-1098-481A-AA5E-E601F61CBB09}"/>
    <cellStyle name="Normal 8 2 3 9" xfId="4856" xr:uid="{00000000-0005-0000-0000-0000E11C0000}"/>
    <cellStyle name="Normal 8 2 3 9 2" xfId="13285" xr:uid="{FA3ABAF2-2D9A-4E67-BFE1-E9732426D9BE}"/>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2 2 2" xfId="15848" xr:uid="{BB956B86-32FF-457F-8324-4CE118F120F8}"/>
    <cellStyle name="Normal 8 2 4 2 2 2 3" xfId="11630" xr:uid="{6865B09F-E7CA-459F-A58E-07B1393E746E}"/>
    <cellStyle name="Normal 8 2 4 2 2 3" xfId="5274" xr:uid="{00000000-0005-0000-0000-0000E71C0000}"/>
    <cellStyle name="Normal 8 2 4 2 2 3 2" xfId="13703" xr:uid="{24AA9EE0-01FA-461F-9900-65E3CE950C75}"/>
    <cellStyle name="Normal 8 2 4 2 2 4" xfId="9485" xr:uid="{D17D300E-3DD5-407F-844F-397EFCAE5698}"/>
    <cellStyle name="Normal 8 2 4 2 3" xfId="1378" xr:uid="{00000000-0005-0000-0000-0000E81C0000}"/>
    <cellStyle name="Normal 8 2 4 2 3 2" xfId="3608" xr:uid="{00000000-0005-0000-0000-0000E91C0000}"/>
    <cellStyle name="Normal 8 2 4 2 3 2 2" xfId="7832" xr:uid="{00000000-0005-0000-0000-0000EA1C0000}"/>
    <cellStyle name="Normal 8 2 4 2 3 2 2 2" xfId="16261" xr:uid="{A7026FA3-815B-4EBF-931E-8B3D6E6D6150}"/>
    <cellStyle name="Normal 8 2 4 2 3 2 3" xfId="12043" xr:uid="{BD66AF56-363F-4636-8D43-E7AAB30D9552}"/>
    <cellStyle name="Normal 8 2 4 2 3 3" xfId="5687" xr:uid="{00000000-0005-0000-0000-0000EB1C0000}"/>
    <cellStyle name="Normal 8 2 4 2 3 3 2" xfId="14116" xr:uid="{8D3C81ED-BB36-414B-B70A-CB532225125B}"/>
    <cellStyle name="Normal 8 2 4 2 3 4" xfId="9898" xr:uid="{CABBCCF9-6294-4E10-838F-252961FC5C11}"/>
    <cellStyle name="Normal 8 2 4 2 4" xfId="1791" xr:uid="{00000000-0005-0000-0000-0000EC1C0000}"/>
    <cellStyle name="Normal 8 2 4 2 4 2" xfId="4021" xr:uid="{00000000-0005-0000-0000-0000ED1C0000}"/>
    <cellStyle name="Normal 8 2 4 2 4 2 2" xfId="8245" xr:uid="{00000000-0005-0000-0000-0000EE1C0000}"/>
    <cellStyle name="Normal 8 2 4 2 4 2 2 2" xfId="16674" xr:uid="{95C369A7-69D0-4842-BED0-FB7B52380966}"/>
    <cellStyle name="Normal 8 2 4 2 4 2 3" xfId="12456" xr:uid="{8C170FD4-6103-4773-989D-792B62D25E23}"/>
    <cellStyle name="Normal 8 2 4 2 4 3" xfId="6100" xr:uid="{00000000-0005-0000-0000-0000EF1C0000}"/>
    <cellStyle name="Normal 8 2 4 2 4 3 2" xfId="14529" xr:uid="{C5D3CACB-E449-45A7-B436-FABEF4D0DD49}"/>
    <cellStyle name="Normal 8 2 4 2 4 4" xfId="10311" xr:uid="{04AC97C1-0B66-480C-B8E5-F0393996A691}"/>
    <cellStyle name="Normal 8 2 4 2 5" xfId="2205" xr:uid="{00000000-0005-0000-0000-0000F01C0000}"/>
    <cellStyle name="Normal 8 2 4 2 5 2" xfId="4434" xr:uid="{00000000-0005-0000-0000-0000F11C0000}"/>
    <cellStyle name="Normal 8 2 4 2 5 2 2" xfId="8658" xr:uid="{00000000-0005-0000-0000-0000F21C0000}"/>
    <cellStyle name="Normal 8 2 4 2 5 2 2 2" xfId="17087" xr:uid="{9F8125E2-ACC6-428F-85D1-8118D6523018}"/>
    <cellStyle name="Normal 8 2 4 2 5 2 3" xfId="12869" xr:uid="{DCAFBA0B-B2A4-49A5-A513-AEE689B60018}"/>
    <cellStyle name="Normal 8 2 4 2 5 3" xfId="6513" xr:uid="{00000000-0005-0000-0000-0000F31C0000}"/>
    <cellStyle name="Normal 8 2 4 2 5 3 2" xfId="14942" xr:uid="{4E98C4EE-9B15-4F66-BCDA-502F9039C998}"/>
    <cellStyle name="Normal 8 2 4 2 5 4" xfId="10724" xr:uid="{AAB17EF3-67FB-4EE0-9A17-2326F4183F4B}"/>
    <cellStyle name="Normal 8 2 4 2 6" xfId="2641" xr:uid="{00000000-0005-0000-0000-0000F41C0000}"/>
    <cellStyle name="Normal 8 2 4 2 6 2" xfId="6926" xr:uid="{00000000-0005-0000-0000-0000F51C0000}"/>
    <cellStyle name="Normal 8 2 4 2 6 2 2" xfId="15355" xr:uid="{A83BD384-0ACF-4DD8-88A4-559F317F2AF5}"/>
    <cellStyle name="Normal 8 2 4 2 6 3" xfId="11137" xr:uid="{31B1BE69-6474-4FC7-B020-2CA4D6FF53E2}"/>
    <cellStyle name="Normal 8 2 4 2 7" xfId="4861" xr:uid="{00000000-0005-0000-0000-0000F61C0000}"/>
    <cellStyle name="Normal 8 2 4 2 7 2" xfId="13290" xr:uid="{AA63CDC8-2DF7-4685-9636-9D6D4A56C320}"/>
    <cellStyle name="Normal 8 2 4 2 8" xfId="9072" xr:uid="{DE56A2C7-EBAB-4CB7-8DFC-9F7BFFD0F239}"/>
    <cellStyle name="Normal 8 2 4 3" xfId="960" xr:uid="{00000000-0005-0000-0000-0000F71C0000}"/>
    <cellStyle name="Normal 8 2 4 3 2" xfId="3194" xr:uid="{00000000-0005-0000-0000-0000F81C0000}"/>
    <cellStyle name="Normal 8 2 4 3 2 2" xfId="7418" xr:uid="{00000000-0005-0000-0000-0000F91C0000}"/>
    <cellStyle name="Normal 8 2 4 3 2 2 2" xfId="15847" xr:uid="{A43EDA19-37EF-40B3-8608-39E035845E11}"/>
    <cellStyle name="Normal 8 2 4 3 2 3" xfId="11629" xr:uid="{3D99AA70-E344-410C-9F5E-16B463DDC7EE}"/>
    <cellStyle name="Normal 8 2 4 3 3" xfId="5273" xr:uid="{00000000-0005-0000-0000-0000FA1C0000}"/>
    <cellStyle name="Normal 8 2 4 3 3 2" xfId="13702" xr:uid="{BA68D975-E958-430A-B94C-CE9DB0FFC59D}"/>
    <cellStyle name="Normal 8 2 4 3 4" xfId="9484" xr:uid="{EFC60552-554B-43C0-A21B-8198425623CF}"/>
    <cellStyle name="Normal 8 2 4 4" xfId="1377" xr:uid="{00000000-0005-0000-0000-0000FB1C0000}"/>
    <cellStyle name="Normal 8 2 4 4 2" xfId="3607" xr:uid="{00000000-0005-0000-0000-0000FC1C0000}"/>
    <cellStyle name="Normal 8 2 4 4 2 2" xfId="7831" xr:uid="{00000000-0005-0000-0000-0000FD1C0000}"/>
    <cellStyle name="Normal 8 2 4 4 2 2 2" xfId="16260" xr:uid="{4EDEEE98-4F0A-45D2-BE85-23D6BD8A31BE}"/>
    <cellStyle name="Normal 8 2 4 4 2 3" xfId="12042" xr:uid="{9F738144-0EE4-44B0-90E3-B6A3697AA7BF}"/>
    <cellStyle name="Normal 8 2 4 4 3" xfId="5686" xr:uid="{00000000-0005-0000-0000-0000FE1C0000}"/>
    <cellStyle name="Normal 8 2 4 4 3 2" xfId="14115" xr:uid="{925F72A0-BB9E-4998-B1F8-38B9334B725F}"/>
    <cellStyle name="Normal 8 2 4 4 4" xfId="9897" xr:uid="{95D51378-36E7-4418-B820-2209EDB4F042}"/>
    <cellStyle name="Normal 8 2 4 5" xfId="1790" xr:uid="{00000000-0005-0000-0000-0000FF1C0000}"/>
    <cellStyle name="Normal 8 2 4 5 2" xfId="4020" xr:uid="{00000000-0005-0000-0000-0000001D0000}"/>
    <cellStyle name="Normal 8 2 4 5 2 2" xfId="8244" xr:uid="{00000000-0005-0000-0000-0000011D0000}"/>
    <cellStyle name="Normal 8 2 4 5 2 2 2" xfId="16673" xr:uid="{3739200D-0D87-4026-B617-7DBD0FD771A3}"/>
    <cellStyle name="Normal 8 2 4 5 2 3" xfId="12455" xr:uid="{DD926A9B-792E-4F9B-92EE-A59882A274D5}"/>
    <cellStyle name="Normal 8 2 4 5 3" xfId="6099" xr:uid="{00000000-0005-0000-0000-0000021D0000}"/>
    <cellStyle name="Normal 8 2 4 5 3 2" xfId="14528" xr:uid="{6979823A-916E-4DF9-8801-771A1DAACB70}"/>
    <cellStyle name="Normal 8 2 4 5 4" xfId="10310" xr:uid="{B90B8B14-A0D6-4B2A-9B81-9B7241EF91D7}"/>
    <cellStyle name="Normal 8 2 4 6" xfId="2204" xr:uid="{00000000-0005-0000-0000-0000031D0000}"/>
    <cellStyle name="Normal 8 2 4 6 2" xfId="4433" xr:uid="{00000000-0005-0000-0000-0000041D0000}"/>
    <cellStyle name="Normal 8 2 4 6 2 2" xfId="8657" xr:uid="{00000000-0005-0000-0000-0000051D0000}"/>
    <cellStyle name="Normal 8 2 4 6 2 2 2" xfId="17086" xr:uid="{805F3B21-6AAB-418B-9C86-4FFFAC117AF8}"/>
    <cellStyle name="Normal 8 2 4 6 2 3" xfId="12868" xr:uid="{A6A2AFFC-DDEA-4035-B025-C5071D69823B}"/>
    <cellStyle name="Normal 8 2 4 6 3" xfId="6512" xr:uid="{00000000-0005-0000-0000-0000061D0000}"/>
    <cellStyle name="Normal 8 2 4 6 3 2" xfId="14941" xr:uid="{2AC81383-B93B-4707-84D6-E7EA638FDBD4}"/>
    <cellStyle name="Normal 8 2 4 6 4" xfId="10723" xr:uid="{83A07E9E-2997-4789-905B-4F193BE3B693}"/>
    <cellStyle name="Normal 8 2 4 7" xfId="2640" xr:uid="{00000000-0005-0000-0000-0000071D0000}"/>
    <cellStyle name="Normal 8 2 4 7 2" xfId="6925" xr:uid="{00000000-0005-0000-0000-0000081D0000}"/>
    <cellStyle name="Normal 8 2 4 7 2 2" xfId="15354" xr:uid="{87CAAA9D-7AE9-46C6-9AE8-AFE4941B8275}"/>
    <cellStyle name="Normal 8 2 4 7 3" xfId="11136" xr:uid="{650E027E-CC0C-4A04-A202-803469158A9F}"/>
    <cellStyle name="Normal 8 2 4 8" xfId="4860" xr:uid="{00000000-0005-0000-0000-0000091D0000}"/>
    <cellStyle name="Normal 8 2 4 8 2" xfId="13289" xr:uid="{109DE0A6-D5B1-41B4-B2F0-600EB577C66F}"/>
    <cellStyle name="Normal 8 2 4 9" xfId="9071" xr:uid="{B7328C11-C74C-4D77-95A4-90AFF6ABDBDD}"/>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2 2 2" xfId="15849" xr:uid="{72BA2516-C6C1-4B45-B6F5-E5C5F438ABC4}"/>
    <cellStyle name="Normal 8 2 5 2 2 3" xfId="11631" xr:uid="{8FE84CA7-1D75-4998-AA1A-EEC94AF556CA}"/>
    <cellStyle name="Normal 8 2 5 2 3" xfId="5275" xr:uid="{00000000-0005-0000-0000-00000E1D0000}"/>
    <cellStyle name="Normal 8 2 5 2 3 2" xfId="13704" xr:uid="{E57B120F-253F-4DAE-9A9D-EF7CD6A4CBA3}"/>
    <cellStyle name="Normal 8 2 5 2 4" xfId="9486" xr:uid="{6B73C7D3-30A0-434D-B9D1-7350698E525A}"/>
    <cellStyle name="Normal 8 2 5 3" xfId="1379" xr:uid="{00000000-0005-0000-0000-00000F1D0000}"/>
    <cellStyle name="Normal 8 2 5 3 2" xfId="3609" xr:uid="{00000000-0005-0000-0000-0000101D0000}"/>
    <cellStyle name="Normal 8 2 5 3 2 2" xfId="7833" xr:uid="{00000000-0005-0000-0000-0000111D0000}"/>
    <cellStyle name="Normal 8 2 5 3 2 2 2" xfId="16262" xr:uid="{6C455E65-9176-4DF4-90D0-D6E0CFF9DB00}"/>
    <cellStyle name="Normal 8 2 5 3 2 3" xfId="12044" xr:uid="{FB6B28B3-8545-4D98-8C97-951E0031F7CE}"/>
    <cellStyle name="Normal 8 2 5 3 3" xfId="5688" xr:uid="{00000000-0005-0000-0000-0000121D0000}"/>
    <cellStyle name="Normal 8 2 5 3 3 2" xfId="14117" xr:uid="{B40FD1C3-B8E5-47CD-8B4C-E9FFC434DAF2}"/>
    <cellStyle name="Normal 8 2 5 3 4" xfId="9899" xr:uid="{BB684663-4999-4209-99CB-2687D5FE4EBE}"/>
    <cellStyle name="Normal 8 2 5 4" xfId="1792" xr:uid="{00000000-0005-0000-0000-0000131D0000}"/>
    <cellStyle name="Normal 8 2 5 4 2" xfId="4022" xr:uid="{00000000-0005-0000-0000-0000141D0000}"/>
    <cellStyle name="Normal 8 2 5 4 2 2" xfId="8246" xr:uid="{00000000-0005-0000-0000-0000151D0000}"/>
    <cellStyle name="Normal 8 2 5 4 2 2 2" xfId="16675" xr:uid="{B23BF684-277C-46CD-848A-48594F54DAA1}"/>
    <cellStyle name="Normal 8 2 5 4 2 3" xfId="12457" xr:uid="{05459694-07B8-4F19-960D-B138465E8B87}"/>
    <cellStyle name="Normal 8 2 5 4 3" xfId="6101" xr:uid="{00000000-0005-0000-0000-0000161D0000}"/>
    <cellStyle name="Normal 8 2 5 4 3 2" xfId="14530" xr:uid="{97BA26A6-9902-463A-9929-79BD576EEB0B}"/>
    <cellStyle name="Normal 8 2 5 4 4" xfId="10312" xr:uid="{AAC8391F-CFD5-48DE-95F7-DE872D6DD9E9}"/>
    <cellStyle name="Normal 8 2 5 5" xfId="2206" xr:uid="{00000000-0005-0000-0000-0000171D0000}"/>
    <cellStyle name="Normal 8 2 5 5 2" xfId="4435" xr:uid="{00000000-0005-0000-0000-0000181D0000}"/>
    <cellStyle name="Normal 8 2 5 5 2 2" xfId="8659" xr:uid="{00000000-0005-0000-0000-0000191D0000}"/>
    <cellStyle name="Normal 8 2 5 5 2 2 2" xfId="17088" xr:uid="{948A2456-46A2-437D-8CB4-43105957DE9B}"/>
    <cellStyle name="Normal 8 2 5 5 2 3" xfId="12870" xr:uid="{4672E74D-DB60-4DAA-BD52-3F9B00C3EC1F}"/>
    <cellStyle name="Normal 8 2 5 5 3" xfId="6514" xr:uid="{00000000-0005-0000-0000-00001A1D0000}"/>
    <cellStyle name="Normal 8 2 5 5 3 2" xfId="14943" xr:uid="{9F0DD364-3FA4-4AF7-9835-76A712D6AEB8}"/>
    <cellStyle name="Normal 8 2 5 5 4" xfId="10725" xr:uid="{4F042D16-2A58-40E4-A4F4-B5DAFA782CBB}"/>
    <cellStyle name="Normal 8 2 5 6" xfId="2642" xr:uid="{00000000-0005-0000-0000-00001B1D0000}"/>
    <cellStyle name="Normal 8 2 5 6 2" xfId="6927" xr:uid="{00000000-0005-0000-0000-00001C1D0000}"/>
    <cellStyle name="Normal 8 2 5 6 2 2" xfId="15356" xr:uid="{772D217F-C959-437B-81D8-CDC2E9829683}"/>
    <cellStyle name="Normal 8 2 5 6 3" xfId="11138" xr:uid="{1BC9125D-CAF5-4C73-9F4A-2ADE1F01DF0F}"/>
    <cellStyle name="Normal 8 2 5 7" xfId="4862" xr:uid="{00000000-0005-0000-0000-00001D1D0000}"/>
    <cellStyle name="Normal 8 2 5 7 2" xfId="13291" xr:uid="{211D19BE-BF38-43BA-B465-18A700BD4690}"/>
    <cellStyle name="Normal 8 2 5 8" xfId="9073" xr:uid="{0D48DCE2-E059-45A4-AEBF-4189374FE30B}"/>
    <cellStyle name="Normal 8 2 6" xfId="947" xr:uid="{00000000-0005-0000-0000-00001E1D0000}"/>
    <cellStyle name="Normal 8 2 6 2" xfId="3181" xr:uid="{00000000-0005-0000-0000-00001F1D0000}"/>
    <cellStyle name="Normal 8 2 6 2 2" xfId="7405" xr:uid="{00000000-0005-0000-0000-0000201D0000}"/>
    <cellStyle name="Normal 8 2 6 2 2 2" xfId="15834" xr:uid="{393BEB82-8D91-40CC-B4B2-7E25433A3F6D}"/>
    <cellStyle name="Normal 8 2 6 2 3" xfId="11616" xr:uid="{5D4E4B31-E6F7-4D16-B3D7-D695562A46C7}"/>
    <cellStyle name="Normal 8 2 6 3" xfId="5260" xr:uid="{00000000-0005-0000-0000-0000211D0000}"/>
    <cellStyle name="Normal 8 2 6 3 2" xfId="13689" xr:uid="{1D78B250-C1C4-4E01-B2A8-87E71697741D}"/>
    <cellStyle name="Normal 8 2 6 4" xfId="9471" xr:uid="{4319D6D4-A46B-4D69-9265-0065BC17750C}"/>
    <cellStyle name="Normal 8 2 7" xfId="1364" xr:uid="{00000000-0005-0000-0000-0000221D0000}"/>
    <cellStyle name="Normal 8 2 7 2" xfId="3594" xr:uid="{00000000-0005-0000-0000-0000231D0000}"/>
    <cellStyle name="Normal 8 2 7 2 2" xfId="7818" xr:uid="{00000000-0005-0000-0000-0000241D0000}"/>
    <cellStyle name="Normal 8 2 7 2 2 2" xfId="16247" xr:uid="{BC9A06F5-9346-4608-A8BA-2A814D393A5B}"/>
    <cellStyle name="Normal 8 2 7 2 3" xfId="12029" xr:uid="{D32F2FB1-DF05-478D-B88B-AEF114D086AA}"/>
    <cellStyle name="Normal 8 2 7 3" xfId="5673" xr:uid="{00000000-0005-0000-0000-0000251D0000}"/>
    <cellStyle name="Normal 8 2 7 3 2" xfId="14102" xr:uid="{69BAE1FC-F49B-4D5A-A812-5AD0455B2A4A}"/>
    <cellStyle name="Normal 8 2 7 4" xfId="9884" xr:uid="{34DAA80B-61EA-4FB7-BAB4-3BB7DDF221F3}"/>
    <cellStyle name="Normal 8 2 8" xfId="1777" xr:uid="{00000000-0005-0000-0000-0000261D0000}"/>
    <cellStyle name="Normal 8 2 8 2" xfId="4007" xr:uid="{00000000-0005-0000-0000-0000271D0000}"/>
    <cellStyle name="Normal 8 2 8 2 2" xfId="8231" xr:uid="{00000000-0005-0000-0000-0000281D0000}"/>
    <cellStyle name="Normal 8 2 8 2 2 2" xfId="16660" xr:uid="{A86F37C9-C2AF-4CDE-922F-911B6CAE065D}"/>
    <cellStyle name="Normal 8 2 8 2 3" xfId="12442" xr:uid="{8119BD3C-4435-4415-8ECE-C217640D1D61}"/>
    <cellStyle name="Normal 8 2 8 3" xfId="6086" xr:uid="{00000000-0005-0000-0000-0000291D0000}"/>
    <cellStyle name="Normal 8 2 8 3 2" xfId="14515" xr:uid="{4EE25E72-DA27-4B15-8D3B-2209AB3BF21C}"/>
    <cellStyle name="Normal 8 2 8 4" xfId="10297" xr:uid="{041B5222-B827-486F-A3DA-91541020E556}"/>
    <cellStyle name="Normal 8 2 9" xfId="2191" xr:uid="{00000000-0005-0000-0000-00002A1D0000}"/>
    <cellStyle name="Normal 8 2 9 2" xfId="4420" xr:uid="{00000000-0005-0000-0000-00002B1D0000}"/>
    <cellStyle name="Normal 8 2 9 2 2" xfId="8644" xr:uid="{00000000-0005-0000-0000-00002C1D0000}"/>
    <cellStyle name="Normal 8 2 9 2 2 2" xfId="17073" xr:uid="{C25F9CE3-53E3-4277-9669-16B4C2BCEA74}"/>
    <cellStyle name="Normal 8 2 9 2 3" xfId="12855" xr:uid="{5675C749-8DE2-4469-8754-FD94EC023EF0}"/>
    <cellStyle name="Normal 8 2 9 3" xfId="6499" xr:uid="{00000000-0005-0000-0000-00002D1D0000}"/>
    <cellStyle name="Normal 8 2 9 3 2" xfId="14928" xr:uid="{58400D1A-FD66-4FA2-8286-398A7C1A5E63}"/>
    <cellStyle name="Normal 8 2 9 4" xfId="10710" xr:uid="{320306D4-D5C2-4454-8005-BFBA95F78D3E}"/>
    <cellStyle name="Normal 8 3" xfId="495" xr:uid="{00000000-0005-0000-0000-00002E1D0000}"/>
    <cellStyle name="Normal 8 3 10" xfId="4863" xr:uid="{00000000-0005-0000-0000-00002F1D0000}"/>
    <cellStyle name="Normal 8 3 10 2" xfId="13292" xr:uid="{3B260F76-6B84-4B87-8248-5759B8460963}"/>
    <cellStyle name="Normal 8 3 11" xfId="9074" xr:uid="{AB5BC09E-F170-4709-9336-EF4844CED86E}"/>
    <cellStyle name="Normal 8 3 2" xfId="496" xr:uid="{00000000-0005-0000-0000-0000301D0000}"/>
    <cellStyle name="Normal 8 3 2 10" xfId="9075" xr:uid="{3BFCF6F5-8443-4D58-8369-1A98E5C7F2FC}"/>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2 2 2" xfId="15853" xr:uid="{7A05D179-247C-4401-8F23-472CA5F2BF9C}"/>
    <cellStyle name="Normal 8 3 2 2 2 2 2 3" xfId="11635" xr:uid="{C13C523A-8165-4E7E-8E52-C684ACD0657B}"/>
    <cellStyle name="Normal 8 3 2 2 2 2 3" xfId="5279" xr:uid="{00000000-0005-0000-0000-0000361D0000}"/>
    <cellStyle name="Normal 8 3 2 2 2 2 3 2" xfId="13708" xr:uid="{18F95D69-C19E-4733-A438-649EF9CC1052}"/>
    <cellStyle name="Normal 8 3 2 2 2 2 4" xfId="9490" xr:uid="{2D66028D-75C8-43E9-A42F-C5B699203F66}"/>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2 2 2" xfId="16266" xr:uid="{B11CE232-A24E-46A2-9EA6-F265219D43FA}"/>
    <cellStyle name="Normal 8 3 2 2 2 3 2 3" xfId="12048" xr:uid="{D0F53098-CDF2-4BEC-B954-02BB7379A33F}"/>
    <cellStyle name="Normal 8 3 2 2 2 3 3" xfId="5692" xr:uid="{00000000-0005-0000-0000-00003A1D0000}"/>
    <cellStyle name="Normal 8 3 2 2 2 3 3 2" xfId="14121" xr:uid="{5708144E-D15E-43D8-AA98-2D9875F263AF}"/>
    <cellStyle name="Normal 8 3 2 2 2 3 4" xfId="9903" xr:uid="{B95778C1-1DEF-43CC-92D5-5C85530EA13E}"/>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2 2 2" xfId="16679" xr:uid="{70CDDAE5-7AFC-4CF8-948D-1AF00E917BD0}"/>
    <cellStyle name="Normal 8 3 2 2 2 4 2 3" xfId="12461" xr:uid="{6EA649D2-04A2-4533-ACC5-6DE8D3985488}"/>
    <cellStyle name="Normal 8 3 2 2 2 4 3" xfId="6105" xr:uid="{00000000-0005-0000-0000-00003E1D0000}"/>
    <cellStyle name="Normal 8 3 2 2 2 4 3 2" xfId="14534" xr:uid="{4B5691C9-0F7B-4FEB-B5B9-68933E55D5F6}"/>
    <cellStyle name="Normal 8 3 2 2 2 4 4" xfId="10316" xr:uid="{21E5873D-3C7C-48D4-B951-71362FA79BB3}"/>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2 2 2" xfId="17092" xr:uid="{9E76CDF3-A533-4E40-B315-75C807F947A5}"/>
    <cellStyle name="Normal 8 3 2 2 2 5 2 3" xfId="12874" xr:uid="{76CAFB30-5F8E-4A32-A7F6-7B1F419ECDE1}"/>
    <cellStyle name="Normal 8 3 2 2 2 5 3" xfId="6518" xr:uid="{00000000-0005-0000-0000-0000421D0000}"/>
    <cellStyle name="Normal 8 3 2 2 2 5 3 2" xfId="14947" xr:uid="{49DB124D-1813-450A-8A20-BED5817D3A3C}"/>
    <cellStyle name="Normal 8 3 2 2 2 5 4" xfId="10729" xr:uid="{6867E249-A68B-488D-88EF-CD6050790573}"/>
    <cellStyle name="Normal 8 3 2 2 2 6" xfId="2646" xr:uid="{00000000-0005-0000-0000-0000431D0000}"/>
    <cellStyle name="Normal 8 3 2 2 2 6 2" xfId="6931" xr:uid="{00000000-0005-0000-0000-0000441D0000}"/>
    <cellStyle name="Normal 8 3 2 2 2 6 2 2" xfId="15360" xr:uid="{9FDF1094-08F0-4670-8BCD-5FC6585507C0}"/>
    <cellStyle name="Normal 8 3 2 2 2 6 3" xfId="11142" xr:uid="{88BFE286-CAB9-4656-9560-14A917EAC40E}"/>
    <cellStyle name="Normal 8 3 2 2 2 7" xfId="4866" xr:uid="{00000000-0005-0000-0000-0000451D0000}"/>
    <cellStyle name="Normal 8 3 2 2 2 7 2" xfId="13295" xr:uid="{3E3E807E-F965-4184-80E0-46B590925A15}"/>
    <cellStyle name="Normal 8 3 2 2 2 8" xfId="9077" xr:uid="{04BDF179-7482-410A-B423-C97B2C5F83D1}"/>
    <cellStyle name="Normal 8 3 2 2 3" xfId="965" xr:uid="{00000000-0005-0000-0000-0000461D0000}"/>
    <cellStyle name="Normal 8 3 2 2 3 2" xfId="3199" xr:uid="{00000000-0005-0000-0000-0000471D0000}"/>
    <cellStyle name="Normal 8 3 2 2 3 2 2" xfId="7423" xr:uid="{00000000-0005-0000-0000-0000481D0000}"/>
    <cellStyle name="Normal 8 3 2 2 3 2 2 2" xfId="15852" xr:uid="{8D1DBC1E-62A6-41F3-B40C-442FACF7E14C}"/>
    <cellStyle name="Normal 8 3 2 2 3 2 3" xfId="11634" xr:uid="{DBE93D7C-E220-4D71-B051-B3334D96D5C2}"/>
    <cellStyle name="Normal 8 3 2 2 3 3" xfId="5278" xr:uid="{00000000-0005-0000-0000-0000491D0000}"/>
    <cellStyle name="Normal 8 3 2 2 3 3 2" xfId="13707" xr:uid="{9A44A35C-468F-408B-944F-70CD5BC186CB}"/>
    <cellStyle name="Normal 8 3 2 2 3 4" xfId="9489" xr:uid="{0A40F394-505A-4DA2-A1F8-759541782500}"/>
    <cellStyle name="Normal 8 3 2 2 4" xfId="1382" xr:uid="{00000000-0005-0000-0000-00004A1D0000}"/>
    <cellStyle name="Normal 8 3 2 2 4 2" xfId="3612" xr:uid="{00000000-0005-0000-0000-00004B1D0000}"/>
    <cellStyle name="Normal 8 3 2 2 4 2 2" xfId="7836" xr:uid="{00000000-0005-0000-0000-00004C1D0000}"/>
    <cellStyle name="Normal 8 3 2 2 4 2 2 2" xfId="16265" xr:uid="{BD2FD2E8-1308-4F10-BD8E-CB900A44EEB3}"/>
    <cellStyle name="Normal 8 3 2 2 4 2 3" xfId="12047" xr:uid="{B27E5D42-9424-4C72-9914-61B1E6130B39}"/>
    <cellStyle name="Normal 8 3 2 2 4 3" xfId="5691" xr:uid="{00000000-0005-0000-0000-00004D1D0000}"/>
    <cellStyle name="Normal 8 3 2 2 4 3 2" xfId="14120" xr:uid="{49A27801-4A0C-4A95-A930-E1607C7FFC62}"/>
    <cellStyle name="Normal 8 3 2 2 4 4" xfId="9902" xr:uid="{F7F85765-1A6E-4245-A6C9-06C3221FC718}"/>
    <cellStyle name="Normal 8 3 2 2 5" xfId="1795" xr:uid="{00000000-0005-0000-0000-00004E1D0000}"/>
    <cellStyle name="Normal 8 3 2 2 5 2" xfId="4025" xr:uid="{00000000-0005-0000-0000-00004F1D0000}"/>
    <cellStyle name="Normal 8 3 2 2 5 2 2" xfId="8249" xr:uid="{00000000-0005-0000-0000-0000501D0000}"/>
    <cellStyle name="Normal 8 3 2 2 5 2 2 2" xfId="16678" xr:uid="{FADE0093-1EC3-4810-AC4B-B8A3C318BF5A}"/>
    <cellStyle name="Normal 8 3 2 2 5 2 3" xfId="12460" xr:uid="{0F8F9265-B949-4528-98EB-DB21A6CEBA7C}"/>
    <cellStyle name="Normal 8 3 2 2 5 3" xfId="6104" xr:uid="{00000000-0005-0000-0000-0000511D0000}"/>
    <cellStyle name="Normal 8 3 2 2 5 3 2" xfId="14533" xr:uid="{9D118CF9-9836-4BCF-A13B-4EF26997C6D7}"/>
    <cellStyle name="Normal 8 3 2 2 5 4" xfId="10315" xr:uid="{32AABD8D-8463-411C-A20C-B57E1C858362}"/>
    <cellStyle name="Normal 8 3 2 2 6" xfId="2209" xr:uid="{00000000-0005-0000-0000-0000521D0000}"/>
    <cellStyle name="Normal 8 3 2 2 6 2" xfId="4438" xr:uid="{00000000-0005-0000-0000-0000531D0000}"/>
    <cellStyle name="Normal 8 3 2 2 6 2 2" xfId="8662" xr:uid="{00000000-0005-0000-0000-0000541D0000}"/>
    <cellStyle name="Normal 8 3 2 2 6 2 2 2" xfId="17091" xr:uid="{EECF3A89-2732-4D55-A538-FF1D7E696EB8}"/>
    <cellStyle name="Normal 8 3 2 2 6 2 3" xfId="12873" xr:uid="{354832F8-0E5F-439B-80D1-948FACFC5EBD}"/>
    <cellStyle name="Normal 8 3 2 2 6 3" xfId="6517" xr:uid="{00000000-0005-0000-0000-0000551D0000}"/>
    <cellStyle name="Normal 8 3 2 2 6 3 2" xfId="14946" xr:uid="{D711ADFA-AD85-428D-8664-6E94F3458656}"/>
    <cellStyle name="Normal 8 3 2 2 6 4" xfId="10728" xr:uid="{C68A896D-AAC8-4F08-A3A0-4679061624BB}"/>
    <cellStyle name="Normal 8 3 2 2 7" xfId="2645" xr:uid="{00000000-0005-0000-0000-0000561D0000}"/>
    <cellStyle name="Normal 8 3 2 2 7 2" xfId="6930" xr:uid="{00000000-0005-0000-0000-0000571D0000}"/>
    <cellStyle name="Normal 8 3 2 2 7 2 2" xfId="15359" xr:uid="{836A9063-E913-4A07-8750-87B21C9984D0}"/>
    <cellStyle name="Normal 8 3 2 2 7 3" xfId="11141" xr:uid="{5EE2DD67-7ACF-497F-B83A-A3C6AE605C8E}"/>
    <cellStyle name="Normal 8 3 2 2 8" xfId="4865" xr:uid="{00000000-0005-0000-0000-0000581D0000}"/>
    <cellStyle name="Normal 8 3 2 2 8 2" xfId="13294" xr:uid="{1CA6530B-19A7-4CA0-A2AE-B5625988E892}"/>
    <cellStyle name="Normal 8 3 2 2 9" xfId="9076" xr:uid="{437DFC18-941C-4467-8834-235367FBD874}"/>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2 2 2" xfId="15854" xr:uid="{7B5B2799-2168-4BB5-B125-F90211793179}"/>
    <cellStyle name="Normal 8 3 2 3 2 2 3" xfId="11636" xr:uid="{F1A5E6EA-26A2-487B-963C-B530400FC2FB}"/>
    <cellStyle name="Normal 8 3 2 3 2 3" xfId="5280" xr:uid="{00000000-0005-0000-0000-00005D1D0000}"/>
    <cellStyle name="Normal 8 3 2 3 2 3 2" xfId="13709" xr:uid="{9BBB7A2F-84EA-4AD4-AFB1-0B7C7F432259}"/>
    <cellStyle name="Normal 8 3 2 3 2 4" xfId="9491" xr:uid="{26062700-EA3B-4FD3-940F-9CCF76D59C4F}"/>
    <cellStyle name="Normal 8 3 2 3 3" xfId="1384" xr:uid="{00000000-0005-0000-0000-00005E1D0000}"/>
    <cellStyle name="Normal 8 3 2 3 3 2" xfId="3614" xr:uid="{00000000-0005-0000-0000-00005F1D0000}"/>
    <cellStyle name="Normal 8 3 2 3 3 2 2" xfId="7838" xr:uid="{00000000-0005-0000-0000-0000601D0000}"/>
    <cellStyle name="Normal 8 3 2 3 3 2 2 2" xfId="16267" xr:uid="{9D4345BC-B0F5-44D9-8C0C-4C4A29065AFC}"/>
    <cellStyle name="Normal 8 3 2 3 3 2 3" xfId="12049" xr:uid="{EE809D63-0FF7-4B44-815A-F4C01321E5BF}"/>
    <cellStyle name="Normal 8 3 2 3 3 3" xfId="5693" xr:uid="{00000000-0005-0000-0000-0000611D0000}"/>
    <cellStyle name="Normal 8 3 2 3 3 3 2" xfId="14122" xr:uid="{0628CA12-AE33-4DE3-9377-49AC737FAC9F}"/>
    <cellStyle name="Normal 8 3 2 3 3 4" xfId="9904" xr:uid="{DDBB6806-9811-440C-AE97-6CC05BF4F21E}"/>
    <cellStyle name="Normal 8 3 2 3 4" xfId="1797" xr:uid="{00000000-0005-0000-0000-0000621D0000}"/>
    <cellStyle name="Normal 8 3 2 3 4 2" xfId="4027" xr:uid="{00000000-0005-0000-0000-0000631D0000}"/>
    <cellStyle name="Normal 8 3 2 3 4 2 2" xfId="8251" xr:uid="{00000000-0005-0000-0000-0000641D0000}"/>
    <cellStyle name="Normal 8 3 2 3 4 2 2 2" xfId="16680" xr:uid="{9CA84E7B-4B7F-4B34-A901-2173FCE968BD}"/>
    <cellStyle name="Normal 8 3 2 3 4 2 3" xfId="12462" xr:uid="{B23626FD-6058-4234-8118-A5C82F056904}"/>
    <cellStyle name="Normal 8 3 2 3 4 3" xfId="6106" xr:uid="{00000000-0005-0000-0000-0000651D0000}"/>
    <cellStyle name="Normal 8 3 2 3 4 3 2" xfId="14535" xr:uid="{690029BA-BC28-430D-9D74-D3A7218832CA}"/>
    <cellStyle name="Normal 8 3 2 3 4 4" xfId="10317" xr:uid="{59D195D9-8F81-41C1-A80C-C0AC7CE39ABC}"/>
    <cellStyle name="Normal 8 3 2 3 5" xfId="2211" xr:uid="{00000000-0005-0000-0000-0000661D0000}"/>
    <cellStyle name="Normal 8 3 2 3 5 2" xfId="4440" xr:uid="{00000000-0005-0000-0000-0000671D0000}"/>
    <cellStyle name="Normal 8 3 2 3 5 2 2" xfId="8664" xr:uid="{00000000-0005-0000-0000-0000681D0000}"/>
    <cellStyle name="Normal 8 3 2 3 5 2 2 2" xfId="17093" xr:uid="{C64E4FBF-3CBA-45FA-9B49-91CC5B91549A}"/>
    <cellStyle name="Normal 8 3 2 3 5 2 3" xfId="12875" xr:uid="{878D320C-72A3-448A-BA19-36434905CB9B}"/>
    <cellStyle name="Normal 8 3 2 3 5 3" xfId="6519" xr:uid="{00000000-0005-0000-0000-0000691D0000}"/>
    <cellStyle name="Normal 8 3 2 3 5 3 2" xfId="14948" xr:uid="{E8B38DD6-BB20-4DCE-A103-F6E6DC71F523}"/>
    <cellStyle name="Normal 8 3 2 3 5 4" xfId="10730" xr:uid="{A6C442E2-60F3-464A-9785-11698BFD23D9}"/>
    <cellStyle name="Normal 8 3 2 3 6" xfId="2647" xr:uid="{00000000-0005-0000-0000-00006A1D0000}"/>
    <cellStyle name="Normal 8 3 2 3 6 2" xfId="6932" xr:uid="{00000000-0005-0000-0000-00006B1D0000}"/>
    <cellStyle name="Normal 8 3 2 3 6 2 2" xfId="15361" xr:uid="{3A08BD93-976C-4DE1-AF7A-507F18CE1C2B}"/>
    <cellStyle name="Normal 8 3 2 3 6 3" xfId="11143" xr:uid="{6D33CCF5-20E9-4A2D-9A9A-6D3F5306D6DC}"/>
    <cellStyle name="Normal 8 3 2 3 7" xfId="4867" xr:uid="{00000000-0005-0000-0000-00006C1D0000}"/>
    <cellStyle name="Normal 8 3 2 3 7 2" xfId="13296" xr:uid="{57E428ED-22AA-45D0-AB58-EE23DC1731CB}"/>
    <cellStyle name="Normal 8 3 2 3 8" xfId="9078" xr:uid="{6F23478C-86AB-4060-9DCE-2AC62576B422}"/>
    <cellStyle name="Normal 8 3 2 4" xfId="964" xr:uid="{00000000-0005-0000-0000-00006D1D0000}"/>
    <cellStyle name="Normal 8 3 2 4 2" xfId="3198" xr:uid="{00000000-0005-0000-0000-00006E1D0000}"/>
    <cellStyle name="Normal 8 3 2 4 2 2" xfId="7422" xr:uid="{00000000-0005-0000-0000-00006F1D0000}"/>
    <cellStyle name="Normal 8 3 2 4 2 2 2" xfId="15851" xr:uid="{10241E72-8D7A-41A1-890F-5B1F6ACC5497}"/>
    <cellStyle name="Normal 8 3 2 4 2 3" xfId="11633" xr:uid="{5B8201AB-7876-4552-B22C-2722F31302A0}"/>
    <cellStyle name="Normal 8 3 2 4 3" xfId="5277" xr:uid="{00000000-0005-0000-0000-0000701D0000}"/>
    <cellStyle name="Normal 8 3 2 4 3 2" xfId="13706" xr:uid="{288F5248-3D38-4840-82AC-5CC7F4EC3D94}"/>
    <cellStyle name="Normal 8 3 2 4 4" xfId="9488" xr:uid="{0BC79FD7-6D16-4854-9226-C7CB1E0A92F9}"/>
    <cellStyle name="Normal 8 3 2 5" xfId="1381" xr:uid="{00000000-0005-0000-0000-0000711D0000}"/>
    <cellStyle name="Normal 8 3 2 5 2" xfId="3611" xr:uid="{00000000-0005-0000-0000-0000721D0000}"/>
    <cellStyle name="Normal 8 3 2 5 2 2" xfId="7835" xr:uid="{00000000-0005-0000-0000-0000731D0000}"/>
    <cellStyle name="Normal 8 3 2 5 2 2 2" xfId="16264" xr:uid="{A32D3155-8DD0-460C-90C4-8EE70F4B2D20}"/>
    <cellStyle name="Normal 8 3 2 5 2 3" xfId="12046" xr:uid="{B7F457EC-97AA-4C32-A99D-685598CFB394}"/>
    <cellStyle name="Normal 8 3 2 5 3" xfId="5690" xr:uid="{00000000-0005-0000-0000-0000741D0000}"/>
    <cellStyle name="Normal 8 3 2 5 3 2" xfId="14119" xr:uid="{97EB5830-F33C-4648-B9D5-155DADF84C21}"/>
    <cellStyle name="Normal 8 3 2 5 4" xfId="9901" xr:uid="{EE848A79-6AFD-4794-98C4-42CC7CC03D8F}"/>
    <cellStyle name="Normal 8 3 2 6" xfId="1794" xr:uid="{00000000-0005-0000-0000-0000751D0000}"/>
    <cellStyle name="Normal 8 3 2 6 2" xfId="4024" xr:uid="{00000000-0005-0000-0000-0000761D0000}"/>
    <cellStyle name="Normal 8 3 2 6 2 2" xfId="8248" xr:uid="{00000000-0005-0000-0000-0000771D0000}"/>
    <cellStyle name="Normal 8 3 2 6 2 2 2" xfId="16677" xr:uid="{5F2D1AB0-CBC0-41D1-A526-2F6AE8ABC230}"/>
    <cellStyle name="Normal 8 3 2 6 2 3" xfId="12459" xr:uid="{83EDA039-6464-4E29-94D1-A84A1BFC270F}"/>
    <cellStyle name="Normal 8 3 2 6 3" xfId="6103" xr:uid="{00000000-0005-0000-0000-0000781D0000}"/>
    <cellStyle name="Normal 8 3 2 6 3 2" xfId="14532" xr:uid="{60E14457-8A6A-4F36-9B4B-4197650BFA9C}"/>
    <cellStyle name="Normal 8 3 2 6 4" xfId="10314" xr:uid="{8871A81A-21BE-4CDE-82DB-CEEB99F3C9CA}"/>
    <cellStyle name="Normal 8 3 2 7" xfId="2208" xr:uid="{00000000-0005-0000-0000-0000791D0000}"/>
    <cellStyle name="Normal 8 3 2 7 2" xfId="4437" xr:uid="{00000000-0005-0000-0000-00007A1D0000}"/>
    <cellStyle name="Normal 8 3 2 7 2 2" xfId="8661" xr:uid="{00000000-0005-0000-0000-00007B1D0000}"/>
    <cellStyle name="Normal 8 3 2 7 2 2 2" xfId="17090" xr:uid="{18AD1E58-29D2-47F1-BB89-DE6E10643F81}"/>
    <cellStyle name="Normal 8 3 2 7 2 3" xfId="12872" xr:uid="{4A1D4F6B-3BBC-488B-AEE7-08C130D07C40}"/>
    <cellStyle name="Normal 8 3 2 7 3" xfId="6516" xr:uid="{00000000-0005-0000-0000-00007C1D0000}"/>
    <cellStyle name="Normal 8 3 2 7 3 2" xfId="14945" xr:uid="{DE1D5F34-AF08-45B0-8D31-2EA4251B1D06}"/>
    <cellStyle name="Normal 8 3 2 7 4" xfId="10727" xr:uid="{1B9BAB0B-59F1-4E29-B6A5-C30A62ED165D}"/>
    <cellStyle name="Normal 8 3 2 8" xfId="2644" xr:uid="{00000000-0005-0000-0000-00007D1D0000}"/>
    <cellStyle name="Normal 8 3 2 8 2" xfId="6929" xr:uid="{00000000-0005-0000-0000-00007E1D0000}"/>
    <cellStyle name="Normal 8 3 2 8 2 2" xfId="15358" xr:uid="{D9EA8BD6-C337-420F-9D30-EB942FCA86BF}"/>
    <cellStyle name="Normal 8 3 2 8 3" xfId="11140" xr:uid="{7E0DF758-F3CE-4E02-9021-FA116BC0833E}"/>
    <cellStyle name="Normal 8 3 2 9" xfId="4864" xr:uid="{00000000-0005-0000-0000-00007F1D0000}"/>
    <cellStyle name="Normal 8 3 2 9 2" xfId="13293" xr:uid="{A4A2096C-88BF-42EA-A083-9A8674485958}"/>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2 2 2" xfId="15856" xr:uid="{6AB7D247-7E35-4190-BB78-39DED31A10B3}"/>
    <cellStyle name="Normal 8 3 3 2 2 2 3" xfId="11638" xr:uid="{2CB42B22-99DD-4607-8F8E-0A34400C7A17}"/>
    <cellStyle name="Normal 8 3 3 2 2 3" xfId="5282" xr:uid="{00000000-0005-0000-0000-0000851D0000}"/>
    <cellStyle name="Normal 8 3 3 2 2 3 2" xfId="13711" xr:uid="{E018951B-00FD-4424-8E6B-E4941149DF41}"/>
    <cellStyle name="Normal 8 3 3 2 2 4" xfId="9493" xr:uid="{EAB3C9F8-8FB9-4C9E-A733-6CBAB7E81DE2}"/>
    <cellStyle name="Normal 8 3 3 2 3" xfId="1386" xr:uid="{00000000-0005-0000-0000-0000861D0000}"/>
    <cellStyle name="Normal 8 3 3 2 3 2" xfId="3616" xr:uid="{00000000-0005-0000-0000-0000871D0000}"/>
    <cellStyle name="Normal 8 3 3 2 3 2 2" xfId="7840" xr:uid="{00000000-0005-0000-0000-0000881D0000}"/>
    <cellStyle name="Normal 8 3 3 2 3 2 2 2" xfId="16269" xr:uid="{7DC9F903-A29D-4ED8-9ECA-A2E6759AEC19}"/>
    <cellStyle name="Normal 8 3 3 2 3 2 3" xfId="12051" xr:uid="{4DE754CB-ADFD-4342-B45F-1B38DB5D6768}"/>
    <cellStyle name="Normal 8 3 3 2 3 3" xfId="5695" xr:uid="{00000000-0005-0000-0000-0000891D0000}"/>
    <cellStyle name="Normal 8 3 3 2 3 3 2" xfId="14124" xr:uid="{68372399-EF4C-4429-BA97-39AB0E50A5C1}"/>
    <cellStyle name="Normal 8 3 3 2 3 4" xfId="9906" xr:uid="{C0C58667-E8C3-46E7-9A00-3048849A3985}"/>
    <cellStyle name="Normal 8 3 3 2 4" xfId="1799" xr:uid="{00000000-0005-0000-0000-00008A1D0000}"/>
    <cellStyle name="Normal 8 3 3 2 4 2" xfId="4029" xr:uid="{00000000-0005-0000-0000-00008B1D0000}"/>
    <cellStyle name="Normal 8 3 3 2 4 2 2" xfId="8253" xr:uid="{00000000-0005-0000-0000-00008C1D0000}"/>
    <cellStyle name="Normal 8 3 3 2 4 2 2 2" xfId="16682" xr:uid="{B2457E64-A6D1-40E6-AA96-B911D40F3987}"/>
    <cellStyle name="Normal 8 3 3 2 4 2 3" xfId="12464" xr:uid="{90CFA10C-4B21-4A7B-974C-2538A2E208FB}"/>
    <cellStyle name="Normal 8 3 3 2 4 3" xfId="6108" xr:uid="{00000000-0005-0000-0000-00008D1D0000}"/>
    <cellStyle name="Normal 8 3 3 2 4 3 2" xfId="14537" xr:uid="{94276DD4-22AB-4240-A4BF-5E27A9CE0561}"/>
    <cellStyle name="Normal 8 3 3 2 4 4" xfId="10319" xr:uid="{5C812EB6-6EF6-42B1-A528-94B716AA6417}"/>
    <cellStyle name="Normal 8 3 3 2 5" xfId="2213" xr:uid="{00000000-0005-0000-0000-00008E1D0000}"/>
    <cellStyle name="Normal 8 3 3 2 5 2" xfId="4442" xr:uid="{00000000-0005-0000-0000-00008F1D0000}"/>
    <cellStyle name="Normal 8 3 3 2 5 2 2" xfId="8666" xr:uid="{00000000-0005-0000-0000-0000901D0000}"/>
    <cellStyle name="Normal 8 3 3 2 5 2 2 2" xfId="17095" xr:uid="{96BCBFA4-8D43-4E60-A331-7A5CEFD29714}"/>
    <cellStyle name="Normal 8 3 3 2 5 2 3" xfId="12877" xr:uid="{25EC3427-14D3-4F5D-ACAD-AC4CF4192C59}"/>
    <cellStyle name="Normal 8 3 3 2 5 3" xfId="6521" xr:uid="{00000000-0005-0000-0000-0000911D0000}"/>
    <cellStyle name="Normal 8 3 3 2 5 3 2" xfId="14950" xr:uid="{E5909861-E5F0-4998-B9FB-A4384DB79180}"/>
    <cellStyle name="Normal 8 3 3 2 5 4" xfId="10732" xr:uid="{5602CCD2-BF69-4056-87AA-1C5A961FBBB5}"/>
    <cellStyle name="Normal 8 3 3 2 6" xfId="2649" xr:uid="{00000000-0005-0000-0000-0000921D0000}"/>
    <cellStyle name="Normal 8 3 3 2 6 2" xfId="6934" xr:uid="{00000000-0005-0000-0000-0000931D0000}"/>
    <cellStyle name="Normal 8 3 3 2 6 2 2" xfId="15363" xr:uid="{C2AA7D9E-75B7-4272-9CFA-97E816BCC5B9}"/>
    <cellStyle name="Normal 8 3 3 2 6 3" xfId="11145" xr:uid="{6EF8947A-C257-4A15-89D0-03A55E963FF3}"/>
    <cellStyle name="Normal 8 3 3 2 7" xfId="4869" xr:uid="{00000000-0005-0000-0000-0000941D0000}"/>
    <cellStyle name="Normal 8 3 3 2 7 2" xfId="13298" xr:uid="{E05ACCB9-2586-4AE7-9C04-5DF5ECFBE43F}"/>
    <cellStyle name="Normal 8 3 3 2 8" xfId="9080" xr:uid="{F2F16693-14C6-4E65-BFB0-0F4B2616B509}"/>
    <cellStyle name="Normal 8 3 3 3" xfId="968" xr:uid="{00000000-0005-0000-0000-0000951D0000}"/>
    <cellStyle name="Normal 8 3 3 3 2" xfId="3202" xr:uid="{00000000-0005-0000-0000-0000961D0000}"/>
    <cellStyle name="Normal 8 3 3 3 2 2" xfId="7426" xr:uid="{00000000-0005-0000-0000-0000971D0000}"/>
    <cellStyle name="Normal 8 3 3 3 2 2 2" xfId="15855" xr:uid="{F5BC8FF7-A3E3-4F73-803E-AB38BE7AD905}"/>
    <cellStyle name="Normal 8 3 3 3 2 3" xfId="11637" xr:uid="{D688DDD8-C65E-41FE-9B9C-BA14A0CEF6EB}"/>
    <cellStyle name="Normal 8 3 3 3 3" xfId="5281" xr:uid="{00000000-0005-0000-0000-0000981D0000}"/>
    <cellStyle name="Normal 8 3 3 3 3 2" xfId="13710" xr:uid="{B52500BE-4A8D-4CF4-A1FF-AD8D927B6FB8}"/>
    <cellStyle name="Normal 8 3 3 3 4" xfId="9492" xr:uid="{64EED45F-3092-4F94-800B-17C957162B08}"/>
    <cellStyle name="Normal 8 3 3 4" xfId="1385" xr:uid="{00000000-0005-0000-0000-0000991D0000}"/>
    <cellStyle name="Normal 8 3 3 4 2" xfId="3615" xr:uid="{00000000-0005-0000-0000-00009A1D0000}"/>
    <cellStyle name="Normal 8 3 3 4 2 2" xfId="7839" xr:uid="{00000000-0005-0000-0000-00009B1D0000}"/>
    <cellStyle name="Normal 8 3 3 4 2 2 2" xfId="16268" xr:uid="{8F0D3841-14E1-475D-A01D-E904D69D75D9}"/>
    <cellStyle name="Normal 8 3 3 4 2 3" xfId="12050" xr:uid="{CCB5B2CE-BC89-48DD-8215-6893627DD270}"/>
    <cellStyle name="Normal 8 3 3 4 3" xfId="5694" xr:uid="{00000000-0005-0000-0000-00009C1D0000}"/>
    <cellStyle name="Normal 8 3 3 4 3 2" xfId="14123" xr:uid="{85609AC1-F1E3-4647-9518-5E469672C343}"/>
    <cellStyle name="Normal 8 3 3 4 4" xfId="9905" xr:uid="{FA20A795-8492-47ED-A6ED-DEF260CE673C}"/>
    <cellStyle name="Normal 8 3 3 5" xfId="1798" xr:uid="{00000000-0005-0000-0000-00009D1D0000}"/>
    <cellStyle name="Normal 8 3 3 5 2" xfId="4028" xr:uid="{00000000-0005-0000-0000-00009E1D0000}"/>
    <cellStyle name="Normal 8 3 3 5 2 2" xfId="8252" xr:uid="{00000000-0005-0000-0000-00009F1D0000}"/>
    <cellStyle name="Normal 8 3 3 5 2 2 2" xfId="16681" xr:uid="{5FBAFBB2-D2B2-4B7B-94D7-845BDF262FB2}"/>
    <cellStyle name="Normal 8 3 3 5 2 3" xfId="12463" xr:uid="{C9561305-D76E-42D3-825A-2CCB2828E23F}"/>
    <cellStyle name="Normal 8 3 3 5 3" xfId="6107" xr:uid="{00000000-0005-0000-0000-0000A01D0000}"/>
    <cellStyle name="Normal 8 3 3 5 3 2" xfId="14536" xr:uid="{80CC0D82-4112-4711-AE9F-9C6070115C96}"/>
    <cellStyle name="Normal 8 3 3 5 4" xfId="10318" xr:uid="{9F6D7B21-5383-45A1-98F7-CDAE614B1B5E}"/>
    <cellStyle name="Normal 8 3 3 6" xfId="2212" xr:uid="{00000000-0005-0000-0000-0000A11D0000}"/>
    <cellStyle name="Normal 8 3 3 6 2" xfId="4441" xr:uid="{00000000-0005-0000-0000-0000A21D0000}"/>
    <cellStyle name="Normal 8 3 3 6 2 2" xfId="8665" xr:uid="{00000000-0005-0000-0000-0000A31D0000}"/>
    <cellStyle name="Normal 8 3 3 6 2 2 2" xfId="17094" xr:uid="{E729E3F0-7B44-415F-83C9-39CB04B17EBD}"/>
    <cellStyle name="Normal 8 3 3 6 2 3" xfId="12876" xr:uid="{2481C39B-571F-46D6-9F6B-D39C5C28FB30}"/>
    <cellStyle name="Normal 8 3 3 6 3" xfId="6520" xr:uid="{00000000-0005-0000-0000-0000A41D0000}"/>
    <cellStyle name="Normal 8 3 3 6 3 2" xfId="14949" xr:uid="{930D30EF-692F-42D9-9700-FF742F0F7706}"/>
    <cellStyle name="Normal 8 3 3 6 4" xfId="10731" xr:uid="{1390F1C0-7D7F-4506-8BD7-14F69613866E}"/>
    <cellStyle name="Normal 8 3 3 7" xfId="2648" xr:uid="{00000000-0005-0000-0000-0000A51D0000}"/>
    <cellStyle name="Normal 8 3 3 7 2" xfId="6933" xr:uid="{00000000-0005-0000-0000-0000A61D0000}"/>
    <cellStyle name="Normal 8 3 3 7 2 2" xfId="15362" xr:uid="{EBE8B0B9-C354-4FEA-AA89-427F36716E5D}"/>
    <cellStyle name="Normal 8 3 3 7 3" xfId="11144" xr:uid="{683B2AEB-1D6E-49E8-A494-92E63133A519}"/>
    <cellStyle name="Normal 8 3 3 8" xfId="4868" xr:uid="{00000000-0005-0000-0000-0000A71D0000}"/>
    <cellStyle name="Normal 8 3 3 8 2" xfId="13297" xr:uid="{150ECF16-B949-4CFB-A493-2E7B6646396B}"/>
    <cellStyle name="Normal 8 3 3 9" xfId="9079" xr:uid="{527F3163-B221-4FE3-B23E-CE0F4E483893}"/>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2 2 2" xfId="15857" xr:uid="{190B8996-06B7-4708-94DE-31FFFBA5F3EE}"/>
    <cellStyle name="Normal 8 3 4 2 2 3" xfId="11639" xr:uid="{ACAC3764-4AE0-4FF9-BFEB-6AD6F6334948}"/>
    <cellStyle name="Normal 8 3 4 2 3" xfId="5283" xr:uid="{00000000-0005-0000-0000-0000AC1D0000}"/>
    <cellStyle name="Normal 8 3 4 2 3 2" xfId="13712" xr:uid="{285D0120-5938-4AB5-9630-BB7C981BE0F9}"/>
    <cellStyle name="Normal 8 3 4 2 4" xfId="9494" xr:uid="{7F7DA597-AEE9-44B4-BE06-761D4C15687D}"/>
    <cellStyle name="Normal 8 3 4 3" xfId="1387" xr:uid="{00000000-0005-0000-0000-0000AD1D0000}"/>
    <cellStyle name="Normal 8 3 4 3 2" xfId="3617" xr:uid="{00000000-0005-0000-0000-0000AE1D0000}"/>
    <cellStyle name="Normal 8 3 4 3 2 2" xfId="7841" xr:uid="{00000000-0005-0000-0000-0000AF1D0000}"/>
    <cellStyle name="Normal 8 3 4 3 2 2 2" xfId="16270" xr:uid="{FB4990E5-CF45-4BA2-B2A2-42B541798B25}"/>
    <cellStyle name="Normal 8 3 4 3 2 3" xfId="12052" xr:uid="{BA3E3315-AB4B-4D24-A23A-E63733C2191F}"/>
    <cellStyle name="Normal 8 3 4 3 3" xfId="5696" xr:uid="{00000000-0005-0000-0000-0000B01D0000}"/>
    <cellStyle name="Normal 8 3 4 3 3 2" xfId="14125" xr:uid="{BE37F691-B091-4AB8-B0EB-42A368332004}"/>
    <cellStyle name="Normal 8 3 4 3 4" xfId="9907" xr:uid="{87DA4581-B359-4A47-A9A8-B51CC4EE3D36}"/>
    <cellStyle name="Normal 8 3 4 4" xfId="1800" xr:uid="{00000000-0005-0000-0000-0000B11D0000}"/>
    <cellStyle name="Normal 8 3 4 4 2" xfId="4030" xr:uid="{00000000-0005-0000-0000-0000B21D0000}"/>
    <cellStyle name="Normal 8 3 4 4 2 2" xfId="8254" xr:uid="{00000000-0005-0000-0000-0000B31D0000}"/>
    <cellStyle name="Normal 8 3 4 4 2 2 2" xfId="16683" xr:uid="{4EEDC1A6-9365-4F89-A103-3504BBC4F600}"/>
    <cellStyle name="Normal 8 3 4 4 2 3" xfId="12465" xr:uid="{F4AC4987-47B3-4BA4-9C2F-774AF32214CB}"/>
    <cellStyle name="Normal 8 3 4 4 3" xfId="6109" xr:uid="{00000000-0005-0000-0000-0000B41D0000}"/>
    <cellStyle name="Normal 8 3 4 4 3 2" xfId="14538" xr:uid="{3927A47D-4BCC-463B-A939-E040F0586DBD}"/>
    <cellStyle name="Normal 8 3 4 4 4" xfId="10320" xr:uid="{D7C305F4-A411-4805-AE1B-CE704BEBEC20}"/>
    <cellStyle name="Normal 8 3 4 5" xfId="2214" xr:uid="{00000000-0005-0000-0000-0000B51D0000}"/>
    <cellStyle name="Normal 8 3 4 5 2" xfId="4443" xr:uid="{00000000-0005-0000-0000-0000B61D0000}"/>
    <cellStyle name="Normal 8 3 4 5 2 2" xfId="8667" xr:uid="{00000000-0005-0000-0000-0000B71D0000}"/>
    <cellStyle name="Normal 8 3 4 5 2 2 2" xfId="17096" xr:uid="{F9185419-03D6-4DD0-868C-75A222207005}"/>
    <cellStyle name="Normal 8 3 4 5 2 3" xfId="12878" xr:uid="{577F5D70-BE72-49CD-AEDE-718F3D36E341}"/>
    <cellStyle name="Normal 8 3 4 5 3" xfId="6522" xr:uid="{00000000-0005-0000-0000-0000B81D0000}"/>
    <cellStyle name="Normal 8 3 4 5 3 2" xfId="14951" xr:uid="{1CE0EE97-F617-41E1-8441-D297F1B664AC}"/>
    <cellStyle name="Normal 8 3 4 5 4" xfId="10733" xr:uid="{47AE5049-A405-4848-AB56-5789602AD802}"/>
    <cellStyle name="Normal 8 3 4 6" xfId="2650" xr:uid="{00000000-0005-0000-0000-0000B91D0000}"/>
    <cellStyle name="Normal 8 3 4 6 2" xfId="6935" xr:uid="{00000000-0005-0000-0000-0000BA1D0000}"/>
    <cellStyle name="Normal 8 3 4 6 2 2" xfId="15364" xr:uid="{A035D1F4-292D-45A4-88A1-F757A25A4F9C}"/>
    <cellStyle name="Normal 8 3 4 6 3" xfId="11146" xr:uid="{C77265F7-9F9C-4BFB-8F81-6EEA5838C2F3}"/>
    <cellStyle name="Normal 8 3 4 7" xfId="4870" xr:uid="{00000000-0005-0000-0000-0000BB1D0000}"/>
    <cellStyle name="Normal 8 3 4 7 2" xfId="13299" xr:uid="{4779441C-7FC7-4E44-8F27-2EDDFD6ED9B1}"/>
    <cellStyle name="Normal 8 3 4 8" xfId="9081" xr:uid="{8ACAC06E-15CF-466B-A627-94DBC9FF4CD8}"/>
    <cellStyle name="Normal 8 3 5" xfId="963" xr:uid="{00000000-0005-0000-0000-0000BC1D0000}"/>
    <cellStyle name="Normal 8 3 5 2" xfId="3197" xr:uid="{00000000-0005-0000-0000-0000BD1D0000}"/>
    <cellStyle name="Normal 8 3 5 2 2" xfId="7421" xr:uid="{00000000-0005-0000-0000-0000BE1D0000}"/>
    <cellStyle name="Normal 8 3 5 2 2 2" xfId="15850" xr:uid="{9F062028-3012-44E8-A5A1-803CCD7DF8CD}"/>
    <cellStyle name="Normal 8 3 5 2 3" xfId="11632" xr:uid="{3E5EE9D0-20A9-4F11-8889-51D744DE85D8}"/>
    <cellStyle name="Normal 8 3 5 3" xfId="5276" xr:uid="{00000000-0005-0000-0000-0000BF1D0000}"/>
    <cellStyle name="Normal 8 3 5 3 2" xfId="13705" xr:uid="{08EBCA4B-1D81-4D83-874E-2D1E5B7017E3}"/>
    <cellStyle name="Normal 8 3 5 4" xfId="9487" xr:uid="{E8F1C5ED-D247-4AD8-ACD1-EFDD320FC3A3}"/>
    <cellStyle name="Normal 8 3 6" xfId="1380" xr:uid="{00000000-0005-0000-0000-0000C01D0000}"/>
    <cellStyle name="Normal 8 3 6 2" xfId="3610" xr:uid="{00000000-0005-0000-0000-0000C11D0000}"/>
    <cellStyle name="Normal 8 3 6 2 2" xfId="7834" xr:uid="{00000000-0005-0000-0000-0000C21D0000}"/>
    <cellStyle name="Normal 8 3 6 2 2 2" xfId="16263" xr:uid="{5F30114A-1F97-4D21-8BC5-A84A0C69ADB3}"/>
    <cellStyle name="Normal 8 3 6 2 3" xfId="12045" xr:uid="{E48F5037-83B2-4C06-81D4-4E30409B65F9}"/>
    <cellStyle name="Normal 8 3 6 3" xfId="5689" xr:uid="{00000000-0005-0000-0000-0000C31D0000}"/>
    <cellStyle name="Normal 8 3 6 3 2" xfId="14118" xr:uid="{CF77DA8C-5E33-46D6-AC86-EACC8652E09C}"/>
    <cellStyle name="Normal 8 3 6 4" xfId="9900" xr:uid="{2FE348F6-D83E-4B60-9C4B-6A46E19D30B0}"/>
    <cellStyle name="Normal 8 3 7" xfId="1793" xr:uid="{00000000-0005-0000-0000-0000C41D0000}"/>
    <cellStyle name="Normal 8 3 7 2" xfId="4023" xr:uid="{00000000-0005-0000-0000-0000C51D0000}"/>
    <cellStyle name="Normal 8 3 7 2 2" xfId="8247" xr:uid="{00000000-0005-0000-0000-0000C61D0000}"/>
    <cellStyle name="Normal 8 3 7 2 2 2" xfId="16676" xr:uid="{F1EDBA53-D5A3-4A51-8AC2-BD2B4ED4C0ED}"/>
    <cellStyle name="Normal 8 3 7 2 3" xfId="12458" xr:uid="{25C39183-49AE-4176-9887-9A79FDE2BF56}"/>
    <cellStyle name="Normal 8 3 7 3" xfId="6102" xr:uid="{00000000-0005-0000-0000-0000C71D0000}"/>
    <cellStyle name="Normal 8 3 7 3 2" xfId="14531" xr:uid="{826C0090-E4E8-45D0-9A3E-0A99419FDD1B}"/>
    <cellStyle name="Normal 8 3 7 4" xfId="10313" xr:uid="{34BE2578-5824-4386-AD1C-293989836C7F}"/>
    <cellStyle name="Normal 8 3 8" xfId="2207" xr:uid="{00000000-0005-0000-0000-0000C81D0000}"/>
    <cellStyle name="Normal 8 3 8 2" xfId="4436" xr:uid="{00000000-0005-0000-0000-0000C91D0000}"/>
    <cellStyle name="Normal 8 3 8 2 2" xfId="8660" xr:uid="{00000000-0005-0000-0000-0000CA1D0000}"/>
    <cellStyle name="Normal 8 3 8 2 2 2" xfId="17089" xr:uid="{5D37587E-7F8E-4F2B-B438-476163399513}"/>
    <cellStyle name="Normal 8 3 8 2 3" xfId="12871" xr:uid="{ABC9D2B9-526F-4177-AE16-3D6943EF481A}"/>
    <cellStyle name="Normal 8 3 8 3" xfId="6515" xr:uid="{00000000-0005-0000-0000-0000CB1D0000}"/>
    <cellStyle name="Normal 8 3 8 3 2" xfId="14944" xr:uid="{58E706F7-8AB2-4245-BEE5-B0502C46E1BA}"/>
    <cellStyle name="Normal 8 3 8 4" xfId="10726" xr:uid="{0826CF72-4F3C-459F-B3F8-0F8E06C2C4CA}"/>
    <cellStyle name="Normal 8 3 9" xfId="2643" xr:uid="{00000000-0005-0000-0000-0000CC1D0000}"/>
    <cellStyle name="Normal 8 3 9 2" xfId="6928" xr:uid="{00000000-0005-0000-0000-0000CD1D0000}"/>
    <cellStyle name="Normal 8 3 9 2 2" xfId="15357" xr:uid="{467D268B-80E1-4CF4-841E-669EB45F6D7A}"/>
    <cellStyle name="Normal 8 3 9 3" xfId="11139" xr:uid="{329C3936-AF70-4687-9F51-966A9AA4500C}"/>
    <cellStyle name="Normal 8 4" xfId="503" xr:uid="{00000000-0005-0000-0000-0000CE1D0000}"/>
    <cellStyle name="Normal 8 4 10" xfId="9082" xr:uid="{D08DBEF4-94AF-43B2-9A47-E2BF5271F31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2 2 2" xfId="15860" xr:uid="{E5F2E50D-8F6F-45DF-AAD8-CE04EE5C55E3}"/>
    <cellStyle name="Normal 8 4 2 2 2 2 3" xfId="11642" xr:uid="{83C26630-B83D-410D-BCD2-1E6C599440BE}"/>
    <cellStyle name="Normal 8 4 2 2 2 3" xfId="5286" xr:uid="{00000000-0005-0000-0000-0000D41D0000}"/>
    <cellStyle name="Normal 8 4 2 2 2 3 2" xfId="13715" xr:uid="{5DBAEC83-CC27-43F2-B1B3-2231FF4C66CA}"/>
    <cellStyle name="Normal 8 4 2 2 2 4" xfId="9497" xr:uid="{3C9B14B9-8050-4303-A612-809C025388E4}"/>
    <cellStyle name="Normal 8 4 2 2 3" xfId="1390" xr:uid="{00000000-0005-0000-0000-0000D51D0000}"/>
    <cellStyle name="Normal 8 4 2 2 3 2" xfId="3620" xr:uid="{00000000-0005-0000-0000-0000D61D0000}"/>
    <cellStyle name="Normal 8 4 2 2 3 2 2" xfId="7844" xr:uid="{00000000-0005-0000-0000-0000D71D0000}"/>
    <cellStyle name="Normal 8 4 2 2 3 2 2 2" xfId="16273" xr:uid="{205784B3-79CA-4DD6-88E7-47BAAF19ABD3}"/>
    <cellStyle name="Normal 8 4 2 2 3 2 3" xfId="12055" xr:uid="{3C0A1614-7FBB-4176-B17A-EABC8E594CF3}"/>
    <cellStyle name="Normal 8 4 2 2 3 3" xfId="5699" xr:uid="{00000000-0005-0000-0000-0000D81D0000}"/>
    <cellStyle name="Normal 8 4 2 2 3 3 2" xfId="14128" xr:uid="{F35378A6-7A5D-4387-B458-C91296EEFC4D}"/>
    <cellStyle name="Normal 8 4 2 2 3 4" xfId="9910" xr:uid="{009EAF12-6B0D-453A-A129-AB3819E3F246}"/>
    <cellStyle name="Normal 8 4 2 2 4" xfId="1803" xr:uid="{00000000-0005-0000-0000-0000D91D0000}"/>
    <cellStyle name="Normal 8 4 2 2 4 2" xfId="4033" xr:uid="{00000000-0005-0000-0000-0000DA1D0000}"/>
    <cellStyle name="Normal 8 4 2 2 4 2 2" xfId="8257" xr:uid="{00000000-0005-0000-0000-0000DB1D0000}"/>
    <cellStyle name="Normal 8 4 2 2 4 2 2 2" xfId="16686" xr:uid="{42785DC4-D0E7-45B0-98E6-644C2E1C5F64}"/>
    <cellStyle name="Normal 8 4 2 2 4 2 3" xfId="12468" xr:uid="{50FCD2FE-342D-4765-A474-39445BC3F512}"/>
    <cellStyle name="Normal 8 4 2 2 4 3" xfId="6112" xr:uid="{00000000-0005-0000-0000-0000DC1D0000}"/>
    <cellStyle name="Normal 8 4 2 2 4 3 2" xfId="14541" xr:uid="{DD1318EC-D4FA-4458-B6D1-889ECC7F9047}"/>
    <cellStyle name="Normal 8 4 2 2 4 4" xfId="10323" xr:uid="{5BB3AE49-3A0E-423E-B3FA-ED948533B63F}"/>
    <cellStyle name="Normal 8 4 2 2 5" xfId="2217" xr:uid="{00000000-0005-0000-0000-0000DD1D0000}"/>
    <cellStyle name="Normal 8 4 2 2 5 2" xfId="4446" xr:uid="{00000000-0005-0000-0000-0000DE1D0000}"/>
    <cellStyle name="Normal 8 4 2 2 5 2 2" xfId="8670" xr:uid="{00000000-0005-0000-0000-0000DF1D0000}"/>
    <cellStyle name="Normal 8 4 2 2 5 2 2 2" xfId="17099" xr:uid="{5977E7E6-32D0-4958-9214-F10685CA2FFD}"/>
    <cellStyle name="Normal 8 4 2 2 5 2 3" xfId="12881" xr:uid="{38903D5E-C623-4766-8480-30A7D360B9FD}"/>
    <cellStyle name="Normal 8 4 2 2 5 3" xfId="6525" xr:uid="{00000000-0005-0000-0000-0000E01D0000}"/>
    <cellStyle name="Normal 8 4 2 2 5 3 2" xfId="14954" xr:uid="{EDFAC406-2E99-4FC7-9087-F00BEF5A2707}"/>
    <cellStyle name="Normal 8 4 2 2 5 4" xfId="10736" xr:uid="{BB9B2A57-3EB4-462B-AF93-1ACCBD944820}"/>
    <cellStyle name="Normal 8 4 2 2 6" xfId="2653" xr:uid="{00000000-0005-0000-0000-0000E11D0000}"/>
    <cellStyle name="Normal 8 4 2 2 6 2" xfId="6938" xr:uid="{00000000-0005-0000-0000-0000E21D0000}"/>
    <cellStyle name="Normal 8 4 2 2 6 2 2" xfId="15367" xr:uid="{CA44A305-E299-455A-AC13-4CBE7FB80B7F}"/>
    <cellStyle name="Normal 8 4 2 2 6 3" xfId="11149" xr:uid="{1A02D330-0516-4019-A412-4D408FAFD897}"/>
    <cellStyle name="Normal 8 4 2 2 7" xfId="4873" xr:uid="{00000000-0005-0000-0000-0000E31D0000}"/>
    <cellStyle name="Normal 8 4 2 2 7 2" xfId="13302" xr:uid="{821D0154-57E6-494C-8F85-9136F200D211}"/>
    <cellStyle name="Normal 8 4 2 2 8" xfId="9084" xr:uid="{F13A0792-1641-4C84-80D4-FF5922324B56}"/>
    <cellStyle name="Normal 8 4 2 3" xfId="972" xr:uid="{00000000-0005-0000-0000-0000E41D0000}"/>
    <cellStyle name="Normal 8 4 2 3 2" xfId="3206" xr:uid="{00000000-0005-0000-0000-0000E51D0000}"/>
    <cellStyle name="Normal 8 4 2 3 2 2" xfId="7430" xr:uid="{00000000-0005-0000-0000-0000E61D0000}"/>
    <cellStyle name="Normal 8 4 2 3 2 2 2" xfId="15859" xr:uid="{10AB3CB8-3930-4256-9132-19471CFA46BF}"/>
    <cellStyle name="Normal 8 4 2 3 2 3" xfId="11641" xr:uid="{7386E350-D868-41F9-A4F5-A882623A66A0}"/>
    <cellStyle name="Normal 8 4 2 3 3" xfId="5285" xr:uid="{00000000-0005-0000-0000-0000E71D0000}"/>
    <cellStyle name="Normal 8 4 2 3 3 2" xfId="13714" xr:uid="{02567630-877B-47F3-B208-B87B1FFF7299}"/>
    <cellStyle name="Normal 8 4 2 3 4" xfId="9496" xr:uid="{E9B489BA-4F93-4148-97CE-4E9202D1E2D3}"/>
    <cellStyle name="Normal 8 4 2 4" xfId="1389" xr:uid="{00000000-0005-0000-0000-0000E81D0000}"/>
    <cellStyle name="Normal 8 4 2 4 2" xfId="3619" xr:uid="{00000000-0005-0000-0000-0000E91D0000}"/>
    <cellStyle name="Normal 8 4 2 4 2 2" xfId="7843" xr:uid="{00000000-0005-0000-0000-0000EA1D0000}"/>
    <cellStyle name="Normal 8 4 2 4 2 2 2" xfId="16272" xr:uid="{13020325-4652-4463-BDD1-438C04B8ED9C}"/>
    <cellStyle name="Normal 8 4 2 4 2 3" xfId="12054" xr:uid="{F242E8EC-874E-46F8-AED8-C855913858B9}"/>
    <cellStyle name="Normal 8 4 2 4 3" xfId="5698" xr:uid="{00000000-0005-0000-0000-0000EB1D0000}"/>
    <cellStyle name="Normal 8 4 2 4 3 2" xfId="14127" xr:uid="{8436E017-C4F4-459D-9C27-994391D21847}"/>
    <cellStyle name="Normal 8 4 2 4 4" xfId="9909" xr:uid="{72B1294A-D21E-4B77-9EF9-75A952A3D845}"/>
    <cellStyle name="Normal 8 4 2 5" xfId="1802" xr:uid="{00000000-0005-0000-0000-0000EC1D0000}"/>
    <cellStyle name="Normal 8 4 2 5 2" xfId="4032" xr:uid="{00000000-0005-0000-0000-0000ED1D0000}"/>
    <cellStyle name="Normal 8 4 2 5 2 2" xfId="8256" xr:uid="{00000000-0005-0000-0000-0000EE1D0000}"/>
    <cellStyle name="Normal 8 4 2 5 2 2 2" xfId="16685" xr:uid="{D1653E3A-0B83-431B-A7B1-BFC0ADB7F4C9}"/>
    <cellStyle name="Normal 8 4 2 5 2 3" xfId="12467" xr:uid="{A565773D-0023-477D-8EAC-0F21D60883AD}"/>
    <cellStyle name="Normal 8 4 2 5 3" xfId="6111" xr:uid="{00000000-0005-0000-0000-0000EF1D0000}"/>
    <cellStyle name="Normal 8 4 2 5 3 2" xfId="14540" xr:uid="{52FC5097-F20F-4D02-8C2B-B03C69DC04D7}"/>
    <cellStyle name="Normal 8 4 2 5 4" xfId="10322" xr:uid="{B085AF18-AA86-482B-BB6D-B02ABBC2CDC8}"/>
    <cellStyle name="Normal 8 4 2 6" xfId="2216" xr:uid="{00000000-0005-0000-0000-0000F01D0000}"/>
    <cellStyle name="Normal 8 4 2 6 2" xfId="4445" xr:uid="{00000000-0005-0000-0000-0000F11D0000}"/>
    <cellStyle name="Normal 8 4 2 6 2 2" xfId="8669" xr:uid="{00000000-0005-0000-0000-0000F21D0000}"/>
    <cellStyle name="Normal 8 4 2 6 2 2 2" xfId="17098" xr:uid="{C6BA0DF1-57FF-48F6-9629-29737AC4B6F1}"/>
    <cellStyle name="Normal 8 4 2 6 2 3" xfId="12880" xr:uid="{1DEB3DC6-9030-4B80-9119-CC5BE655159D}"/>
    <cellStyle name="Normal 8 4 2 6 3" xfId="6524" xr:uid="{00000000-0005-0000-0000-0000F31D0000}"/>
    <cellStyle name="Normal 8 4 2 6 3 2" xfId="14953" xr:uid="{E8C6E34B-39AA-43EA-9154-D4151CE0EFEA}"/>
    <cellStyle name="Normal 8 4 2 6 4" xfId="10735" xr:uid="{CF21A67D-048E-4045-8B6C-520AFA92B518}"/>
    <cellStyle name="Normal 8 4 2 7" xfId="2652" xr:uid="{00000000-0005-0000-0000-0000F41D0000}"/>
    <cellStyle name="Normal 8 4 2 7 2" xfId="6937" xr:uid="{00000000-0005-0000-0000-0000F51D0000}"/>
    <cellStyle name="Normal 8 4 2 7 2 2" xfId="15366" xr:uid="{9EC44A4A-8456-454E-A195-CAADCCD68871}"/>
    <cellStyle name="Normal 8 4 2 7 3" xfId="11148" xr:uid="{AA102BFD-3E62-4A5F-A017-18393F5404FD}"/>
    <cellStyle name="Normal 8 4 2 8" xfId="4872" xr:uid="{00000000-0005-0000-0000-0000F61D0000}"/>
    <cellStyle name="Normal 8 4 2 8 2" xfId="13301" xr:uid="{F2847B7C-902D-49F8-ACCC-976015A68E0B}"/>
    <cellStyle name="Normal 8 4 2 9" xfId="9083" xr:uid="{81EED344-EAB0-4D9E-BE36-AE00606B60A4}"/>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2 2 2" xfId="15861" xr:uid="{64A42656-0AD4-4F13-ABEA-00BB0173DF38}"/>
    <cellStyle name="Normal 8 4 3 2 2 3" xfId="11643" xr:uid="{ED10CF74-F8ED-422F-943B-C1FC78157DC9}"/>
    <cellStyle name="Normal 8 4 3 2 3" xfId="5287" xr:uid="{00000000-0005-0000-0000-0000FB1D0000}"/>
    <cellStyle name="Normal 8 4 3 2 3 2" xfId="13716" xr:uid="{4DB0BE84-CEF3-43BE-B171-C0960C6C9A60}"/>
    <cellStyle name="Normal 8 4 3 2 4" xfId="9498" xr:uid="{B6B07554-278B-409B-A679-8A0C576EE598}"/>
    <cellStyle name="Normal 8 4 3 3" xfId="1391" xr:uid="{00000000-0005-0000-0000-0000FC1D0000}"/>
    <cellStyle name="Normal 8 4 3 3 2" xfId="3621" xr:uid="{00000000-0005-0000-0000-0000FD1D0000}"/>
    <cellStyle name="Normal 8 4 3 3 2 2" xfId="7845" xr:uid="{00000000-0005-0000-0000-0000FE1D0000}"/>
    <cellStyle name="Normal 8 4 3 3 2 2 2" xfId="16274" xr:uid="{E64AD575-7507-419E-A8F4-B760DDB3CE25}"/>
    <cellStyle name="Normal 8 4 3 3 2 3" xfId="12056" xr:uid="{2852AEB8-00F9-479A-8D38-AA6E05130EB0}"/>
    <cellStyle name="Normal 8 4 3 3 3" xfId="5700" xr:uid="{00000000-0005-0000-0000-0000FF1D0000}"/>
    <cellStyle name="Normal 8 4 3 3 3 2" xfId="14129" xr:uid="{0ED6C090-35AE-4A17-AFA0-B95D11C34BB8}"/>
    <cellStyle name="Normal 8 4 3 3 4" xfId="9911" xr:uid="{FC5315DB-08D3-4B1A-A098-3E9389CA5251}"/>
    <cellStyle name="Normal 8 4 3 4" xfId="1804" xr:uid="{00000000-0005-0000-0000-0000001E0000}"/>
    <cellStyle name="Normal 8 4 3 4 2" xfId="4034" xr:uid="{00000000-0005-0000-0000-0000011E0000}"/>
    <cellStyle name="Normal 8 4 3 4 2 2" xfId="8258" xr:uid="{00000000-0005-0000-0000-0000021E0000}"/>
    <cellStyle name="Normal 8 4 3 4 2 2 2" xfId="16687" xr:uid="{83184DD9-9B3D-47D9-A726-895416F6FD11}"/>
    <cellStyle name="Normal 8 4 3 4 2 3" xfId="12469" xr:uid="{F147561B-1106-428A-9678-93540251C3CD}"/>
    <cellStyle name="Normal 8 4 3 4 3" xfId="6113" xr:uid="{00000000-0005-0000-0000-0000031E0000}"/>
    <cellStyle name="Normal 8 4 3 4 3 2" xfId="14542" xr:uid="{64F6F8C8-F0E2-4E09-8732-ACA893FBBA2B}"/>
    <cellStyle name="Normal 8 4 3 4 4" xfId="10324" xr:uid="{4479A2B1-236F-4B1A-9A29-13DBD4C2FD01}"/>
    <cellStyle name="Normal 8 4 3 5" xfId="2218" xr:uid="{00000000-0005-0000-0000-0000041E0000}"/>
    <cellStyle name="Normal 8 4 3 5 2" xfId="4447" xr:uid="{00000000-0005-0000-0000-0000051E0000}"/>
    <cellStyle name="Normal 8 4 3 5 2 2" xfId="8671" xr:uid="{00000000-0005-0000-0000-0000061E0000}"/>
    <cellStyle name="Normal 8 4 3 5 2 2 2" xfId="17100" xr:uid="{75E5B804-84B0-4F7C-BEAA-D0F48AEE2853}"/>
    <cellStyle name="Normal 8 4 3 5 2 3" xfId="12882" xr:uid="{7F79F7FF-402D-4D82-9183-38FAC2A39896}"/>
    <cellStyle name="Normal 8 4 3 5 3" xfId="6526" xr:uid="{00000000-0005-0000-0000-0000071E0000}"/>
    <cellStyle name="Normal 8 4 3 5 3 2" xfId="14955" xr:uid="{4DDDBDC2-94E8-40D1-A095-6C5B474ABD2B}"/>
    <cellStyle name="Normal 8 4 3 5 4" xfId="10737" xr:uid="{C1B5D896-273B-4D8A-8CD9-C9B776A2FFD4}"/>
    <cellStyle name="Normal 8 4 3 6" xfId="2654" xr:uid="{00000000-0005-0000-0000-0000081E0000}"/>
    <cellStyle name="Normal 8 4 3 6 2" xfId="6939" xr:uid="{00000000-0005-0000-0000-0000091E0000}"/>
    <cellStyle name="Normal 8 4 3 6 2 2" xfId="15368" xr:uid="{7606CFFF-F254-4BD9-ACF6-A72368BB4DF6}"/>
    <cellStyle name="Normal 8 4 3 6 3" xfId="11150" xr:uid="{664B2D7C-D6F5-4E71-9216-FDF7D6CBD68E}"/>
    <cellStyle name="Normal 8 4 3 7" xfId="4874" xr:uid="{00000000-0005-0000-0000-00000A1E0000}"/>
    <cellStyle name="Normal 8 4 3 7 2" xfId="13303" xr:uid="{59A2E714-EAE6-425B-A528-EFD6860692FD}"/>
    <cellStyle name="Normal 8 4 3 8" xfId="9085" xr:uid="{9ECC4BEC-A2B6-4B77-81AF-A59DE6C9618B}"/>
    <cellStyle name="Normal 8 4 4" xfId="971" xr:uid="{00000000-0005-0000-0000-00000B1E0000}"/>
    <cellStyle name="Normal 8 4 4 2" xfId="3205" xr:uid="{00000000-0005-0000-0000-00000C1E0000}"/>
    <cellStyle name="Normal 8 4 4 2 2" xfId="7429" xr:uid="{00000000-0005-0000-0000-00000D1E0000}"/>
    <cellStyle name="Normal 8 4 4 2 2 2" xfId="15858" xr:uid="{8F7B27B2-F3FA-4ADC-A88D-9A14D63147CD}"/>
    <cellStyle name="Normal 8 4 4 2 3" xfId="11640" xr:uid="{46F134D5-A758-41B6-B46C-3D4F3CA66904}"/>
    <cellStyle name="Normal 8 4 4 3" xfId="5284" xr:uid="{00000000-0005-0000-0000-00000E1E0000}"/>
    <cellStyle name="Normal 8 4 4 3 2" xfId="13713" xr:uid="{75A9EF4C-E804-44E3-A717-4D81BDEAE9BE}"/>
    <cellStyle name="Normal 8 4 4 4" xfId="9495" xr:uid="{B9272CB8-8EBF-42CF-9944-BE62A6FBCF02}"/>
    <cellStyle name="Normal 8 4 5" xfId="1388" xr:uid="{00000000-0005-0000-0000-00000F1E0000}"/>
    <cellStyle name="Normal 8 4 5 2" xfId="3618" xr:uid="{00000000-0005-0000-0000-0000101E0000}"/>
    <cellStyle name="Normal 8 4 5 2 2" xfId="7842" xr:uid="{00000000-0005-0000-0000-0000111E0000}"/>
    <cellStyle name="Normal 8 4 5 2 2 2" xfId="16271" xr:uid="{254374BE-3040-4D7C-87BB-E57864FEB471}"/>
    <cellStyle name="Normal 8 4 5 2 3" xfId="12053" xr:uid="{8E542552-EAD4-4C83-B51D-16244441D046}"/>
    <cellStyle name="Normal 8 4 5 3" xfId="5697" xr:uid="{00000000-0005-0000-0000-0000121E0000}"/>
    <cellStyle name="Normal 8 4 5 3 2" xfId="14126" xr:uid="{010CC070-1D1F-49F9-A941-2FCE0B4F439B}"/>
    <cellStyle name="Normal 8 4 5 4" xfId="9908" xr:uid="{A54F167E-E65C-4EBF-8DD4-125C985E50C2}"/>
    <cellStyle name="Normal 8 4 6" xfId="1801" xr:uid="{00000000-0005-0000-0000-0000131E0000}"/>
    <cellStyle name="Normal 8 4 6 2" xfId="4031" xr:uid="{00000000-0005-0000-0000-0000141E0000}"/>
    <cellStyle name="Normal 8 4 6 2 2" xfId="8255" xr:uid="{00000000-0005-0000-0000-0000151E0000}"/>
    <cellStyle name="Normal 8 4 6 2 2 2" xfId="16684" xr:uid="{42CBCA41-CD72-4277-82E2-BFD53B3166EB}"/>
    <cellStyle name="Normal 8 4 6 2 3" xfId="12466" xr:uid="{BAD8BFCC-05A5-4304-A581-AEA7AD73B1FD}"/>
    <cellStyle name="Normal 8 4 6 3" xfId="6110" xr:uid="{00000000-0005-0000-0000-0000161E0000}"/>
    <cellStyle name="Normal 8 4 6 3 2" xfId="14539" xr:uid="{AE71EEEB-D272-43BB-B01E-757AE62A6872}"/>
    <cellStyle name="Normal 8 4 6 4" xfId="10321" xr:uid="{25BD473D-5E28-47B1-AE41-C9C9CDAA35D8}"/>
    <cellStyle name="Normal 8 4 7" xfId="2215" xr:uid="{00000000-0005-0000-0000-0000171E0000}"/>
    <cellStyle name="Normal 8 4 7 2" xfId="4444" xr:uid="{00000000-0005-0000-0000-0000181E0000}"/>
    <cellStyle name="Normal 8 4 7 2 2" xfId="8668" xr:uid="{00000000-0005-0000-0000-0000191E0000}"/>
    <cellStyle name="Normal 8 4 7 2 2 2" xfId="17097" xr:uid="{2F503442-A7D4-4D4F-8A12-593657A943E3}"/>
    <cellStyle name="Normal 8 4 7 2 3" xfId="12879" xr:uid="{570497D4-CA1C-44FC-A4D5-A2029F9E8B30}"/>
    <cellStyle name="Normal 8 4 7 3" xfId="6523" xr:uid="{00000000-0005-0000-0000-00001A1E0000}"/>
    <cellStyle name="Normal 8 4 7 3 2" xfId="14952" xr:uid="{CBB9786E-E7F4-4476-AB7F-F5932E67DBB4}"/>
    <cellStyle name="Normal 8 4 7 4" xfId="10734" xr:uid="{38AE30CC-6638-4E57-85FA-ABE5FF188AFA}"/>
    <cellStyle name="Normal 8 4 8" xfId="2651" xr:uid="{00000000-0005-0000-0000-00001B1E0000}"/>
    <cellStyle name="Normal 8 4 8 2" xfId="6936" xr:uid="{00000000-0005-0000-0000-00001C1E0000}"/>
    <cellStyle name="Normal 8 4 8 2 2" xfId="15365" xr:uid="{49CCA1C0-6C13-48C8-B61B-01184341972D}"/>
    <cellStyle name="Normal 8 4 8 3" xfId="11147" xr:uid="{216173BC-E098-4FE7-B03E-227F1562DB25}"/>
    <cellStyle name="Normal 8 4 9" xfId="4871" xr:uid="{00000000-0005-0000-0000-00001D1E0000}"/>
    <cellStyle name="Normal 8 4 9 2" xfId="13300" xr:uid="{51A453D5-DACA-4EEC-8FF0-2D1499B79282}"/>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2 2 2" xfId="15863" xr:uid="{81CDF6D1-CF7B-40A7-9BA8-981EDA964A47}"/>
    <cellStyle name="Normal 8 5 2 2 2 3" xfId="11645" xr:uid="{EDCAB3B7-2FD8-437C-ABFD-BE9191991AB9}"/>
    <cellStyle name="Normal 8 5 2 2 3" xfId="5289" xr:uid="{00000000-0005-0000-0000-0000231E0000}"/>
    <cellStyle name="Normal 8 5 2 2 3 2" xfId="13718" xr:uid="{13AA1120-4A37-4FB1-83B9-53F8B4157D00}"/>
    <cellStyle name="Normal 8 5 2 2 4" xfId="9500" xr:uid="{522BC989-FB0E-4BC9-829E-B9A7FF309AF5}"/>
    <cellStyle name="Normal 8 5 2 3" xfId="1393" xr:uid="{00000000-0005-0000-0000-0000241E0000}"/>
    <cellStyle name="Normal 8 5 2 3 2" xfId="3623" xr:uid="{00000000-0005-0000-0000-0000251E0000}"/>
    <cellStyle name="Normal 8 5 2 3 2 2" xfId="7847" xr:uid="{00000000-0005-0000-0000-0000261E0000}"/>
    <cellStyle name="Normal 8 5 2 3 2 2 2" xfId="16276" xr:uid="{FA03EF0D-84A0-41A6-A06B-4B0256B94D44}"/>
    <cellStyle name="Normal 8 5 2 3 2 3" xfId="12058" xr:uid="{7CDB92A9-77AC-4A6A-8543-ECEF3E550A08}"/>
    <cellStyle name="Normal 8 5 2 3 3" xfId="5702" xr:uid="{00000000-0005-0000-0000-0000271E0000}"/>
    <cellStyle name="Normal 8 5 2 3 3 2" xfId="14131" xr:uid="{D942BE72-C1DB-4673-A07D-0500300B3A0E}"/>
    <cellStyle name="Normal 8 5 2 3 4" xfId="9913" xr:uid="{90FE3520-E3D0-4893-8B67-95915590565A}"/>
    <cellStyle name="Normal 8 5 2 4" xfId="1806" xr:uid="{00000000-0005-0000-0000-0000281E0000}"/>
    <cellStyle name="Normal 8 5 2 4 2" xfId="4036" xr:uid="{00000000-0005-0000-0000-0000291E0000}"/>
    <cellStyle name="Normal 8 5 2 4 2 2" xfId="8260" xr:uid="{00000000-0005-0000-0000-00002A1E0000}"/>
    <cellStyle name="Normal 8 5 2 4 2 2 2" xfId="16689" xr:uid="{7ECCA0E6-A069-4F12-B989-B44D0D8E4D13}"/>
    <cellStyle name="Normal 8 5 2 4 2 3" xfId="12471" xr:uid="{DAD17C5B-47A4-498F-A2D0-8E8240CCFE91}"/>
    <cellStyle name="Normal 8 5 2 4 3" xfId="6115" xr:uid="{00000000-0005-0000-0000-00002B1E0000}"/>
    <cellStyle name="Normal 8 5 2 4 3 2" xfId="14544" xr:uid="{B8C99644-CB2E-4C92-AC2E-34A9B2B03D49}"/>
    <cellStyle name="Normal 8 5 2 4 4" xfId="10326" xr:uid="{BBE91C12-C8A0-4CAC-AB90-157070E40991}"/>
    <cellStyle name="Normal 8 5 2 5" xfId="2220" xr:uid="{00000000-0005-0000-0000-00002C1E0000}"/>
    <cellStyle name="Normal 8 5 2 5 2" xfId="4449" xr:uid="{00000000-0005-0000-0000-00002D1E0000}"/>
    <cellStyle name="Normal 8 5 2 5 2 2" xfId="8673" xr:uid="{00000000-0005-0000-0000-00002E1E0000}"/>
    <cellStyle name="Normal 8 5 2 5 2 2 2" xfId="17102" xr:uid="{7D2002CA-8062-41C0-80D2-E29075AA1514}"/>
    <cellStyle name="Normal 8 5 2 5 2 3" xfId="12884" xr:uid="{E32DC477-FC1E-4A54-AB61-3F1CB21363C4}"/>
    <cellStyle name="Normal 8 5 2 5 3" xfId="6528" xr:uid="{00000000-0005-0000-0000-00002F1E0000}"/>
    <cellStyle name="Normal 8 5 2 5 3 2" xfId="14957" xr:uid="{9E33AF0A-70AC-4384-B1A0-F77157DA618D}"/>
    <cellStyle name="Normal 8 5 2 5 4" xfId="10739" xr:uid="{1FE9A281-7C8A-45B6-A045-5EB751251C92}"/>
    <cellStyle name="Normal 8 5 2 6" xfId="2656" xr:uid="{00000000-0005-0000-0000-0000301E0000}"/>
    <cellStyle name="Normal 8 5 2 6 2" xfId="6941" xr:uid="{00000000-0005-0000-0000-0000311E0000}"/>
    <cellStyle name="Normal 8 5 2 6 2 2" xfId="15370" xr:uid="{8DAC7945-3FB3-455A-8FF4-2628AE3240CC}"/>
    <cellStyle name="Normal 8 5 2 6 3" xfId="11152" xr:uid="{04017F8B-BAC6-450D-9E39-3138A6CE97F7}"/>
    <cellStyle name="Normal 8 5 2 7" xfId="4876" xr:uid="{00000000-0005-0000-0000-0000321E0000}"/>
    <cellStyle name="Normal 8 5 2 7 2" xfId="13305" xr:uid="{103DD359-FC78-4379-90A7-DCCDBBCDD627}"/>
    <cellStyle name="Normal 8 5 2 8" xfId="9087" xr:uid="{CB7F62A2-9EA3-498D-8D9D-CA110C04D93C}"/>
    <cellStyle name="Normal 8 5 3" xfId="975" xr:uid="{00000000-0005-0000-0000-0000331E0000}"/>
    <cellStyle name="Normal 8 5 3 2" xfId="3209" xr:uid="{00000000-0005-0000-0000-0000341E0000}"/>
    <cellStyle name="Normal 8 5 3 2 2" xfId="7433" xr:uid="{00000000-0005-0000-0000-0000351E0000}"/>
    <cellStyle name="Normal 8 5 3 2 2 2" xfId="15862" xr:uid="{184EFFF0-269C-4658-A5CE-F4170954F4C1}"/>
    <cellStyle name="Normal 8 5 3 2 3" xfId="11644" xr:uid="{8013C650-A31C-4678-B6B2-B479BE9AC508}"/>
    <cellStyle name="Normal 8 5 3 3" xfId="5288" xr:uid="{00000000-0005-0000-0000-0000361E0000}"/>
    <cellStyle name="Normal 8 5 3 3 2" xfId="13717" xr:uid="{8BBA4481-E81E-424E-B919-2A10F3060FF9}"/>
    <cellStyle name="Normal 8 5 3 4" xfId="9499" xr:uid="{6353EC14-4910-4B1E-B5E2-1DD4C92C595B}"/>
    <cellStyle name="Normal 8 5 4" xfId="1392" xr:uid="{00000000-0005-0000-0000-0000371E0000}"/>
    <cellStyle name="Normal 8 5 4 2" xfId="3622" xr:uid="{00000000-0005-0000-0000-0000381E0000}"/>
    <cellStyle name="Normal 8 5 4 2 2" xfId="7846" xr:uid="{00000000-0005-0000-0000-0000391E0000}"/>
    <cellStyle name="Normal 8 5 4 2 2 2" xfId="16275" xr:uid="{6AAB3775-E01B-41AF-AE1A-6E18A32C6DD3}"/>
    <cellStyle name="Normal 8 5 4 2 3" xfId="12057" xr:uid="{C18A4875-748C-482C-AF3C-F54998EA1AEA}"/>
    <cellStyle name="Normal 8 5 4 3" xfId="5701" xr:uid="{00000000-0005-0000-0000-00003A1E0000}"/>
    <cellStyle name="Normal 8 5 4 3 2" xfId="14130" xr:uid="{6E06F2DE-E072-46AC-BE44-C86B181F66D0}"/>
    <cellStyle name="Normal 8 5 4 4" xfId="9912" xr:uid="{E45C942D-C4BE-4483-BEB5-8FC9506A1650}"/>
    <cellStyle name="Normal 8 5 5" xfId="1805" xr:uid="{00000000-0005-0000-0000-00003B1E0000}"/>
    <cellStyle name="Normal 8 5 5 2" xfId="4035" xr:uid="{00000000-0005-0000-0000-00003C1E0000}"/>
    <cellStyle name="Normal 8 5 5 2 2" xfId="8259" xr:uid="{00000000-0005-0000-0000-00003D1E0000}"/>
    <cellStyle name="Normal 8 5 5 2 2 2" xfId="16688" xr:uid="{71E41241-A4D6-47FD-BB43-B2E9DB684DBB}"/>
    <cellStyle name="Normal 8 5 5 2 3" xfId="12470" xr:uid="{06E480C4-A8D9-4597-A705-20829636FBD3}"/>
    <cellStyle name="Normal 8 5 5 3" xfId="6114" xr:uid="{00000000-0005-0000-0000-00003E1E0000}"/>
    <cellStyle name="Normal 8 5 5 3 2" xfId="14543" xr:uid="{780378B7-6EE2-4862-81F4-C3EC7952A700}"/>
    <cellStyle name="Normal 8 5 5 4" xfId="10325" xr:uid="{4C4AF4BB-80BD-46ED-AF26-9965A2139332}"/>
    <cellStyle name="Normal 8 5 6" xfId="2219" xr:uid="{00000000-0005-0000-0000-00003F1E0000}"/>
    <cellStyle name="Normal 8 5 6 2" xfId="4448" xr:uid="{00000000-0005-0000-0000-0000401E0000}"/>
    <cellStyle name="Normal 8 5 6 2 2" xfId="8672" xr:uid="{00000000-0005-0000-0000-0000411E0000}"/>
    <cellStyle name="Normal 8 5 6 2 2 2" xfId="17101" xr:uid="{B55A8692-F95A-4A32-B3F7-FF81A7D808A4}"/>
    <cellStyle name="Normal 8 5 6 2 3" xfId="12883" xr:uid="{F34DECCF-BEE9-42CB-9CB0-49FC35E59EEE}"/>
    <cellStyle name="Normal 8 5 6 3" xfId="6527" xr:uid="{00000000-0005-0000-0000-0000421E0000}"/>
    <cellStyle name="Normal 8 5 6 3 2" xfId="14956" xr:uid="{5E9C9BFC-8162-4CC0-8EF9-EE0F1F9B3561}"/>
    <cellStyle name="Normal 8 5 6 4" xfId="10738" xr:uid="{F616A57E-0F73-4BCC-B66E-1759424AF910}"/>
    <cellStyle name="Normal 8 5 7" xfId="2655" xr:uid="{00000000-0005-0000-0000-0000431E0000}"/>
    <cellStyle name="Normal 8 5 7 2" xfId="6940" xr:uid="{00000000-0005-0000-0000-0000441E0000}"/>
    <cellStyle name="Normal 8 5 7 2 2" xfId="15369" xr:uid="{E9BB4FDF-C1B1-4F71-A844-7DA289D0EA19}"/>
    <cellStyle name="Normal 8 5 7 3" xfId="11151" xr:uid="{3D6E53C0-506C-432D-B664-03CFA8E0194C}"/>
    <cellStyle name="Normal 8 5 8" xfId="4875" xr:uid="{00000000-0005-0000-0000-0000451E0000}"/>
    <cellStyle name="Normal 8 5 8 2" xfId="13304" xr:uid="{E847FBF0-C3FF-4149-952A-E8C0AA93DB74}"/>
    <cellStyle name="Normal 8 5 9" xfId="9086" xr:uid="{E9A6A455-D02E-4E4E-98BA-33B9076F2E27}"/>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2 2 2" xfId="15864" xr:uid="{3A09262E-99B0-4651-A00C-8FC2C57970D1}"/>
    <cellStyle name="Normal 8 6 2 2 3" xfId="11646" xr:uid="{A98249CB-E0DB-4BF4-A04C-B2FBD6C385E0}"/>
    <cellStyle name="Normal 8 6 2 3" xfId="5290" xr:uid="{00000000-0005-0000-0000-00004A1E0000}"/>
    <cellStyle name="Normal 8 6 2 3 2" xfId="13719" xr:uid="{7CEADD18-4500-4BBF-A4CB-CE832E096073}"/>
    <cellStyle name="Normal 8 6 2 4" xfId="9501" xr:uid="{8F8C4AFA-FA6A-42CE-976D-F29BA6B84792}"/>
    <cellStyle name="Normal 8 6 3" xfId="1394" xr:uid="{00000000-0005-0000-0000-00004B1E0000}"/>
    <cellStyle name="Normal 8 6 3 2" xfId="3624" xr:uid="{00000000-0005-0000-0000-00004C1E0000}"/>
    <cellStyle name="Normal 8 6 3 2 2" xfId="7848" xr:uid="{00000000-0005-0000-0000-00004D1E0000}"/>
    <cellStyle name="Normal 8 6 3 2 2 2" xfId="16277" xr:uid="{3D30DAB1-8A5F-4C18-8692-8138614C97E0}"/>
    <cellStyle name="Normal 8 6 3 2 3" xfId="12059" xr:uid="{149DC72E-9DA7-4E1D-8237-5467A2BB7612}"/>
    <cellStyle name="Normal 8 6 3 3" xfId="5703" xr:uid="{00000000-0005-0000-0000-00004E1E0000}"/>
    <cellStyle name="Normal 8 6 3 3 2" xfId="14132" xr:uid="{09AEA986-158C-476E-9DCE-1A70A661D322}"/>
    <cellStyle name="Normal 8 6 3 4" xfId="9914" xr:uid="{C77CDF05-B55F-438B-BEFB-87B857AC2A60}"/>
    <cellStyle name="Normal 8 6 4" xfId="1807" xr:uid="{00000000-0005-0000-0000-00004F1E0000}"/>
    <cellStyle name="Normal 8 6 4 2" xfId="4037" xr:uid="{00000000-0005-0000-0000-0000501E0000}"/>
    <cellStyle name="Normal 8 6 4 2 2" xfId="8261" xr:uid="{00000000-0005-0000-0000-0000511E0000}"/>
    <cellStyle name="Normal 8 6 4 2 2 2" xfId="16690" xr:uid="{D3615D0C-BAD2-4130-B122-E98B305B0016}"/>
    <cellStyle name="Normal 8 6 4 2 3" xfId="12472" xr:uid="{14111825-C9AE-40E2-9EFD-1126D18FD366}"/>
    <cellStyle name="Normal 8 6 4 3" xfId="6116" xr:uid="{00000000-0005-0000-0000-0000521E0000}"/>
    <cellStyle name="Normal 8 6 4 3 2" xfId="14545" xr:uid="{534B255B-5249-406F-9FF1-D1128F0D0A08}"/>
    <cellStyle name="Normal 8 6 4 4" xfId="10327" xr:uid="{8AF67176-90EA-438A-BA04-58F29DCC406A}"/>
    <cellStyle name="Normal 8 6 5" xfId="2221" xr:uid="{00000000-0005-0000-0000-0000531E0000}"/>
    <cellStyle name="Normal 8 6 5 2" xfId="4450" xr:uid="{00000000-0005-0000-0000-0000541E0000}"/>
    <cellStyle name="Normal 8 6 5 2 2" xfId="8674" xr:uid="{00000000-0005-0000-0000-0000551E0000}"/>
    <cellStyle name="Normal 8 6 5 2 2 2" xfId="17103" xr:uid="{253075C4-8594-46A4-8BEB-BF72C9AD77EB}"/>
    <cellStyle name="Normal 8 6 5 2 3" xfId="12885" xr:uid="{8AE3484A-3455-4D8E-8226-8A85391E2C6E}"/>
    <cellStyle name="Normal 8 6 5 3" xfId="6529" xr:uid="{00000000-0005-0000-0000-0000561E0000}"/>
    <cellStyle name="Normal 8 6 5 3 2" xfId="14958" xr:uid="{3FA2BE93-AD23-4011-903E-D0F3490AEE32}"/>
    <cellStyle name="Normal 8 6 5 4" xfId="10740" xr:uid="{32D7B18F-407E-404D-8CF7-57205649E8C0}"/>
    <cellStyle name="Normal 8 6 6" xfId="2657" xr:uid="{00000000-0005-0000-0000-0000571E0000}"/>
    <cellStyle name="Normal 8 6 6 2" xfId="6942" xr:uid="{00000000-0005-0000-0000-0000581E0000}"/>
    <cellStyle name="Normal 8 6 6 2 2" xfId="15371" xr:uid="{786ABDB2-D733-45E7-9C03-1BB2822FA29A}"/>
    <cellStyle name="Normal 8 6 6 3" xfId="11153" xr:uid="{AF077E4C-7CA7-4839-BE6A-B347D88F909F}"/>
    <cellStyle name="Normal 8 6 7" xfId="4877" xr:uid="{00000000-0005-0000-0000-0000591E0000}"/>
    <cellStyle name="Normal 8 6 7 2" xfId="13306" xr:uid="{C71CEF9F-7BAA-4DF2-ACB7-1AC1B0B53800}"/>
    <cellStyle name="Normal 8 6 8" xfId="9088" xr:uid="{97153A63-5D50-46BE-9951-4C9E117A41C6}"/>
    <cellStyle name="Normal 8 7" xfId="946" xr:uid="{00000000-0005-0000-0000-00005A1E0000}"/>
    <cellStyle name="Normal 8 7 2" xfId="3180" xr:uid="{00000000-0005-0000-0000-00005B1E0000}"/>
    <cellStyle name="Normal 8 7 2 2" xfId="7404" xr:uid="{00000000-0005-0000-0000-00005C1E0000}"/>
    <cellStyle name="Normal 8 7 2 2 2" xfId="15833" xr:uid="{E2ED3ED7-B91C-4C85-93CF-4FC8FC5DA517}"/>
    <cellStyle name="Normal 8 7 2 3" xfId="11615" xr:uid="{AAF653DB-022F-479D-8338-3AAC3F60FAD1}"/>
    <cellStyle name="Normal 8 7 3" xfId="5259" xr:uid="{00000000-0005-0000-0000-00005D1E0000}"/>
    <cellStyle name="Normal 8 7 3 2" xfId="13688" xr:uid="{F134ADBB-1A15-4436-8613-D274BE29CD33}"/>
    <cellStyle name="Normal 8 7 4" xfId="9470" xr:uid="{5B6541F1-553B-4F34-A6C6-BF8F03CE8CA9}"/>
    <cellStyle name="Normal 8 8" xfId="1363" xr:uid="{00000000-0005-0000-0000-00005E1E0000}"/>
    <cellStyle name="Normal 8 8 2" xfId="3593" xr:uid="{00000000-0005-0000-0000-00005F1E0000}"/>
    <cellStyle name="Normal 8 8 2 2" xfId="7817" xr:uid="{00000000-0005-0000-0000-0000601E0000}"/>
    <cellStyle name="Normal 8 8 2 2 2" xfId="16246" xr:uid="{1A094D63-BC9E-48B1-8CB6-89EC3F5CE3D9}"/>
    <cellStyle name="Normal 8 8 2 3" xfId="12028" xr:uid="{7EAB67B0-9D09-4BEE-88A2-C0672CFFA54A}"/>
    <cellStyle name="Normal 8 8 3" xfId="5672" xr:uid="{00000000-0005-0000-0000-0000611E0000}"/>
    <cellStyle name="Normal 8 8 3 2" xfId="14101" xr:uid="{A7DEDD78-0D54-4C91-9A5B-F0ECAC3E2977}"/>
    <cellStyle name="Normal 8 8 4" xfId="9883" xr:uid="{3E26FDF5-F9C5-486A-B079-98D537551061}"/>
    <cellStyle name="Normal 8 9" xfId="1776" xr:uid="{00000000-0005-0000-0000-0000621E0000}"/>
    <cellStyle name="Normal 8 9 2" xfId="4006" xr:uid="{00000000-0005-0000-0000-0000631E0000}"/>
    <cellStyle name="Normal 8 9 2 2" xfId="8230" xr:uid="{00000000-0005-0000-0000-0000641E0000}"/>
    <cellStyle name="Normal 8 9 2 2 2" xfId="16659" xr:uid="{621CE514-67A6-4487-92F2-10EAD5E030F0}"/>
    <cellStyle name="Normal 8 9 2 3" xfId="12441" xr:uid="{F45BD8EC-B754-4277-9321-89C09FED5D87}"/>
    <cellStyle name="Normal 8 9 3" xfId="6085" xr:uid="{00000000-0005-0000-0000-0000651E0000}"/>
    <cellStyle name="Normal 8 9 3 2" xfId="14514" xr:uid="{83D1A9F0-B5D5-41BA-8879-5E128E2BB3D9}"/>
    <cellStyle name="Normal 8 9 4" xfId="10296" xr:uid="{6560E34B-B424-4FEB-8663-7288E0D345F5}"/>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0 2 2" xfId="15372" xr:uid="{624D088D-23A9-4C60-8B52-A5447554E56F}"/>
    <cellStyle name="Normal 9 2 10 3" xfId="11154" xr:uid="{323116C1-E22F-4BC5-BE58-C82929D064F7}"/>
    <cellStyle name="Normal 9 2 11" xfId="4878" xr:uid="{00000000-0005-0000-0000-00006A1E0000}"/>
    <cellStyle name="Normal 9 2 11 2" xfId="13307" xr:uid="{15E87D18-51BE-4544-BD37-901C6BDF4C7E}"/>
    <cellStyle name="Normal 9 2 12" xfId="9089" xr:uid="{93E184B1-2012-4879-82BD-E48A7BA75656}"/>
    <cellStyle name="Normal 9 2 2" xfId="512" xr:uid="{00000000-0005-0000-0000-00006B1E0000}"/>
    <cellStyle name="Normal 9 2 2 10" xfId="4879" xr:uid="{00000000-0005-0000-0000-00006C1E0000}"/>
    <cellStyle name="Normal 9 2 2 10 2" xfId="13308" xr:uid="{D49DAC75-41BE-4E8A-9866-FCD216BDEF9B}"/>
    <cellStyle name="Normal 9 2 2 11" xfId="9090" xr:uid="{599E94B8-4674-4156-9983-D194C9D0BC45}"/>
    <cellStyle name="Normal 9 2 2 2" xfId="513" xr:uid="{00000000-0005-0000-0000-00006D1E0000}"/>
    <cellStyle name="Normal 9 2 2 2 10" xfId="9091" xr:uid="{875FF11C-1375-4B43-8433-CC073EEEAC45}"/>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2 2 2" xfId="15869" xr:uid="{6693F24A-8B98-4438-B807-D111183B1D3C}"/>
    <cellStyle name="Normal 9 2 2 2 2 2 2 2 3" xfId="11651" xr:uid="{9630681F-C979-4439-A6B2-5AD1B236EFFE}"/>
    <cellStyle name="Normal 9 2 2 2 2 2 2 3" xfId="5295" xr:uid="{00000000-0005-0000-0000-0000731E0000}"/>
    <cellStyle name="Normal 9 2 2 2 2 2 2 3 2" xfId="13724" xr:uid="{F9CEB548-B04D-4153-BE2E-C310227186C8}"/>
    <cellStyle name="Normal 9 2 2 2 2 2 2 4" xfId="9506" xr:uid="{AAFEB17E-FB4D-4EA9-8CB6-C5B55885FEDA}"/>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2 2 2" xfId="16282" xr:uid="{CA382F57-88E0-4023-BA92-9C06CBB64444}"/>
    <cellStyle name="Normal 9 2 2 2 2 2 3 2 3" xfId="12064" xr:uid="{74B7FF17-F53F-4E03-A126-ED4407CF64B9}"/>
    <cellStyle name="Normal 9 2 2 2 2 2 3 3" xfId="5708" xr:uid="{00000000-0005-0000-0000-0000771E0000}"/>
    <cellStyle name="Normal 9 2 2 2 2 2 3 3 2" xfId="14137" xr:uid="{4D3CE534-D058-49FA-91B9-0E53297F1415}"/>
    <cellStyle name="Normal 9 2 2 2 2 2 3 4" xfId="9919" xr:uid="{F8E2B864-17F0-4BDA-823F-027ECF12D43F}"/>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2 2 2" xfId="16695" xr:uid="{BFC14910-0B0B-4FBA-9ED3-9D42E0CCBD3B}"/>
    <cellStyle name="Normal 9 2 2 2 2 2 4 2 3" xfId="12477" xr:uid="{FEACE202-BD6D-46DC-A2F8-AB5DCBD8279C}"/>
    <cellStyle name="Normal 9 2 2 2 2 2 4 3" xfId="6121" xr:uid="{00000000-0005-0000-0000-00007B1E0000}"/>
    <cellStyle name="Normal 9 2 2 2 2 2 4 3 2" xfId="14550" xr:uid="{A7C5A46D-53FC-47C2-ABDC-C67C168AA4C1}"/>
    <cellStyle name="Normal 9 2 2 2 2 2 4 4" xfId="10332" xr:uid="{18B611E7-5458-4971-A279-5EF4AD92D131}"/>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2 2 2" xfId="17108" xr:uid="{0AA2A40A-A634-4EF2-8860-8A9EB10786AA}"/>
    <cellStyle name="Normal 9 2 2 2 2 2 5 2 3" xfId="12890" xr:uid="{A89FA860-0568-4A14-8C89-511AEEBC3AA9}"/>
    <cellStyle name="Normal 9 2 2 2 2 2 5 3" xfId="6534" xr:uid="{00000000-0005-0000-0000-00007F1E0000}"/>
    <cellStyle name="Normal 9 2 2 2 2 2 5 3 2" xfId="14963" xr:uid="{275A2AA8-6017-4B0B-9B39-86B75F480C19}"/>
    <cellStyle name="Normal 9 2 2 2 2 2 5 4" xfId="10745" xr:uid="{00BFA9BE-61CB-47D6-9001-485A987C7372}"/>
    <cellStyle name="Normal 9 2 2 2 2 2 6" xfId="2662" xr:uid="{00000000-0005-0000-0000-0000801E0000}"/>
    <cellStyle name="Normal 9 2 2 2 2 2 6 2" xfId="6947" xr:uid="{00000000-0005-0000-0000-0000811E0000}"/>
    <cellStyle name="Normal 9 2 2 2 2 2 6 2 2" xfId="15376" xr:uid="{DC04D34D-A4E1-4B00-A308-6F2930919B6B}"/>
    <cellStyle name="Normal 9 2 2 2 2 2 6 3" xfId="11158" xr:uid="{C3062348-A9F0-4E4B-96EF-A446974B077A}"/>
    <cellStyle name="Normal 9 2 2 2 2 2 7" xfId="4882" xr:uid="{00000000-0005-0000-0000-0000821E0000}"/>
    <cellStyle name="Normal 9 2 2 2 2 2 7 2" xfId="13311" xr:uid="{B403EE67-73D0-481C-B6FE-2715CC0639A5}"/>
    <cellStyle name="Normal 9 2 2 2 2 2 8" xfId="9093" xr:uid="{C2878737-82A4-497E-9A85-AE6D615401AA}"/>
    <cellStyle name="Normal 9 2 2 2 2 3" xfId="982" xr:uid="{00000000-0005-0000-0000-0000831E0000}"/>
    <cellStyle name="Normal 9 2 2 2 2 3 2" xfId="3215" xr:uid="{00000000-0005-0000-0000-0000841E0000}"/>
    <cellStyle name="Normal 9 2 2 2 2 3 2 2" xfId="7439" xr:uid="{00000000-0005-0000-0000-0000851E0000}"/>
    <cellStyle name="Normal 9 2 2 2 2 3 2 2 2" xfId="15868" xr:uid="{4A7A8539-F7F2-4451-9556-54E18D3C3364}"/>
    <cellStyle name="Normal 9 2 2 2 2 3 2 3" xfId="11650" xr:uid="{F9D3595C-EED9-42CE-8BA4-0B6BA1834A48}"/>
    <cellStyle name="Normal 9 2 2 2 2 3 3" xfId="5294" xr:uid="{00000000-0005-0000-0000-0000861E0000}"/>
    <cellStyle name="Normal 9 2 2 2 2 3 3 2" xfId="13723" xr:uid="{5180FD12-434F-42C9-88F6-DD7C0C0699F7}"/>
    <cellStyle name="Normal 9 2 2 2 2 3 4" xfId="9505" xr:uid="{C42DA2D9-DA96-4314-8F57-B497134156F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2 2 2" xfId="16281" xr:uid="{E3DBA0C8-71B7-4AD6-8123-8876F891D434}"/>
    <cellStyle name="Normal 9 2 2 2 2 4 2 3" xfId="12063" xr:uid="{71672CCB-AD7C-47DC-8DE6-A44F6B76D32C}"/>
    <cellStyle name="Normal 9 2 2 2 2 4 3" xfId="5707" xr:uid="{00000000-0005-0000-0000-00008A1E0000}"/>
    <cellStyle name="Normal 9 2 2 2 2 4 3 2" xfId="14136" xr:uid="{BD685144-8D62-41C9-884B-F30F964CFF4D}"/>
    <cellStyle name="Normal 9 2 2 2 2 4 4" xfId="9918" xr:uid="{2A74E29F-318D-4DBF-90A2-661A76E99225}"/>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2 2 2" xfId="16694" xr:uid="{BA954DE8-6478-4E83-99AD-DE1CAECDB51C}"/>
    <cellStyle name="Normal 9 2 2 2 2 5 2 3" xfId="12476" xr:uid="{4E943B38-39B7-4884-9628-E6AA292D05AB}"/>
    <cellStyle name="Normal 9 2 2 2 2 5 3" xfId="6120" xr:uid="{00000000-0005-0000-0000-00008E1E0000}"/>
    <cellStyle name="Normal 9 2 2 2 2 5 3 2" xfId="14549" xr:uid="{BB1CAB21-AF48-49F2-BEB8-EFEEB0C7572B}"/>
    <cellStyle name="Normal 9 2 2 2 2 5 4" xfId="10331" xr:uid="{8E9CF1E8-A63A-4BAF-A6FE-F308AE5BE6D8}"/>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2 2 2" xfId="17107" xr:uid="{D1F43883-258D-4336-AD24-F4D78CAE8FF7}"/>
    <cellStyle name="Normal 9 2 2 2 2 6 2 3" xfId="12889" xr:uid="{90B1205B-D90C-4BDB-B943-977FD6CCA1FA}"/>
    <cellStyle name="Normal 9 2 2 2 2 6 3" xfId="6533" xr:uid="{00000000-0005-0000-0000-0000921E0000}"/>
    <cellStyle name="Normal 9 2 2 2 2 6 3 2" xfId="14962" xr:uid="{C5B05DC3-49AE-45BE-AAC9-00F79756BDDC}"/>
    <cellStyle name="Normal 9 2 2 2 2 6 4" xfId="10744" xr:uid="{EEA75E67-B88F-4CCD-AAF2-16763CFEF1A0}"/>
    <cellStyle name="Normal 9 2 2 2 2 7" xfId="2661" xr:uid="{00000000-0005-0000-0000-0000931E0000}"/>
    <cellStyle name="Normal 9 2 2 2 2 7 2" xfId="6946" xr:uid="{00000000-0005-0000-0000-0000941E0000}"/>
    <cellStyle name="Normal 9 2 2 2 2 7 2 2" xfId="15375" xr:uid="{63273235-8896-481A-827A-E23ACF582ACE}"/>
    <cellStyle name="Normal 9 2 2 2 2 7 3" xfId="11157" xr:uid="{B140754F-0C08-4B30-8A9F-359D3A22DE95}"/>
    <cellStyle name="Normal 9 2 2 2 2 8" xfId="4881" xr:uid="{00000000-0005-0000-0000-0000951E0000}"/>
    <cellStyle name="Normal 9 2 2 2 2 8 2" xfId="13310" xr:uid="{F6B7E0D0-405F-43BF-88BC-70DF550313F6}"/>
    <cellStyle name="Normal 9 2 2 2 2 9" xfId="9092" xr:uid="{AD39D6B9-AAA9-406E-980B-53F68F97A099}"/>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2 2 2" xfId="15870" xr:uid="{29E6E35E-5BEB-4EE6-A9E6-A87EC09E6514}"/>
    <cellStyle name="Normal 9 2 2 2 3 2 2 3" xfId="11652" xr:uid="{7E1974E7-337B-4BF8-B7C3-CE269B264231}"/>
    <cellStyle name="Normal 9 2 2 2 3 2 3" xfId="5296" xr:uid="{00000000-0005-0000-0000-00009A1E0000}"/>
    <cellStyle name="Normal 9 2 2 2 3 2 3 2" xfId="13725" xr:uid="{3D722E62-28C9-4534-89F6-8271666274B8}"/>
    <cellStyle name="Normal 9 2 2 2 3 2 4" xfId="9507" xr:uid="{76A0DDA9-B85C-46A9-A380-30E923360A2B}"/>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2 2 2" xfId="16283" xr:uid="{939A3672-9314-40E0-B7D0-C0136E9081A3}"/>
    <cellStyle name="Normal 9 2 2 2 3 3 2 3" xfId="12065" xr:uid="{6316A59A-61DC-4467-BC32-343A49B1E2D9}"/>
    <cellStyle name="Normal 9 2 2 2 3 3 3" xfId="5709" xr:uid="{00000000-0005-0000-0000-00009E1E0000}"/>
    <cellStyle name="Normal 9 2 2 2 3 3 3 2" xfId="14138" xr:uid="{D55D1B60-71A9-4890-8F77-F339CC50EFA3}"/>
    <cellStyle name="Normal 9 2 2 2 3 3 4" xfId="9920" xr:uid="{79DB8288-232A-43BE-9F1E-49406BBFDE6C}"/>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2 2 2" xfId="16696" xr:uid="{1F7AB9D3-E404-4604-B1D8-A8FD1EC1B122}"/>
    <cellStyle name="Normal 9 2 2 2 3 4 2 3" xfId="12478" xr:uid="{7C4EE7DC-01C9-44D4-B9B1-ABA1F69EAE68}"/>
    <cellStyle name="Normal 9 2 2 2 3 4 3" xfId="6122" xr:uid="{00000000-0005-0000-0000-0000A21E0000}"/>
    <cellStyle name="Normal 9 2 2 2 3 4 3 2" xfId="14551" xr:uid="{95A8ACED-2F85-406B-BA92-0D805112D4DE}"/>
    <cellStyle name="Normal 9 2 2 2 3 4 4" xfId="10333" xr:uid="{EEFF5967-C7DF-4C31-A04C-A31451522B4A}"/>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2 2 2" xfId="17109" xr:uid="{048110B7-F350-4351-9861-B509A61DAEAD}"/>
    <cellStyle name="Normal 9 2 2 2 3 5 2 3" xfId="12891" xr:uid="{20B2F70A-EE39-42D5-9BF8-6F11675A0AC8}"/>
    <cellStyle name="Normal 9 2 2 2 3 5 3" xfId="6535" xr:uid="{00000000-0005-0000-0000-0000A61E0000}"/>
    <cellStyle name="Normal 9 2 2 2 3 5 3 2" xfId="14964" xr:uid="{A73730C4-AA20-47DD-96BB-3A670E0C2D82}"/>
    <cellStyle name="Normal 9 2 2 2 3 5 4" xfId="10746" xr:uid="{357FCBB0-574D-48F1-A2A3-EA76F146CE34}"/>
    <cellStyle name="Normal 9 2 2 2 3 6" xfId="2663" xr:uid="{00000000-0005-0000-0000-0000A71E0000}"/>
    <cellStyle name="Normal 9 2 2 2 3 6 2" xfId="6948" xr:uid="{00000000-0005-0000-0000-0000A81E0000}"/>
    <cellStyle name="Normal 9 2 2 2 3 6 2 2" xfId="15377" xr:uid="{93A05ACB-DB19-41A6-B113-C3F98054DF5C}"/>
    <cellStyle name="Normal 9 2 2 2 3 6 3" xfId="11159" xr:uid="{85446FEA-91F8-4263-AF08-15C8E2634C19}"/>
    <cellStyle name="Normal 9 2 2 2 3 7" xfId="4883" xr:uid="{00000000-0005-0000-0000-0000A91E0000}"/>
    <cellStyle name="Normal 9 2 2 2 3 7 2" xfId="13312" xr:uid="{C1B8C961-8C46-4652-B6E9-FF1BBC548133}"/>
    <cellStyle name="Normal 9 2 2 2 3 8" xfId="9094" xr:uid="{AAC73068-EEA7-46B3-8552-E0C6D83589CA}"/>
    <cellStyle name="Normal 9 2 2 2 4" xfId="981" xr:uid="{00000000-0005-0000-0000-0000AA1E0000}"/>
    <cellStyle name="Normal 9 2 2 2 4 2" xfId="3214" xr:uid="{00000000-0005-0000-0000-0000AB1E0000}"/>
    <cellStyle name="Normal 9 2 2 2 4 2 2" xfId="7438" xr:uid="{00000000-0005-0000-0000-0000AC1E0000}"/>
    <cellStyle name="Normal 9 2 2 2 4 2 2 2" xfId="15867" xr:uid="{E0E1DF29-8514-448F-BC4F-6DF685137A7A}"/>
    <cellStyle name="Normal 9 2 2 2 4 2 3" xfId="11649" xr:uid="{0553F901-B081-4A47-9A02-9D22122D5192}"/>
    <cellStyle name="Normal 9 2 2 2 4 3" xfId="5293" xr:uid="{00000000-0005-0000-0000-0000AD1E0000}"/>
    <cellStyle name="Normal 9 2 2 2 4 3 2" xfId="13722" xr:uid="{FE1FBE0F-78AD-4CC7-B696-8C0E769FFB65}"/>
    <cellStyle name="Normal 9 2 2 2 4 4" xfId="9504" xr:uid="{7307A49F-36A1-4127-A405-144CD7FD4733}"/>
    <cellStyle name="Normal 9 2 2 2 5" xfId="1397" xr:uid="{00000000-0005-0000-0000-0000AE1E0000}"/>
    <cellStyle name="Normal 9 2 2 2 5 2" xfId="3627" xr:uid="{00000000-0005-0000-0000-0000AF1E0000}"/>
    <cellStyle name="Normal 9 2 2 2 5 2 2" xfId="7851" xr:uid="{00000000-0005-0000-0000-0000B01E0000}"/>
    <cellStyle name="Normal 9 2 2 2 5 2 2 2" xfId="16280" xr:uid="{3CA23DA4-F0AB-470D-BDEB-694BAA87F066}"/>
    <cellStyle name="Normal 9 2 2 2 5 2 3" xfId="12062" xr:uid="{E08F1158-7265-462C-A237-C680FD3EA9A3}"/>
    <cellStyle name="Normal 9 2 2 2 5 3" xfId="5706" xr:uid="{00000000-0005-0000-0000-0000B11E0000}"/>
    <cellStyle name="Normal 9 2 2 2 5 3 2" xfId="14135" xr:uid="{34984270-11C7-4C15-B9DC-14B0F573F564}"/>
    <cellStyle name="Normal 9 2 2 2 5 4" xfId="9917" xr:uid="{95458C8C-2B23-4344-A9ED-E462F77B7405}"/>
    <cellStyle name="Normal 9 2 2 2 6" xfId="1810" xr:uid="{00000000-0005-0000-0000-0000B21E0000}"/>
    <cellStyle name="Normal 9 2 2 2 6 2" xfId="4040" xr:uid="{00000000-0005-0000-0000-0000B31E0000}"/>
    <cellStyle name="Normal 9 2 2 2 6 2 2" xfId="8264" xr:uid="{00000000-0005-0000-0000-0000B41E0000}"/>
    <cellStyle name="Normal 9 2 2 2 6 2 2 2" xfId="16693" xr:uid="{FAFCC34B-04E9-46E0-B901-19506F0211F3}"/>
    <cellStyle name="Normal 9 2 2 2 6 2 3" xfId="12475" xr:uid="{98CD5266-746D-463B-8C09-C46082E7958C}"/>
    <cellStyle name="Normal 9 2 2 2 6 3" xfId="6119" xr:uid="{00000000-0005-0000-0000-0000B51E0000}"/>
    <cellStyle name="Normal 9 2 2 2 6 3 2" xfId="14548" xr:uid="{3217206D-9BCA-4003-B3E3-39F79CFB519A}"/>
    <cellStyle name="Normal 9 2 2 2 6 4" xfId="10330" xr:uid="{39AD8204-C735-4F1D-AB9C-DE33C7ACE090}"/>
    <cellStyle name="Normal 9 2 2 2 7" xfId="2224" xr:uid="{00000000-0005-0000-0000-0000B61E0000}"/>
    <cellStyle name="Normal 9 2 2 2 7 2" xfId="4453" xr:uid="{00000000-0005-0000-0000-0000B71E0000}"/>
    <cellStyle name="Normal 9 2 2 2 7 2 2" xfId="8677" xr:uid="{00000000-0005-0000-0000-0000B81E0000}"/>
    <cellStyle name="Normal 9 2 2 2 7 2 2 2" xfId="17106" xr:uid="{DB7392BD-EF3A-4585-8EBE-72E1C01EFE7F}"/>
    <cellStyle name="Normal 9 2 2 2 7 2 3" xfId="12888" xr:uid="{003A68A2-CD48-4D18-B6B1-C9F48E332C91}"/>
    <cellStyle name="Normal 9 2 2 2 7 3" xfId="6532" xr:uid="{00000000-0005-0000-0000-0000B91E0000}"/>
    <cellStyle name="Normal 9 2 2 2 7 3 2" xfId="14961" xr:uid="{46FA3DDE-4861-43C3-842D-FDC2AF0A1026}"/>
    <cellStyle name="Normal 9 2 2 2 7 4" xfId="10743" xr:uid="{016EE396-FA6E-47D5-BFB6-4ABC65E28CF1}"/>
    <cellStyle name="Normal 9 2 2 2 8" xfId="2660" xr:uid="{00000000-0005-0000-0000-0000BA1E0000}"/>
    <cellStyle name="Normal 9 2 2 2 8 2" xfId="6945" xr:uid="{00000000-0005-0000-0000-0000BB1E0000}"/>
    <cellStyle name="Normal 9 2 2 2 8 2 2" xfId="15374" xr:uid="{61860B6F-7CE7-43B3-B4CA-1396A80D2B2E}"/>
    <cellStyle name="Normal 9 2 2 2 8 3" xfId="11156" xr:uid="{C1354701-4284-42C3-80CB-733CE9E0487F}"/>
    <cellStyle name="Normal 9 2 2 2 9" xfId="4880" xr:uid="{00000000-0005-0000-0000-0000BC1E0000}"/>
    <cellStyle name="Normal 9 2 2 2 9 2" xfId="13309" xr:uid="{9FF42E42-E63D-4CBB-8E61-CFE047A50C19}"/>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2 2 2" xfId="15872" xr:uid="{DECDF683-B03F-40AC-AD58-919AAFB5A667}"/>
    <cellStyle name="Normal 9 2 2 3 2 2 2 3" xfId="11654" xr:uid="{FD7D623A-2F89-4B03-9273-F846D8A8BDBB}"/>
    <cellStyle name="Normal 9 2 2 3 2 2 3" xfId="5298" xr:uid="{00000000-0005-0000-0000-0000C21E0000}"/>
    <cellStyle name="Normal 9 2 2 3 2 2 3 2" xfId="13727" xr:uid="{1AA729D4-3ACC-4446-A640-5678BAD6D516}"/>
    <cellStyle name="Normal 9 2 2 3 2 2 4" xfId="9509" xr:uid="{19715888-9ADF-40C3-8297-81A06237FB36}"/>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2 2 2" xfId="16285" xr:uid="{DBEB9BF9-1682-440F-9C94-C1740C82D661}"/>
    <cellStyle name="Normal 9 2 2 3 2 3 2 3" xfId="12067" xr:uid="{408C4C13-A678-4430-9073-EE1ECA7DAF13}"/>
    <cellStyle name="Normal 9 2 2 3 2 3 3" xfId="5711" xr:uid="{00000000-0005-0000-0000-0000C61E0000}"/>
    <cellStyle name="Normal 9 2 2 3 2 3 3 2" xfId="14140" xr:uid="{14FD7A3E-E5DB-4E89-BE3B-7A9B3F418114}"/>
    <cellStyle name="Normal 9 2 2 3 2 3 4" xfId="9922" xr:uid="{0ED0578C-E5E8-42A2-9960-8345FBBC355E}"/>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2 2 2" xfId="16698" xr:uid="{C0B564BB-7AE6-4AB8-931A-82ED84670783}"/>
    <cellStyle name="Normal 9 2 2 3 2 4 2 3" xfId="12480" xr:uid="{5B82EE35-CC56-4B7B-BFC5-3D486C61AC12}"/>
    <cellStyle name="Normal 9 2 2 3 2 4 3" xfId="6124" xr:uid="{00000000-0005-0000-0000-0000CA1E0000}"/>
    <cellStyle name="Normal 9 2 2 3 2 4 3 2" xfId="14553" xr:uid="{17AB1E74-24E0-4A50-8CEF-9618C8599EEA}"/>
    <cellStyle name="Normal 9 2 2 3 2 4 4" xfId="10335" xr:uid="{BCD51986-216C-476E-BBC1-209667673E84}"/>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2 2 2" xfId="17111" xr:uid="{71B476C4-3734-4164-AC6A-B830B595E09D}"/>
    <cellStyle name="Normal 9 2 2 3 2 5 2 3" xfId="12893" xr:uid="{FD8FE629-EC98-410A-8990-37C6D883AFD6}"/>
    <cellStyle name="Normal 9 2 2 3 2 5 3" xfId="6537" xr:uid="{00000000-0005-0000-0000-0000CE1E0000}"/>
    <cellStyle name="Normal 9 2 2 3 2 5 3 2" xfId="14966" xr:uid="{F16FCE4C-BE04-4FF9-B89C-D34B50DF2A29}"/>
    <cellStyle name="Normal 9 2 2 3 2 5 4" xfId="10748" xr:uid="{D1F210C3-6D11-408D-BD73-C7780420D995}"/>
    <cellStyle name="Normal 9 2 2 3 2 6" xfId="2665" xr:uid="{00000000-0005-0000-0000-0000CF1E0000}"/>
    <cellStyle name="Normal 9 2 2 3 2 6 2" xfId="6950" xr:uid="{00000000-0005-0000-0000-0000D01E0000}"/>
    <cellStyle name="Normal 9 2 2 3 2 6 2 2" xfId="15379" xr:uid="{5D2E2CF0-D475-4343-B240-2E5A56B988D7}"/>
    <cellStyle name="Normal 9 2 2 3 2 6 3" xfId="11161" xr:uid="{0A7AACA2-2820-4C6E-A4F7-560ABB37ECD5}"/>
    <cellStyle name="Normal 9 2 2 3 2 7" xfId="4885" xr:uid="{00000000-0005-0000-0000-0000D11E0000}"/>
    <cellStyle name="Normal 9 2 2 3 2 7 2" xfId="13314" xr:uid="{DD06D6F5-FA1B-462C-A99B-0BEA98F61F84}"/>
    <cellStyle name="Normal 9 2 2 3 2 8" xfId="9096" xr:uid="{78547734-9AB2-433C-BA55-1663D776FAFF}"/>
    <cellStyle name="Normal 9 2 2 3 3" xfId="985" xr:uid="{00000000-0005-0000-0000-0000D21E0000}"/>
    <cellStyle name="Normal 9 2 2 3 3 2" xfId="3218" xr:uid="{00000000-0005-0000-0000-0000D31E0000}"/>
    <cellStyle name="Normal 9 2 2 3 3 2 2" xfId="7442" xr:uid="{00000000-0005-0000-0000-0000D41E0000}"/>
    <cellStyle name="Normal 9 2 2 3 3 2 2 2" xfId="15871" xr:uid="{62BA3C43-57B4-4460-B429-01C211B83C39}"/>
    <cellStyle name="Normal 9 2 2 3 3 2 3" xfId="11653" xr:uid="{D282260A-ABA9-4EF5-88C2-E356ABBBB218}"/>
    <cellStyle name="Normal 9 2 2 3 3 3" xfId="5297" xr:uid="{00000000-0005-0000-0000-0000D51E0000}"/>
    <cellStyle name="Normal 9 2 2 3 3 3 2" xfId="13726" xr:uid="{72CCBF8A-5DB6-403B-AEE2-8AB348C7CF4B}"/>
    <cellStyle name="Normal 9 2 2 3 3 4" xfId="9508" xr:uid="{34632F37-9DC7-4F85-A5CA-4FEB6B2BBC19}"/>
    <cellStyle name="Normal 9 2 2 3 4" xfId="1401" xr:uid="{00000000-0005-0000-0000-0000D61E0000}"/>
    <cellStyle name="Normal 9 2 2 3 4 2" xfId="3631" xr:uid="{00000000-0005-0000-0000-0000D71E0000}"/>
    <cellStyle name="Normal 9 2 2 3 4 2 2" xfId="7855" xr:uid="{00000000-0005-0000-0000-0000D81E0000}"/>
    <cellStyle name="Normal 9 2 2 3 4 2 2 2" xfId="16284" xr:uid="{08E8F364-F23F-4FB1-9668-55EDB49A8504}"/>
    <cellStyle name="Normal 9 2 2 3 4 2 3" xfId="12066" xr:uid="{C1D0F1EF-91CD-4BD8-8A89-6C8C10623C2B}"/>
    <cellStyle name="Normal 9 2 2 3 4 3" xfId="5710" xr:uid="{00000000-0005-0000-0000-0000D91E0000}"/>
    <cellStyle name="Normal 9 2 2 3 4 3 2" xfId="14139" xr:uid="{DEA4F0B4-F79E-41DF-895D-52B39DDA8268}"/>
    <cellStyle name="Normal 9 2 2 3 4 4" xfId="9921" xr:uid="{525D8795-0E8E-47E5-8B22-7EAB8F8C174E}"/>
    <cellStyle name="Normal 9 2 2 3 5" xfId="1814" xr:uid="{00000000-0005-0000-0000-0000DA1E0000}"/>
    <cellStyle name="Normal 9 2 2 3 5 2" xfId="4044" xr:uid="{00000000-0005-0000-0000-0000DB1E0000}"/>
    <cellStyle name="Normal 9 2 2 3 5 2 2" xfId="8268" xr:uid="{00000000-0005-0000-0000-0000DC1E0000}"/>
    <cellStyle name="Normal 9 2 2 3 5 2 2 2" xfId="16697" xr:uid="{D7F03E2B-135A-4A2F-BFA5-12E4D3A90A6A}"/>
    <cellStyle name="Normal 9 2 2 3 5 2 3" xfId="12479" xr:uid="{DAC37647-DE49-471B-9CD9-4068ED755B47}"/>
    <cellStyle name="Normal 9 2 2 3 5 3" xfId="6123" xr:uid="{00000000-0005-0000-0000-0000DD1E0000}"/>
    <cellStyle name="Normal 9 2 2 3 5 3 2" xfId="14552" xr:uid="{5966B893-7537-4DC7-A84C-1C44675E020B}"/>
    <cellStyle name="Normal 9 2 2 3 5 4" xfId="10334" xr:uid="{3410942A-A6EE-4258-97AE-0950B5E5F8D4}"/>
    <cellStyle name="Normal 9 2 2 3 6" xfId="2228" xr:uid="{00000000-0005-0000-0000-0000DE1E0000}"/>
    <cellStyle name="Normal 9 2 2 3 6 2" xfId="4457" xr:uid="{00000000-0005-0000-0000-0000DF1E0000}"/>
    <cellStyle name="Normal 9 2 2 3 6 2 2" xfId="8681" xr:uid="{00000000-0005-0000-0000-0000E01E0000}"/>
    <cellStyle name="Normal 9 2 2 3 6 2 2 2" xfId="17110" xr:uid="{02A00535-EB84-4112-914C-43D764608D80}"/>
    <cellStyle name="Normal 9 2 2 3 6 2 3" xfId="12892" xr:uid="{6BAB5B31-68C6-42AF-8638-61AF7B15F67E}"/>
    <cellStyle name="Normal 9 2 2 3 6 3" xfId="6536" xr:uid="{00000000-0005-0000-0000-0000E11E0000}"/>
    <cellStyle name="Normal 9 2 2 3 6 3 2" xfId="14965" xr:uid="{B0AC2596-64C8-4B00-9921-04BE3687A7F0}"/>
    <cellStyle name="Normal 9 2 2 3 6 4" xfId="10747" xr:uid="{192A84AE-AA28-4247-94DB-313E61E25DA2}"/>
    <cellStyle name="Normal 9 2 2 3 7" xfId="2664" xr:uid="{00000000-0005-0000-0000-0000E21E0000}"/>
    <cellStyle name="Normal 9 2 2 3 7 2" xfId="6949" xr:uid="{00000000-0005-0000-0000-0000E31E0000}"/>
    <cellStyle name="Normal 9 2 2 3 7 2 2" xfId="15378" xr:uid="{2396CC74-4FC5-4649-BD92-D5BD76A03EF0}"/>
    <cellStyle name="Normal 9 2 2 3 7 3" xfId="11160" xr:uid="{8F28A6A1-4749-43B4-9942-763C10D3DA55}"/>
    <cellStyle name="Normal 9 2 2 3 8" xfId="4884" xr:uid="{00000000-0005-0000-0000-0000E41E0000}"/>
    <cellStyle name="Normal 9 2 2 3 8 2" xfId="13313" xr:uid="{01850683-F082-4026-AD86-8D2809C05C2C}"/>
    <cellStyle name="Normal 9 2 2 3 9" xfId="9095" xr:uid="{1DF636CB-8607-44FA-8040-5592D343EBF1}"/>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2 2 2" xfId="15873" xr:uid="{EBC4C010-B8DB-40A8-8030-D50A1C60FF95}"/>
    <cellStyle name="Normal 9 2 2 4 2 2 3" xfId="11655" xr:uid="{FAAA2151-1B6A-4724-9681-90B30DA2AD8E}"/>
    <cellStyle name="Normal 9 2 2 4 2 3" xfId="5299" xr:uid="{00000000-0005-0000-0000-0000E91E0000}"/>
    <cellStyle name="Normal 9 2 2 4 2 3 2" xfId="13728" xr:uid="{FDC187C0-96D5-4E68-9A44-E36BB168ADEC}"/>
    <cellStyle name="Normal 9 2 2 4 2 4" xfId="9510" xr:uid="{EACE6747-EAA4-4F6C-AB9D-949B8D0AB532}"/>
    <cellStyle name="Normal 9 2 2 4 3" xfId="1403" xr:uid="{00000000-0005-0000-0000-0000EA1E0000}"/>
    <cellStyle name="Normal 9 2 2 4 3 2" xfId="3633" xr:uid="{00000000-0005-0000-0000-0000EB1E0000}"/>
    <cellStyle name="Normal 9 2 2 4 3 2 2" xfId="7857" xr:uid="{00000000-0005-0000-0000-0000EC1E0000}"/>
    <cellStyle name="Normal 9 2 2 4 3 2 2 2" xfId="16286" xr:uid="{8DA46815-8C45-43C9-8116-DC0D5BDEFBEC}"/>
    <cellStyle name="Normal 9 2 2 4 3 2 3" xfId="12068" xr:uid="{5536D349-E1B6-4D94-B4E3-82A93566CAA0}"/>
    <cellStyle name="Normal 9 2 2 4 3 3" xfId="5712" xr:uid="{00000000-0005-0000-0000-0000ED1E0000}"/>
    <cellStyle name="Normal 9 2 2 4 3 3 2" xfId="14141" xr:uid="{0D26C121-53EE-41FF-BFA2-7A109313B36C}"/>
    <cellStyle name="Normal 9 2 2 4 3 4" xfId="9923" xr:uid="{3C9A6DE8-C18D-4C4C-9DE2-F15BDFA60669}"/>
    <cellStyle name="Normal 9 2 2 4 4" xfId="1816" xr:uid="{00000000-0005-0000-0000-0000EE1E0000}"/>
    <cellStyle name="Normal 9 2 2 4 4 2" xfId="4046" xr:uid="{00000000-0005-0000-0000-0000EF1E0000}"/>
    <cellStyle name="Normal 9 2 2 4 4 2 2" xfId="8270" xr:uid="{00000000-0005-0000-0000-0000F01E0000}"/>
    <cellStyle name="Normal 9 2 2 4 4 2 2 2" xfId="16699" xr:uid="{1C89C18E-EC35-490C-BAED-02205E7F285E}"/>
    <cellStyle name="Normal 9 2 2 4 4 2 3" xfId="12481" xr:uid="{BEF93CDF-72FC-4011-B5DF-80482D00F81E}"/>
    <cellStyle name="Normal 9 2 2 4 4 3" xfId="6125" xr:uid="{00000000-0005-0000-0000-0000F11E0000}"/>
    <cellStyle name="Normal 9 2 2 4 4 3 2" xfId="14554" xr:uid="{253CEB96-FAA3-4ADF-897C-9EEDF1C1AA80}"/>
    <cellStyle name="Normal 9 2 2 4 4 4" xfId="10336" xr:uid="{89FB7083-309D-4725-8F44-AE4080BA292B}"/>
    <cellStyle name="Normal 9 2 2 4 5" xfId="2230" xr:uid="{00000000-0005-0000-0000-0000F21E0000}"/>
    <cellStyle name="Normal 9 2 2 4 5 2" xfId="4459" xr:uid="{00000000-0005-0000-0000-0000F31E0000}"/>
    <cellStyle name="Normal 9 2 2 4 5 2 2" xfId="8683" xr:uid="{00000000-0005-0000-0000-0000F41E0000}"/>
    <cellStyle name="Normal 9 2 2 4 5 2 2 2" xfId="17112" xr:uid="{ADBB7936-B2A7-435E-BB49-39AA0BA2FDE3}"/>
    <cellStyle name="Normal 9 2 2 4 5 2 3" xfId="12894" xr:uid="{385E8667-01CA-4B0A-8117-57F029CAD5D5}"/>
    <cellStyle name="Normal 9 2 2 4 5 3" xfId="6538" xr:uid="{00000000-0005-0000-0000-0000F51E0000}"/>
    <cellStyle name="Normal 9 2 2 4 5 3 2" xfId="14967" xr:uid="{AC17CAC5-D16C-4ED9-BD27-692A34F88C36}"/>
    <cellStyle name="Normal 9 2 2 4 5 4" xfId="10749" xr:uid="{732B721B-38D2-46DF-83CD-4FEEA21E3CAC}"/>
    <cellStyle name="Normal 9 2 2 4 6" xfId="2666" xr:uid="{00000000-0005-0000-0000-0000F61E0000}"/>
    <cellStyle name="Normal 9 2 2 4 6 2" xfId="6951" xr:uid="{00000000-0005-0000-0000-0000F71E0000}"/>
    <cellStyle name="Normal 9 2 2 4 6 2 2" xfId="15380" xr:uid="{E9DB835C-E35D-4387-B048-3876436C3A57}"/>
    <cellStyle name="Normal 9 2 2 4 6 3" xfId="11162" xr:uid="{64A1A4C3-D634-4B7A-AEDE-FB2A11CD45E9}"/>
    <cellStyle name="Normal 9 2 2 4 7" xfId="4886" xr:uid="{00000000-0005-0000-0000-0000F81E0000}"/>
    <cellStyle name="Normal 9 2 2 4 7 2" xfId="13315" xr:uid="{D884B5FF-E1DB-437D-B2F5-2D0D5B75EF2B}"/>
    <cellStyle name="Normal 9 2 2 4 8" xfId="9097" xr:uid="{335E0454-6B6F-445E-9727-7FCC81C00F2A}"/>
    <cellStyle name="Normal 9 2 2 5" xfId="980" xr:uid="{00000000-0005-0000-0000-0000F91E0000}"/>
    <cellStyle name="Normal 9 2 2 5 2" xfId="3213" xr:uid="{00000000-0005-0000-0000-0000FA1E0000}"/>
    <cellStyle name="Normal 9 2 2 5 2 2" xfId="7437" xr:uid="{00000000-0005-0000-0000-0000FB1E0000}"/>
    <cellStyle name="Normal 9 2 2 5 2 2 2" xfId="15866" xr:uid="{4174C4FB-63E3-4F1A-836B-DF8EF5419459}"/>
    <cellStyle name="Normal 9 2 2 5 2 3" xfId="11648" xr:uid="{6374ABC1-ED32-454B-8F7F-D8D42C1C44E0}"/>
    <cellStyle name="Normal 9 2 2 5 3" xfId="5292" xr:uid="{00000000-0005-0000-0000-0000FC1E0000}"/>
    <cellStyle name="Normal 9 2 2 5 3 2" xfId="13721" xr:uid="{6D695AC0-7056-40D4-BC85-6087174DC5E5}"/>
    <cellStyle name="Normal 9 2 2 5 4" xfId="9503" xr:uid="{C03BD832-B65E-4909-B750-854EBF784A82}"/>
    <cellStyle name="Normal 9 2 2 6" xfId="1396" xr:uid="{00000000-0005-0000-0000-0000FD1E0000}"/>
    <cellStyle name="Normal 9 2 2 6 2" xfId="3626" xr:uid="{00000000-0005-0000-0000-0000FE1E0000}"/>
    <cellStyle name="Normal 9 2 2 6 2 2" xfId="7850" xr:uid="{00000000-0005-0000-0000-0000FF1E0000}"/>
    <cellStyle name="Normal 9 2 2 6 2 2 2" xfId="16279" xr:uid="{11BCBC12-8E85-4885-A502-F327511D4D4B}"/>
    <cellStyle name="Normal 9 2 2 6 2 3" xfId="12061" xr:uid="{077E9F0B-B221-4F40-A684-BA14BCCD0737}"/>
    <cellStyle name="Normal 9 2 2 6 3" xfId="5705" xr:uid="{00000000-0005-0000-0000-0000001F0000}"/>
    <cellStyle name="Normal 9 2 2 6 3 2" xfId="14134" xr:uid="{8024EFA2-F660-49F8-825B-C15002CFFFEF}"/>
    <cellStyle name="Normal 9 2 2 6 4" xfId="9916" xr:uid="{464E2A0A-28C8-4F22-B1AB-BB89E45D0D69}"/>
    <cellStyle name="Normal 9 2 2 7" xfId="1809" xr:uid="{00000000-0005-0000-0000-0000011F0000}"/>
    <cellStyle name="Normal 9 2 2 7 2" xfId="4039" xr:uid="{00000000-0005-0000-0000-0000021F0000}"/>
    <cellStyle name="Normal 9 2 2 7 2 2" xfId="8263" xr:uid="{00000000-0005-0000-0000-0000031F0000}"/>
    <cellStyle name="Normal 9 2 2 7 2 2 2" xfId="16692" xr:uid="{71012974-6BFB-44BB-B2C1-75C7181FCFBC}"/>
    <cellStyle name="Normal 9 2 2 7 2 3" xfId="12474" xr:uid="{B6032A69-B61D-4E91-86B1-9C60BE918668}"/>
    <cellStyle name="Normal 9 2 2 7 3" xfId="6118" xr:uid="{00000000-0005-0000-0000-0000041F0000}"/>
    <cellStyle name="Normal 9 2 2 7 3 2" xfId="14547" xr:uid="{5BB12AAA-483E-4101-B1BC-D8AD2FCF83F6}"/>
    <cellStyle name="Normal 9 2 2 7 4" xfId="10329" xr:uid="{E92225D2-B3B0-4A9F-A8CB-CFB14C1E6148}"/>
    <cellStyle name="Normal 9 2 2 8" xfId="2223" xr:uid="{00000000-0005-0000-0000-0000051F0000}"/>
    <cellStyle name="Normal 9 2 2 8 2" xfId="4452" xr:uid="{00000000-0005-0000-0000-0000061F0000}"/>
    <cellStyle name="Normal 9 2 2 8 2 2" xfId="8676" xr:uid="{00000000-0005-0000-0000-0000071F0000}"/>
    <cellStyle name="Normal 9 2 2 8 2 2 2" xfId="17105" xr:uid="{E3BB8AF5-F8DC-451C-8918-8299961CA1F3}"/>
    <cellStyle name="Normal 9 2 2 8 2 3" xfId="12887" xr:uid="{276B7F90-E641-4AD2-8595-FF2514F85FDF}"/>
    <cellStyle name="Normal 9 2 2 8 3" xfId="6531" xr:uid="{00000000-0005-0000-0000-0000081F0000}"/>
    <cellStyle name="Normal 9 2 2 8 3 2" xfId="14960" xr:uid="{0786CD13-5685-4221-910F-244AEE1F3613}"/>
    <cellStyle name="Normal 9 2 2 8 4" xfId="10742" xr:uid="{18F53C1D-241B-4AA9-8858-CEC20FD01A0F}"/>
    <cellStyle name="Normal 9 2 2 9" xfId="2659" xr:uid="{00000000-0005-0000-0000-0000091F0000}"/>
    <cellStyle name="Normal 9 2 2 9 2" xfId="6944" xr:uid="{00000000-0005-0000-0000-00000A1F0000}"/>
    <cellStyle name="Normal 9 2 2 9 2 2" xfId="15373" xr:uid="{714A771C-9DA2-4197-8A02-955B84A812DE}"/>
    <cellStyle name="Normal 9 2 2 9 3" xfId="11155" xr:uid="{A2C51165-D7C6-4A8A-9E25-949C649BA14A}"/>
    <cellStyle name="Normal 9 2 3" xfId="520" xr:uid="{00000000-0005-0000-0000-00000B1F0000}"/>
    <cellStyle name="Normal 9 2 3 10" xfId="9098" xr:uid="{EC46B9DC-2570-41BC-BC1A-DECE05FCD959}"/>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2 2 2" xfId="15876" xr:uid="{AE61EFB9-A05D-4183-B01E-FA36B84E445E}"/>
    <cellStyle name="Normal 9 2 3 2 2 2 2 3" xfId="11658" xr:uid="{EA4C3C50-EA73-4016-A01F-FACCAF1FAA2C}"/>
    <cellStyle name="Normal 9 2 3 2 2 2 3" xfId="5302" xr:uid="{00000000-0005-0000-0000-0000111F0000}"/>
    <cellStyle name="Normal 9 2 3 2 2 2 3 2" xfId="13731" xr:uid="{86AB2482-AB15-4C27-B288-D4CBE4EEB2C7}"/>
    <cellStyle name="Normal 9 2 3 2 2 2 4" xfId="9513" xr:uid="{59F908C1-4DE0-468D-A9B9-4A2DF8704819}"/>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2 2 2" xfId="16289" xr:uid="{A6A31998-7207-4C59-B79A-0AE36BC41C85}"/>
    <cellStyle name="Normal 9 2 3 2 2 3 2 3" xfId="12071" xr:uid="{4FF1FE0E-F270-4C83-85DA-5A8D6EC03BEA}"/>
    <cellStyle name="Normal 9 2 3 2 2 3 3" xfId="5715" xr:uid="{00000000-0005-0000-0000-0000151F0000}"/>
    <cellStyle name="Normal 9 2 3 2 2 3 3 2" xfId="14144" xr:uid="{C7B77EF1-61BC-42A0-990A-37C4A1C999B3}"/>
    <cellStyle name="Normal 9 2 3 2 2 3 4" xfId="9926" xr:uid="{721D9755-8DC1-4D8E-B8D2-4CA3EBD1A9B5}"/>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2 2 2" xfId="16702" xr:uid="{B99A2533-4C84-414C-B510-787A1E2E41E0}"/>
    <cellStyle name="Normal 9 2 3 2 2 4 2 3" xfId="12484" xr:uid="{28FDCF4E-E1BA-4205-8796-FCCAF2D107F5}"/>
    <cellStyle name="Normal 9 2 3 2 2 4 3" xfId="6128" xr:uid="{00000000-0005-0000-0000-0000191F0000}"/>
    <cellStyle name="Normal 9 2 3 2 2 4 3 2" xfId="14557" xr:uid="{BA2C1756-D650-468C-BF4D-2CA64CD3661E}"/>
    <cellStyle name="Normal 9 2 3 2 2 4 4" xfId="10339" xr:uid="{8C42D440-2062-4032-BA84-3D17933098D1}"/>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2 2 2" xfId="17115" xr:uid="{515D8BB0-6B8F-4975-A783-EC08B0A7DADB}"/>
    <cellStyle name="Normal 9 2 3 2 2 5 2 3" xfId="12897" xr:uid="{660589D6-AB32-4EBF-9286-BBE4CDB296E5}"/>
    <cellStyle name="Normal 9 2 3 2 2 5 3" xfId="6541" xr:uid="{00000000-0005-0000-0000-00001D1F0000}"/>
    <cellStyle name="Normal 9 2 3 2 2 5 3 2" xfId="14970" xr:uid="{D7FB25E8-B68D-46F7-BE3E-3D5D0DB7F8A3}"/>
    <cellStyle name="Normal 9 2 3 2 2 5 4" xfId="10752" xr:uid="{C66F8058-A600-495C-B2C3-E670A703880F}"/>
    <cellStyle name="Normal 9 2 3 2 2 6" xfId="2669" xr:uid="{00000000-0005-0000-0000-00001E1F0000}"/>
    <cellStyle name="Normal 9 2 3 2 2 6 2" xfId="6954" xr:uid="{00000000-0005-0000-0000-00001F1F0000}"/>
    <cellStyle name="Normal 9 2 3 2 2 6 2 2" xfId="15383" xr:uid="{8673975F-95C5-4D43-8F8D-E86108C25550}"/>
    <cellStyle name="Normal 9 2 3 2 2 6 3" xfId="11165" xr:uid="{0EAF1246-F811-407A-B238-43810387823B}"/>
    <cellStyle name="Normal 9 2 3 2 2 7" xfId="4889" xr:uid="{00000000-0005-0000-0000-0000201F0000}"/>
    <cellStyle name="Normal 9 2 3 2 2 7 2" xfId="13318" xr:uid="{3EC82BA0-B22A-4B1C-960D-BBA44B307FD0}"/>
    <cellStyle name="Normal 9 2 3 2 2 8" xfId="9100" xr:uid="{421B78B6-EF37-4F36-B844-480118055A0A}"/>
    <cellStyle name="Normal 9 2 3 2 3" xfId="989" xr:uid="{00000000-0005-0000-0000-0000211F0000}"/>
    <cellStyle name="Normal 9 2 3 2 3 2" xfId="3222" xr:uid="{00000000-0005-0000-0000-0000221F0000}"/>
    <cellStyle name="Normal 9 2 3 2 3 2 2" xfId="7446" xr:uid="{00000000-0005-0000-0000-0000231F0000}"/>
    <cellStyle name="Normal 9 2 3 2 3 2 2 2" xfId="15875" xr:uid="{5DB98BE4-C8F9-4C4B-AA2E-296C86E95B52}"/>
    <cellStyle name="Normal 9 2 3 2 3 2 3" xfId="11657" xr:uid="{325203BA-A305-49BD-A97B-6AEB458A1E07}"/>
    <cellStyle name="Normal 9 2 3 2 3 3" xfId="5301" xr:uid="{00000000-0005-0000-0000-0000241F0000}"/>
    <cellStyle name="Normal 9 2 3 2 3 3 2" xfId="13730" xr:uid="{37F5A265-AC6C-4358-A25C-104AD18A70B7}"/>
    <cellStyle name="Normal 9 2 3 2 3 4" xfId="9512" xr:uid="{CCA48E60-197E-4F57-8998-0DCCD5573562}"/>
    <cellStyle name="Normal 9 2 3 2 4" xfId="1405" xr:uid="{00000000-0005-0000-0000-0000251F0000}"/>
    <cellStyle name="Normal 9 2 3 2 4 2" xfId="3635" xr:uid="{00000000-0005-0000-0000-0000261F0000}"/>
    <cellStyle name="Normal 9 2 3 2 4 2 2" xfId="7859" xr:uid="{00000000-0005-0000-0000-0000271F0000}"/>
    <cellStyle name="Normal 9 2 3 2 4 2 2 2" xfId="16288" xr:uid="{1B8B3FDA-EFCB-4A3F-AA15-59C88DB92500}"/>
    <cellStyle name="Normal 9 2 3 2 4 2 3" xfId="12070" xr:uid="{12AEAEE7-8524-4434-B209-A7EA119C9AE6}"/>
    <cellStyle name="Normal 9 2 3 2 4 3" xfId="5714" xr:uid="{00000000-0005-0000-0000-0000281F0000}"/>
    <cellStyle name="Normal 9 2 3 2 4 3 2" xfId="14143" xr:uid="{F5B6A744-3A22-430C-ACD5-83490F802EE3}"/>
    <cellStyle name="Normal 9 2 3 2 4 4" xfId="9925" xr:uid="{0A286509-7AD5-4C6C-8DD0-E0D49F4DD602}"/>
    <cellStyle name="Normal 9 2 3 2 5" xfId="1818" xr:uid="{00000000-0005-0000-0000-0000291F0000}"/>
    <cellStyle name="Normal 9 2 3 2 5 2" xfId="4048" xr:uid="{00000000-0005-0000-0000-00002A1F0000}"/>
    <cellStyle name="Normal 9 2 3 2 5 2 2" xfId="8272" xr:uid="{00000000-0005-0000-0000-00002B1F0000}"/>
    <cellStyle name="Normal 9 2 3 2 5 2 2 2" xfId="16701" xr:uid="{41EEA965-8173-47E9-BCA0-B26A2AA21E5E}"/>
    <cellStyle name="Normal 9 2 3 2 5 2 3" xfId="12483" xr:uid="{C35B131A-4EE9-435B-986F-D887CF90C3DB}"/>
    <cellStyle name="Normal 9 2 3 2 5 3" xfId="6127" xr:uid="{00000000-0005-0000-0000-00002C1F0000}"/>
    <cellStyle name="Normal 9 2 3 2 5 3 2" xfId="14556" xr:uid="{4FBF192E-5CF9-4472-9156-7A947A9AEA45}"/>
    <cellStyle name="Normal 9 2 3 2 5 4" xfId="10338" xr:uid="{5EA7A354-BC46-499D-AE24-90D2BE6F715D}"/>
    <cellStyle name="Normal 9 2 3 2 6" xfId="2232" xr:uid="{00000000-0005-0000-0000-00002D1F0000}"/>
    <cellStyle name="Normal 9 2 3 2 6 2" xfId="4461" xr:uid="{00000000-0005-0000-0000-00002E1F0000}"/>
    <cellStyle name="Normal 9 2 3 2 6 2 2" xfId="8685" xr:uid="{00000000-0005-0000-0000-00002F1F0000}"/>
    <cellStyle name="Normal 9 2 3 2 6 2 2 2" xfId="17114" xr:uid="{06039639-FCC1-42E1-897E-8C74F033ADCC}"/>
    <cellStyle name="Normal 9 2 3 2 6 2 3" xfId="12896" xr:uid="{99FB0587-49C7-4DEE-A1A5-081ED0B74CBF}"/>
    <cellStyle name="Normal 9 2 3 2 6 3" xfId="6540" xr:uid="{00000000-0005-0000-0000-0000301F0000}"/>
    <cellStyle name="Normal 9 2 3 2 6 3 2" xfId="14969" xr:uid="{4F755AF1-192C-498A-A611-E0BB6732F7D1}"/>
    <cellStyle name="Normal 9 2 3 2 6 4" xfId="10751" xr:uid="{A67F2EF8-9C71-4BF9-8348-2F5DC2406DB9}"/>
    <cellStyle name="Normal 9 2 3 2 7" xfId="2668" xr:uid="{00000000-0005-0000-0000-0000311F0000}"/>
    <cellStyle name="Normal 9 2 3 2 7 2" xfId="6953" xr:uid="{00000000-0005-0000-0000-0000321F0000}"/>
    <cellStyle name="Normal 9 2 3 2 7 2 2" xfId="15382" xr:uid="{DA61DE3A-7CDF-4378-9995-3241170E6AC6}"/>
    <cellStyle name="Normal 9 2 3 2 7 3" xfId="11164" xr:uid="{B1959F0D-1F0F-4FE6-9AC9-9028801D8986}"/>
    <cellStyle name="Normal 9 2 3 2 8" xfId="4888" xr:uid="{00000000-0005-0000-0000-0000331F0000}"/>
    <cellStyle name="Normal 9 2 3 2 8 2" xfId="13317" xr:uid="{401D420B-8443-4499-BF4B-C4CBF4864721}"/>
    <cellStyle name="Normal 9 2 3 2 9" xfId="9099" xr:uid="{A43FE3F4-7BFB-4ECF-9556-FB731F94C53B}"/>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2 2 2" xfId="15877" xr:uid="{094663FE-7AE1-439A-B9E6-391746CD1AAD}"/>
    <cellStyle name="Normal 9 2 3 3 2 2 3" xfId="11659" xr:uid="{1408B1ED-EFBC-47F8-81D0-F8078EBF114D}"/>
    <cellStyle name="Normal 9 2 3 3 2 3" xfId="5303" xr:uid="{00000000-0005-0000-0000-0000381F0000}"/>
    <cellStyle name="Normal 9 2 3 3 2 3 2" xfId="13732" xr:uid="{D00F65C3-5FDE-4B87-A673-44076F31BDA7}"/>
    <cellStyle name="Normal 9 2 3 3 2 4" xfId="9514" xr:uid="{A71E6BC4-2747-459E-9F87-66F722580BA5}"/>
    <cellStyle name="Normal 9 2 3 3 3" xfId="1407" xr:uid="{00000000-0005-0000-0000-0000391F0000}"/>
    <cellStyle name="Normal 9 2 3 3 3 2" xfId="3637" xr:uid="{00000000-0005-0000-0000-00003A1F0000}"/>
    <cellStyle name="Normal 9 2 3 3 3 2 2" xfId="7861" xr:uid="{00000000-0005-0000-0000-00003B1F0000}"/>
    <cellStyle name="Normal 9 2 3 3 3 2 2 2" xfId="16290" xr:uid="{0A926B08-B1DB-4D1C-96F9-1CFDB85A9E57}"/>
    <cellStyle name="Normal 9 2 3 3 3 2 3" xfId="12072" xr:uid="{0443AF0E-B6D3-4764-BE34-84D4A84BBF63}"/>
    <cellStyle name="Normal 9 2 3 3 3 3" xfId="5716" xr:uid="{00000000-0005-0000-0000-00003C1F0000}"/>
    <cellStyle name="Normal 9 2 3 3 3 3 2" xfId="14145" xr:uid="{24DBE2A5-2BB5-4825-8A05-CFDFB2379778}"/>
    <cellStyle name="Normal 9 2 3 3 3 4" xfId="9927" xr:uid="{C7F387B4-2EF7-4CF9-B582-49666FAF9A52}"/>
    <cellStyle name="Normal 9 2 3 3 4" xfId="1820" xr:uid="{00000000-0005-0000-0000-00003D1F0000}"/>
    <cellStyle name="Normal 9 2 3 3 4 2" xfId="4050" xr:uid="{00000000-0005-0000-0000-00003E1F0000}"/>
    <cellStyle name="Normal 9 2 3 3 4 2 2" xfId="8274" xr:uid="{00000000-0005-0000-0000-00003F1F0000}"/>
    <cellStyle name="Normal 9 2 3 3 4 2 2 2" xfId="16703" xr:uid="{DAF1134B-D95B-42D4-8DF6-8062238D4ECD}"/>
    <cellStyle name="Normal 9 2 3 3 4 2 3" xfId="12485" xr:uid="{595BBE80-BDBE-4972-9E4A-639DA7F74B59}"/>
    <cellStyle name="Normal 9 2 3 3 4 3" xfId="6129" xr:uid="{00000000-0005-0000-0000-0000401F0000}"/>
    <cellStyle name="Normal 9 2 3 3 4 3 2" xfId="14558" xr:uid="{F17DCCD9-129C-4375-A112-64FC25261CF1}"/>
    <cellStyle name="Normal 9 2 3 3 4 4" xfId="10340" xr:uid="{E32EFA30-A424-43FF-AF6F-D6D69C6FF18F}"/>
    <cellStyle name="Normal 9 2 3 3 5" xfId="2234" xr:uid="{00000000-0005-0000-0000-0000411F0000}"/>
    <cellStyle name="Normal 9 2 3 3 5 2" xfId="4463" xr:uid="{00000000-0005-0000-0000-0000421F0000}"/>
    <cellStyle name="Normal 9 2 3 3 5 2 2" xfId="8687" xr:uid="{00000000-0005-0000-0000-0000431F0000}"/>
    <cellStyle name="Normal 9 2 3 3 5 2 2 2" xfId="17116" xr:uid="{7DC0CF3C-2B99-4A6A-92E2-18A87B47C25F}"/>
    <cellStyle name="Normal 9 2 3 3 5 2 3" xfId="12898" xr:uid="{31209641-1BF0-41BC-8868-72AEF83DEF3B}"/>
    <cellStyle name="Normal 9 2 3 3 5 3" xfId="6542" xr:uid="{00000000-0005-0000-0000-0000441F0000}"/>
    <cellStyle name="Normal 9 2 3 3 5 3 2" xfId="14971" xr:uid="{5E7CC75C-3717-4150-9A53-17A40D8D960B}"/>
    <cellStyle name="Normal 9 2 3 3 5 4" xfId="10753" xr:uid="{2E62AFFD-A1E1-4DD9-9331-DB747E376775}"/>
    <cellStyle name="Normal 9 2 3 3 6" xfId="2670" xr:uid="{00000000-0005-0000-0000-0000451F0000}"/>
    <cellStyle name="Normal 9 2 3 3 6 2" xfId="6955" xr:uid="{00000000-0005-0000-0000-0000461F0000}"/>
    <cellStyle name="Normal 9 2 3 3 6 2 2" xfId="15384" xr:uid="{845198A6-5A60-4A90-8BDC-C8E452F37AB4}"/>
    <cellStyle name="Normal 9 2 3 3 6 3" xfId="11166" xr:uid="{07C24722-34D8-4D71-AAF2-E1A4019224DB}"/>
    <cellStyle name="Normal 9 2 3 3 7" xfId="4890" xr:uid="{00000000-0005-0000-0000-0000471F0000}"/>
    <cellStyle name="Normal 9 2 3 3 7 2" xfId="13319" xr:uid="{1DA7886E-449E-49B1-A564-77E177D3879F}"/>
    <cellStyle name="Normal 9 2 3 3 8" xfId="9101" xr:uid="{97EF845D-4070-49BC-BE79-083D650E7357}"/>
    <cellStyle name="Normal 9 2 3 4" xfId="988" xr:uid="{00000000-0005-0000-0000-0000481F0000}"/>
    <cellStyle name="Normal 9 2 3 4 2" xfId="3221" xr:uid="{00000000-0005-0000-0000-0000491F0000}"/>
    <cellStyle name="Normal 9 2 3 4 2 2" xfId="7445" xr:uid="{00000000-0005-0000-0000-00004A1F0000}"/>
    <cellStyle name="Normal 9 2 3 4 2 2 2" xfId="15874" xr:uid="{3CE04382-12D0-4E28-A36F-E5EA00BBAD03}"/>
    <cellStyle name="Normal 9 2 3 4 2 3" xfId="11656" xr:uid="{80F13153-95C0-4EA3-BD30-BD41C42870B6}"/>
    <cellStyle name="Normal 9 2 3 4 3" xfId="5300" xr:uid="{00000000-0005-0000-0000-00004B1F0000}"/>
    <cellStyle name="Normal 9 2 3 4 3 2" xfId="13729" xr:uid="{3C8B22C1-CFB0-4D60-88F4-F837CAE5F9BB}"/>
    <cellStyle name="Normal 9 2 3 4 4" xfId="9511" xr:uid="{1D538EFB-EC67-4FBA-BD7C-6FCCE897F080}"/>
    <cellStyle name="Normal 9 2 3 5" xfId="1404" xr:uid="{00000000-0005-0000-0000-00004C1F0000}"/>
    <cellStyle name="Normal 9 2 3 5 2" xfId="3634" xr:uid="{00000000-0005-0000-0000-00004D1F0000}"/>
    <cellStyle name="Normal 9 2 3 5 2 2" xfId="7858" xr:uid="{00000000-0005-0000-0000-00004E1F0000}"/>
    <cellStyle name="Normal 9 2 3 5 2 2 2" xfId="16287" xr:uid="{62108FDC-D7C2-4AE8-B639-43FFB25513CB}"/>
    <cellStyle name="Normal 9 2 3 5 2 3" xfId="12069" xr:uid="{C9537EC8-83E9-4559-806C-EA3C7C416210}"/>
    <cellStyle name="Normal 9 2 3 5 3" xfId="5713" xr:uid="{00000000-0005-0000-0000-00004F1F0000}"/>
    <cellStyle name="Normal 9 2 3 5 3 2" xfId="14142" xr:uid="{2A3949B0-955C-4EF8-B9A6-3DBD79FD466E}"/>
    <cellStyle name="Normal 9 2 3 5 4" xfId="9924" xr:uid="{D2634938-611E-471F-9036-F8207BAE5F3A}"/>
    <cellStyle name="Normal 9 2 3 6" xfId="1817" xr:uid="{00000000-0005-0000-0000-0000501F0000}"/>
    <cellStyle name="Normal 9 2 3 6 2" xfId="4047" xr:uid="{00000000-0005-0000-0000-0000511F0000}"/>
    <cellStyle name="Normal 9 2 3 6 2 2" xfId="8271" xr:uid="{00000000-0005-0000-0000-0000521F0000}"/>
    <cellStyle name="Normal 9 2 3 6 2 2 2" xfId="16700" xr:uid="{EECA497F-586D-4AE6-BE7F-28E266842858}"/>
    <cellStyle name="Normal 9 2 3 6 2 3" xfId="12482" xr:uid="{DB6471D0-3BC2-4982-930F-342A7E937781}"/>
    <cellStyle name="Normal 9 2 3 6 3" xfId="6126" xr:uid="{00000000-0005-0000-0000-0000531F0000}"/>
    <cellStyle name="Normal 9 2 3 6 3 2" xfId="14555" xr:uid="{885617E7-606C-4CE0-90A0-599B2BE43E5D}"/>
    <cellStyle name="Normal 9 2 3 6 4" xfId="10337" xr:uid="{E9BB6EE9-222E-4590-9CFF-A57783FE7ABD}"/>
    <cellStyle name="Normal 9 2 3 7" xfId="2231" xr:uid="{00000000-0005-0000-0000-0000541F0000}"/>
    <cellStyle name="Normal 9 2 3 7 2" xfId="4460" xr:uid="{00000000-0005-0000-0000-0000551F0000}"/>
    <cellStyle name="Normal 9 2 3 7 2 2" xfId="8684" xr:uid="{00000000-0005-0000-0000-0000561F0000}"/>
    <cellStyle name="Normal 9 2 3 7 2 2 2" xfId="17113" xr:uid="{755F0C06-4C46-4D16-AE8D-6561EE0EF4AD}"/>
    <cellStyle name="Normal 9 2 3 7 2 3" xfId="12895" xr:uid="{253215D6-6CEA-4DF4-8BAF-E582E04BFDA2}"/>
    <cellStyle name="Normal 9 2 3 7 3" xfId="6539" xr:uid="{00000000-0005-0000-0000-0000571F0000}"/>
    <cellStyle name="Normal 9 2 3 7 3 2" xfId="14968" xr:uid="{CFD704CB-01AF-4CAC-AA54-107D57A95F2A}"/>
    <cellStyle name="Normal 9 2 3 7 4" xfId="10750" xr:uid="{BE5C06F3-82CC-4025-8974-5A19BFB4A055}"/>
    <cellStyle name="Normal 9 2 3 8" xfId="2667" xr:uid="{00000000-0005-0000-0000-0000581F0000}"/>
    <cellStyle name="Normal 9 2 3 8 2" xfId="6952" xr:uid="{00000000-0005-0000-0000-0000591F0000}"/>
    <cellStyle name="Normal 9 2 3 8 2 2" xfId="15381" xr:uid="{2ED1627F-F99B-4B10-AF4C-CCBE215C1226}"/>
    <cellStyle name="Normal 9 2 3 8 3" xfId="11163" xr:uid="{37834A78-CF9E-4511-9633-4106D0F89D60}"/>
    <cellStyle name="Normal 9 2 3 9" xfId="4887" xr:uid="{00000000-0005-0000-0000-00005A1F0000}"/>
    <cellStyle name="Normal 9 2 3 9 2" xfId="13316" xr:uid="{355132EE-CA9E-4B17-8049-43AEB38B7BD1}"/>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2 2 2" xfId="15879" xr:uid="{A200F2B1-2B99-407D-BACC-E4E46ABC8F27}"/>
    <cellStyle name="Normal 9 2 4 2 2 2 3" xfId="11661" xr:uid="{27E64344-7C1D-4822-A58F-35BDA9D29CBA}"/>
    <cellStyle name="Normal 9 2 4 2 2 3" xfId="5305" xr:uid="{00000000-0005-0000-0000-0000601F0000}"/>
    <cellStyle name="Normal 9 2 4 2 2 3 2" xfId="13734" xr:uid="{228E99E3-F888-4C10-A143-07BCE97F7099}"/>
    <cellStyle name="Normal 9 2 4 2 2 4" xfId="9516" xr:uid="{347B6E85-D913-4A0B-B2A5-3A41011C860B}"/>
    <cellStyle name="Normal 9 2 4 2 3" xfId="1409" xr:uid="{00000000-0005-0000-0000-0000611F0000}"/>
    <cellStyle name="Normal 9 2 4 2 3 2" xfId="3639" xr:uid="{00000000-0005-0000-0000-0000621F0000}"/>
    <cellStyle name="Normal 9 2 4 2 3 2 2" xfId="7863" xr:uid="{00000000-0005-0000-0000-0000631F0000}"/>
    <cellStyle name="Normal 9 2 4 2 3 2 2 2" xfId="16292" xr:uid="{838FBF08-DB99-4AFC-BC4B-21E3B3F62980}"/>
    <cellStyle name="Normal 9 2 4 2 3 2 3" xfId="12074" xr:uid="{47762AAA-D151-46D3-AC00-9B99D8E49DE3}"/>
    <cellStyle name="Normal 9 2 4 2 3 3" xfId="5718" xr:uid="{00000000-0005-0000-0000-0000641F0000}"/>
    <cellStyle name="Normal 9 2 4 2 3 3 2" xfId="14147" xr:uid="{C3739548-252D-4228-AD84-A6059D8E7F33}"/>
    <cellStyle name="Normal 9 2 4 2 3 4" xfId="9929" xr:uid="{89299E14-485A-4DAD-ABC9-DEEE713CAC75}"/>
    <cellStyle name="Normal 9 2 4 2 4" xfId="1822" xr:uid="{00000000-0005-0000-0000-0000651F0000}"/>
    <cellStyle name="Normal 9 2 4 2 4 2" xfId="4052" xr:uid="{00000000-0005-0000-0000-0000661F0000}"/>
    <cellStyle name="Normal 9 2 4 2 4 2 2" xfId="8276" xr:uid="{00000000-0005-0000-0000-0000671F0000}"/>
    <cellStyle name="Normal 9 2 4 2 4 2 2 2" xfId="16705" xr:uid="{6FA50BA5-29A4-4B0C-9B34-1C3AB168DF91}"/>
    <cellStyle name="Normal 9 2 4 2 4 2 3" xfId="12487" xr:uid="{CC880F69-AB74-47F4-BE23-C1CBED03B1B8}"/>
    <cellStyle name="Normal 9 2 4 2 4 3" xfId="6131" xr:uid="{00000000-0005-0000-0000-0000681F0000}"/>
    <cellStyle name="Normal 9 2 4 2 4 3 2" xfId="14560" xr:uid="{3E1595E7-CF63-4955-86A8-F7E6061DF8F1}"/>
    <cellStyle name="Normal 9 2 4 2 4 4" xfId="10342" xr:uid="{62009AF1-9000-49F6-B4A0-B6494D4E3595}"/>
    <cellStyle name="Normal 9 2 4 2 5" xfId="2236" xr:uid="{00000000-0005-0000-0000-0000691F0000}"/>
    <cellStyle name="Normal 9 2 4 2 5 2" xfId="4465" xr:uid="{00000000-0005-0000-0000-00006A1F0000}"/>
    <cellStyle name="Normal 9 2 4 2 5 2 2" xfId="8689" xr:uid="{00000000-0005-0000-0000-00006B1F0000}"/>
    <cellStyle name="Normal 9 2 4 2 5 2 2 2" xfId="17118" xr:uid="{76B4A51A-6BA4-4CB3-90BC-970E55F74E0F}"/>
    <cellStyle name="Normal 9 2 4 2 5 2 3" xfId="12900" xr:uid="{09C93C47-C455-47AB-A583-1D655D823FE8}"/>
    <cellStyle name="Normal 9 2 4 2 5 3" xfId="6544" xr:uid="{00000000-0005-0000-0000-00006C1F0000}"/>
    <cellStyle name="Normal 9 2 4 2 5 3 2" xfId="14973" xr:uid="{9B85F832-007B-4768-8016-F79F41560AE7}"/>
    <cellStyle name="Normal 9 2 4 2 5 4" xfId="10755" xr:uid="{13E4E2F4-38AF-4B92-8B21-B0A9A40413D3}"/>
    <cellStyle name="Normal 9 2 4 2 6" xfId="2672" xr:uid="{00000000-0005-0000-0000-00006D1F0000}"/>
    <cellStyle name="Normal 9 2 4 2 6 2" xfId="6957" xr:uid="{00000000-0005-0000-0000-00006E1F0000}"/>
    <cellStyle name="Normal 9 2 4 2 6 2 2" xfId="15386" xr:uid="{4DF9A1B2-77F1-4215-83C7-00B06F24FCCE}"/>
    <cellStyle name="Normal 9 2 4 2 6 3" xfId="11168" xr:uid="{16A4F695-0F11-47FF-90FA-F150971D731A}"/>
    <cellStyle name="Normal 9 2 4 2 7" xfId="4892" xr:uid="{00000000-0005-0000-0000-00006F1F0000}"/>
    <cellStyle name="Normal 9 2 4 2 7 2" xfId="13321" xr:uid="{2F0EF8BB-7E85-4C62-9867-409B4FDA7398}"/>
    <cellStyle name="Normal 9 2 4 2 8" xfId="9103" xr:uid="{DDFA1A5F-2980-46D1-B4C0-419FDDC4B6AE}"/>
    <cellStyle name="Normal 9 2 4 3" xfId="992" xr:uid="{00000000-0005-0000-0000-0000701F0000}"/>
    <cellStyle name="Normal 9 2 4 3 2" xfId="3225" xr:uid="{00000000-0005-0000-0000-0000711F0000}"/>
    <cellStyle name="Normal 9 2 4 3 2 2" xfId="7449" xr:uid="{00000000-0005-0000-0000-0000721F0000}"/>
    <cellStyle name="Normal 9 2 4 3 2 2 2" xfId="15878" xr:uid="{EF8858E9-C0E5-4CC9-B4EE-2C2D8C3FC37D}"/>
    <cellStyle name="Normal 9 2 4 3 2 3" xfId="11660" xr:uid="{7BA6B3F5-D5E3-4421-B231-C809FCC5DB7D}"/>
    <cellStyle name="Normal 9 2 4 3 3" xfId="5304" xr:uid="{00000000-0005-0000-0000-0000731F0000}"/>
    <cellStyle name="Normal 9 2 4 3 3 2" xfId="13733" xr:uid="{095E0512-9212-4EDE-B8DF-7D6F10C61A69}"/>
    <cellStyle name="Normal 9 2 4 3 4" xfId="9515" xr:uid="{726D5971-50A4-4A16-B7E1-AB276049346E}"/>
    <cellStyle name="Normal 9 2 4 4" xfId="1408" xr:uid="{00000000-0005-0000-0000-0000741F0000}"/>
    <cellStyle name="Normal 9 2 4 4 2" xfId="3638" xr:uid="{00000000-0005-0000-0000-0000751F0000}"/>
    <cellStyle name="Normal 9 2 4 4 2 2" xfId="7862" xr:uid="{00000000-0005-0000-0000-0000761F0000}"/>
    <cellStyle name="Normal 9 2 4 4 2 2 2" xfId="16291" xr:uid="{34FA2214-8A72-4A9A-B5F7-AD16711EC26A}"/>
    <cellStyle name="Normal 9 2 4 4 2 3" xfId="12073" xr:uid="{DACF3D44-AC6B-47C3-A5A9-D68E19D454B0}"/>
    <cellStyle name="Normal 9 2 4 4 3" xfId="5717" xr:uid="{00000000-0005-0000-0000-0000771F0000}"/>
    <cellStyle name="Normal 9 2 4 4 3 2" xfId="14146" xr:uid="{91331A4F-FAA9-4603-8CEF-E5E6D6A4A419}"/>
    <cellStyle name="Normal 9 2 4 4 4" xfId="9928" xr:uid="{2C282A82-0CC1-4FEF-A4A3-555DE0C6CBB9}"/>
    <cellStyle name="Normal 9 2 4 5" xfId="1821" xr:uid="{00000000-0005-0000-0000-0000781F0000}"/>
    <cellStyle name="Normal 9 2 4 5 2" xfId="4051" xr:uid="{00000000-0005-0000-0000-0000791F0000}"/>
    <cellStyle name="Normal 9 2 4 5 2 2" xfId="8275" xr:uid="{00000000-0005-0000-0000-00007A1F0000}"/>
    <cellStyle name="Normal 9 2 4 5 2 2 2" xfId="16704" xr:uid="{A826CE13-CFBE-4234-9DCD-59E76C6C84DA}"/>
    <cellStyle name="Normal 9 2 4 5 2 3" xfId="12486" xr:uid="{FBB8E5A4-10EC-41B1-9A8A-1CFE5DA0DE34}"/>
    <cellStyle name="Normal 9 2 4 5 3" xfId="6130" xr:uid="{00000000-0005-0000-0000-00007B1F0000}"/>
    <cellStyle name="Normal 9 2 4 5 3 2" xfId="14559" xr:uid="{01F1F396-34BF-43BD-8CF9-8F0E5850A71B}"/>
    <cellStyle name="Normal 9 2 4 5 4" xfId="10341" xr:uid="{982D6A7A-E950-4B00-A4E1-E5A7E5FD3228}"/>
    <cellStyle name="Normal 9 2 4 6" xfId="2235" xr:uid="{00000000-0005-0000-0000-00007C1F0000}"/>
    <cellStyle name="Normal 9 2 4 6 2" xfId="4464" xr:uid="{00000000-0005-0000-0000-00007D1F0000}"/>
    <cellStyle name="Normal 9 2 4 6 2 2" xfId="8688" xr:uid="{00000000-0005-0000-0000-00007E1F0000}"/>
    <cellStyle name="Normal 9 2 4 6 2 2 2" xfId="17117" xr:uid="{0E147355-128C-43A2-B67B-F4C3D6A5399F}"/>
    <cellStyle name="Normal 9 2 4 6 2 3" xfId="12899" xr:uid="{256AFF96-A2BE-430B-9B5B-707B7244BA8D}"/>
    <cellStyle name="Normal 9 2 4 6 3" xfId="6543" xr:uid="{00000000-0005-0000-0000-00007F1F0000}"/>
    <cellStyle name="Normal 9 2 4 6 3 2" xfId="14972" xr:uid="{F48D46E9-7D84-4CA3-8E3F-DCB3DD51AC91}"/>
    <cellStyle name="Normal 9 2 4 6 4" xfId="10754" xr:uid="{DDCBABBD-2461-49B7-B3CE-33F61291AB08}"/>
    <cellStyle name="Normal 9 2 4 7" xfId="2671" xr:uid="{00000000-0005-0000-0000-0000801F0000}"/>
    <cellStyle name="Normal 9 2 4 7 2" xfId="6956" xr:uid="{00000000-0005-0000-0000-0000811F0000}"/>
    <cellStyle name="Normal 9 2 4 7 2 2" xfId="15385" xr:uid="{7338DBBA-DBE0-4D80-A3CB-86E45863F261}"/>
    <cellStyle name="Normal 9 2 4 7 3" xfId="11167" xr:uid="{F1B1D138-0DB5-4D5E-B0F0-DB7826D0FB12}"/>
    <cellStyle name="Normal 9 2 4 8" xfId="4891" xr:uid="{00000000-0005-0000-0000-0000821F0000}"/>
    <cellStyle name="Normal 9 2 4 8 2" xfId="13320" xr:uid="{FA64D0C4-8BC2-4CC7-9618-412C40649B14}"/>
    <cellStyle name="Normal 9 2 4 9" xfId="9102" xr:uid="{046B5FBF-36C6-4859-AF5E-D25549897CBB}"/>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2 2 2" xfId="15880" xr:uid="{32602210-8DCA-43B7-B874-65F8FF1B7716}"/>
    <cellStyle name="Normal 9 2 5 2 2 3" xfId="11662" xr:uid="{338E26D4-0C5C-4C4A-85E3-BDE945E50370}"/>
    <cellStyle name="Normal 9 2 5 2 3" xfId="5306" xr:uid="{00000000-0005-0000-0000-0000871F0000}"/>
    <cellStyle name="Normal 9 2 5 2 3 2" xfId="13735" xr:uid="{664C17DA-88D1-4F27-AFD4-A287D9DE6BD8}"/>
    <cellStyle name="Normal 9 2 5 2 4" xfId="9517" xr:uid="{36B9CEA5-C815-4E82-BA3D-695F7A12BE50}"/>
    <cellStyle name="Normal 9 2 5 3" xfId="1410" xr:uid="{00000000-0005-0000-0000-0000881F0000}"/>
    <cellStyle name="Normal 9 2 5 3 2" xfId="3640" xr:uid="{00000000-0005-0000-0000-0000891F0000}"/>
    <cellStyle name="Normal 9 2 5 3 2 2" xfId="7864" xr:uid="{00000000-0005-0000-0000-00008A1F0000}"/>
    <cellStyle name="Normal 9 2 5 3 2 2 2" xfId="16293" xr:uid="{3A8F4089-D491-45E8-9597-12A56CF7321A}"/>
    <cellStyle name="Normal 9 2 5 3 2 3" xfId="12075" xr:uid="{741DB8A0-27D1-4E28-BD92-B3C7144D03A3}"/>
    <cellStyle name="Normal 9 2 5 3 3" xfId="5719" xr:uid="{00000000-0005-0000-0000-00008B1F0000}"/>
    <cellStyle name="Normal 9 2 5 3 3 2" xfId="14148" xr:uid="{1B7BAB87-6C4E-4A22-9B26-A14158C98792}"/>
    <cellStyle name="Normal 9 2 5 3 4" xfId="9930" xr:uid="{7E3D5E16-51D3-461F-8FCB-8A5174005575}"/>
    <cellStyle name="Normal 9 2 5 4" xfId="1823" xr:uid="{00000000-0005-0000-0000-00008C1F0000}"/>
    <cellStyle name="Normal 9 2 5 4 2" xfId="4053" xr:uid="{00000000-0005-0000-0000-00008D1F0000}"/>
    <cellStyle name="Normal 9 2 5 4 2 2" xfId="8277" xr:uid="{00000000-0005-0000-0000-00008E1F0000}"/>
    <cellStyle name="Normal 9 2 5 4 2 2 2" xfId="16706" xr:uid="{546DE171-7B32-4245-AE4F-7C192702F768}"/>
    <cellStyle name="Normal 9 2 5 4 2 3" xfId="12488" xr:uid="{73F4ADD6-2200-4529-A1F0-0D05BE28A736}"/>
    <cellStyle name="Normal 9 2 5 4 3" xfId="6132" xr:uid="{00000000-0005-0000-0000-00008F1F0000}"/>
    <cellStyle name="Normal 9 2 5 4 3 2" xfId="14561" xr:uid="{6DD94DC4-1CB1-4D89-951F-BC398EBBA52A}"/>
    <cellStyle name="Normal 9 2 5 4 4" xfId="10343" xr:uid="{4D7E1F7F-72FB-469B-9749-E172C9B8A1A1}"/>
    <cellStyle name="Normal 9 2 5 5" xfId="2237" xr:uid="{00000000-0005-0000-0000-0000901F0000}"/>
    <cellStyle name="Normal 9 2 5 5 2" xfId="4466" xr:uid="{00000000-0005-0000-0000-0000911F0000}"/>
    <cellStyle name="Normal 9 2 5 5 2 2" xfId="8690" xr:uid="{00000000-0005-0000-0000-0000921F0000}"/>
    <cellStyle name="Normal 9 2 5 5 2 2 2" xfId="17119" xr:uid="{971DEC80-1B78-4B07-AFEB-689F191EC981}"/>
    <cellStyle name="Normal 9 2 5 5 2 3" xfId="12901" xr:uid="{CB355097-99FC-4EC2-8DB0-A56854FF1920}"/>
    <cellStyle name="Normal 9 2 5 5 3" xfId="6545" xr:uid="{00000000-0005-0000-0000-0000931F0000}"/>
    <cellStyle name="Normal 9 2 5 5 3 2" xfId="14974" xr:uid="{8786A9AA-3A40-4FED-AE47-C540AD39BB60}"/>
    <cellStyle name="Normal 9 2 5 5 4" xfId="10756" xr:uid="{7F1E539C-5EEB-49EA-A4F4-8E2A141DD808}"/>
    <cellStyle name="Normal 9 2 5 6" xfId="2673" xr:uid="{00000000-0005-0000-0000-0000941F0000}"/>
    <cellStyle name="Normal 9 2 5 6 2" xfId="6958" xr:uid="{00000000-0005-0000-0000-0000951F0000}"/>
    <cellStyle name="Normal 9 2 5 6 2 2" xfId="15387" xr:uid="{E430FD6F-D372-47D5-8B6B-50F7828FADE9}"/>
    <cellStyle name="Normal 9 2 5 6 3" xfId="11169" xr:uid="{7B714CA4-3051-4FB7-B6A6-740EEA76D6B8}"/>
    <cellStyle name="Normal 9 2 5 7" xfId="4893" xr:uid="{00000000-0005-0000-0000-0000961F0000}"/>
    <cellStyle name="Normal 9 2 5 7 2" xfId="13322" xr:uid="{4DD8976D-36D1-4197-9249-29D0BA1975A7}"/>
    <cellStyle name="Normal 9 2 5 8" xfId="9104" xr:uid="{FEAD93D9-F436-49FC-8205-C4BB1F231D89}"/>
    <cellStyle name="Normal 9 2 6" xfId="979" xr:uid="{00000000-0005-0000-0000-0000971F0000}"/>
    <cellStyle name="Normal 9 2 6 2" xfId="3212" xr:uid="{00000000-0005-0000-0000-0000981F0000}"/>
    <cellStyle name="Normal 9 2 6 2 2" xfId="7436" xr:uid="{00000000-0005-0000-0000-0000991F0000}"/>
    <cellStyle name="Normal 9 2 6 2 2 2" xfId="15865" xr:uid="{5C8CDDDD-B89F-4420-AD85-0F21ABFD4F50}"/>
    <cellStyle name="Normal 9 2 6 2 3" xfId="11647" xr:uid="{AC685BF1-7F4E-416B-A4B6-CD5A03880FCE}"/>
    <cellStyle name="Normal 9 2 6 3" xfId="5291" xr:uid="{00000000-0005-0000-0000-00009A1F0000}"/>
    <cellStyle name="Normal 9 2 6 3 2" xfId="13720" xr:uid="{DF557D28-192B-47CE-B160-F0DF66A3B43B}"/>
    <cellStyle name="Normal 9 2 6 4" xfId="9502" xr:uid="{CF5DB96F-20C3-442C-96C0-521A008AA1E9}"/>
    <cellStyle name="Normal 9 2 7" xfId="1395" xr:uid="{00000000-0005-0000-0000-00009B1F0000}"/>
    <cellStyle name="Normal 9 2 7 2" xfId="3625" xr:uid="{00000000-0005-0000-0000-00009C1F0000}"/>
    <cellStyle name="Normal 9 2 7 2 2" xfId="7849" xr:uid="{00000000-0005-0000-0000-00009D1F0000}"/>
    <cellStyle name="Normal 9 2 7 2 2 2" xfId="16278" xr:uid="{957AD5D8-BDA4-49A5-8CCB-E4C311B5BFE1}"/>
    <cellStyle name="Normal 9 2 7 2 3" xfId="12060" xr:uid="{3581FC3A-C659-4405-81B6-38D1E4A60BEB}"/>
    <cellStyle name="Normal 9 2 7 3" xfId="5704" xr:uid="{00000000-0005-0000-0000-00009E1F0000}"/>
    <cellStyle name="Normal 9 2 7 3 2" xfId="14133" xr:uid="{88885EB8-5993-4124-B47E-4DDDFD229D7B}"/>
    <cellStyle name="Normal 9 2 7 4" xfId="9915" xr:uid="{72BB28A2-C3C5-4FE1-B518-08E41B6F48A1}"/>
    <cellStyle name="Normal 9 2 8" xfId="1808" xr:uid="{00000000-0005-0000-0000-00009F1F0000}"/>
    <cellStyle name="Normal 9 2 8 2" xfId="4038" xr:uid="{00000000-0005-0000-0000-0000A01F0000}"/>
    <cellStyle name="Normal 9 2 8 2 2" xfId="8262" xr:uid="{00000000-0005-0000-0000-0000A11F0000}"/>
    <cellStyle name="Normal 9 2 8 2 2 2" xfId="16691" xr:uid="{66F715A4-7A47-4AA3-B919-9FB93B3BE71E}"/>
    <cellStyle name="Normal 9 2 8 2 3" xfId="12473" xr:uid="{0D961A8F-45D2-4218-B887-0378F2E7BCF4}"/>
    <cellStyle name="Normal 9 2 8 3" xfId="6117" xr:uid="{00000000-0005-0000-0000-0000A21F0000}"/>
    <cellStyle name="Normal 9 2 8 3 2" xfId="14546" xr:uid="{CE51255A-F215-4128-BF2C-5E16EEC51A05}"/>
    <cellStyle name="Normal 9 2 8 4" xfId="10328" xr:uid="{45C2B5FB-56BF-45AA-AE42-0175AC1F2AF4}"/>
    <cellStyle name="Normal 9 2 9" xfId="2222" xr:uid="{00000000-0005-0000-0000-0000A31F0000}"/>
    <cellStyle name="Normal 9 2 9 2" xfId="4451" xr:uid="{00000000-0005-0000-0000-0000A41F0000}"/>
    <cellStyle name="Normal 9 2 9 2 2" xfId="8675" xr:uid="{00000000-0005-0000-0000-0000A51F0000}"/>
    <cellStyle name="Normal 9 2 9 2 2 2" xfId="17104" xr:uid="{0F4B0391-A80A-4DFE-99A7-0DE20FB89E97}"/>
    <cellStyle name="Normal 9 2 9 2 3" xfId="12886" xr:uid="{63BE15C0-043C-4AF8-B96A-4DFE09EB47C4}"/>
    <cellStyle name="Normal 9 2 9 3" xfId="6530" xr:uid="{00000000-0005-0000-0000-0000A61F0000}"/>
    <cellStyle name="Normal 9 2 9 3 2" xfId="14959" xr:uid="{F00FBB94-8B6B-48E3-99C9-F8A12CE5F128}"/>
    <cellStyle name="Normal 9 2 9 4" xfId="10741" xr:uid="{5939B24D-22D9-4560-819F-1CEC4B989E5E}"/>
    <cellStyle name="Normal 9 3" xfId="527" xr:uid="{00000000-0005-0000-0000-0000A71F0000}"/>
    <cellStyle name="Normal 9 3 10" xfId="4894" xr:uid="{00000000-0005-0000-0000-0000A81F0000}"/>
    <cellStyle name="Normal 9 3 10 2" xfId="13323" xr:uid="{5B84577F-5187-4A66-80B2-3C2DFE65FE0F}"/>
    <cellStyle name="Normal 9 3 11" xfId="9105" xr:uid="{FA87A985-36D1-4DD9-8C4D-6DE8EC05CA74}"/>
    <cellStyle name="Normal 9 3 2" xfId="528" xr:uid="{00000000-0005-0000-0000-0000A91F0000}"/>
    <cellStyle name="Normal 9 3 2 10" xfId="9106" xr:uid="{FAA522D1-5FAF-4222-A570-7BD92C365823}"/>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2 2 2" xfId="15884" xr:uid="{6C0D9B77-E22E-4B07-ACDD-DE8A42272544}"/>
    <cellStyle name="Normal 9 3 2 2 2 2 2 3" xfId="11666" xr:uid="{B375AC51-9E61-4DEA-BA3C-31CB1AE4959C}"/>
    <cellStyle name="Normal 9 3 2 2 2 2 3" xfId="5310" xr:uid="{00000000-0005-0000-0000-0000AF1F0000}"/>
    <cellStyle name="Normal 9 3 2 2 2 2 3 2" xfId="13739" xr:uid="{7FAEB806-74B6-4CA7-98F9-EBBA1B73EB4A}"/>
    <cellStyle name="Normal 9 3 2 2 2 2 4" xfId="9521" xr:uid="{F589C878-93CB-4237-BE45-AA7FED4B76CB}"/>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2 2 2" xfId="16297" xr:uid="{86BB1841-735A-43AE-9F48-B03F00D95E57}"/>
    <cellStyle name="Normal 9 3 2 2 2 3 2 3" xfId="12079" xr:uid="{33993005-C4C8-4363-8B70-2E8390B73DD5}"/>
    <cellStyle name="Normal 9 3 2 2 2 3 3" xfId="5723" xr:uid="{00000000-0005-0000-0000-0000B31F0000}"/>
    <cellStyle name="Normal 9 3 2 2 2 3 3 2" xfId="14152" xr:uid="{F4A17C79-0237-4EA0-A202-926329AA6B14}"/>
    <cellStyle name="Normal 9 3 2 2 2 3 4" xfId="9934" xr:uid="{13843A1D-2E1C-4378-9137-4459F8BC17B1}"/>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2 2 2" xfId="16710" xr:uid="{7E2BA8CA-E4FD-4EF5-A12B-87C2541A53B5}"/>
    <cellStyle name="Normal 9 3 2 2 2 4 2 3" xfId="12492" xr:uid="{85DA4118-3237-4A7C-A532-7DCE7B921637}"/>
    <cellStyle name="Normal 9 3 2 2 2 4 3" xfId="6136" xr:uid="{00000000-0005-0000-0000-0000B71F0000}"/>
    <cellStyle name="Normal 9 3 2 2 2 4 3 2" xfId="14565" xr:uid="{8D31C6C5-027B-4DCC-AC99-B90E7506E9D2}"/>
    <cellStyle name="Normal 9 3 2 2 2 4 4" xfId="10347" xr:uid="{F53EF1C0-EB1C-4DF9-87A2-22D9B094FEAC}"/>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2 2 2" xfId="17123" xr:uid="{9B2CABA8-0A54-4EDF-9523-ECA90E97C4B2}"/>
    <cellStyle name="Normal 9 3 2 2 2 5 2 3" xfId="12905" xr:uid="{8E348DEA-8D81-43A2-86D6-F9A54B1BE878}"/>
    <cellStyle name="Normal 9 3 2 2 2 5 3" xfId="6549" xr:uid="{00000000-0005-0000-0000-0000BB1F0000}"/>
    <cellStyle name="Normal 9 3 2 2 2 5 3 2" xfId="14978" xr:uid="{33B28B6D-E3FC-4B29-BCDB-B9567CEEA952}"/>
    <cellStyle name="Normal 9 3 2 2 2 5 4" xfId="10760" xr:uid="{8DC3F6DE-7261-46EF-8B34-69B002D454FC}"/>
    <cellStyle name="Normal 9 3 2 2 2 6" xfId="2677" xr:uid="{00000000-0005-0000-0000-0000BC1F0000}"/>
    <cellStyle name="Normal 9 3 2 2 2 6 2" xfId="6962" xr:uid="{00000000-0005-0000-0000-0000BD1F0000}"/>
    <cellStyle name="Normal 9 3 2 2 2 6 2 2" xfId="15391" xr:uid="{C124FBF6-19FF-4606-953B-BDBAFB07EFCA}"/>
    <cellStyle name="Normal 9 3 2 2 2 6 3" xfId="11173" xr:uid="{01BDD6BB-50D4-41CD-8243-A01E77AD981E}"/>
    <cellStyle name="Normal 9 3 2 2 2 7" xfId="4897" xr:uid="{00000000-0005-0000-0000-0000BE1F0000}"/>
    <cellStyle name="Normal 9 3 2 2 2 7 2" xfId="13326" xr:uid="{F5E4CE55-5968-4DAA-B187-BCF741B7DB48}"/>
    <cellStyle name="Normal 9 3 2 2 2 8" xfId="9108" xr:uid="{6B78F75F-2488-4B88-8982-F69F1CD41A20}"/>
    <cellStyle name="Normal 9 3 2 2 3" xfId="997" xr:uid="{00000000-0005-0000-0000-0000BF1F0000}"/>
    <cellStyle name="Normal 9 3 2 2 3 2" xfId="3230" xr:uid="{00000000-0005-0000-0000-0000C01F0000}"/>
    <cellStyle name="Normal 9 3 2 2 3 2 2" xfId="7454" xr:uid="{00000000-0005-0000-0000-0000C11F0000}"/>
    <cellStyle name="Normal 9 3 2 2 3 2 2 2" xfId="15883" xr:uid="{BBD955B4-08EC-44D1-97A4-43E27E8DE997}"/>
    <cellStyle name="Normal 9 3 2 2 3 2 3" xfId="11665" xr:uid="{83AD89FA-C8C7-410E-81E7-30C33E711926}"/>
    <cellStyle name="Normal 9 3 2 2 3 3" xfId="5309" xr:uid="{00000000-0005-0000-0000-0000C21F0000}"/>
    <cellStyle name="Normal 9 3 2 2 3 3 2" xfId="13738" xr:uid="{E7E4E8F1-307A-4D6E-ACC0-1CB8C6786690}"/>
    <cellStyle name="Normal 9 3 2 2 3 4" xfId="9520" xr:uid="{E344087F-5939-4636-B38B-6123C559B79C}"/>
    <cellStyle name="Normal 9 3 2 2 4" xfId="1413" xr:uid="{00000000-0005-0000-0000-0000C31F0000}"/>
    <cellStyle name="Normal 9 3 2 2 4 2" xfId="3643" xr:uid="{00000000-0005-0000-0000-0000C41F0000}"/>
    <cellStyle name="Normal 9 3 2 2 4 2 2" xfId="7867" xr:uid="{00000000-0005-0000-0000-0000C51F0000}"/>
    <cellStyle name="Normal 9 3 2 2 4 2 2 2" xfId="16296" xr:uid="{9BC65B66-D3B4-43B4-810E-9E6F9E25FE54}"/>
    <cellStyle name="Normal 9 3 2 2 4 2 3" xfId="12078" xr:uid="{9248F7B5-6AEC-47C0-ADB7-8F1919C3F094}"/>
    <cellStyle name="Normal 9 3 2 2 4 3" xfId="5722" xr:uid="{00000000-0005-0000-0000-0000C61F0000}"/>
    <cellStyle name="Normal 9 3 2 2 4 3 2" xfId="14151" xr:uid="{93369CBA-9DF2-41EF-BE57-68446775D6C9}"/>
    <cellStyle name="Normal 9 3 2 2 4 4" xfId="9933" xr:uid="{7C9F6C97-BAB1-4FDB-A109-7F08E150AFBB}"/>
    <cellStyle name="Normal 9 3 2 2 5" xfId="1826" xr:uid="{00000000-0005-0000-0000-0000C71F0000}"/>
    <cellStyle name="Normal 9 3 2 2 5 2" xfId="4056" xr:uid="{00000000-0005-0000-0000-0000C81F0000}"/>
    <cellStyle name="Normal 9 3 2 2 5 2 2" xfId="8280" xr:uid="{00000000-0005-0000-0000-0000C91F0000}"/>
    <cellStyle name="Normal 9 3 2 2 5 2 2 2" xfId="16709" xr:uid="{0D348A28-57DD-44A7-AA1C-C2BBDDBEE884}"/>
    <cellStyle name="Normal 9 3 2 2 5 2 3" xfId="12491" xr:uid="{91E63AEE-3536-4F2C-BA38-44BAA1F7E2D7}"/>
    <cellStyle name="Normal 9 3 2 2 5 3" xfId="6135" xr:uid="{00000000-0005-0000-0000-0000CA1F0000}"/>
    <cellStyle name="Normal 9 3 2 2 5 3 2" xfId="14564" xr:uid="{D81DBE9E-2B57-4857-A33D-B92A06EF1DA3}"/>
    <cellStyle name="Normal 9 3 2 2 5 4" xfId="10346" xr:uid="{EA06DD4A-3AA2-41A3-B1BF-A770D6B5116C}"/>
    <cellStyle name="Normal 9 3 2 2 6" xfId="2240" xr:uid="{00000000-0005-0000-0000-0000CB1F0000}"/>
    <cellStyle name="Normal 9 3 2 2 6 2" xfId="4469" xr:uid="{00000000-0005-0000-0000-0000CC1F0000}"/>
    <cellStyle name="Normal 9 3 2 2 6 2 2" xfId="8693" xr:uid="{00000000-0005-0000-0000-0000CD1F0000}"/>
    <cellStyle name="Normal 9 3 2 2 6 2 2 2" xfId="17122" xr:uid="{D82E077D-A7CD-412F-858C-F8E238BDB1CC}"/>
    <cellStyle name="Normal 9 3 2 2 6 2 3" xfId="12904" xr:uid="{07F3A8EC-900F-4988-9467-019D8C50ED15}"/>
    <cellStyle name="Normal 9 3 2 2 6 3" xfId="6548" xr:uid="{00000000-0005-0000-0000-0000CE1F0000}"/>
    <cellStyle name="Normal 9 3 2 2 6 3 2" xfId="14977" xr:uid="{F6FF5BB3-EDA6-4B99-8EB1-C8C51C9B7004}"/>
    <cellStyle name="Normal 9 3 2 2 6 4" xfId="10759" xr:uid="{F4269A53-DD5C-4010-BFE6-AEE3743F4E1A}"/>
    <cellStyle name="Normal 9 3 2 2 7" xfId="2676" xr:uid="{00000000-0005-0000-0000-0000CF1F0000}"/>
    <cellStyle name="Normal 9 3 2 2 7 2" xfId="6961" xr:uid="{00000000-0005-0000-0000-0000D01F0000}"/>
    <cellStyle name="Normal 9 3 2 2 7 2 2" xfId="15390" xr:uid="{4F76B69D-64BA-4869-84E0-B9DBDCCCFB65}"/>
    <cellStyle name="Normal 9 3 2 2 7 3" xfId="11172" xr:uid="{9B5FB1EA-8D78-4F3E-97A3-C6FCD06530FD}"/>
    <cellStyle name="Normal 9 3 2 2 8" xfId="4896" xr:uid="{00000000-0005-0000-0000-0000D11F0000}"/>
    <cellStyle name="Normal 9 3 2 2 8 2" xfId="13325" xr:uid="{EF7CB613-C53F-4DD3-BBA4-170959B7384A}"/>
    <cellStyle name="Normal 9 3 2 2 9" xfId="9107" xr:uid="{0E3A8743-8E55-4EB6-B5D2-20DCCD758E2E}"/>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2 2 2" xfId="15885" xr:uid="{416E2DF4-D6F9-4724-A09C-D06E08482877}"/>
    <cellStyle name="Normal 9 3 2 3 2 2 3" xfId="11667" xr:uid="{EAA1D758-4C0D-4E9D-83B1-ED1A89BEB4DE}"/>
    <cellStyle name="Normal 9 3 2 3 2 3" xfId="5311" xr:uid="{00000000-0005-0000-0000-0000D61F0000}"/>
    <cellStyle name="Normal 9 3 2 3 2 3 2" xfId="13740" xr:uid="{55C00493-4731-4C80-9B0A-3A4D53D0981E}"/>
    <cellStyle name="Normal 9 3 2 3 2 4" xfId="9522" xr:uid="{4F4AC4DF-291D-4161-9D64-F46791C2BDB4}"/>
    <cellStyle name="Normal 9 3 2 3 3" xfId="1415" xr:uid="{00000000-0005-0000-0000-0000D71F0000}"/>
    <cellStyle name="Normal 9 3 2 3 3 2" xfId="3645" xr:uid="{00000000-0005-0000-0000-0000D81F0000}"/>
    <cellStyle name="Normal 9 3 2 3 3 2 2" xfId="7869" xr:uid="{00000000-0005-0000-0000-0000D91F0000}"/>
    <cellStyle name="Normal 9 3 2 3 3 2 2 2" xfId="16298" xr:uid="{81B83C2A-BFDB-412A-8DCC-C3DA63696217}"/>
    <cellStyle name="Normal 9 3 2 3 3 2 3" xfId="12080" xr:uid="{90A1CEBD-8C4F-4036-B22C-814794847018}"/>
    <cellStyle name="Normal 9 3 2 3 3 3" xfId="5724" xr:uid="{00000000-0005-0000-0000-0000DA1F0000}"/>
    <cellStyle name="Normal 9 3 2 3 3 3 2" xfId="14153" xr:uid="{E1DBED89-2C7E-495E-9D81-BB52ECF95B8F}"/>
    <cellStyle name="Normal 9 3 2 3 3 4" xfId="9935" xr:uid="{90370F3E-75F3-4996-9FDB-F89B0B043BFB}"/>
    <cellStyle name="Normal 9 3 2 3 4" xfId="1828" xr:uid="{00000000-0005-0000-0000-0000DB1F0000}"/>
    <cellStyle name="Normal 9 3 2 3 4 2" xfId="4058" xr:uid="{00000000-0005-0000-0000-0000DC1F0000}"/>
    <cellStyle name="Normal 9 3 2 3 4 2 2" xfId="8282" xr:uid="{00000000-0005-0000-0000-0000DD1F0000}"/>
    <cellStyle name="Normal 9 3 2 3 4 2 2 2" xfId="16711" xr:uid="{D1F86EA1-B50A-4BE1-BC15-30CCD553249B}"/>
    <cellStyle name="Normal 9 3 2 3 4 2 3" xfId="12493" xr:uid="{3ED03688-1D10-4704-BEE7-44866D609995}"/>
    <cellStyle name="Normal 9 3 2 3 4 3" xfId="6137" xr:uid="{00000000-0005-0000-0000-0000DE1F0000}"/>
    <cellStyle name="Normal 9 3 2 3 4 3 2" xfId="14566" xr:uid="{8BDCF154-F311-463B-87CB-428D57B90E0E}"/>
    <cellStyle name="Normal 9 3 2 3 4 4" xfId="10348" xr:uid="{0C4B8253-076A-4AD0-AA06-B360070A3784}"/>
    <cellStyle name="Normal 9 3 2 3 5" xfId="2242" xr:uid="{00000000-0005-0000-0000-0000DF1F0000}"/>
    <cellStyle name="Normal 9 3 2 3 5 2" xfId="4471" xr:uid="{00000000-0005-0000-0000-0000E01F0000}"/>
    <cellStyle name="Normal 9 3 2 3 5 2 2" xfId="8695" xr:uid="{00000000-0005-0000-0000-0000E11F0000}"/>
    <cellStyle name="Normal 9 3 2 3 5 2 2 2" xfId="17124" xr:uid="{54E7C4BA-F0AA-4621-A71B-8B285FB841B9}"/>
    <cellStyle name="Normal 9 3 2 3 5 2 3" xfId="12906" xr:uid="{A7D82DE4-884E-434A-81CE-B66827D7DF44}"/>
    <cellStyle name="Normal 9 3 2 3 5 3" xfId="6550" xr:uid="{00000000-0005-0000-0000-0000E21F0000}"/>
    <cellStyle name="Normal 9 3 2 3 5 3 2" xfId="14979" xr:uid="{0B10EE29-DE7F-4FE4-813D-69E75673250E}"/>
    <cellStyle name="Normal 9 3 2 3 5 4" xfId="10761" xr:uid="{80BC0739-DCA2-488F-BB37-FB871C4286E7}"/>
    <cellStyle name="Normal 9 3 2 3 6" xfId="2678" xr:uid="{00000000-0005-0000-0000-0000E31F0000}"/>
    <cellStyle name="Normal 9 3 2 3 6 2" xfId="6963" xr:uid="{00000000-0005-0000-0000-0000E41F0000}"/>
    <cellStyle name="Normal 9 3 2 3 6 2 2" xfId="15392" xr:uid="{27DD832C-7A71-436D-B0E5-99F5D8CC0F3A}"/>
    <cellStyle name="Normal 9 3 2 3 6 3" xfId="11174" xr:uid="{C11D3B8E-4349-407C-AEBD-35B694CDEAAD}"/>
    <cellStyle name="Normal 9 3 2 3 7" xfId="4898" xr:uid="{00000000-0005-0000-0000-0000E51F0000}"/>
    <cellStyle name="Normal 9 3 2 3 7 2" xfId="13327" xr:uid="{5F83E4AB-AE52-4803-A864-ED21A6A44C1F}"/>
    <cellStyle name="Normal 9 3 2 3 8" xfId="9109" xr:uid="{A1C88BAD-245D-48F9-BE56-3D3AF00F30BC}"/>
    <cellStyle name="Normal 9 3 2 4" xfId="996" xr:uid="{00000000-0005-0000-0000-0000E61F0000}"/>
    <cellStyle name="Normal 9 3 2 4 2" xfId="3229" xr:uid="{00000000-0005-0000-0000-0000E71F0000}"/>
    <cellStyle name="Normal 9 3 2 4 2 2" xfId="7453" xr:uid="{00000000-0005-0000-0000-0000E81F0000}"/>
    <cellStyle name="Normal 9 3 2 4 2 2 2" xfId="15882" xr:uid="{668CAFF8-C974-48CB-B842-4F863B01CF8C}"/>
    <cellStyle name="Normal 9 3 2 4 2 3" xfId="11664" xr:uid="{D23E044E-F729-4592-ABB4-C7D87486FF30}"/>
    <cellStyle name="Normal 9 3 2 4 3" xfId="5308" xr:uid="{00000000-0005-0000-0000-0000E91F0000}"/>
    <cellStyle name="Normal 9 3 2 4 3 2" xfId="13737" xr:uid="{0350FE5E-6F65-4168-9B93-A2E8A17484C4}"/>
    <cellStyle name="Normal 9 3 2 4 4" xfId="9519" xr:uid="{205763B3-0EC0-4832-8CD7-9A0B9B70FF02}"/>
    <cellStyle name="Normal 9 3 2 5" xfId="1412" xr:uid="{00000000-0005-0000-0000-0000EA1F0000}"/>
    <cellStyle name="Normal 9 3 2 5 2" xfId="3642" xr:uid="{00000000-0005-0000-0000-0000EB1F0000}"/>
    <cellStyle name="Normal 9 3 2 5 2 2" xfId="7866" xr:uid="{00000000-0005-0000-0000-0000EC1F0000}"/>
    <cellStyle name="Normal 9 3 2 5 2 2 2" xfId="16295" xr:uid="{1E90A0A6-7D2A-4CB1-9027-93582814A38C}"/>
    <cellStyle name="Normal 9 3 2 5 2 3" xfId="12077" xr:uid="{8E1252A4-DF8E-4009-9367-12A6BDD19014}"/>
    <cellStyle name="Normal 9 3 2 5 3" xfId="5721" xr:uid="{00000000-0005-0000-0000-0000ED1F0000}"/>
    <cellStyle name="Normal 9 3 2 5 3 2" xfId="14150" xr:uid="{7F1C6BE5-8161-4FA5-B43A-4880B813DA74}"/>
    <cellStyle name="Normal 9 3 2 5 4" xfId="9932" xr:uid="{C5AB3766-C9B0-47F3-98C3-AECC24B195E8}"/>
    <cellStyle name="Normal 9 3 2 6" xfId="1825" xr:uid="{00000000-0005-0000-0000-0000EE1F0000}"/>
    <cellStyle name="Normal 9 3 2 6 2" xfId="4055" xr:uid="{00000000-0005-0000-0000-0000EF1F0000}"/>
    <cellStyle name="Normal 9 3 2 6 2 2" xfId="8279" xr:uid="{00000000-0005-0000-0000-0000F01F0000}"/>
    <cellStyle name="Normal 9 3 2 6 2 2 2" xfId="16708" xr:uid="{1E5EB97F-B860-41CB-8AFC-B0A89AA87628}"/>
    <cellStyle name="Normal 9 3 2 6 2 3" xfId="12490" xr:uid="{B6985794-DF9B-46EE-8F3D-0DC3244E64FD}"/>
    <cellStyle name="Normal 9 3 2 6 3" xfId="6134" xr:uid="{00000000-0005-0000-0000-0000F11F0000}"/>
    <cellStyle name="Normal 9 3 2 6 3 2" xfId="14563" xr:uid="{CC19EF60-D54A-436D-9B51-CF141B23D2A6}"/>
    <cellStyle name="Normal 9 3 2 6 4" xfId="10345" xr:uid="{A3ED98F7-F6B5-4783-9A22-F23F12B7B6F4}"/>
    <cellStyle name="Normal 9 3 2 7" xfId="2239" xr:uid="{00000000-0005-0000-0000-0000F21F0000}"/>
    <cellStyle name="Normal 9 3 2 7 2" xfId="4468" xr:uid="{00000000-0005-0000-0000-0000F31F0000}"/>
    <cellStyle name="Normal 9 3 2 7 2 2" xfId="8692" xr:uid="{00000000-0005-0000-0000-0000F41F0000}"/>
    <cellStyle name="Normal 9 3 2 7 2 2 2" xfId="17121" xr:uid="{DA81908E-C2A7-4707-8147-35C02A209EA7}"/>
    <cellStyle name="Normal 9 3 2 7 2 3" xfId="12903" xr:uid="{FB4512C3-F3D6-4985-8FBD-C13F6D196E2D}"/>
    <cellStyle name="Normal 9 3 2 7 3" xfId="6547" xr:uid="{00000000-0005-0000-0000-0000F51F0000}"/>
    <cellStyle name="Normal 9 3 2 7 3 2" xfId="14976" xr:uid="{EE35DEDF-D70C-41C6-9BD4-ACAC6E96DC75}"/>
    <cellStyle name="Normal 9 3 2 7 4" xfId="10758" xr:uid="{FBF9473F-030D-4F68-917D-C20C434636E9}"/>
    <cellStyle name="Normal 9 3 2 8" xfId="2675" xr:uid="{00000000-0005-0000-0000-0000F61F0000}"/>
    <cellStyle name="Normal 9 3 2 8 2" xfId="6960" xr:uid="{00000000-0005-0000-0000-0000F71F0000}"/>
    <cellStyle name="Normal 9 3 2 8 2 2" xfId="15389" xr:uid="{35E1B7FF-8706-40AA-8F7F-37FA4BDA0759}"/>
    <cellStyle name="Normal 9 3 2 8 3" xfId="11171" xr:uid="{B94C9E13-5333-49DF-A32B-963014AECE2F}"/>
    <cellStyle name="Normal 9 3 2 9" xfId="4895" xr:uid="{00000000-0005-0000-0000-0000F81F0000}"/>
    <cellStyle name="Normal 9 3 2 9 2" xfId="13324" xr:uid="{3EDD7FF0-225F-4219-99BA-E2BD1A0E8884}"/>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2 2 2" xfId="15887" xr:uid="{37B028CF-0785-4988-AD89-DF801599E755}"/>
    <cellStyle name="Normal 9 3 3 2 2 2 3" xfId="11669" xr:uid="{0B6070E7-4CF0-4125-AADA-41C7A8CE25DE}"/>
    <cellStyle name="Normal 9 3 3 2 2 3" xfId="5313" xr:uid="{00000000-0005-0000-0000-0000FE1F0000}"/>
    <cellStyle name="Normal 9 3 3 2 2 3 2" xfId="13742" xr:uid="{F390C56E-F3CF-4E9A-B8C5-23BC851609D6}"/>
    <cellStyle name="Normal 9 3 3 2 2 4" xfId="9524" xr:uid="{9FB98004-A12B-462A-B223-E1F2CD3F8BF6}"/>
    <cellStyle name="Normal 9 3 3 2 3" xfId="1417" xr:uid="{00000000-0005-0000-0000-0000FF1F0000}"/>
    <cellStyle name="Normal 9 3 3 2 3 2" xfId="3647" xr:uid="{00000000-0005-0000-0000-000000200000}"/>
    <cellStyle name="Normal 9 3 3 2 3 2 2" xfId="7871" xr:uid="{00000000-0005-0000-0000-000001200000}"/>
    <cellStyle name="Normal 9 3 3 2 3 2 2 2" xfId="16300" xr:uid="{3B1DF1D2-6266-4E4C-B1D9-ED9FFAD35916}"/>
    <cellStyle name="Normal 9 3 3 2 3 2 3" xfId="12082" xr:uid="{72E1D4F2-5C97-4626-A974-FA6A06468F18}"/>
    <cellStyle name="Normal 9 3 3 2 3 3" xfId="5726" xr:uid="{00000000-0005-0000-0000-000002200000}"/>
    <cellStyle name="Normal 9 3 3 2 3 3 2" xfId="14155" xr:uid="{F8B32BAE-9079-4972-8ECA-C9168537F24B}"/>
    <cellStyle name="Normal 9 3 3 2 3 4" xfId="9937" xr:uid="{D465C833-9204-40E8-A55C-DEB24B6A7F16}"/>
    <cellStyle name="Normal 9 3 3 2 4" xfId="1830" xr:uid="{00000000-0005-0000-0000-000003200000}"/>
    <cellStyle name="Normal 9 3 3 2 4 2" xfId="4060" xr:uid="{00000000-0005-0000-0000-000004200000}"/>
    <cellStyle name="Normal 9 3 3 2 4 2 2" xfId="8284" xr:uid="{00000000-0005-0000-0000-000005200000}"/>
    <cellStyle name="Normal 9 3 3 2 4 2 2 2" xfId="16713" xr:uid="{F9219CB1-64C9-482F-8344-F4B135B4C216}"/>
    <cellStyle name="Normal 9 3 3 2 4 2 3" xfId="12495" xr:uid="{FB292E6A-E8A5-463D-B902-C4C0D54E6FDC}"/>
    <cellStyle name="Normal 9 3 3 2 4 3" xfId="6139" xr:uid="{00000000-0005-0000-0000-000006200000}"/>
    <cellStyle name="Normal 9 3 3 2 4 3 2" xfId="14568" xr:uid="{2952E55B-98BD-4D65-A7C0-F71E982B5B32}"/>
    <cellStyle name="Normal 9 3 3 2 4 4" xfId="10350" xr:uid="{E1A74ACF-02D9-4042-AF48-A91E6C110FD2}"/>
    <cellStyle name="Normal 9 3 3 2 5" xfId="2244" xr:uid="{00000000-0005-0000-0000-000007200000}"/>
    <cellStyle name="Normal 9 3 3 2 5 2" xfId="4473" xr:uid="{00000000-0005-0000-0000-000008200000}"/>
    <cellStyle name="Normal 9 3 3 2 5 2 2" xfId="8697" xr:uid="{00000000-0005-0000-0000-000009200000}"/>
    <cellStyle name="Normal 9 3 3 2 5 2 2 2" xfId="17126" xr:uid="{BB0AA693-A687-48D9-A162-50ECCA76CD1A}"/>
    <cellStyle name="Normal 9 3 3 2 5 2 3" xfId="12908" xr:uid="{E463E894-CA6E-41A5-AE5F-7469F7318ABD}"/>
    <cellStyle name="Normal 9 3 3 2 5 3" xfId="6552" xr:uid="{00000000-0005-0000-0000-00000A200000}"/>
    <cellStyle name="Normal 9 3 3 2 5 3 2" xfId="14981" xr:uid="{95E866D4-AB53-4689-AAB3-91A70AAEEBDF}"/>
    <cellStyle name="Normal 9 3 3 2 5 4" xfId="10763" xr:uid="{AA375871-8A12-45DC-9C08-98C887B2DE10}"/>
    <cellStyle name="Normal 9 3 3 2 6" xfId="2680" xr:uid="{00000000-0005-0000-0000-00000B200000}"/>
    <cellStyle name="Normal 9 3 3 2 6 2" xfId="6965" xr:uid="{00000000-0005-0000-0000-00000C200000}"/>
    <cellStyle name="Normal 9 3 3 2 6 2 2" xfId="15394" xr:uid="{EF9E1158-9D6F-48CF-BBED-B69E76BD1924}"/>
    <cellStyle name="Normal 9 3 3 2 6 3" xfId="11176" xr:uid="{D8A18EE4-C560-428E-83B1-32A529EF4D45}"/>
    <cellStyle name="Normal 9 3 3 2 7" xfId="4900" xr:uid="{00000000-0005-0000-0000-00000D200000}"/>
    <cellStyle name="Normal 9 3 3 2 7 2" xfId="13329" xr:uid="{C66B8B75-9E32-4745-85E5-A4A95C531842}"/>
    <cellStyle name="Normal 9 3 3 2 8" xfId="9111" xr:uid="{FC556B98-5959-40D2-B1F8-5B8C7A81E43C}"/>
    <cellStyle name="Normal 9 3 3 3" xfId="1000" xr:uid="{00000000-0005-0000-0000-00000E200000}"/>
    <cellStyle name="Normal 9 3 3 3 2" xfId="3233" xr:uid="{00000000-0005-0000-0000-00000F200000}"/>
    <cellStyle name="Normal 9 3 3 3 2 2" xfId="7457" xr:uid="{00000000-0005-0000-0000-000010200000}"/>
    <cellStyle name="Normal 9 3 3 3 2 2 2" xfId="15886" xr:uid="{176CBE22-0692-460A-8E61-981301905AB1}"/>
    <cellStyle name="Normal 9 3 3 3 2 3" xfId="11668" xr:uid="{21409380-1CE4-4BA0-A8DD-BE477459A132}"/>
    <cellStyle name="Normal 9 3 3 3 3" xfId="5312" xr:uid="{00000000-0005-0000-0000-000011200000}"/>
    <cellStyle name="Normal 9 3 3 3 3 2" xfId="13741" xr:uid="{12FC9AD2-E9B8-40E8-89FB-926D4C70A0A6}"/>
    <cellStyle name="Normal 9 3 3 3 4" xfId="9523" xr:uid="{E8A3AEB8-535F-4425-A649-B0C2812B28C7}"/>
    <cellStyle name="Normal 9 3 3 4" xfId="1416" xr:uid="{00000000-0005-0000-0000-000012200000}"/>
    <cellStyle name="Normal 9 3 3 4 2" xfId="3646" xr:uid="{00000000-0005-0000-0000-000013200000}"/>
    <cellStyle name="Normal 9 3 3 4 2 2" xfId="7870" xr:uid="{00000000-0005-0000-0000-000014200000}"/>
    <cellStyle name="Normal 9 3 3 4 2 2 2" xfId="16299" xr:uid="{1B7DCA9C-CEBA-41C4-BF60-26B218B00763}"/>
    <cellStyle name="Normal 9 3 3 4 2 3" xfId="12081" xr:uid="{5629AB81-5103-4538-ABC8-228975B32B33}"/>
    <cellStyle name="Normal 9 3 3 4 3" xfId="5725" xr:uid="{00000000-0005-0000-0000-000015200000}"/>
    <cellStyle name="Normal 9 3 3 4 3 2" xfId="14154" xr:uid="{A425DAFE-9E59-4661-9FC3-ED59DD11378F}"/>
    <cellStyle name="Normal 9 3 3 4 4" xfId="9936" xr:uid="{E13435CE-B94F-4BED-A0D0-F72A66B8DB00}"/>
    <cellStyle name="Normal 9 3 3 5" xfId="1829" xr:uid="{00000000-0005-0000-0000-000016200000}"/>
    <cellStyle name="Normal 9 3 3 5 2" xfId="4059" xr:uid="{00000000-0005-0000-0000-000017200000}"/>
    <cellStyle name="Normal 9 3 3 5 2 2" xfId="8283" xr:uid="{00000000-0005-0000-0000-000018200000}"/>
    <cellStyle name="Normal 9 3 3 5 2 2 2" xfId="16712" xr:uid="{8F7DF957-ECD5-4705-B3A8-19A292AE2BD5}"/>
    <cellStyle name="Normal 9 3 3 5 2 3" xfId="12494" xr:uid="{CC5F6B52-6A7F-4EAF-B5BA-44C3698A1474}"/>
    <cellStyle name="Normal 9 3 3 5 3" xfId="6138" xr:uid="{00000000-0005-0000-0000-000019200000}"/>
    <cellStyle name="Normal 9 3 3 5 3 2" xfId="14567" xr:uid="{C1A06003-94B5-4196-8B79-0979501CE61F}"/>
    <cellStyle name="Normal 9 3 3 5 4" xfId="10349" xr:uid="{1F1497DE-9C40-41AA-9D91-850DA991068C}"/>
    <cellStyle name="Normal 9 3 3 6" xfId="2243" xr:uid="{00000000-0005-0000-0000-00001A200000}"/>
    <cellStyle name="Normal 9 3 3 6 2" xfId="4472" xr:uid="{00000000-0005-0000-0000-00001B200000}"/>
    <cellStyle name="Normal 9 3 3 6 2 2" xfId="8696" xr:uid="{00000000-0005-0000-0000-00001C200000}"/>
    <cellStyle name="Normal 9 3 3 6 2 2 2" xfId="17125" xr:uid="{FE5903CC-0D8F-4A8D-9B3A-42E62AAF2A23}"/>
    <cellStyle name="Normal 9 3 3 6 2 3" xfId="12907" xr:uid="{BC5B80E1-71EE-40C4-93B3-BDEB1B905CDF}"/>
    <cellStyle name="Normal 9 3 3 6 3" xfId="6551" xr:uid="{00000000-0005-0000-0000-00001D200000}"/>
    <cellStyle name="Normal 9 3 3 6 3 2" xfId="14980" xr:uid="{821D33ED-0338-4C87-8F47-6270487EA597}"/>
    <cellStyle name="Normal 9 3 3 6 4" xfId="10762" xr:uid="{5FA625A2-F1E7-402B-8AD1-1AE830CB4160}"/>
    <cellStyle name="Normal 9 3 3 7" xfId="2679" xr:uid="{00000000-0005-0000-0000-00001E200000}"/>
    <cellStyle name="Normal 9 3 3 7 2" xfId="6964" xr:uid="{00000000-0005-0000-0000-00001F200000}"/>
    <cellStyle name="Normal 9 3 3 7 2 2" xfId="15393" xr:uid="{9424E7C7-FD63-4AD1-9E42-F8122C0693AE}"/>
    <cellStyle name="Normal 9 3 3 7 3" xfId="11175" xr:uid="{7C4C3FC6-0375-4A35-AF35-16D0E0AED0BE}"/>
    <cellStyle name="Normal 9 3 3 8" xfId="4899" xr:uid="{00000000-0005-0000-0000-000020200000}"/>
    <cellStyle name="Normal 9 3 3 8 2" xfId="13328" xr:uid="{47EFC6F4-8E96-46E8-84CE-1196C2392436}"/>
    <cellStyle name="Normal 9 3 3 9" xfId="9110" xr:uid="{21465C17-9D5C-44D7-A978-FE7E3035E41F}"/>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2 2 2" xfId="15888" xr:uid="{4081256B-0EF0-4915-8A09-4D1942425C8D}"/>
    <cellStyle name="Normal 9 3 4 2 2 3" xfId="11670" xr:uid="{C298DD1D-01C8-4B19-AB3B-B5FE514B30DE}"/>
    <cellStyle name="Normal 9 3 4 2 3" xfId="5314" xr:uid="{00000000-0005-0000-0000-000025200000}"/>
    <cellStyle name="Normal 9 3 4 2 3 2" xfId="13743" xr:uid="{3889E4D1-618F-4C73-A7E5-D8940A88953D}"/>
    <cellStyle name="Normal 9 3 4 2 4" xfId="9525" xr:uid="{1A7937F3-8F85-4E3F-A09A-3AA73C1EE544}"/>
    <cellStyle name="Normal 9 3 4 3" xfId="1418" xr:uid="{00000000-0005-0000-0000-000026200000}"/>
    <cellStyle name="Normal 9 3 4 3 2" xfId="3648" xr:uid="{00000000-0005-0000-0000-000027200000}"/>
    <cellStyle name="Normal 9 3 4 3 2 2" xfId="7872" xr:uid="{00000000-0005-0000-0000-000028200000}"/>
    <cellStyle name="Normal 9 3 4 3 2 2 2" xfId="16301" xr:uid="{A5527C50-64A2-488C-819D-00105AC8A960}"/>
    <cellStyle name="Normal 9 3 4 3 2 3" xfId="12083" xr:uid="{0779FC16-4FF6-43DF-8DA5-267E6FBEFDC4}"/>
    <cellStyle name="Normal 9 3 4 3 3" xfId="5727" xr:uid="{00000000-0005-0000-0000-000029200000}"/>
    <cellStyle name="Normal 9 3 4 3 3 2" xfId="14156" xr:uid="{49EC2AB9-8B72-4363-9ACB-29BDED1A6FBD}"/>
    <cellStyle name="Normal 9 3 4 3 4" xfId="9938" xr:uid="{871AD8BD-42B2-41FD-A4B1-39C281CA169F}"/>
    <cellStyle name="Normal 9 3 4 4" xfId="1831" xr:uid="{00000000-0005-0000-0000-00002A200000}"/>
    <cellStyle name="Normal 9 3 4 4 2" xfId="4061" xr:uid="{00000000-0005-0000-0000-00002B200000}"/>
    <cellStyle name="Normal 9 3 4 4 2 2" xfId="8285" xr:uid="{00000000-0005-0000-0000-00002C200000}"/>
    <cellStyle name="Normal 9 3 4 4 2 2 2" xfId="16714" xr:uid="{05F96F42-DF2C-4F47-849F-2E569CD75BDF}"/>
    <cellStyle name="Normal 9 3 4 4 2 3" xfId="12496" xr:uid="{23229CB3-E28D-4313-BADA-29D2F30FAB7F}"/>
    <cellStyle name="Normal 9 3 4 4 3" xfId="6140" xr:uid="{00000000-0005-0000-0000-00002D200000}"/>
    <cellStyle name="Normal 9 3 4 4 3 2" xfId="14569" xr:uid="{6E8E7715-667C-423F-9855-76A4BDAC858A}"/>
    <cellStyle name="Normal 9 3 4 4 4" xfId="10351" xr:uid="{5E8421C6-7CE7-42EF-93AA-ED707E8F2B1C}"/>
    <cellStyle name="Normal 9 3 4 5" xfId="2245" xr:uid="{00000000-0005-0000-0000-00002E200000}"/>
    <cellStyle name="Normal 9 3 4 5 2" xfId="4474" xr:uid="{00000000-0005-0000-0000-00002F200000}"/>
    <cellStyle name="Normal 9 3 4 5 2 2" xfId="8698" xr:uid="{00000000-0005-0000-0000-000030200000}"/>
    <cellStyle name="Normal 9 3 4 5 2 2 2" xfId="17127" xr:uid="{B116E4BB-46A6-4848-8135-E4598AB874B5}"/>
    <cellStyle name="Normal 9 3 4 5 2 3" xfId="12909" xr:uid="{9C55E2C4-B79B-4AAF-A9F6-4B499F889BA0}"/>
    <cellStyle name="Normal 9 3 4 5 3" xfId="6553" xr:uid="{00000000-0005-0000-0000-000031200000}"/>
    <cellStyle name="Normal 9 3 4 5 3 2" xfId="14982" xr:uid="{35230B04-1426-4D51-8701-798F3707FBCF}"/>
    <cellStyle name="Normal 9 3 4 5 4" xfId="10764" xr:uid="{7B7B63E3-76F8-4ADD-A8CF-5A3E3F8B9D7D}"/>
    <cellStyle name="Normal 9 3 4 6" xfId="2681" xr:uid="{00000000-0005-0000-0000-000032200000}"/>
    <cellStyle name="Normal 9 3 4 6 2" xfId="6966" xr:uid="{00000000-0005-0000-0000-000033200000}"/>
    <cellStyle name="Normal 9 3 4 6 2 2" xfId="15395" xr:uid="{369C56DE-0296-4C28-8330-007EED59D8BC}"/>
    <cellStyle name="Normal 9 3 4 6 3" xfId="11177" xr:uid="{F74C7302-1004-4F5A-9B86-7F10D8CF868D}"/>
    <cellStyle name="Normal 9 3 4 7" xfId="4901" xr:uid="{00000000-0005-0000-0000-000034200000}"/>
    <cellStyle name="Normal 9 3 4 7 2" xfId="13330" xr:uid="{666E4A92-64D3-463E-AFB2-0AE45080A786}"/>
    <cellStyle name="Normal 9 3 4 8" xfId="9112" xr:uid="{64F1B5AC-6503-47B1-B4F7-0ED57928490A}"/>
    <cellStyle name="Normal 9 3 5" xfId="995" xr:uid="{00000000-0005-0000-0000-000035200000}"/>
    <cellStyle name="Normal 9 3 5 2" xfId="3228" xr:uid="{00000000-0005-0000-0000-000036200000}"/>
    <cellStyle name="Normal 9 3 5 2 2" xfId="7452" xr:uid="{00000000-0005-0000-0000-000037200000}"/>
    <cellStyle name="Normal 9 3 5 2 2 2" xfId="15881" xr:uid="{F1C96878-175A-40AA-8E1F-5B1184F3B781}"/>
    <cellStyle name="Normal 9 3 5 2 3" xfId="11663" xr:uid="{31E1484E-DCDE-42E9-BCC1-1B622B1DEF09}"/>
    <cellStyle name="Normal 9 3 5 3" xfId="5307" xr:uid="{00000000-0005-0000-0000-000038200000}"/>
    <cellStyle name="Normal 9 3 5 3 2" xfId="13736" xr:uid="{435F90F0-CA63-47DA-B2DE-EFBB545476DD}"/>
    <cellStyle name="Normal 9 3 5 4" xfId="9518" xr:uid="{4141A7E2-A2DB-4D4A-B070-684CB908F90F}"/>
    <cellStyle name="Normal 9 3 6" xfId="1411" xr:uid="{00000000-0005-0000-0000-000039200000}"/>
    <cellStyle name="Normal 9 3 6 2" xfId="3641" xr:uid="{00000000-0005-0000-0000-00003A200000}"/>
    <cellStyle name="Normal 9 3 6 2 2" xfId="7865" xr:uid="{00000000-0005-0000-0000-00003B200000}"/>
    <cellStyle name="Normal 9 3 6 2 2 2" xfId="16294" xr:uid="{4E69EF15-4D47-4BF1-B92C-F86732BFA7DB}"/>
    <cellStyle name="Normal 9 3 6 2 3" xfId="12076" xr:uid="{6EA2A34C-B236-4046-AA39-A3E5239FC1A4}"/>
    <cellStyle name="Normal 9 3 6 3" xfId="5720" xr:uid="{00000000-0005-0000-0000-00003C200000}"/>
    <cellStyle name="Normal 9 3 6 3 2" xfId="14149" xr:uid="{6109BFE8-E12F-4E64-A9A2-AC6DE06948C5}"/>
    <cellStyle name="Normal 9 3 6 4" xfId="9931" xr:uid="{753CED5A-2694-4B4C-9C62-8BEAD91786DA}"/>
    <cellStyle name="Normal 9 3 7" xfId="1824" xr:uid="{00000000-0005-0000-0000-00003D200000}"/>
    <cellStyle name="Normal 9 3 7 2" xfId="4054" xr:uid="{00000000-0005-0000-0000-00003E200000}"/>
    <cellStyle name="Normal 9 3 7 2 2" xfId="8278" xr:uid="{00000000-0005-0000-0000-00003F200000}"/>
    <cellStyle name="Normal 9 3 7 2 2 2" xfId="16707" xr:uid="{BF309393-1285-493F-9DF7-B39A0618DB89}"/>
    <cellStyle name="Normal 9 3 7 2 3" xfId="12489" xr:uid="{944B9E0F-69B8-4926-BC40-46B1B98F03D6}"/>
    <cellStyle name="Normal 9 3 7 3" xfId="6133" xr:uid="{00000000-0005-0000-0000-000040200000}"/>
    <cellStyle name="Normal 9 3 7 3 2" xfId="14562" xr:uid="{F73DC21B-1226-4C59-BDAD-02FA6D291E01}"/>
    <cellStyle name="Normal 9 3 7 4" xfId="10344" xr:uid="{07F76644-3D52-4F4A-8CB3-A1281746D838}"/>
    <cellStyle name="Normal 9 3 8" xfId="2238" xr:uid="{00000000-0005-0000-0000-000041200000}"/>
    <cellStyle name="Normal 9 3 8 2" xfId="4467" xr:uid="{00000000-0005-0000-0000-000042200000}"/>
    <cellStyle name="Normal 9 3 8 2 2" xfId="8691" xr:uid="{00000000-0005-0000-0000-000043200000}"/>
    <cellStyle name="Normal 9 3 8 2 2 2" xfId="17120" xr:uid="{33E1ED57-1B19-4BF1-8080-F293F4A1EFE2}"/>
    <cellStyle name="Normal 9 3 8 2 3" xfId="12902" xr:uid="{E156FD1A-E8E3-4C2E-9762-7750756561AF}"/>
    <cellStyle name="Normal 9 3 8 3" xfId="6546" xr:uid="{00000000-0005-0000-0000-000044200000}"/>
    <cellStyle name="Normal 9 3 8 3 2" xfId="14975" xr:uid="{0292E7D9-C5BD-4065-9BF0-61D3B6860855}"/>
    <cellStyle name="Normal 9 3 8 4" xfId="10757" xr:uid="{09286E70-4807-4020-9EB6-755AE2278702}"/>
    <cellStyle name="Normal 9 3 9" xfId="2674" xr:uid="{00000000-0005-0000-0000-000045200000}"/>
    <cellStyle name="Normal 9 3 9 2" xfId="6959" xr:uid="{00000000-0005-0000-0000-000046200000}"/>
    <cellStyle name="Normal 9 3 9 2 2" xfId="15388" xr:uid="{C43E360B-9560-4B93-A27F-49C5F04F6D7E}"/>
    <cellStyle name="Normal 9 3 9 3" xfId="11170" xr:uid="{C85BE8F9-641A-4CFD-88E7-67CFE3DD2905}"/>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2 2 2" xfId="15890" xr:uid="{AE1CBEC6-D00D-488F-B235-750E3BE8760A}"/>
    <cellStyle name="Normal 9 5 2 2 2 3" xfId="11672" xr:uid="{CBAC4A76-63C3-4CF5-ADA1-575F6970984A}"/>
    <cellStyle name="Normal 9 5 2 2 3" xfId="5316" xr:uid="{00000000-0005-0000-0000-00004E200000}"/>
    <cellStyle name="Normal 9 5 2 2 3 2" xfId="13745" xr:uid="{CB24100D-6610-4CD3-B365-D1101152AD73}"/>
    <cellStyle name="Normal 9 5 2 2 4" xfId="9527" xr:uid="{EFAFF0A1-0599-4EAD-A3E1-2489F5836835}"/>
    <cellStyle name="Normal 9 5 2 3" xfId="1420" xr:uid="{00000000-0005-0000-0000-00004F200000}"/>
    <cellStyle name="Normal 9 5 2 3 2" xfId="3650" xr:uid="{00000000-0005-0000-0000-000050200000}"/>
    <cellStyle name="Normal 9 5 2 3 2 2" xfId="7874" xr:uid="{00000000-0005-0000-0000-000051200000}"/>
    <cellStyle name="Normal 9 5 2 3 2 2 2" xfId="16303" xr:uid="{B095574A-CBB1-4E0B-886D-8F2264EABDAB}"/>
    <cellStyle name="Normal 9 5 2 3 2 3" xfId="12085" xr:uid="{9B89F734-A4D1-4BB4-9689-E305977A334F}"/>
    <cellStyle name="Normal 9 5 2 3 3" xfId="5729" xr:uid="{00000000-0005-0000-0000-000052200000}"/>
    <cellStyle name="Normal 9 5 2 3 3 2" xfId="14158" xr:uid="{C70832EE-D2C4-4CBC-BE31-2706192E772B}"/>
    <cellStyle name="Normal 9 5 2 3 4" xfId="9940" xr:uid="{CBCACDF4-1E9F-4BBC-9F20-DD755210A972}"/>
    <cellStyle name="Normal 9 5 2 4" xfId="1833" xr:uid="{00000000-0005-0000-0000-000053200000}"/>
    <cellStyle name="Normal 9 5 2 4 2" xfId="4063" xr:uid="{00000000-0005-0000-0000-000054200000}"/>
    <cellStyle name="Normal 9 5 2 4 2 2" xfId="8287" xr:uid="{00000000-0005-0000-0000-000055200000}"/>
    <cellStyle name="Normal 9 5 2 4 2 2 2" xfId="16716" xr:uid="{F4874B9C-0FED-4351-B2AB-631C6FDCD938}"/>
    <cellStyle name="Normal 9 5 2 4 2 3" xfId="12498" xr:uid="{7ED161BD-9F59-4143-B1FF-A0C3490011A7}"/>
    <cellStyle name="Normal 9 5 2 4 3" xfId="6142" xr:uid="{00000000-0005-0000-0000-000056200000}"/>
    <cellStyle name="Normal 9 5 2 4 3 2" xfId="14571" xr:uid="{41675AD8-7012-44A1-88E9-8C3C1942E176}"/>
    <cellStyle name="Normal 9 5 2 4 4" xfId="10353" xr:uid="{96369FE5-E286-442E-811F-31F061F98FD8}"/>
    <cellStyle name="Normal 9 5 2 5" xfId="2247" xr:uid="{00000000-0005-0000-0000-000057200000}"/>
    <cellStyle name="Normal 9 5 2 5 2" xfId="4476" xr:uid="{00000000-0005-0000-0000-000058200000}"/>
    <cellStyle name="Normal 9 5 2 5 2 2" xfId="8700" xr:uid="{00000000-0005-0000-0000-000059200000}"/>
    <cellStyle name="Normal 9 5 2 5 2 2 2" xfId="17129" xr:uid="{61C577CB-4DE8-4E40-B04E-53F546ECE354}"/>
    <cellStyle name="Normal 9 5 2 5 2 3" xfId="12911" xr:uid="{CD3398C2-4836-4B15-8960-6E6CBABB5C49}"/>
    <cellStyle name="Normal 9 5 2 5 3" xfId="6555" xr:uid="{00000000-0005-0000-0000-00005A200000}"/>
    <cellStyle name="Normal 9 5 2 5 3 2" xfId="14984" xr:uid="{580ACDEB-0158-4A44-B89E-95757CC97A8E}"/>
    <cellStyle name="Normal 9 5 2 5 4" xfId="10766" xr:uid="{04F40A34-C7CD-4E0F-9AA0-B1F9692A9A7A}"/>
    <cellStyle name="Normal 9 5 2 6" xfId="2683" xr:uid="{00000000-0005-0000-0000-00005B200000}"/>
    <cellStyle name="Normal 9 5 2 6 2" xfId="6968" xr:uid="{00000000-0005-0000-0000-00005C200000}"/>
    <cellStyle name="Normal 9 5 2 6 2 2" xfId="15397" xr:uid="{E5F2F2DB-D8AE-4BAA-9DE1-40FF878E6B9C}"/>
    <cellStyle name="Normal 9 5 2 6 3" xfId="11179" xr:uid="{CF20B827-540F-4177-8B98-962747BFA0C2}"/>
    <cellStyle name="Normal 9 5 2 7" xfId="4903" xr:uid="{00000000-0005-0000-0000-00005D200000}"/>
    <cellStyle name="Normal 9 5 2 7 2" xfId="13332" xr:uid="{C0C5E46A-C9A8-4003-919A-857725F517F2}"/>
    <cellStyle name="Normal 9 5 2 8" xfId="9114" xr:uid="{CFB17C31-0B47-4177-81AE-43C6AE42FD3A}"/>
    <cellStyle name="Normal 9 5 3" xfId="1004" xr:uid="{00000000-0005-0000-0000-00005E200000}"/>
    <cellStyle name="Normal 9 5 3 2" xfId="3236" xr:uid="{00000000-0005-0000-0000-00005F200000}"/>
    <cellStyle name="Normal 9 5 3 2 2" xfId="7460" xr:uid="{00000000-0005-0000-0000-000060200000}"/>
    <cellStyle name="Normal 9 5 3 2 2 2" xfId="15889" xr:uid="{38C9E454-7B3F-4D2B-8075-501F0CFC91C8}"/>
    <cellStyle name="Normal 9 5 3 2 3" xfId="11671" xr:uid="{6B7D2093-0465-4CF6-9453-E3716DE0FF6A}"/>
    <cellStyle name="Normal 9 5 3 3" xfId="5315" xr:uid="{00000000-0005-0000-0000-000061200000}"/>
    <cellStyle name="Normal 9 5 3 3 2" xfId="13744" xr:uid="{1F1480F1-583F-4C9E-B621-FCA8C808405F}"/>
    <cellStyle name="Normal 9 5 3 4" xfId="9526" xr:uid="{5E6FE590-BF07-4CD7-B709-65FD34C28B98}"/>
    <cellStyle name="Normal 9 5 4" xfId="1419" xr:uid="{00000000-0005-0000-0000-000062200000}"/>
    <cellStyle name="Normal 9 5 4 2" xfId="3649" xr:uid="{00000000-0005-0000-0000-000063200000}"/>
    <cellStyle name="Normal 9 5 4 2 2" xfId="7873" xr:uid="{00000000-0005-0000-0000-000064200000}"/>
    <cellStyle name="Normal 9 5 4 2 2 2" xfId="16302" xr:uid="{0925A633-079B-4797-A71F-766CB730F6BC}"/>
    <cellStyle name="Normal 9 5 4 2 3" xfId="12084" xr:uid="{795DC419-32EF-48B1-B777-643AB64C5B60}"/>
    <cellStyle name="Normal 9 5 4 3" xfId="5728" xr:uid="{00000000-0005-0000-0000-000065200000}"/>
    <cellStyle name="Normal 9 5 4 3 2" xfId="14157" xr:uid="{3AB7E883-C826-4DF2-89E8-9FFE24600775}"/>
    <cellStyle name="Normal 9 5 4 4" xfId="9939" xr:uid="{D014ADBD-C0AE-4F09-8E06-9444C25AF2AD}"/>
    <cellStyle name="Normal 9 5 5" xfId="1832" xr:uid="{00000000-0005-0000-0000-000066200000}"/>
    <cellStyle name="Normal 9 5 5 2" xfId="4062" xr:uid="{00000000-0005-0000-0000-000067200000}"/>
    <cellStyle name="Normal 9 5 5 2 2" xfId="8286" xr:uid="{00000000-0005-0000-0000-000068200000}"/>
    <cellStyle name="Normal 9 5 5 2 2 2" xfId="16715" xr:uid="{1A65F70F-0C19-4C60-ADB0-AC73C38E84BD}"/>
    <cellStyle name="Normal 9 5 5 2 3" xfId="12497" xr:uid="{8A8B70C5-1C2F-4D53-9357-0828AE73592C}"/>
    <cellStyle name="Normal 9 5 5 3" xfId="6141" xr:uid="{00000000-0005-0000-0000-000069200000}"/>
    <cellStyle name="Normal 9 5 5 3 2" xfId="14570" xr:uid="{5214C634-84A5-4BDF-B81A-E603BF7A4715}"/>
    <cellStyle name="Normal 9 5 5 4" xfId="10352" xr:uid="{29138C41-1051-4B00-992F-1D66F83AB83B}"/>
    <cellStyle name="Normal 9 5 6" xfId="2246" xr:uid="{00000000-0005-0000-0000-00006A200000}"/>
    <cellStyle name="Normal 9 5 6 2" xfId="4475" xr:uid="{00000000-0005-0000-0000-00006B200000}"/>
    <cellStyle name="Normal 9 5 6 2 2" xfId="8699" xr:uid="{00000000-0005-0000-0000-00006C200000}"/>
    <cellStyle name="Normal 9 5 6 2 2 2" xfId="17128" xr:uid="{606723DD-2C6E-40B3-8E74-646A28F32044}"/>
    <cellStyle name="Normal 9 5 6 2 3" xfId="12910" xr:uid="{0BA867F1-2ABD-48C7-A567-6810997D4F56}"/>
    <cellStyle name="Normal 9 5 6 3" xfId="6554" xr:uid="{00000000-0005-0000-0000-00006D200000}"/>
    <cellStyle name="Normal 9 5 6 3 2" xfId="14983" xr:uid="{0D5D432F-5CC3-434B-932B-7A114F4C4CBC}"/>
    <cellStyle name="Normal 9 5 6 4" xfId="10765" xr:uid="{B9C2AA24-3180-46F3-A5DD-F6BDFC7C9145}"/>
    <cellStyle name="Normal 9 5 7" xfId="2682" xr:uid="{00000000-0005-0000-0000-00006E200000}"/>
    <cellStyle name="Normal 9 5 7 2" xfId="6967" xr:uid="{00000000-0005-0000-0000-00006F200000}"/>
    <cellStyle name="Normal 9 5 7 2 2" xfId="15396" xr:uid="{E72C9E7A-6D62-42E7-93AA-3AABD1C48D7A}"/>
    <cellStyle name="Normal 9 5 7 3" xfId="11178" xr:uid="{67521E2B-B040-4823-AFD3-B1A7F286D200}"/>
    <cellStyle name="Normal 9 5 8" xfId="4902" xr:uid="{00000000-0005-0000-0000-000070200000}"/>
    <cellStyle name="Normal 9 5 8 2" xfId="13331" xr:uid="{01B0F2D0-70FC-4C27-AC16-254D25FD3E8D}"/>
    <cellStyle name="Normal 9 5 9" xfId="9113" xr:uid="{3389D985-1C66-4F40-831F-4D66DA9C79BE}"/>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2 2 2" xfId="15891" xr:uid="{CE7D2C38-E8D0-4B1E-9591-CFC5FF4C1AAD}"/>
    <cellStyle name="Normal 9 6 2 2 3" xfId="11673" xr:uid="{6C1BD0F9-24AB-4493-9A79-3A4DC4C011D7}"/>
    <cellStyle name="Normal 9 6 2 3" xfId="5317" xr:uid="{00000000-0005-0000-0000-000075200000}"/>
    <cellStyle name="Normal 9 6 2 3 2" xfId="13746" xr:uid="{B855BCD1-29B5-4E58-962A-21C3DA5F0AB4}"/>
    <cellStyle name="Normal 9 6 2 4" xfId="9528" xr:uid="{3DFDBEA3-F4DA-4A28-99EC-8B519853CADE}"/>
    <cellStyle name="Normal 9 6 3" xfId="1421" xr:uid="{00000000-0005-0000-0000-000076200000}"/>
    <cellStyle name="Normal 9 6 3 2" xfId="3651" xr:uid="{00000000-0005-0000-0000-000077200000}"/>
    <cellStyle name="Normal 9 6 3 2 2" xfId="7875" xr:uid="{00000000-0005-0000-0000-000078200000}"/>
    <cellStyle name="Normal 9 6 3 2 2 2" xfId="16304" xr:uid="{8E0DBC53-7E0C-419A-9108-75CB2D5F0CD7}"/>
    <cellStyle name="Normal 9 6 3 2 3" xfId="12086" xr:uid="{4D60A941-5CCB-4D80-894B-BBDEB4321B5C}"/>
    <cellStyle name="Normal 9 6 3 3" xfId="5730" xr:uid="{00000000-0005-0000-0000-000079200000}"/>
    <cellStyle name="Normal 9 6 3 3 2" xfId="14159" xr:uid="{3B523A4A-8AFA-4A1E-8BE4-E724C2866410}"/>
    <cellStyle name="Normal 9 6 3 4" xfId="9941" xr:uid="{5CEB8140-D653-40B2-AB5B-762C5B66A1B1}"/>
    <cellStyle name="Normal 9 6 4" xfId="1834" xr:uid="{00000000-0005-0000-0000-00007A200000}"/>
    <cellStyle name="Normal 9 6 4 2" xfId="4064" xr:uid="{00000000-0005-0000-0000-00007B200000}"/>
    <cellStyle name="Normal 9 6 4 2 2" xfId="8288" xr:uid="{00000000-0005-0000-0000-00007C200000}"/>
    <cellStyle name="Normal 9 6 4 2 2 2" xfId="16717" xr:uid="{4E890E65-D311-422B-8B10-BB27AF04011E}"/>
    <cellStyle name="Normal 9 6 4 2 3" xfId="12499" xr:uid="{55971525-CEB2-4C4F-B8A9-4512F61F32EC}"/>
    <cellStyle name="Normal 9 6 4 3" xfId="6143" xr:uid="{00000000-0005-0000-0000-00007D200000}"/>
    <cellStyle name="Normal 9 6 4 3 2" xfId="14572" xr:uid="{7E4D6FD6-8EEA-4151-8E7A-DEDFF291CD20}"/>
    <cellStyle name="Normal 9 6 4 4" xfId="10354" xr:uid="{8881F756-E00C-4D31-8B59-19026720C6EF}"/>
    <cellStyle name="Normal 9 6 5" xfId="2248" xr:uid="{00000000-0005-0000-0000-00007E200000}"/>
    <cellStyle name="Normal 9 6 5 2" xfId="4477" xr:uid="{00000000-0005-0000-0000-00007F200000}"/>
    <cellStyle name="Normal 9 6 5 2 2" xfId="8701" xr:uid="{00000000-0005-0000-0000-000080200000}"/>
    <cellStyle name="Normal 9 6 5 2 2 2" xfId="17130" xr:uid="{46159098-505E-4654-A3D6-59F391D97263}"/>
    <cellStyle name="Normal 9 6 5 2 3" xfId="12912" xr:uid="{497E4A9F-F73B-47F2-8F43-14208D2F19E7}"/>
    <cellStyle name="Normal 9 6 5 3" xfId="6556" xr:uid="{00000000-0005-0000-0000-000081200000}"/>
    <cellStyle name="Normal 9 6 5 3 2" xfId="14985" xr:uid="{753A9B1B-5599-49A7-B1B9-8F608B5435BA}"/>
    <cellStyle name="Normal 9 6 5 4" xfId="10767" xr:uid="{8B3A40B4-F6FE-4B79-8B8E-5F6B71863522}"/>
    <cellStyle name="Normal 9 6 6" xfId="2684" xr:uid="{00000000-0005-0000-0000-000082200000}"/>
    <cellStyle name="Normal 9 6 6 2" xfId="6969" xr:uid="{00000000-0005-0000-0000-000083200000}"/>
    <cellStyle name="Normal 9 6 6 2 2" xfId="15398" xr:uid="{9A64D84A-27E7-45AE-8CE6-8458D0C932C3}"/>
    <cellStyle name="Normal 9 6 6 3" xfId="11180" xr:uid="{CFCF7BAB-5BCC-4B50-B425-B2B0812AFCA5}"/>
    <cellStyle name="Normal 9 6 7" xfId="4904" xr:uid="{00000000-0005-0000-0000-000084200000}"/>
    <cellStyle name="Normal 9 6 7 2" xfId="13333" xr:uid="{FAF4E0E7-719A-40CB-9D3C-A425F440731C}"/>
    <cellStyle name="Normal 9 6 8" xfId="9115" xr:uid="{A1544F01-5150-4086-BE96-21187D13B4B7}"/>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0 2 2" xfId="15479" xr:uid="{014540E6-D5C6-41FF-9D62-B5F95C3A1539}"/>
    <cellStyle name="Note 2 2 10 3" xfId="11261" xr:uid="{FC74B257-94F9-424F-BCD8-084AEAFB82C7}"/>
    <cellStyle name="Note 2 2 11" xfId="4905" xr:uid="{00000000-0005-0000-0000-000093200000}"/>
    <cellStyle name="Note 2 2 11 2" xfId="13334" xr:uid="{1737BCC4-9C91-42FB-859E-EC415B2C4A46}"/>
    <cellStyle name="Note 2 2 12" xfId="9116" xr:uid="{ED6C3A99-29C4-43E3-916B-E3498418F759}"/>
    <cellStyle name="Note 2 2 2" xfId="547" xr:uid="{00000000-0005-0000-0000-000094200000}"/>
    <cellStyle name="Note 2 2 2 10" xfId="4906" xr:uid="{00000000-0005-0000-0000-000095200000}"/>
    <cellStyle name="Note 2 2 2 10 2" xfId="13335" xr:uid="{9C5CD1A3-A0D0-4143-B719-63AB1B6A764A}"/>
    <cellStyle name="Note 2 2 2 11" xfId="9117" xr:uid="{73F7A1AF-CB81-4391-AC38-825D1FB8B143}"/>
    <cellStyle name="Note 2 2 2 2" xfId="548" xr:uid="{00000000-0005-0000-0000-000096200000}"/>
    <cellStyle name="Note 2 2 2 2 10" xfId="9118" xr:uid="{7B1A4478-F569-4A86-BE38-972AE6269352}"/>
    <cellStyle name="Note 2 2 2 2 2" xfId="1009" xr:uid="{00000000-0005-0000-0000-000097200000}"/>
    <cellStyle name="Note 2 2 2 2 2 2" xfId="3241" xr:uid="{00000000-0005-0000-0000-000098200000}"/>
    <cellStyle name="Note 2 2 2 2 2 2 2" xfId="7465" xr:uid="{00000000-0005-0000-0000-000099200000}"/>
    <cellStyle name="Note 2 2 2 2 2 2 2 2" xfId="15894" xr:uid="{04AFEB05-6544-4C64-8E0A-752FFA889638}"/>
    <cellStyle name="Note 2 2 2 2 2 2 3" xfId="11676" xr:uid="{20719CCA-EFC8-4BE3-A43A-A8357CA71E99}"/>
    <cellStyle name="Note 2 2 2 2 2 3" xfId="5320" xr:uid="{00000000-0005-0000-0000-00009A200000}"/>
    <cellStyle name="Note 2 2 2 2 2 3 2" xfId="13749" xr:uid="{103AABD6-1865-4C98-B1AF-181B4AC6A6C2}"/>
    <cellStyle name="Note 2 2 2 2 2 4" xfId="9531" xr:uid="{81BE5820-0515-4FBA-B88E-BB106B1E5668}"/>
    <cellStyle name="Note 2 2 2 2 3" xfId="1424" xr:uid="{00000000-0005-0000-0000-00009B200000}"/>
    <cellStyle name="Note 2 2 2 2 3 2" xfId="3654" xr:uid="{00000000-0005-0000-0000-00009C200000}"/>
    <cellStyle name="Note 2 2 2 2 3 2 2" xfId="7878" xr:uid="{00000000-0005-0000-0000-00009D200000}"/>
    <cellStyle name="Note 2 2 2 2 3 2 2 2" xfId="16307" xr:uid="{B7511EAA-38A8-4AD8-8646-DBD0705F24D3}"/>
    <cellStyle name="Note 2 2 2 2 3 2 3" xfId="12089" xr:uid="{49691833-5065-4D6C-89C2-7A0089A1762E}"/>
    <cellStyle name="Note 2 2 2 2 3 3" xfId="5733" xr:uid="{00000000-0005-0000-0000-00009E200000}"/>
    <cellStyle name="Note 2 2 2 2 3 3 2" xfId="14162" xr:uid="{356A9F9E-233D-4E23-BBA4-9AB976A254F9}"/>
    <cellStyle name="Note 2 2 2 2 3 4" xfId="9944" xr:uid="{6DBFF23D-E954-4D3A-ACF0-0D274E213F6E}"/>
    <cellStyle name="Note 2 2 2 2 4" xfId="1838" xr:uid="{00000000-0005-0000-0000-00009F200000}"/>
    <cellStyle name="Note 2 2 2 2 4 2" xfId="4067" xr:uid="{00000000-0005-0000-0000-0000A0200000}"/>
    <cellStyle name="Note 2 2 2 2 4 2 2" xfId="8291" xr:uid="{00000000-0005-0000-0000-0000A1200000}"/>
    <cellStyle name="Note 2 2 2 2 4 2 2 2" xfId="16720" xr:uid="{A7C397E9-BB8A-4E80-8445-085CD819F725}"/>
    <cellStyle name="Note 2 2 2 2 4 2 3" xfId="12502" xr:uid="{06EFAA84-FBDD-42E9-9D21-8E5BC79BBC76}"/>
    <cellStyle name="Note 2 2 2 2 4 3" xfId="6146" xr:uid="{00000000-0005-0000-0000-0000A2200000}"/>
    <cellStyle name="Note 2 2 2 2 4 3 2" xfId="14575" xr:uid="{E709E093-BADD-43B7-AF54-76C36C98556D}"/>
    <cellStyle name="Note 2 2 2 2 4 4" xfId="10357" xr:uid="{B96B173B-B35F-414F-A524-D1E9677D73B2}"/>
    <cellStyle name="Note 2 2 2 2 5" xfId="2251" xr:uid="{00000000-0005-0000-0000-0000A3200000}"/>
    <cellStyle name="Note 2 2 2 2 5 2" xfId="4480" xr:uid="{00000000-0005-0000-0000-0000A4200000}"/>
    <cellStyle name="Note 2 2 2 2 5 2 2" xfId="8704" xr:uid="{00000000-0005-0000-0000-0000A5200000}"/>
    <cellStyle name="Note 2 2 2 2 5 2 2 2" xfId="17133" xr:uid="{AD0A5BBF-5D07-4F4F-B814-BEB382AE6543}"/>
    <cellStyle name="Note 2 2 2 2 5 2 3" xfId="12915" xr:uid="{31040940-61AA-4D42-9F72-B6059DC3F34B}"/>
    <cellStyle name="Note 2 2 2 2 5 3" xfId="6559" xr:uid="{00000000-0005-0000-0000-0000A6200000}"/>
    <cellStyle name="Note 2 2 2 2 5 3 2" xfId="14988" xr:uid="{E64C0A1B-DB99-45E8-B37C-D64B1A0560D4}"/>
    <cellStyle name="Note 2 2 2 2 5 4" xfId="10770" xr:uid="{23AA5DD8-4817-48DA-B16B-03B640A04253}"/>
    <cellStyle name="Note 2 2 2 2 6" xfId="2687" xr:uid="{00000000-0005-0000-0000-0000A7200000}"/>
    <cellStyle name="Note 2 2 2 2 6 2" xfId="6972" xr:uid="{00000000-0005-0000-0000-0000A8200000}"/>
    <cellStyle name="Note 2 2 2 2 6 2 2" xfId="15401" xr:uid="{E30A6AE2-509B-4BC5-9A2C-E7A7AF4467CB}"/>
    <cellStyle name="Note 2 2 2 2 6 3" xfId="11183" xr:uid="{8AC20074-F0D9-47C2-A917-682CCDF15594}"/>
    <cellStyle name="Note 2 2 2 2 7" xfId="2746" xr:uid="{00000000-0005-0000-0000-0000A9200000}"/>
    <cellStyle name="Note 2 2 2 2 8" xfId="2827" xr:uid="{00000000-0005-0000-0000-0000AA200000}"/>
    <cellStyle name="Note 2 2 2 2 8 2" xfId="7052" xr:uid="{00000000-0005-0000-0000-0000AB200000}"/>
    <cellStyle name="Note 2 2 2 2 8 2 2" xfId="15481" xr:uid="{F06EBF03-DC7D-4355-A8AD-5BC7313B2637}"/>
    <cellStyle name="Note 2 2 2 2 8 3" xfId="11263" xr:uid="{2F5E8666-E919-4E20-A992-D868FB41D2A9}"/>
    <cellStyle name="Note 2 2 2 2 9" xfId="4907" xr:uid="{00000000-0005-0000-0000-0000AC200000}"/>
    <cellStyle name="Note 2 2 2 2 9 2" xfId="13336" xr:uid="{FBEADD37-2D6A-45F0-A822-65834E7E27FF}"/>
    <cellStyle name="Note 2 2 2 3" xfId="1008" xr:uid="{00000000-0005-0000-0000-0000AD200000}"/>
    <cellStyle name="Note 2 2 2 3 2" xfId="3240" xr:uid="{00000000-0005-0000-0000-0000AE200000}"/>
    <cellStyle name="Note 2 2 2 3 2 2" xfId="7464" xr:uid="{00000000-0005-0000-0000-0000AF200000}"/>
    <cellStyle name="Note 2 2 2 3 2 2 2" xfId="15893" xr:uid="{00F8FF96-5ED7-4C49-8F1F-A55B2CDFD94C}"/>
    <cellStyle name="Note 2 2 2 3 2 3" xfId="11675" xr:uid="{C3EA67AB-86D1-4935-9A71-1D5C0636D254}"/>
    <cellStyle name="Note 2 2 2 3 3" xfId="5319" xr:uid="{00000000-0005-0000-0000-0000B0200000}"/>
    <cellStyle name="Note 2 2 2 3 3 2" xfId="13748" xr:uid="{487822C1-D09C-4E19-B249-3C1DE3958DAA}"/>
    <cellStyle name="Note 2 2 2 3 4" xfId="9530" xr:uid="{B3C181B1-0757-4AEA-B80C-92F9823891B5}"/>
    <cellStyle name="Note 2 2 2 4" xfId="1423" xr:uid="{00000000-0005-0000-0000-0000B1200000}"/>
    <cellStyle name="Note 2 2 2 4 2" xfId="3653" xr:uid="{00000000-0005-0000-0000-0000B2200000}"/>
    <cellStyle name="Note 2 2 2 4 2 2" xfId="7877" xr:uid="{00000000-0005-0000-0000-0000B3200000}"/>
    <cellStyle name="Note 2 2 2 4 2 2 2" xfId="16306" xr:uid="{1A912E26-9625-44EE-B529-3CD3C1A1227E}"/>
    <cellStyle name="Note 2 2 2 4 2 3" xfId="12088" xr:uid="{0EE2774C-6377-42DA-852D-24C6C733C1CB}"/>
    <cellStyle name="Note 2 2 2 4 3" xfId="5732" xr:uid="{00000000-0005-0000-0000-0000B4200000}"/>
    <cellStyle name="Note 2 2 2 4 3 2" xfId="14161" xr:uid="{26A48467-A241-44F2-9256-286E8AF437E4}"/>
    <cellStyle name="Note 2 2 2 4 4" xfId="9943" xr:uid="{BAC7EF2D-033B-4578-8C75-6D9D5478C864}"/>
    <cellStyle name="Note 2 2 2 5" xfId="1837" xr:uid="{00000000-0005-0000-0000-0000B5200000}"/>
    <cellStyle name="Note 2 2 2 5 2" xfId="4066" xr:uid="{00000000-0005-0000-0000-0000B6200000}"/>
    <cellStyle name="Note 2 2 2 5 2 2" xfId="8290" xr:uid="{00000000-0005-0000-0000-0000B7200000}"/>
    <cellStyle name="Note 2 2 2 5 2 2 2" xfId="16719" xr:uid="{E20218DD-7849-49D7-8347-8B69744CC5FD}"/>
    <cellStyle name="Note 2 2 2 5 2 3" xfId="12501" xr:uid="{2E71CC1E-A2CB-498C-AB5C-3101BCE07BF8}"/>
    <cellStyle name="Note 2 2 2 5 3" xfId="6145" xr:uid="{00000000-0005-0000-0000-0000B8200000}"/>
    <cellStyle name="Note 2 2 2 5 3 2" xfId="14574" xr:uid="{AAE20365-D367-4633-B0DF-36AC24F9B8F5}"/>
    <cellStyle name="Note 2 2 2 5 4" xfId="10356" xr:uid="{16D4431B-91BE-4344-91B8-BECB1A058BB8}"/>
    <cellStyle name="Note 2 2 2 6" xfId="2250" xr:uid="{00000000-0005-0000-0000-0000B9200000}"/>
    <cellStyle name="Note 2 2 2 6 2" xfId="4479" xr:uid="{00000000-0005-0000-0000-0000BA200000}"/>
    <cellStyle name="Note 2 2 2 6 2 2" xfId="8703" xr:uid="{00000000-0005-0000-0000-0000BB200000}"/>
    <cellStyle name="Note 2 2 2 6 2 2 2" xfId="17132" xr:uid="{5F312FDD-1CE6-493A-8F28-A9C3225C5195}"/>
    <cellStyle name="Note 2 2 2 6 2 3" xfId="12914" xr:uid="{9BF48991-910C-4FBD-B750-75548D1778F1}"/>
    <cellStyle name="Note 2 2 2 6 3" xfId="6558" xr:uid="{00000000-0005-0000-0000-0000BC200000}"/>
    <cellStyle name="Note 2 2 2 6 3 2" xfId="14987" xr:uid="{0904153E-4079-4F2A-87D4-1570169C42F2}"/>
    <cellStyle name="Note 2 2 2 6 4" xfId="10769" xr:uid="{5DFA1702-1671-4328-9662-4A25260DDE7F}"/>
    <cellStyle name="Note 2 2 2 7" xfId="2686" xr:uid="{00000000-0005-0000-0000-0000BD200000}"/>
    <cellStyle name="Note 2 2 2 7 2" xfId="6971" xr:uid="{00000000-0005-0000-0000-0000BE200000}"/>
    <cellStyle name="Note 2 2 2 7 2 2" xfId="15400" xr:uid="{5F49931E-C143-450B-BDE2-109559CF7A08}"/>
    <cellStyle name="Note 2 2 2 7 3" xfId="11182" xr:uid="{4B563264-5451-46B1-AB2F-D10CD156263C}"/>
    <cellStyle name="Note 2 2 2 8" xfId="2745" xr:uid="{00000000-0005-0000-0000-0000BF200000}"/>
    <cellStyle name="Note 2 2 2 9" xfId="2826" xr:uid="{00000000-0005-0000-0000-0000C0200000}"/>
    <cellStyle name="Note 2 2 2 9 2" xfId="7051" xr:uid="{00000000-0005-0000-0000-0000C1200000}"/>
    <cellStyle name="Note 2 2 2 9 2 2" xfId="15480" xr:uid="{7DF47346-75C8-4F38-AE37-FD6C6655FDF2}"/>
    <cellStyle name="Note 2 2 2 9 3" xfId="11262" xr:uid="{149107E5-7F71-4CEC-97B5-73EF6E5E0B15}"/>
    <cellStyle name="Note 2 2 3" xfId="549" xr:uid="{00000000-0005-0000-0000-0000C2200000}"/>
    <cellStyle name="Note 2 2 3 10" xfId="9119" xr:uid="{244AC323-E034-41F9-8B87-CDFCF8674ECA}"/>
    <cellStyle name="Note 2 2 3 2" xfId="1010" xr:uid="{00000000-0005-0000-0000-0000C3200000}"/>
    <cellStyle name="Note 2 2 3 2 2" xfId="3242" xr:uid="{00000000-0005-0000-0000-0000C4200000}"/>
    <cellStyle name="Note 2 2 3 2 2 2" xfId="7466" xr:uid="{00000000-0005-0000-0000-0000C5200000}"/>
    <cellStyle name="Note 2 2 3 2 2 2 2" xfId="15895" xr:uid="{73A77A96-0A39-4198-83F5-FA42826F3A04}"/>
    <cellStyle name="Note 2 2 3 2 2 3" xfId="11677" xr:uid="{CC21285F-CF24-456D-BA58-51E9E9F35EF7}"/>
    <cellStyle name="Note 2 2 3 2 3" xfId="5321" xr:uid="{00000000-0005-0000-0000-0000C6200000}"/>
    <cellStyle name="Note 2 2 3 2 3 2" xfId="13750" xr:uid="{5109BB83-3050-4506-8230-2C40EFEA28F1}"/>
    <cellStyle name="Note 2 2 3 2 4" xfId="9532" xr:uid="{528A995F-EE91-46DE-94C3-C8140CC3771D}"/>
    <cellStyle name="Note 2 2 3 3" xfId="1425" xr:uid="{00000000-0005-0000-0000-0000C7200000}"/>
    <cellStyle name="Note 2 2 3 3 2" xfId="3655" xr:uid="{00000000-0005-0000-0000-0000C8200000}"/>
    <cellStyle name="Note 2 2 3 3 2 2" xfId="7879" xr:uid="{00000000-0005-0000-0000-0000C9200000}"/>
    <cellStyle name="Note 2 2 3 3 2 2 2" xfId="16308" xr:uid="{F14BEFF5-C5CB-4F8D-AE0A-B7CC72036086}"/>
    <cellStyle name="Note 2 2 3 3 2 3" xfId="12090" xr:uid="{101E0BDC-DE7F-403F-8D62-B0424389AA19}"/>
    <cellStyle name="Note 2 2 3 3 3" xfId="5734" xr:uid="{00000000-0005-0000-0000-0000CA200000}"/>
    <cellStyle name="Note 2 2 3 3 3 2" xfId="14163" xr:uid="{F0CC7B9B-E715-41F6-94A2-FB6E602BD079}"/>
    <cellStyle name="Note 2 2 3 3 4" xfId="9945" xr:uid="{24A8A94A-5EDB-4BA6-B32B-C89D983D43C8}"/>
    <cellStyle name="Note 2 2 3 4" xfId="1839" xr:uid="{00000000-0005-0000-0000-0000CB200000}"/>
    <cellStyle name="Note 2 2 3 4 2" xfId="4068" xr:uid="{00000000-0005-0000-0000-0000CC200000}"/>
    <cellStyle name="Note 2 2 3 4 2 2" xfId="8292" xr:uid="{00000000-0005-0000-0000-0000CD200000}"/>
    <cellStyle name="Note 2 2 3 4 2 2 2" xfId="16721" xr:uid="{EFA961B7-2901-4DE3-8EF0-2AD7AA710CB1}"/>
    <cellStyle name="Note 2 2 3 4 2 3" xfId="12503" xr:uid="{C66AAFD9-AE3E-4971-AAC1-BA1B00A71D60}"/>
    <cellStyle name="Note 2 2 3 4 3" xfId="6147" xr:uid="{00000000-0005-0000-0000-0000CE200000}"/>
    <cellStyle name="Note 2 2 3 4 3 2" xfId="14576" xr:uid="{29F95E40-8953-43B6-A828-E88DFE114045}"/>
    <cellStyle name="Note 2 2 3 4 4" xfId="10358" xr:uid="{B07AC6E8-9F6E-467D-9D6F-11D9481B1AD2}"/>
    <cellStyle name="Note 2 2 3 5" xfId="2252" xr:uid="{00000000-0005-0000-0000-0000CF200000}"/>
    <cellStyle name="Note 2 2 3 5 2" xfId="4481" xr:uid="{00000000-0005-0000-0000-0000D0200000}"/>
    <cellStyle name="Note 2 2 3 5 2 2" xfId="8705" xr:uid="{00000000-0005-0000-0000-0000D1200000}"/>
    <cellStyle name="Note 2 2 3 5 2 2 2" xfId="17134" xr:uid="{EF9D303D-8DDE-43CF-9153-82F844F3E42C}"/>
    <cellStyle name="Note 2 2 3 5 2 3" xfId="12916" xr:uid="{60905FFF-1EBF-4ECE-B2FE-75A5AFC9281E}"/>
    <cellStyle name="Note 2 2 3 5 3" xfId="6560" xr:uid="{00000000-0005-0000-0000-0000D2200000}"/>
    <cellStyle name="Note 2 2 3 5 3 2" xfId="14989" xr:uid="{F5F1EC12-CC71-404E-A431-5D4EDB50777A}"/>
    <cellStyle name="Note 2 2 3 5 4" xfId="10771" xr:uid="{E59C3901-A832-4602-9BCB-D2364F614BC0}"/>
    <cellStyle name="Note 2 2 3 6" xfId="2688" xr:uid="{00000000-0005-0000-0000-0000D3200000}"/>
    <cellStyle name="Note 2 2 3 6 2" xfId="6973" xr:uid="{00000000-0005-0000-0000-0000D4200000}"/>
    <cellStyle name="Note 2 2 3 6 2 2" xfId="15402" xr:uid="{A0769D91-9A01-48E1-8087-A4D023415185}"/>
    <cellStyle name="Note 2 2 3 6 3" xfId="11184" xr:uid="{CE3F6C41-1330-44BD-A5A4-551B114F4DCF}"/>
    <cellStyle name="Note 2 2 3 7" xfId="2747" xr:uid="{00000000-0005-0000-0000-0000D5200000}"/>
    <cellStyle name="Note 2 2 3 8" xfId="2828" xr:uid="{00000000-0005-0000-0000-0000D6200000}"/>
    <cellStyle name="Note 2 2 3 8 2" xfId="7053" xr:uid="{00000000-0005-0000-0000-0000D7200000}"/>
    <cellStyle name="Note 2 2 3 8 2 2" xfId="15482" xr:uid="{E2759AA0-26E2-4FD9-BC0D-6FFD1DDB16AE}"/>
    <cellStyle name="Note 2 2 3 8 3" xfId="11264" xr:uid="{D36F39B8-15CE-4E23-911B-F6D136B0029F}"/>
    <cellStyle name="Note 2 2 3 9" xfId="4908" xr:uid="{00000000-0005-0000-0000-0000D8200000}"/>
    <cellStyle name="Note 2 2 3 9 2" xfId="13337" xr:uid="{DAF67614-E31C-48A6-BA1C-64BF8D4F9347}"/>
    <cellStyle name="Note 2 2 4" xfId="1007" xr:uid="{00000000-0005-0000-0000-0000D9200000}"/>
    <cellStyle name="Note 2 2 4 2" xfId="3239" xr:uid="{00000000-0005-0000-0000-0000DA200000}"/>
    <cellStyle name="Note 2 2 4 2 2" xfId="7463" xr:uid="{00000000-0005-0000-0000-0000DB200000}"/>
    <cellStyle name="Note 2 2 4 2 2 2" xfId="15892" xr:uid="{4A6C7996-5E3D-4CE9-8DA7-41420155B489}"/>
    <cellStyle name="Note 2 2 4 2 3" xfId="11674" xr:uid="{616231DC-BD12-4A7C-9A26-B3A5007A411C}"/>
    <cellStyle name="Note 2 2 4 3" xfId="5318" xr:uid="{00000000-0005-0000-0000-0000DC200000}"/>
    <cellStyle name="Note 2 2 4 3 2" xfId="13747" xr:uid="{131A7D4B-0A0E-4C1F-82AC-9AF0F8B4B3B1}"/>
    <cellStyle name="Note 2 2 4 4" xfId="9529" xr:uid="{370C34CE-DE41-4292-B757-C6AB4EAA7129}"/>
    <cellStyle name="Note 2 2 5" xfId="1422" xr:uid="{00000000-0005-0000-0000-0000DD200000}"/>
    <cellStyle name="Note 2 2 5 2" xfId="3652" xr:uid="{00000000-0005-0000-0000-0000DE200000}"/>
    <cellStyle name="Note 2 2 5 2 2" xfId="7876" xr:uid="{00000000-0005-0000-0000-0000DF200000}"/>
    <cellStyle name="Note 2 2 5 2 2 2" xfId="16305" xr:uid="{A9782888-B40B-419B-A9EE-CE56DB34337F}"/>
    <cellStyle name="Note 2 2 5 2 3" xfId="12087" xr:uid="{25E256EA-6453-4AAD-8B12-57C66D94869D}"/>
    <cellStyle name="Note 2 2 5 3" xfId="5731" xr:uid="{00000000-0005-0000-0000-0000E0200000}"/>
    <cellStyle name="Note 2 2 5 3 2" xfId="14160" xr:uid="{68EDF107-1D4C-4A16-83D1-3E3EF854F3FD}"/>
    <cellStyle name="Note 2 2 5 4" xfId="9942" xr:uid="{46F9B006-B42D-4DFD-92A9-A21CEA83746C}"/>
    <cellStyle name="Note 2 2 6" xfId="1836" xr:uid="{00000000-0005-0000-0000-0000E1200000}"/>
    <cellStyle name="Note 2 2 6 2" xfId="4065" xr:uid="{00000000-0005-0000-0000-0000E2200000}"/>
    <cellStyle name="Note 2 2 6 2 2" xfId="8289" xr:uid="{00000000-0005-0000-0000-0000E3200000}"/>
    <cellStyle name="Note 2 2 6 2 2 2" xfId="16718" xr:uid="{BA0FBC6A-8927-4B6E-BF1E-FBB91AA9936B}"/>
    <cellStyle name="Note 2 2 6 2 3" xfId="12500" xr:uid="{A86BC147-C0B5-4F2A-A0DA-C7C68C9BCB56}"/>
    <cellStyle name="Note 2 2 6 3" xfId="6144" xr:uid="{00000000-0005-0000-0000-0000E4200000}"/>
    <cellStyle name="Note 2 2 6 3 2" xfId="14573" xr:uid="{DB0FEA84-9A4A-479F-883C-35779FDBF083}"/>
    <cellStyle name="Note 2 2 6 4" xfId="10355" xr:uid="{1F39CDA1-2DCB-482B-9ECC-B56BF962F664}"/>
    <cellStyle name="Note 2 2 7" xfId="2249" xr:uid="{00000000-0005-0000-0000-0000E5200000}"/>
    <cellStyle name="Note 2 2 7 2" xfId="4478" xr:uid="{00000000-0005-0000-0000-0000E6200000}"/>
    <cellStyle name="Note 2 2 7 2 2" xfId="8702" xr:uid="{00000000-0005-0000-0000-0000E7200000}"/>
    <cellStyle name="Note 2 2 7 2 2 2" xfId="17131" xr:uid="{27271C2D-2F07-4F09-A60A-8FC96839D512}"/>
    <cellStyle name="Note 2 2 7 2 3" xfId="12913" xr:uid="{3C28DC02-0EAC-4286-9DFE-F1AFF2438817}"/>
    <cellStyle name="Note 2 2 7 3" xfId="6557" xr:uid="{00000000-0005-0000-0000-0000E8200000}"/>
    <cellStyle name="Note 2 2 7 3 2" xfId="14986" xr:uid="{BDA22EE9-39B6-4492-9330-9E88E4435EA2}"/>
    <cellStyle name="Note 2 2 7 4" xfId="10768" xr:uid="{689C34C1-B4DE-4D18-8ECE-FC425D1EC82A}"/>
    <cellStyle name="Note 2 2 8" xfId="2685" xr:uid="{00000000-0005-0000-0000-0000E9200000}"/>
    <cellStyle name="Note 2 2 8 2" xfId="6970" xr:uid="{00000000-0005-0000-0000-0000EA200000}"/>
    <cellStyle name="Note 2 2 8 2 2" xfId="15399" xr:uid="{B6ED7489-1762-4E7D-8FE0-DF2F783E9C4F}"/>
    <cellStyle name="Note 2 2 8 3" xfId="11181" xr:uid="{41D5B50A-0D55-45FC-A602-2D91F2C832EC}"/>
    <cellStyle name="Note 2 2 9" xfId="2744" xr:uid="{00000000-0005-0000-0000-0000EB200000}"/>
    <cellStyle name="Note 2 3" xfId="550" xr:uid="{00000000-0005-0000-0000-0000EC200000}"/>
    <cellStyle name="Note 2 3 10" xfId="4909" xr:uid="{00000000-0005-0000-0000-0000ED200000}"/>
    <cellStyle name="Note 2 3 10 2" xfId="13338" xr:uid="{EC2A2FA9-18CC-4E09-AB8B-363490998470}"/>
    <cellStyle name="Note 2 3 11" xfId="9120" xr:uid="{35333C8B-8038-470D-8F22-494ED7E29A7B}"/>
    <cellStyle name="Note 2 3 2" xfId="551" xr:uid="{00000000-0005-0000-0000-0000EE200000}"/>
    <cellStyle name="Note 2 3 2 10" xfId="9121" xr:uid="{4B4EE587-0EAA-433C-8E94-A1057FA72249}"/>
    <cellStyle name="Note 2 3 2 2" xfId="1012" xr:uid="{00000000-0005-0000-0000-0000EF200000}"/>
    <cellStyle name="Note 2 3 2 2 2" xfId="3244" xr:uid="{00000000-0005-0000-0000-0000F0200000}"/>
    <cellStyle name="Note 2 3 2 2 2 2" xfId="7468" xr:uid="{00000000-0005-0000-0000-0000F1200000}"/>
    <cellStyle name="Note 2 3 2 2 2 2 2" xfId="15897" xr:uid="{6260261C-3746-4D97-80DB-22F1E7CA63CA}"/>
    <cellStyle name="Note 2 3 2 2 2 3" xfId="11679" xr:uid="{6466A255-5876-4839-BD53-FFF47ADC1FF3}"/>
    <cellStyle name="Note 2 3 2 2 3" xfId="5323" xr:uid="{00000000-0005-0000-0000-0000F2200000}"/>
    <cellStyle name="Note 2 3 2 2 3 2" xfId="13752" xr:uid="{2A4BD442-D0AC-4443-83A8-8DCD69908E1B}"/>
    <cellStyle name="Note 2 3 2 2 4" xfId="9534" xr:uid="{C6B5369F-F33D-4B30-8B28-E617F8ECE454}"/>
    <cellStyle name="Note 2 3 2 3" xfId="1427" xr:uid="{00000000-0005-0000-0000-0000F3200000}"/>
    <cellStyle name="Note 2 3 2 3 2" xfId="3657" xr:uid="{00000000-0005-0000-0000-0000F4200000}"/>
    <cellStyle name="Note 2 3 2 3 2 2" xfId="7881" xr:uid="{00000000-0005-0000-0000-0000F5200000}"/>
    <cellStyle name="Note 2 3 2 3 2 2 2" xfId="16310" xr:uid="{73919DB9-011E-4671-A20B-1BBF154482CC}"/>
    <cellStyle name="Note 2 3 2 3 2 3" xfId="12092" xr:uid="{83C4623E-54BE-441A-BB7E-17F350165179}"/>
    <cellStyle name="Note 2 3 2 3 3" xfId="5736" xr:uid="{00000000-0005-0000-0000-0000F6200000}"/>
    <cellStyle name="Note 2 3 2 3 3 2" xfId="14165" xr:uid="{D3916496-B22B-4B95-BCED-A04559F67437}"/>
    <cellStyle name="Note 2 3 2 3 4" xfId="9947" xr:uid="{31706E11-C004-4B77-B6B7-4C8C43CC97F0}"/>
    <cellStyle name="Note 2 3 2 4" xfId="1841" xr:uid="{00000000-0005-0000-0000-0000F7200000}"/>
    <cellStyle name="Note 2 3 2 4 2" xfId="4070" xr:uid="{00000000-0005-0000-0000-0000F8200000}"/>
    <cellStyle name="Note 2 3 2 4 2 2" xfId="8294" xr:uid="{00000000-0005-0000-0000-0000F9200000}"/>
    <cellStyle name="Note 2 3 2 4 2 2 2" xfId="16723" xr:uid="{35C22BC2-C5DF-45EC-BC0F-695254092D7A}"/>
    <cellStyle name="Note 2 3 2 4 2 3" xfId="12505" xr:uid="{1B0763A7-4604-48A7-9390-3860610677EE}"/>
    <cellStyle name="Note 2 3 2 4 3" xfId="6149" xr:uid="{00000000-0005-0000-0000-0000FA200000}"/>
    <cellStyle name="Note 2 3 2 4 3 2" xfId="14578" xr:uid="{D884C91E-DF10-4537-9F71-AE45BD05E3B5}"/>
    <cellStyle name="Note 2 3 2 4 4" xfId="10360" xr:uid="{25A4F2CA-E7BB-4385-8086-B6E28E89350E}"/>
    <cellStyle name="Note 2 3 2 5" xfId="2254" xr:uid="{00000000-0005-0000-0000-0000FB200000}"/>
    <cellStyle name="Note 2 3 2 5 2" xfId="4483" xr:uid="{00000000-0005-0000-0000-0000FC200000}"/>
    <cellStyle name="Note 2 3 2 5 2 2" xfId="8707" xr:uid="{00000000-0005-0000-0000-0000FD200000}"/>
    <cellStyle name="Note 2 3 2 5 2 2 2" xfId="17136" xr:uid="{5CC3D96C-52C4-4A9B-BFDA-BE0ADFCAADAA}"/>
    <cellStyle name="Note 2 3 2 5 2 3" xfId="12918" xr:uid="{4D088B00-1B42-4605-92CE-9DED00A51737}"/>
    <cellStyle name="Note 2 3 2 5 3" xfId="6562" xr:uid="{00000000-0005-0000-0000-0000FE200000}"/>
    <cellStyle name="Note 2 3 2 5 3 2" xfId="14991" xr:uid="{EFC34496-A64F-4004-BD7B-BF37DD70DFFE}"/>
    <cellStyle name="Note 2 3 2 5 4" xfId="10773" xr:uid="{A85F48D4-9DA8-4C96-BF0B-8F6AFDF49E39}"/>
    <cellStyle name="Note 2 3 2 6" xfId="2690" xr:uid="{00000000-0005-0000-0000-0000FF200000}"/>
    <cellStyle name="Note 2 3 2 6 2" xfId="6975" xr:uid="{00000000-0005-0000-0000-000000210000}"/>
    <cellStyle name="Note 2 3 2 6 2 2" xfId="15404" xr:uid="{9839F02D-E402-4308-B9B3-CE8107278669}"/>
    <cellStyle name="Note 2 3 2 6 3" xfId="11186" xr:uid="{632FB6A0-03D5-47BA-BA5E-517FE7151B28}"/>
    <cellStyle name="Note 2 3 2 7" xfId="2749" xr:uid="{00000000-0005-0000-0000-000001210000}"/>
    <cellStyle name="Note 2 3 2 8" xfId="2830" xr:uid="{00000000-0005-0000-0000-000002210000}"/>
    <cellStyle name="Note 2 3 2 8 2" xfId="7055" xr:uid="{00000000-0005-0000-0000-000003210000}"/>
    <cellStyle name="Note 2 3 2 8 2 2" xfId="15484" xr:uid="{D25305BB-52C9-4155-B601-C9A30BC5A507}"/>
    <cellStyle name="Note 2 3 2 8 3" xfId="11266" xr:uid="{C2DCF9F9-573A-48C4-B8B5-25043895ADC5}"/>
    <cellStyle name="Note 2 3 2 9" xfId="4910" xr:uid="{00000000-0005-0000-0000-000004210000}"/>
    <cellStyle name="Note 2 3 2 9 2" xfId="13339" xr:uid="{4F55D522-6AC8-4E74-B0E2-6617A3E92B5F}"/>
    <cellStyle name="Note 2 3 3" xfId="1011" xr:uid="{00000000-0005-0000-0000-000005210000}"/>
    <cellStyle name="Note 2 3 3 2" xfId="3243" xr:uid="{00000000-0005-0000-0000-000006210000}"/>
    <cellStyle name="Note 2 3 3 2 2" xfId="7467" xr:uid="{00000000-0005-0000-0000-000007210000}"/>
    <cellStyle name="Note 2 3 3 2 2 2" xfId="15896" xr:uid="{8FEC1EE4-A3AD-42F5-847A-11C801D2FD02}"/>
    <cellStyle name="Note 2 3 3 2 3" xfId="11678" xr:uid="{DF3DB7F4-C926-4617-AA4B-7B180EB1189D}"/>
    <cellStyle name="Note 2 3 3 3" xfId="5322" xr:uid="{00000000-0005-0000-0000-000008210000}"/>
    <cellStyle name="Note 2 3 3 3 2" xfId="13751" xr:uid="{3074D0E0-B47D-44AF-B442-6DF8F0856205}"/>
    <cellStyle name="Note 2 3 3 4" xfId="9533" xr:uid="{88CC9702-CAD8-4821-86F5-495E0DDD5C26}"/>
    <cellStyle name="Note 2 3 4" xfId="1426" xr:uid="{00000000-0005-0000-0000-000009210000}"/>
    <cellStyle name="Note 2 3 4 2" xfId="3656" xr:uid="{00000000-0005-0000-0000-00000A210000}"/>
    <cellStyle name="Note 2 3 4 2 2" xfId="7880" xr:uid="{00000000-0005-0000-0000-00000B210000}"/>
    <cellStyle name="Note 2 3 4 2 2 2" xfId="16309" xr:uid="{DE8AB7A2-4412-470F-9E76-D03457251551}"/>
    <cellStyle name="Note 2 3 4 2 3" xfId="12091" xr:uid="{600A02F2-0566-4DBF-AEBF-7EEABECDFC93}"/>
    <cellStyle name="Note 2 3 4 3" xfId="5735" xr:uid="{00000000-0005-0000-0000-00000C210000}"/>
    <cellStyle name="Note 2 3 4 3 2" xfId="14164" xr:uid="{F253A81D-A289-4C53-92C1-98A13EC43A07}"/>
    <cellStyle name="Note 2 3 4 4" xfId="9946" xr:uid="{F5846874-4BA4-4DA5-B1B3-FA69893085CB}"/>
    <cellStyle name="Note 2 3 5" xfId="1840" xr:uid="{00000000-0005-0000-0000-00000D210000}"/>
    <cellStyle name="Note 2 3 5 2" xfId="4069" xr:uid="{00000000-0005-0000-0000-00000E210000}"/>
    <cellStyle name="Note 2 3 5 2 2" xfId="8293" xr:uid="{00000000-0005-0000-0000-00000F210000}"/>
    <cellStyle name="Note 2 3 5 2 2 2" xfId="16722" xr:uid="{6D8693BC-0B82-4154-8AD1-CA793EEDA6FC}"/>
    <cellStyle name="Note 2 3 5 2 3" xfId="12504" xr:uid="{98C2C97C-9166-4C4D-B9D3-9F83DCC8367C}"/>
    <cellStyle name="Note 2 3 5 3" xfId="6148" xr:uid="{00000000-0005-0000-0000-000010210000}"/>
    <cellStyle name="Note 2 3 5 3 2" xfId="14577" xr:uid="{189CC102-9C5C-400B-A1E4-04210490C81D}"/>
    <cellStyle name="Note 2 3 5 4" xfId="10359" xr:uid="{22007C7D-4E6F-4798-A8AE-9BA397AD7F0B}"/>
    <cellStyle name="Note 2 3 6" xfId="2253" xr:uid="{00000000-0005-0000-0000-000011210000}"/>
    <cellStyle name="Note 2 3 6 2" xfId="4482" xr:uid="{00000000-0005-0000-0000-000012210000}"/>
    <cellStyle name="Note 2 3 6 2 2" xfId="8706" xr:uid="{00000000-0005-0000-0000-000013210000}"/>
    <cellStyle name="Note 2 3 6 2 2 2" xfId="17135" xr:uid="{DBD7DD7D-0DDB-46A6-9DFE-64F448FA5955}"/>
    <cellStyle name="Note 2 3 6 2 3" xfId="12917" xr:uid="{35EC1339-A5AE-4D96-BBF4-D296736747B9}"/>
    <cellStyle name="Note 2 3 6 3" xfId="6561" xr:uid="{00000000-0005-0000-0000-000014210000}"/>
    <cellStyle name="Note 2 3 6 3 2" xfId="14990" xr:uid="{124537FD-F511-4B8F-8AC3-8F8AD9AF2A1F}"/>
    <cellStyle name="Note 2 3 6 4" xfId="10772" xr:uid="{3A4A5B31-71A1-45FA-80CF-AA6487F64C78}"/>
    <cellStyle name="Note 2 3 7" xfId="2689" xr:uid="{00000000-0005-0000-0000-000015210000}"/>
    <cellStyle name="Note 2 3 7 2" xfId="6974" xr:uid="{00000000-0005-0000-0000-000016210000}"/>
    <cellStyle name="Note 2 3 7 2 2" xfId="15403" xr:uid="{BCD74F44-2CE5-4040-BC99-44C6040AE5B9}"/>
    <cellStyle name="Note 2 3 7 3" xfId="11185" xr:uid="{B50E30BC-C78A-4F1D-AB5A-60578721A839}"/>
    <cellStyle name="Note 2 3 8" xfId="2748" xr:uid="{00000000-0005-0000-0000-000017210000}"/>
    <cellStyle name="Note 2 3 9" xfId="2829" xr:uid="{00000000-0005-0000-0000-000018210000}"/>
    <cellStyle name="Note 2 3 9 2" xfId="7054" xr:uid="{00000000-0005-0000-0000-000019210000}"/>
    <cellStyle name="Note 2 3 9 2 2" xfId="15483" xr:uid="{B61C3257-D616-4AD7-B179-1392014B7FED}"/>
    <cellStyle name="Note 2 3 9 3" xfId="11265" xr:uid="{8252736A-D32F-4D06-B108-FF9E6EE40903}"/>
    <cellStyle name="Note 2 4" xfId="552" xr:uid="{00000000-0005-0000-0000-00001A210000}"/>
    <cellStyle name="Note 2 4 10" xfId="9122" xr:uid="{753741B7-5A31-489D-B72A-0EEE1A05134C}"/>
    <cellStyle name="Note 2 4 2" xfId="1013" xr:uid="{00000000-0005-0000-0000-00001B210000}"/>
    <cellStyle name="Note 2 4 2 2" xfId="3245" xr:uid="{00000000-0005-0000-0000-00001C210000}"/>
    <cellStyle name="Note 2 4 2 2 2" xfId="7469" xr:uid="{00000000-0005-0000-0000-00001D210000}"/>
    <cellStyle name="Note 2 4 2 2 2 2" xfId="15898" xr:uid="{8D808989-6085-4670-9A79-C5EF5965B59F}"/>
    <cellStyle name="Note 2 4 2 2 3" xfId="11680" xr:uid="{4C2A45BC-36B4-4EC7-B2DF-2B059B4C7C13}"/>
    <cellStyle name="Note 2 4 2 3" xfId="5324" xr:uid="{00000000-0005-0000-0000-00001E210000}"/>
    <cellStyle name="Note 2 4 2 3 2" xfId="13753" xr:uid="{5770BC2B-03A3-4595-B29F-1AF6A7136E7D}"/>
    <cellStyle name="Note 2 4 2 4" xfId="9535" xr:uid="{324748A0-60AD-4058-A57C-60330FC1EA6E}"/>
    <cellStyle name="Note 2 4 3" xfId="1428" xr:uid="{00000000-0005-0000-0000-00001F210000}"/>
    <cellStyle name="Note 2 4 3 2" xfId="3658" xr:uid="{00000000-0005-0000-0000-000020210000}"/>
    <cellStyle name="Note 2 4 3 2 2" xfId="7882" xr:uid="{00000000-0005-0000-0000-000021210000}"/>
    <cellStyle name="Note 2 4 3 2 2 2" xfId="16311" xr:uid="{E32A3683-F0C6-4D3C-BFC3-227D07A0F7E0}"/>
    <cellStyle name="Note 2 4 3 2 3" xfId="12093" xr:uid="{8567B370-FF17-412C-A721-1D2FE1EB941E}"/>
    <cellStyle name="Note 2 4 3 3" xfId="5737" xr:uid="{00000000-0005-0000-0000-000022210000}"/>
    <cellStyle name="Note 2 4 3 3 2" xfId="14166" xr:uid="{A90529AE-FFE7-42AF-A629-552D6FA2AABF}"/>
    <cellStyle name="Note 2 4 3 4" xfId="9948" xr:uid="{55B009E5-C8FA-4560-8560-F60B8E7902D9}"/>
    <cellStyle name="Note 2 4 4" xfId="1842" xr:uid="{00000000-0005-0000-0000-000023210000}"/>
    <cellStyle name="Note 2 4 4 2" xfId="4071" xr:uid="{00000000-0005-0000-0000-000024210000}"/>
    <cellStyle name="Note 2 4 4 2 2" xfId="8295" xr:uid="{00000000-0005-0000-0000-000025210000}"/>
    <cellStyle name="Note 2 4 4 2 2 2" xfId="16724" xr:uid="{D9736EC4-94CE-4B4C-81F0-2A2147D0502E}"/>
    <cellStyle name="Note 2 4 4 2 3" xfId="12506" xr:uid="{A8773E45-1C47-41F8-8003-3FCA8C33A995}"/>
    <cellStyle name="Note 2 4 4 3" xfId="6150" xr:uid="{00000000-0005-0000-0000-000026210000}"/>
    <cellStyle name="Note 2 4 4 3 2" xfId="14579" xr:uid="{5C31A048-3F8A-4851-9E2A-E5C500789C10}"/>
    <cellStyle name="Note 2 4 4 4" xfId="10361" xr:uid="{727C1423-1598-48EF-A1EB-C0DE75F8D271}"/>
    <cellStyle name="Note 2 4 5" xfId="2255" xr:uid="{00000000-0005-0000-0000-000027210000}"/>
    <cellStyle name="Note 2 4 5 2" xfId="4484" xr:uid="{00000000-0005-0000-0000-000028210000}"/>
    <cellStyle name="Note 2 4 5 2 2" xfId="8708" xr:uid="{00000000-0005-0000-0000-000029210000}"/>
    <cellStyle name="Note 2 4 5 2 2 2" xfId="17137" xr:uid="{61C1CC36-BB5E-48B1-B47B-DBA7DACA9AA2}"/>
    <cellStyle name="Note 2 4 5 2 3" xfId="12919" xr:uid="{04492508-84BB-47F3-8D29-E03949F090C3}"/>
    <cellStyle name="Note 2 4 5 3" xfId="6563" xr:uid="{00000000-0005-0000-0000-00002A210000}"/>
    <cellStyle name="Note 2 4 5 3 2" xfId="14992" xr:uid="{A8225F64-97DA-4FA1-9B54-2AA79EE66426}"/>
    <cellStyle name="Note 2 4 5 4" xfId="10774" xr:uid="{7D151220-B2C7-4E83-8B51-0A798BB20362}"/>
    <cellStyle name="Note 2 4 6" xfId="2691" xr:uid="{00000000-0005-0000-0000-00002B210000}"/>
    <cellStyle name="Note 2 4 6 2" xfId="6976" xr:uid="{00000000-0005-0000-0000-00002C210000}"/>
    <cellStyle name="Note 2 4 6 2 2" xfId="15405" xr:uid="{781260C8-2F6B-436C-B972-254CD94136D6}"/>
    <cellStyle name="Note 2 4 6 3" xfId="11187" xr:uid="{A9EC4B5D-F1B6-4DDA-8F2C-2AD19502386B}"/>
    <cellStyle name="Note 2 4 7" xfId="2750" xr:uid="{00000000-0005-0000-0000-00002D210000}"/>
    <cellStyle name="Note 2 4 8" xfId="2831" xr:uid="{00000000-0005-0000-0000-00002E210000}"/>
    <cellStyle name="Note 2 4 8 2" xfId="7056" xr:uid="{00000000-0005-0000-0000-00002F210000}"/>
    <cellStyle name="Note 2 4 8 2 2" xfId="15485" xr:uid="{D9020078-5C99-4363-83C8-0C984F320CDA}"/>
    <cellStyle name="Note 2 4 8 3" xfId="11267" xr:uid="{F153A970-ADA8-4D1D-B935-15CB7938959C}"/>
    <cellStyle name="Note 2 4 9" xfId="4911" xr:uid="{00000000-0005-0000-0000-000030210000}"/>
    <cellStyle name="Note 2 4 9 2" xfId="13340" xr:uid="{8F3B7642-49B5-4C4E-BAFB-3638F10DFC71}"/>
    <cellStyle name="Note 2 5" xfId="553" xr:uid="{00000000-0005-0000-0000-000031210000}"/>
    <cellStyle name="Note 2 5 10" xfId="9123" xr:uid="{63F5AB38-91D1-41D7-B848-4E37EA5EB153}"/>
    <cellStyle name="Note 2 5 2" xfId="1014" xr:uid="{00000000-0005-0000-0000-000032210000}"/>
    <cellStyle name="Note 2 5 2 2" xfId="3246" xr:uid="{00000000-0005-0000-0000-000033210000}"/>
    <cellStyle name="Note 2 5 2 2 2" xfId="7470" xr:uid="{00000000-0005-0000-0000-000034210000}"/>
    <cellStyle name="Note 2 5 2 2 2 2" xfId="15899" xr:uid="{2764A823-EF0E-482D-AD2A-40B3693C273E}"/>
    <cellStyle name="Note 2 5 2 2 3" xfId="11681" xr:uid="{9B17BDE6-96B5-4C72-A687-838820A67F15}"/>
    <cellStyle name="Note 2 5 2 3" xfId="5325" xr:uid="{00000000-0005-0000-0000-000035210000}"/>
    <cellStyle name="Note 2 5 2 3 2" xfId="13754" xr:uid="{2114CF71-71C0-4A02-B90E-6F9C022F06C8}"/>
    <cellStyle name="Note 2 5 2 4" xfId="9536" xr:uid="{267A3E8D-4BF1-4E2F-A032-5D49F90F9423}"/>
    <cellStyle name="Note 2 5 3" xfId="1429" xr:uid="{00000000-0005-0000-0000-000036210000}"/>
    <cellStyle name="Note 2 5 3 2" xfId="3659" xr:uid="{00000000-0005-0000-0000-000037210000}"/>
    <cellStyle name="Note 2 5 3 2 2" xfId="7883" xr:uid="{00000000-0005-0000-0000-000038210000}"/>
    <cellStyle name="Note 2 5 3 2 2 2" xfId="16312" xr:uid="{4DD3ABBE-8A91-4D1C-9623-820468383F2A}"/>
    <cellStyle name="Note 2 5 3 2 3" xfId="12094" xr:uid="{13BAA71F-95ED-48DC-9AF8-4F39F604EFDB}"/>
    <cellStyle name="Note 2 5 3 3" xfId="5738" xr:uid="{00000000-0005-0000-0000-000039210000}"/>
    <cellStyle name="Note 2 5 3 3 2" xfId="14167" xr:uid="{8D62BC9F-D02D-44A7-8D59-1FB5075E4A73}"/>
    <cellStyle name="Note 2 5 3 4" xfId="9949" xr:uid="{A9CA6E85-502F-471A-B4ED-6F220CF5015D}"/>
    <cellStyle name="Note 2 5 4" xfId="1843" xr:uid="{00000000-0005-0000-0000-00003A210000}"/>
    <cellStyle name="Note 2 5 4 2" xfId="4072" xr:uid="{00000000-0005-0000-0000-00003B210000}"/>
    <cellStyle name="Note 2 5 4 2 2" xfId="8296" xr:uid="{00000000-0005-0000-0000-00003C210000}"/>
    <cellStyle name="Note 2 5 4 2 2 2" xfId="16725" xr:uid="{E6B29803-BA81-4749-A328-445AED837519}"/>
    <cellStyle name="Note 2 5 4 2 3" xfId="12507" xr:uid="{97C75AB1-008D-4387-99F9-F7F5D243858C}"/>
    <cellStyle name="Note 2 5 4 3" xfId="6151" xr:uid="{00000000-0005-0000-0000-00003D210000}"/>
    <cellStyle name="Note 2 5 4 3 2" xfId="14580" xr:uid="{6059CEDF-0EEE-41B2-8912-B920ED802C3F}"/>
    <cellStyle name="Note 2 5 4 4" xfId="10362" xr:uid="{D65F990B-6858-47A8-9A9E-85542F16F1FC}"/>
    <cellStyle name="Note 2 5 5" xfId="2256" xr:uid="{00000000-0005-0000-0000-00003E210000}"/>
    <cellStyle name="Note 2 5 5 2" xfId="4485" xr:uid="{00000000-0005-0000-0000-00003F210000}"/>
    <cellStyle name="Note 2 5 5 2 2" xfId="8709" xr:uid="{00000000-0005-0000-0000-000040210000}"/>
    <cellStyle name="Note 2 5 5 2 2 2" xfId="17138" xr:uid="{681B0FBD-B6BD-48D1-8510-D57D85FEFCE8}"/>
    <cellStyle name="Note 2 5 5 2 3" xfId="12920" xr:uid="{42AEAB4A-0C8C-46C7-926C-09E0F3288D78}"/>
    <cellStyle name="Note 2 5 5 3" xfId="6564" xr:uid="{00000000-0005-0000-0000-000041210000}"/>
    <cellStyle name="Note 2 5 5 3 2" xfId="14993" xr:uid="{63EBAC35-11DD-4DC5-AF33-18BD658D2AD8}"/>
    <cellStyle name="Note 2 5 5 4" xfId="10775" xr:uid="{75A009BD-58A4-42F1-B80A-BD1967F09BE1}"/>
    <cellStyle name="Note 2 5 6" xfId="2692" xr:uid="{00000000-0005-0000-0000-000042210000}"/>
    <cellStyle name="Note 2 5 6 2" xfId="6977" xr:uid="{00000000-0005-0000-0000-000043210000}"/>
    <cellStyle name="Note 2 5 6 2 2" xfId="15406" xr:uid="{817C73C1-74BC-42EE-A9B6-A391606F8D7F}"/>
    <cellStyle name="Note 2 5 6 3" xfId="11188" xr:uid="{8F9BEFAC-D075-4363-9F17-3390BB9CE02F}"/>
    <cellStyle name="Note 2 5 7" xfId="2751" xr:uid="{00000000-0005-0000-0000-000044210000}"/>
    <cellStyle name="Note 2 5 8" xfId="2832" xr:uid="{00000000-0005-0000-0000-000045210000}"/>
    <cellStyle name="Note 2 5 8 2" xfId="7057" xr:uid="{00000000-0005-0000-0000-000046210000}"/>
    <cellStyle name="Note 2 5 8 2 2" xfId="15486" xr:uid="{16119351-C7DA-45B8-803D-F8ED1A3B5DFB}"/>
    <cellStyle name="Note 2 5 8 3" xfId="11268" xr:uid="{DAA76C26-CB3C-47A9-BE37-7B62A465EE4F}"/>
    <cellStyle name="Note 2 5 9" xfId="4912" xr:uid="{00000000-0005-0000-0000-000047210000}"/>
    <cellStyle name="Note 2 5 9 2" xfId="13341" xr:uid="{CAA7F4E9-51AD-40E3-B2FE-C42E9E9DAB0C}"/>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0 2 2" xfId="15487" xr:uid="{4B6D1506-1902-4E3C-BA76-78C976E4B47C}"/>
    <cellStyle name="Note 3 2 10 3" xfId="11269" xr:uid="{5AEB2B7E-4923-4D34-A3F8-A3F2FF0C25AD}"/>
    <cellStyle name="Note 3 2 11" xfId="4913" xr:uid="{00000000-0005-0000-0000-00004C210000}"/>
    <cellStyle name="Note 3 2 11 2" xfId="13342" xr:uid="{2CF330D1-4564-44D3-A925-05F97C307687}"/>
    <cellStyle name="Note 3 2 12" xfId="9124" xr:uid="{2876B181-ACF5-4F72-BE6E-2E917CE22F97}"/>
    <cellStyle name="Note 3 2 2" xfId="556" xr:uid="{00000000-0005-0000-0000-00004D210000}"/>
    <cellStyle name="Note 3 2 2 10" xfId="4914" xr:uid="{00000000-0005-0000-0000-00004E210000}"/>
    <cellStyle name="Note 3 2 2 10 2" xfId="13343" xr:uid="{0CE64EEF-7CD7-470E-A159-A5BC64615E38}"/>
    <cellStyle name="Note 3 2 2 11" xfId="9125" xr:uid="{353F26D3-1377-4FC8-AC40-148A2379EF32}"/>
    <cellStyle name="Note 3 2 2 2" xfId="557" xr:uid="{00000000-0005-0000-0000-00004F210000}"/>
    <cellStyle name="Note 3 2 2 2 10" xfId="9126" xr:uid="{6DC08E29-1A45-466B-9C75-B4ABE9596B26}"/>
    <cellStyle name="Note 3 2 2 2 2" xfId="1017" xr:uid="{00000000-0005-0000-0000-000050210000}"/>
    <cellStyle name="Note 3 2 2 2 2 2" xfId="3249" xr:uid="{00000000-0005-0000-0000-000051210000}"/>
    <cellStyle name="Note 3 2 2 2 2 2 2" xfId="7473" xr:uid="{00000000-0005-0000-0000-000052210000}"/>
    <cellStyle name="Note 3 2 2 2 2 2 2 2" xfId="15902" xr:uid="{A43BF5B3-6EE7-43BD-BD7B-C5CCE3E84C35}"/>
    <cellStyle name="Note 3 2 2 2 2 2 3" xfId="11684" xr:uid="{475F8C7F-76AE-4BA5-9F73-7C144357380B}"/>
    <cellStyle name="Note 3 2 2 2 2 3" xfId="5328" xr:uid="{00000000-0005-0000-0000-000053210000}"/>
    <cellStyle name="Note 3 2 2 2 2 3 2" xfId="13757" xr:uid="{EE32F568-E2E2-41FF-84D7-4579841D6524}"/>
    <cellStyle name="Note 3 2 2 2 2 4" xfId="9539" xr:uid="{1197075F-9AF4-4FBE-9B76-212EDCC18EC5}"/>
    <cellStyle name="Note 3 2 2 2 3" xfId="1432" xr:uid="{00000000-0005-0000-0000-000054210000}"/>
    <cellStyle name="Note 3 2 2 2 3 2" xfId="3662" xr:uid="{00000000-0005-0000-0000-000055210000}"/>
    <cellStyle name="Note 3 2 2 2 3 2 2" xfId="7886" xr:uid="{00000000-0005-0000-0000-000056210000}"/>
    <cellStyle name="Note 3 2 2 2 3 2 2 2" xfId="16315" xr:uid="{C1DAF8AE-AA1C-446A-A022-BA35CF20DEDE}"/>
    <cellStyle name="Note 3 2 2 2 3 2 3" xfId="12097" xr:uid="{A32D46B9-6B60-4EDB-852D-A6AC192D4671}"/>
    <cellStyle name="Note 3 2 2 2 3 3" xfId="5741" xr:uid="{00000000-0005-0000-0000-000057210000}"/>
    <cellStyle name="Note 3 2 2 2 3 3 2" xfId="14170" xr:uid="{BC97DC0D-7C02-4D95-8C96-3C3C435736F6}"/>
    <cellStyle name="Note 3 2 2 2 3 4" xfId="9952" xr:uid="{7E8B1A40-0CA6-4C2A-9BB4-AF10DAB8DCA0}"/>
    <cellStyle name="Note 3 2 2 2 4" xfId="1846" xr:uid="{00000000-0005-0000-0000-000058210000}"/>
    <cellStyle name="Note 3 2 2 2 4 2" xfId="4075" xr:uid="{00000000-0005-0000-0000-000059210000}"/>
    <cellStyle name="Note 3 2 2 2 4 2 2" xfId="8299" xr:uid="{00000000-0005-0000-0000-00005A210000}"/>
    <cellStyle name="Note 3 2 2 2 4 2 2 2" xfId="16728" xr:uid="{B271BE48-34B6-4C95-B6CD-8060AFF63889}"/>
    <cellStyle name="Note 3 2 2 2 4 2 3" xfId="12510" xr:uid="{0960588F-8C65-4295-B020-CB5431CD5E19}"/>
    <cellStyle name="Note 3 2 2 2 4 3" xfId="6154" xr:uid="{00000000-0005-0000-0000-00005B210000}"/>
    <cellStyle name="Note 3 2 2 2 4 3 2" xfId="14583" xr:uid="{1EC78035-0C38-46D3-8399-61439AC03017}"/>
    <cellStyle name="Note 3 2 2 2 4 4" xfId="10365" xr:uid="{13769B7A-6C32-4A6F-854F-3354D465DC6B}"/>
    <cellStyle name="Note 3 2 2 2 5" xfId="2259" xr:uid="{00000000-0005-0000-0000-00005C210000}"/>
    <cellStyle name="Note 3 2 2 2 5 2" xfId="4488" xr:uid="{00000000-0005-0000-0000-00005D210000}"/>
    <cellStyle name="Note 3 2 2 2 5 2 2" xfId="8712" xr:uid="{00000000-0005-0000-0000-00005E210000}"/>
    <cellStyle name="Note 3 2 2 2 5 2 2 2" xfId="17141" xr:uid="{199465F4-33FD-4287-AF4D-7D33433C878E}"/>
    <cellStyle name="Note 3 2 2 2 5 2 3" xfId="12923" xr:uid="{73397DC3-6124-4738-9873-3C65AEE76241}"/>
    <cellStyle name="Note 3 2 2 2 5 3" xfId="6567" xr:uid="{00000000-0005-0000-0000-00005F210000}"/>
    <cellStyle name="Note 3 2 2 2 5 3 2" xfId="14996" xr:uid="{CCCF0A1D-4061-4A6C-A48E-18D049D33E15}"/>
    <cellStyle name="Note 3 2 2 2 5 4" xfId="10778" xr:uid="{F7A770C3-DBA2-412F-917A-442DF24418D4}"/>
    <cellStyle name="Note 3 2 2 2 6" xfId="2695" xr:uid="{00000000-0005-0000-0000-000060210000}"/>
    <cellStyle name="Note 3 2 2 2 6 2" xfId="6980" xr:uid="{00000000-0005-0000-0000-000061210000}"/>
    <cellStyle name="Note 3 2 2 2 6 2 2" xfId="15409" xr:uid="{70F9E9B8-CD0F-46EE-8822-E8527754E912}"/>
    <cellStyle name="Note 3 2 2 2 6 3" xfId="11191" xr:uid="{DFC68215-ABB2-4149-9228-6906DD0FFDEB}"/>
    <cellStyle name="Note 3 2 2 2 7" xfId="2754" xr:uid="{00000000-0005-0000-0000-000062210000}"/>
    <cellStyle name="Note 3 2 2 2 8" xfId="2835" xr:uid="{00000000-0005-0000-0000-000063210000}"/>
    <cellStyle name="Note 3 2 2 2 8 2" xfId="7060" xr:uid="{00000000-0005-0000-0000-000064210000}"/>
    <cellStyle name="Note 3 2 2 2 8 2 2" xfId="15489" xr:uid="{24DEC728-AF8C-4AD1-8708-3D5F81F0B6FB}"/>
    <cellStyle name="Note 3 2 2 2 8 3" xfId="11271" xr:uid="{E7C1166D-772F-410A-B9DA-166A0FC84E1D}"/>
    <cellStyle name="Note 3 2 2 2 9" xfId="4915" xr:uid="{00000000-0005-0000-0000-000065210000}"/>
    <cellStyle name="Note 3 2 2 2 9 2" xfId="13344" xr:uid="{B7533AA4-AD4C-457F-B25E-A6F1A045B7D5}"/>
    <cellStyle name="Note 3 2 2 3" xfId="1016" xr:uid="{00000000-0005-0000-0000-000066210000}"/>
    <cellStyle name="Note 3 2 2 3 2" xfId="3248" xr:uid="{00000000-0005-0000-0000-000067210000}"/>
    <cellStyle name="Note 3 2 2 3 2 2" xfId="7472" xr:uid="{00000000-0005-0000-0000-000068210000}"/>
    <cellStyle name="Note 3 2 2 3 2 2 2" xfId="15901" xr:uid="{95C5A12F-4E90-4B2D-834B-970B66260B71}"/>
    <cellStyle name="Note 3 2 2 3 2 3" xfId="11683" xr:uid="{609726E0-2A6A-48C8-8EF0-CA47137F2361}"/>
    <cellStyle name="Note 3 2 2 3 3" xfId="5327" xr:uid="{00000000-0005-0000-0000-000069210000}"/>
    <cellStyle name="Note 3 2 2 3 3 2" xfId="13756" xr:uid="{CCE92834-463D-47A1-B91A-71A19D299BBD}"/>
    <cellStyle name="Note 3 2 2 3 4" xfId="9538" xr:uid="{60BE8762-0D69-4917-8774-E47AD257E2CA}"/>
    <cellStyle name="Note 3 2 2 4" xfId="1431" xr:uid="{00000000-0005-0000-0000-00006A210000}"/>
    <cellStyle name="Note 3 2 2 4 2" xfId="3661" xr:uid="{00000000-0005-0000-0000-00006B210000}"/>
    <cellStyle name="Note 3 2 2 4 2 2" xfId="7885" xr:uid="{00000000-0005-0000-0000-00006C210000}"/>
    <cellStyle name="Note 3 2 2 4 2 2 2" xfId="16314" xr:uid="{CD72C6A4-7461-446D-BA0C-62B68545C360}"/>
    <cellStyle name="Note 3 2 2 4 2 3" xfId="12096" xr:uid="{834AB759-1375-47A8-A0A5-85346134B1AB}"/>
    <cellStyle name="Note 3 2 2 4 3" xfId="5740" xr:uid="{00000000-0005-0000-0000-00006D210000}"/>
    <cellStyle name="Note 3 2 2 4 3 2" xfId="14169" xr:uid="{F23B1B10-EED7-4BF2-8699-4E51C44BC8D0}"/>
    <cellStyle name="Note 3 2 2 4 4" xfId="9951" xr:uid="{DF528293-10D5-49EC-9601-AB15A09ED86B}"/>
    <cellStyle name="Note 3 2 2 5" xfId="1845" xr:uid="{00000000-0005-0000-0000-00006E210000}"/>
    <cellStyle name="Note 3 2 2 5 2" xfId="4074" xr:uid="{00000000-0005-0000-0000-00006F210000}"/>
    <cellStyle name="Note 3 2 2 5 2 2" xfId="8298" xr:uid="{00000000-0005-0000-0000-000070210000}"/>
    <cellStyle name="Note 3 2 2 5 2 2 2" xfId="16727" xr:uid="{DD6747E3-469F-40D7-A418-F7FFDCB36FA9}"/>
    <cellStyle name="Note 3 2 2 5 2 3" xfId="12509" xr:uid="{4E2408FC-73FD-46BF-BAD3-F0B82D77A6B8}"/>
    <cellStyle name="Note 3 2 2 5 3" xfId="6153" xr:uid="{00000000-0005-0000-0000-000071210000}"/>
    <cellStyle name="Note 3 2 2 5 3 2" xfId="14582" xr:uid="{AB6038E1-A548-4D34-B53C-DF4027615B17}"/>
    <cellStyle name="Note 3 2 2 5 4" xfId="10364" xr:uid="{09C62F2E-7DD1-4C8B-8D56-008AD2CEDA44}"/>
    <cellStyle name="Note 3 2 2 6" xfId="2258" xr:uid="{00000000-0005-0000-0000-000072210000}"/>
    <cellStyle name="Note 3 2 2 6 2" xfId="4487" xr:uid="{00000000-0005-0000-0000-000073210000}"/>
    <cellStyle name="Note 3 2 2 6 2 2" xfId="8711" xr:uid="{00000000-0005-0000-0000-000074210000}"/>
    <cellStyle name="Note 3 2 2 6 2 2 2" xfId="17140" xr:uid="{6A1C5E66-C459-4F0B-9E30-0E7DDF7B73A1}"/>
    <cellStyle name="Note 3 2 2 6 2 3" xfId="12922" xr:uid="{EF7D4F33-35B0-470D-8FF4-7DCAA44A7EF5}"/>
    <cellStyle name="Note 3 2 2 6 3" xfId="6566" xr:uid="{00000000-0005-0000-0000-000075210000}"/>
    <cellStyle name="Note 3 2 2 6 3 2" xfId="14995" xr:uid="{5308241A-A894-4E58-BE54-3782B18166AC}"/>
    <cellStyle name="Note 3 2 2 6 4" xfId="10777" xr:uid="{AF0D3E8C-BB9C-4A8E-8C62-CADA177837B1}"/>
    <cellStyle name="Note 3 2 2 7" xfId="2694" xr:uid="{00000000-0005-0000-0000-000076210000}"/>
    <cellStyle name="Note 3 2 2 7 2" xfId="6979" xr:uid="{00000000-0005-0000-0000-000077210000}"/>
    <cellStyle name="Note 3 2 2 7 2 2" xfId="15408" xr:uid="{1089A213-2745-469F-86DF-DB142406C449}"/>
    <cellStyle name="Note 3 2 2 7 3" xfId="11190" xr:uid="{9708E725-1933-4DAB-BFA8-E39BCD8B265A}"/>
    <cellStyle name="Note 3 2 2 8" xfId="2753" xr:uid="{00000000-0005-0000-0000-000078210000}"/>
    <cellStyle name="Note 3 2 2 9" xfId="2834" xr:uid="{00000000-0005-0000-0000-000079210000}"/>
    <cellStyle name="Note 3 2 2 9 2" xfId="7059" xr:uid="{00000000-0005-0000-0000-00007A210000}"/>
    <cellStyle name="Note 3 2 2 9 2 2" xfId="15488" xr:uid="{3CEE3A4B-01F1-407F-BCC8-5CB39B1EC75F}"/>
    <cellStyle name="Note 3 2 2 9 3" xfId="11270" xr:uid="{2070E248-3B30-4DB4-9BEB-1FF722A38E59}"/>
    <cellStyle name="Note 3 2 3" xfId="558" xr:uid="{00000000-0005-0000-0000-00007B210000}"/>
    <cellStyle name="Note 3 2 3 10" xfId="9127" xr:uid="{090A8E74-D78A-4481-94E4-B7FFAFCF1FEC}"/>
    <cellStyle name="Note 3 2 3 2" xfId="1018" xr:uid="{00000000-0005-0000-0000-00007C210000}"/>
    <cellStyle name="Note 3 2 3 2 2" xfId="3250" xr:uid="{00000000-0005-0000-0000-00007D210000}"/>
    <cellStyle name="Note 3 2 3 2 2 2" xfId="7474" xr:uid="{00000000-0005-0000-0000-00007E210000}"/>
    <cellStyle name="Note 3 2 3 2 2 2 2" xfId="15903" xr:uid="{9CA8E103-A31C-48E6-ADA8-DD6D91E08D14}"/>
    <cellStyle name="Note 3 2 3 2 2 3" xfId="11685" xr:uid="{D94D1D0D-C92D-4308-A3B3-AE23E11C0A02}"/>
    <cellStyle name="Note 3 2 3 2 3" xfId="5329" xr:uid="{00000000-0005-0000-0000-00007F210000}"/>
    <cellStyle name="Note 3 2 3 2 3 2" xfId="13758" xr:uid="{8872DC07-8E3D-420E-8568-035597CBA372}"/>
    <cellStyle name="Note 3 2 3 2 4" xfId="9540" xr:uid="{8A380CC6-89EC-4AD1-BB3B-7A8133FC9E43}"/>
    <cellStyle name="Note 3 2 3 3" xfId="1433" xr:uid="{00000000-0005-0000-0000-000080210000}"/>
    <cellStyle name="Note 3 2 3 3 2" xfId="3663" xr:uid="{00000000-0005-0000-0000-000081210000}"/>
    <cellStyle name="Note 3 2 3 3 2 2" xfId="7887" xr:uid="{00000000-0005-0000-0000-000082210000}"/>
    <cellStyle name="Note 3 2 3 3 2 2 2" xfId="16316" xr:uid="{C84D6D51-06C0-4776-958D-A33EFB2B017A}"/>
    <cellStyle name="Note 3 2 3 3 2 3" xfId="12098" xr:uid="{FAF4F24A-DC60-4918-BD72-E7A3AF0CD8FC}"/>
    <cellStyle name="Note 3 2 3 3 3" xfId="5742" xr:uid="{00000000-0005-0000-0000-000083210000}"/>
    <cellStyle name="Note 3 2 3 3 3 2" xfId="14171" xr:uid="{EB7D67F9-7681-4AFA-B538-88BF9109B366}"/>
    <cellStyle name="Note 3 2 3 3 4" xfId="9953" xr:uid="{03B46D14-A13B-4892-AA0E-A90554ECCDC8}"/>
    <cellStyle name="Note 3 2 3 4" xfId="1847" xr:uid="{00000000-0005-0000-0000-000084210000}"/>
    <cellStyle name="Note 3 2 3 4 2" xfId="4076" xr:uid="{00000000-0005-0000-0000-000085210000}"/>
    <cellStyle name="Note 3 2 3 4 2 2" xfId="8300" xr:uid="{00000000-0005-0000-0000-000086210000}"/>
    <cellStyle name="Note 3 2 3 4 2 2 2" xfId="16729" xr:uid="{F3DE04AE-BB5A-4856-B16F-C40F153098FE}"/>
    <cellStyle name="Note 3 2 3 4 2 3" xfId="12511" xr:uid="{CB530510-1E2C-40F4-BD4E-F5489E0B35A9}"/>
    <cellStyle name="Note 3 2 3 4 3" xfId="6155" xr:uid="{00000000-0005-0000-0000-000087210000}"/>
    <cellStyle name="Note 3 2 3 4 3 2" xfId="14584" xr:uid="{697A0886-5F6F-4DB2-82CC-0CC9EFF853BC}"/>
    <cellStyle name="Note 3 2 3 4 4" xfId="10366" xr:uid="{3083F6FE-929C-4811-8BDC-ACE4EC399055}"/>
    <cellStyle name="Note 3 2 3 5" xfId="2260" xr:uid="{00000000-0005-0000-0000-000088210000}"/>
    <cellStyle name="Note 3 2 3 5 2" xfId="4489" xr:uid="{00000000-0005-0000-0000-000089210000}"/>
    <cellStyle name="Note 3 2 3 5 2 2" xfId="8713" xr:uid="{00000000-0005-0000-0000-00008A210000}"/>
    <cellStyle name="Note 3 2 3 5 2 2 2" xfId="17142" xr:uid="{A8350930-3A69-495C-B9DC-C82D6AB12591}"/>
    <cellStyle name="Note 3 2 3 5 2 3" xfId="12924" xr:uid="{6FFAD1C1-CF83-4476-B9D2-4E9F940F38F7}"/>
    <cellStyle name="Note 3 2 3 5 3" xfId="6568" xr:uid="{00000000-0005-0000-0000-00008B210000}"/>
    <cellStyle name="Note 3 2 3 5 3 2" xfId="14997" xr:uid="{86FAFA3E-D2DB-4656-AD63-21019F2002CB}"/>
    <cellStyle name="Note 3 2 3 5 4" xfId="10779" xr:uid="{03D92688-704F-47AD-BE66-434DB03DB69F}"/>
    <cellStyle name="Note 3 2 3 6" xfId="2696" xr:uid="{00000000-0005-0000-0000-00008C210000}"/>
    <cellStyle name="Note 3 2 3 6 2" xfId="6981" xr:uid="{00000000-0005-0000-0000-00008D210000}"/>
    <cellStyle name="Note 3 2 3 6 2 2" xfId="15410" xr:uid="{56FBED1F-F0AF-47C2-9B73-17C7AB181557}"/>
    <cellStyle name="Note 3 2 3 6 3" xfId="11192" xr:uid="{5B4216A6-64A4-4C83-98B0-CD040E4862A5}"/>
    <cellStyle name="Note 3 2 3 7" xfId="2755" xr:uid="{00000000-0005-0000-0000-00008E210000}"/>
    <cellStyle name="Note 3 2 3 8" xfId="2836" xr:uid="{00000000-0005-0000-0000-00008F210000}"/>
    <cellStyle name="Note 3 2 3 8 2" xfId="7061" xr:uid="{00000000-0005-0000-0000-000090210000}"/>
    <cellStyle name="Note 3 2 3 8 2 2" xfId="15490" xr:uid="{E411FF80-ABCE-4E5C-927E-0CD36EB95F34}"/>
    <cellStyle name="Note 3 2 3 8 3" xfId="11272" xr:uid="{9407FC8E-5E73-45CF-8D40-0CD18BE40578}"/>
    <cellStyle name="Note 3 2 3 9" xfId="4916" xr:uid="{00000000-0005-0000-0000-000091210000}"/>
    <cellStyle name="Note 3 2 3 9 2" xfId="13345" xr:uid="{FE9476A4-3A3B-468F-9CB7-B349409005DB}"/>
    <cellStyle name="Note 3 2 4" xfId="1015" xr:uid="{00000000-0005-0000-0000-000092210000}"/>
    <cellStyle name="Note 3 2 4 2" xfId="3247" xr:uid="{00000000-0005-0000-0000-000093210000}"/>
    <cellStyle name="Note 3 2 4 2 2" xfId="7471" xr:uid="{00000000-0005-0000-0000-000094210000}"/>
    <cellStyle name="Note 3 2 4 2 2 2" xfId="15900" xr:uid="{049149A7-AB38-49F2-844F-E0611145EC9A}"/>
    <cellStyle name="Note 3 2 4 2 3" xfId="11682" xr:uid="{75E8C491-713B-4F07-AFA6-FF8C05F28CC6}"/>
    <cellStyle name="Note 3 2 4 3" xfId="5326" xr:uid="{00000000-0005-0000-0000-000095210000}"/>
    <cellStyle name="Note 3 2 4 3 2" xfId="13755" xr:uid="{ADDC7D01-78E5-4FBD-AD80-92029A8D26F4}"/>
    <cellStyle name="Note 3 2 4 4" xfId="9537" xr:uid="{1ACDEB7F-39CF-42AD-9508-0E199C84271B}"/>
    <cellStyle name="Note 3 2 5" xfId="1430" xr:uid="{00000000-0005-0000-0000-000096210000}"/>
    <cellStyle name="Note 3 2 5 2" xfId="3660" xr:uid="{00000000-0005-0000-0000-000097210000}"/>
    <cellStyle name="Note 3 2 5 2 2" xfId="7884" xr:uid="{00000000-0005-0000-0000-000098210000}"/>
    <cellStyle name="Note 3 2 5 2 2 2" xfId="16313" xr:uid="{0062F535-AF49-4008-954C-A6EC3D71B8C8}"/>
    <cellStyle name="Note 3 2 5 2 3" xfId="12095" xr:uid="{69D11AC3-2CC3-47BB-8FEA-E1123A9BADEE}"/>
    <cellStyle name="Note 3 2 5 3" xfId="5739" xr:uid="{00000000-0005-0000-0000-000099210000}"/>
    <cellStyle name="Note 3 2 5 3 2" xfId="14168" xr:uid="{C0880550-AAEE-4305-887A-E59DAE5A583E}"/>
    <cellStyle name="Note 3 2 5 4" xfId="9950" xr:uid="{05143103-B072-4A0C-B5E1-0AEBBDD9FF7E}"/>
    <cellStyle name="Note 3 2 6" xfId="1844" xr:uid="{00000000-0005-0000-0000-00009A210000}"/>
    <cellStyle name="Note 3 2 6 2" xfId="4073" xr:uid="{00000000-0005-0000-0000-00009B210000}"/>
    <cellStyle name="Note 3 2 6 2 2" xfId="8297" xr:uid="{00000000-0005-0000-0000-00009C210000}"/>
    <cellStyle name="Note 3 2 6 2 2 2" xfId="16726" xr:uid="{EC093C2D-99A1-43D4-8E19-5223AA8FC116}"/>
    <cellStyle name="Note 3 2 6 2 3" xfId="12508" xr:uid="{FFA065FD-E768-4ED4-A1AF-09FA8DFAF029}"/>
    <cellStyle name="Note 3 2 6 3" xfId="6152" xr:uid="{00000000-0005-0000-0000-00009D210000}"/>
    <cellStyle name="Note 3 2 6 3 2" xfId="14581" xr:uid="{92C1202B-33F0-454F-AAB8-C1847CAC6CF5}"/>
    <cellStyle name="Note 3 2 6 4" xfId="10363" xr:uid="{DB13D6FB-662B-4886-B096-3094780ED88B}"/>
    <cellStyle name="Note 3 2 7" xfId="2257" xr:uid="{00000000-0005-0000-0000-00009E210000}"/>
    <cellStyle name="Note 3 2 7 2" xfId="4486" xr:uid="{00000000-0005-0000-0000-00009F210000}"/>
    <cellStyle name="Note 3 2 7 2 2" xfId="8710" xr:uid="{00000000-0005-0000-0000-0000A0210000}"/>
    <cellStyle name="Note 3 2 7 2 2 2" xfId="17139" xr:uid="{FFD8D2D2-22F4-47A9-A598-99A551807E0D}"/>
    <cellStyle name="Note 3 2 7 2 3" xfId="12921" xr:uid="{53065217-A9DA-48D8-AD52-1289DF2ABD53}"/>
    <cellStyle name="Note 3 2 7 3" xfId="6565" xr:uid="{00000000-0005-0000-0000-0000A1210000}"/>
    <cellStyle name="Note 3 2 7 3 2" xfId="14994" xr:uid="{14DA898B-4E53-4AD1-90BE-06A44654430D}"/>
    <cellStyle name="Note 3 2 7 4" xfId="10776" xr:uid="{A8769B24-60E9-449D-A5EC-2689D87F31C9}"/>
    <cellStyle name="Note 3 2 8" xfId="2693" xr:uid="{00000000-0005-0000-0000-0000A2210000}"/>
    <cellStyle name="Note 3 2 8 2" xfId="6978" xr:uid="{00000000-0005-0000-0000-0000A3210000}"/>
    <cellStyle name="Note 3 2 8 2 2" xfId="15407" xr:uid="{CF5FB688-8594-4C31-A7BA-73636FC0F987}"/>
    <cellStyle name="Note 3 2 8 3" xfId="11189" xr:uid="{E3A93C11-1ADF-422A-A89C-F8FB21A79BB6}"/>
    <cellStyle name="Note 3 2 9" xfId="2752" xr:uid="{00000000-0005-0000-0000-0000A4210000}"/>
    <cellStyle name="Note 3 3" xfId="559" xr:uid="{00000000-0005-0000-0000-0000A5210000}"/>
    <cellStyle name="Note 3 3 10" xfId="4917" xr:uid="{00000000-0005-0000-0000-0000A6210000}"/>
    <cellStyle name="Note 3 3 10 2" xfId="13346" xr:uid="{332BE469-60A6-47ED-A426-6EB7F79036BB}"/>
    <cellStyle name="Note 3 3 11" xfId="9128" xr:uid="{F477ECC3-82C0-4471-96F8-024B15620C67}"/>
    <cellStyle name="Note 3 3 2" xfId="560" xr:uid="{00000000-0005-0000-0000-0000A7210000}"/>
    <cellStyle name="Note 3 3 2 10" xfId="9129" xr:uid="{C10006B6-3C92-4A4E-A4A3-40B576D0362E}"/>
    <cellStyle name="Note 3 3 2 2" xfId="1020" xr:uid="{00000000-0005-0000-0000-0000A8210000}"/>
    <cellStyle name="Note 3 3 2 2 2" xfId="3252" xr:uid="{00000000-0005-0000-0000-0000A9210000}"/>
    <cellStyle name="Note 3 3 2 2 2 2" xfId="7476" xr:uid="{00000000-0005-0000-0000-0000AA210000}"/>
    <cellStyle name="Note 3 3 2 2 2 2 2" xfId="15905" xr:uid="{15F4E093-C278-4679-9666-207311A89D3D}"/>
    <cellStyle name="Note 3 3 2 2 2 3" xfId="11687" xr:uid="{2F151FB3-8B3B-4EB4-BB91-0C31FF03DF68}"/>
    <cellStyle name="Note 3 3 2 2 3" xfId="5331" xr:uid="{00000000-0005-0000-0000-0000AB210000}"/>
    <cellStyle name="Note 3 3 2 2 3 2" xfId="13760" xr:uid="{33B168AF-A852-4879-A3BC-120D6BD1D485}"/>
    <cellStyle name="Note 3 3 2 2 4" xfId="9542" xr:uid="{3000B7FF-07CD-477F-B1AD-9755120615A0}"/>
    <cellStyle name="Note 3 3 2 3" xfId="1435" xr:uid="{00000000-0005-0000-0000-0000AC210000}"/>
    <cellStyle name="Note 3 3 2 3 2" xfId="3665" xr:uid="{00000000-0005-0000-0000-0000AD210000}"/>
    <cellStyle name="Note 3 3 2 3 2 2" xfId="7889" xr:uid="{00000000-0005-0000-0000-0000AE210000}"/>
    <cellStyle name="Note 3 3 2 3 2 2 2" xfId="16318" xr:uid="{15F17B19-EAB5-4ED2-894A-3DF7736C7522}"/>
    <cellStyle name="Note 3 3 2 3 2 3" xfId="12100" xr:uid="{0712B46A-4574-4768-9956-332695489933}"/>
    <cellStyle name="Note 3 3 2 3 3" xfId="5744" xr:uid="{00000000-0005-0000-0000-0000AF210000}"/>
    <cellStyle name="Note 3 3 2 3 3 2" xfId="14173" xr:uid="{4343C222-9CE3-4DF5-A07B-F12CA859A93A}"/>
    <cellStyle name="Note 3 3 2 3 4" xfId="9955" xr:uid="{B3E72D8B-A06F-4351-8F2F-2632DA7B7ABE}"/>
    <cellStyle name="Note 3 3 2 4" xfId="1849" xr:uid="{00000000-0005-0000-0000-0000B0210000}"/>
    <cellStyle name="Note 3 3 2 4 2" xfId="4078" xr:uid="{00000000-0005-0000-0000-0000B1210000}"/>
    <cellStyle name="Note 3 3 2 4 2 2" xfId="8302" xr:uid="{00000000-0005-0000-0000-0000B2210000}"/>
    <cellStyle name="Note 3 3 2 4 2 2 2" xfId="16731" xr:uid="{B619F42B-BF11-4563-8B5D-C7AAB2132B84}"/>
    <cellStyle name="Note 3 3 2 4 2 3" xfId="12513" xr:uid="{8917ADA0-68B3-4CC2-8ED2-365DD20114AC}"/>
    <cellStyle name="Note 3 3 2 4 3" xfId="6157" xr:uid="{00000000-0005-0000-0000-0000B3210000}"/>
    <cellStyle name="Note 3 3 2 4 3 2" xfId="14586" xr:uid="{00063C91-35A2-42CB-AA56-3A2566F22694}"/>
    <cellStyle name="Note 3 3 2 4 4" xfId="10368" xr:uid="{BA4D268A-E82B-409E-867C-BEBD4A8E59FF}"/>
    <cellStyle name="Note 3 3 2 5" xfId="2262" xr:uid="{00000000-0005-0000-0000-0000B4210000}"/>
    <cellStyle name="Note 3 3 2 5 2" xfId="4491" xr:uid="{00000000-0005-0000-0000-0000B5210000}"/>
    <cellStyle name="Note 3 3 2 5 2 2" xfId="8715" xr:uid="{00000000-0005-0000-0000-0000B6210000}"/>
    <cellStyle name="Note 3 3 2 5 2 2 2" xfId="17144" xr:uid="{8679EF0C-BB46-49B2-A48C-E828034EED94}"/>
    <cellStyle name="Note 3 3 2 5 2 3" xfId="12926" xr:uid="{2BCAE77B-AB7B-4ED7-8B7F-C713F2AEC3A5}"/>
    <cellStyle name="Note 3 3 2 5 3" xfId="6570" xr:uid="{00000000-0005-0000-0000-0000B7210000}"/>
    <cellStyle name="Note 3 3 2 5 3 2" xfId="14999" xr:uid="{CC7BD65B-C4F3-45C0-A5BA-5D05A2997333}"/>
    <cellStyle name="Note 3 3 2 5 4" xfId="10781" xr:uid="{D3B75624-CE74-4851-BAAF-416D131F3FAD}"/>
    <cellStyle name="Note 3 3 2 6" xfId="2698" xr:uid="{00000000-0005-0000-0000-0000B8210000}"/>
    <cellStyle name="Note 3 3 2 6 2" xfId="6983" xr:uid="{00000000-0005-0000-0000-0000B9210000}"/>
    <cellStyle name="Note 3 3 2 6 2 2" xfId="15412" xr:uid="{DC5AA400-058D-4618-9A30-38CE00074F31}"/>
    <cellStyle name="Note 3 3 2 6 3" xfId="11194" xr:uid="{41D9239B-391B-4EBB-8C4D-B630014B659F}"/>
    <cellStyle name="Note 3 3 2 7" xfId="2757" xr:uid="{00000000-0005-0000-0000-0000BA210000}"/>
    <cellStyle name="Note 3 3 2 8" xfId="2838" xr:uid="{00000000-0005-0000-0000-0000BB210000}"/>
    <cellStyle name="Note 3 3 2 8 2" xfId="7063" xr:uid="{00000000-0005-0000-0000-0000BC210000}"/>
    <cellStyle name="Note 3 3 2 8 2 2" xfId="15492" xr:uid="{2B301C90-1CAD-4365-8060-8F8C4BAB9FE3}"/>
    <cellStyle name="Note 3 3 2 8 3" xfId="11274" xr:uid="{322575AD-2CAC-4B26-A9D7-D9A777E130E1}"/>
    <cellStyle name="Note 3 3 2 9" xfId="4918" xr:uid="{00000000-0005-0000-0000-0000BD210000}"/>
    <cellStyle name="Note 3 3 2 9 2" xfId="13347" xr:uid="{949307BB-9928-40E6-8C13-4F6EC0B0DA3C}"/>
    <cellStyle name="Note 3 3 3" xfId="1019" xr:uid="{00000000-0005-0000-0000-0000BE210000}"/>
    <cellStyle name="Note 3 3 3 2" xfId="3251" xr:uid="{00000000-0005-0000-0000-0000BF210000}"/>
    <cellStyle name="Note 3 3 3 2 2" xfId="7475" xr:uid="{00000000-0005-0000-0000-0000C0210000}"/>
    <cellStyle name="Note 3 3 3 2 2 2" xfId="15904" xr:uid="{8A7A6EDB-D292-49A3-9D09-CEFF97CD1CC7}"/>
    <cellStyle name="Note 3 3 3 2 3" xfId="11686" xr:uid="{333EE99A-F8B6-4648-B8C4-BC38AD55BCD9}"/>
    <cellStyle name="Note 3 3 3 3" xfId="5330" xr:uid="{00000000-0005-0000-0000-0000C1210000}"/>
    <cellStyle name="Note 3 3 3 3 2" xfId="13759" xr:uid="{90B56A81-3278-4D15-B2F4-53118AA21434}"/>
    <cellStyle name="Note 3 3 3 4" xfId="9541" xr:uid="{38CF8813-E6B5-4D63-BCF8-FC7819D94F7E}"/>
    <cellStyle name="Note 3 3 4" xfId="1434" xr:uid="{00000000-0005-0000-0000-0000C2210000}"/>
    <cellStyle name="Note 3 3 4 2" xfId="3664" xr:uid="{00000000-0005-0000-0000-0000C3210000}"/>
    <cellStyle name="Note 3 3 4 2 2" xfId="7888" xr:uid="{00000000-0005-0000-0000-0000C4210000}"/>
    <cellStyle name="Note 3 3 4 2 2 2" xfId="16317" xr:uid="{0870EC6C-3150-467E-8A82-367A0C529EC9}"/>
    <cellStyle name="Note 3 3 4 2 3" xfId="12099" xr:uid="{76B8DDE8-38F9-44B5-ABE5-6595B2BC3DFB}"/>
    <cellStyle name="Note 3 3 4 3" xfId="5743" xr:uid="{00000000-0005-0000-0000-0000C5210000}"/>
    <cellStyle name="Note 3 3 4 3 2" xfId="14172" xr:uid="{A1E121F7-484E-401B-A81D-0B84C7A49E6D}"/>
    <cellStyle name="Note 3 3 4 4" xfId="9954" xr:uid="{ED3C5272-6A0F-4529-A284-6B2165146862}"/>
    <cellStyle name="Note 3 3 5" xfId="1848" xr:uid="{00000000-0005-0000-0000-0000C6210000}"/>
    <cellStyle name="Note 3 3 5 2" xfId="4077" xr:uid="{00000000-0005-0000-0000-0000C7210000}"/>
    <cellStyle name="Note 3 3 5 2 2" xfId="8301" xr:uid="{00000000-0005-0000-0000-0000C8210000}"/>
    <cellStyle name="Note 3 3 5 2 2 2" xfId="16730" xr:uid="{8CAEDA06-E733-4CE5-BBA1-20DB5BC04679}"/>
    <cellStyle name="Note 3 3 5 2 3" xfId="12512" xr:uid="{29D6A940-5A69-4C7A-A902-210BA4100C33}"/>
    <cellStyle name="Note 3 3 5 3" xfId="6156" xr:uid="{00000000-0005-0000-0000-0000C9210000}"/>
    <cellStyle name="Note 3 3 5 3 2" xfId="14585" xr:uid="{573F6CAF-05C3-488C-81BA-26E7D9F87960}"/>
    <cellStyle name="Note 3 3 5 4" xfId="10367" xr:uid="{212689D1-9297-46B1-B234-35B8830324B9}"/>
    <cellStyle name="Note 3 3 6" xfId="2261" xr:uid="{00000000-0005-0000-0000-0000CA210000}"/>
    <cellStyle name="Note 3 3 6 2" xfId="4490" xr:uid="{00000000-0005-0000-0000-0000CB210000}"/>
    <cellStyle name="Note 3 3 6 2 2" xfId="8714" xr:uid="{00000000-0005-0000-0000-0000CC210000}"/>
    <cellStyle name="Note 3 3 6 2 2 2" xfId="17143" xr:uid="{C7FAFD81-7421-4ACB-9A25-F867B9DBA582}"/>
    <cellStyle name="Note 3 3 6 2 3" xfId="12925" xr:uid="{01A191E5-6CD0-4EFA-9B29-B1ADF25360C4}"/>
    <cellStyle name="Note 3 3 6 3" xfId="6569" xr:uid="{00000000-0005-0000-0000-0000CD210000}"/>
    <cellStyle name="Note 3 3 6 3 2" xfId="14998" xr:uid="{6B96EB2A-3B0C-4F83-AB9D-DA6F24C85650}"/>
    <cellStyle name="Note 3 3 6 4" xfId="10780" xr:uid="{D5A4355F-BFC5-4994-877D-201603E9188F}"/>
    <cellStyle name="Note 3 3 7" xfId="2697" xr:uid="{00000000-0005-0000-0000-0000CE210000}"/>
    <cellStyle name="Note 3 3 7 2" xfId="6982" xr:uid="{00000000-0005-0000-0000-0000CF210000}"/>
    <cellStyle name="Note 3 3 7 2 2" xfId="15411" xr:uid="{4380ED1D-203C-4431-9804-61CB1379E23B}"/>
    <cellStyle name="Note 3 3 7 3" xfId="11193" xr:uid="{CC2F9CC2-4C19-4BAB-8209-D3D87EE01948}"/>
    <cellStyle name="Note 3 3 8" xfId="2756" xr:uid="{00000000-0005-0000-0000-0000D0210000}"/>
    <cellStyle name="Note 3 3 9" xfId="2837" xr:uid="{00000000-0005-0000-0000-0000D1210000}"/>
    <cellStyle name="Note 3 3 9 2" xfId="7062" xr:uid="{00000000-0005-0000-0000-0000D2210000}"/>
    <cellStyle name="Note 3 3 9 2 2" xfId="15491" xr:uid="{4E97120B-3AA0-486C-AD45-BE462C1B70CB}"/>
    <cellStyle name="Note 3 3 9 3" xfId="11273" xr:uid="{561F0F78-150E-46CC-A707-E055B2108B2E}"/>
    <cellStyle name="Note 3 4" xfId="561" xr:uid="{00000000-0005-0000-0000-0000D3210000}"/>
    <cellStyle name="Note 3 4 10" xfId="9130" xr:uid="{36457BCE-FDCF-4E2B-B730-8D79DBFDD66B}"/>
    <cellStyle name="Note 3 4 2" xfId="1021" xr:uid="{00000000-0005-0000-0000-0000D4210000}"/>
    <cellStyle name="Note 3 4 2 2" xfId="3253" xr:uid="{00000000-0005-0000-0000-0000D5210000}"/>
    <cellStyle name="Note 3 4 2 2 2" xfId="7477" xr:uid="{00000000-0005-0000-0000-0000D6210000}"/>
    <cellStyle name="Note 3 4 2 2 2 2" xfId="15906" xr:uid="{E9896448-68B6-4CBB-80BA-908E666C2E5D}"/>
    <cellStyle name="Note 3 4 2 2 3" xfId="11688" xr:uid="{C0E368F4-EF35-4EA8-A11C-C29E6621716F}"/>
    <cellStyle name="Note 3 4 2 3" xfId="5332" xr:uid="{00000000-0005-0000-0000-0000D7210000}"/>
    <cellStyle name="Note 3 4 2 3 2" xfId="13761" xr:uid="{19CE79ED-F403-4D6C-8E76-1F2A7D0B0BE1}"/>
    <cellStyle name="Note 3 4 2 4" xfId="9543" xr:uid="{8EE6F59B-9C4C-4688-A67C-BF74CB9F5584}"/>
    <cellStyle name="Note 3 4 3" xfId="1436" xr:uid="{00000000-0005-0000-0000-0000D8210000}"/>
    <cellStyle name="Note 3 4 3 2" xfId="3666" xr:uid="{00000000-0005-0000-0000-0000D9210000}"/>
    <cellStyle name="Note 3 4 3 2 2" xfId="7890" xr:uid="{00000000-0005-0000-0000-0000DA210000}"/>
    <cellStyle name="Note 3 4 3 2 2 2" xfId="16319" xr:uid="{5FB7693F-6C05-464B-8CD5-559EF00F8781}"/>
    <cellStyle name="Note 3 4 3 2 3" xfId="12101" xr:uid="{8A22D0A4-F00E-4838-9C52-D0AFC83E5568}"/>
    <cellStyle name="Note 3 4 3 3" xfId="5745" xr:uid="{00000000-0005-0000-0000-0000DB210000}"/>
    <cellStyle name="Note 3 4 3 3 2" xfId="14174" xr:uid="{1DEA012D-7D9A-4DDB-B8F9-C64CFF8BCB9C}"/>
    <cellStyle name="Note 3 4 3 4" xfId="9956" xr:uid="{E340DEC6-33BE-4D99-AAB0-2C138CA89701}"/>
    <cellStyle name="Note 3 4 4" xfId="1850" xr:uid="{00000000-0005-0000-0000-0000DC210000}"/>
    <cellStyle name="Note 3 4 4 2" xfId="4079" xr:uid="{00000000-0005-0000-0000-0000DD210000}"/>
    <cellStyle name="Note 3 4 4 2 2" xfId="8303" xr:uid="{00000000-0005-0000-0000-0000DE210000}"/>
    <cellStyle name="Note 3 4 4 2 2 2" xfId="16732" xr:uid="{3C35134B-8172-4CC1-95E1-601AC472DC76}"/>
    <cellStyle name="Note 3 4 4 2 3" xfId="12514" xr:uid="{752E19FC-A091-42EE-8802-E31D7CD4CE9E}"/>
    <cellStyle name="Note 3 4 4 3" xfId="6158" xr:uid="{00000000-0005-0000-0000-0000DF210000}"/>
    <cellStyle name="Note 3 4 4 3 2" xfId="14587" xr:uid="{A493631C-0508-438A-999B-9286E735F5A1}"/>
    <cellStyle name="Note 3 4 4 4" xfId="10369" xr:uid="{668D9EED-345E-4F08-ACF8-55DF94622D91}"/>
    <cellStyle name="Note 3 4 5" xfId="2263" xr:uid="{00000000-0005-0000-0000-0000E0210000}"/>
    <cellStyle name="Note 3 4 5 2" xfId="4492" xr:uid="{00000000-0005-0000-0000-0000E1210000}"/>
    <cellStyle name="Note 3 4 5 2 2" xfId="8716" xr:uid="{00000000-0005-0000-0000-0000E2210000}"/>
    <cellStyle name="Note 3 4 5 2 2 2" xfId="17145" xr:uid="{4F467C25-3A31-4314-B41A-3D9257949A6D}"/>
    <cellStyle name="Note 3 4 5 2 3" xfId="12927" xr:uid="{C6C307E2-5F7D-4CC4-9773-B04555AE988C}"/>
    <cellStyle name="Note 3 4 5 3" xfId="6571" xr:uid="{00000000-0005-0000-0000-0000E3210000}"/>
    <cellStyle name="Note 3 4 5 3 2" xfId="15000" xr:uid="{1290E334-0AC5-462B-8FDD-B48B480CE02D}"/>
    <cellStyle name="Note 3 4 5 4" xfId="10782" xr:uid="{0A240F1F-1602-4705-B5F6-034EE7CBE657}"/>
    <cellStyle name="Note 3 4 6" xfId="2699" xr:uid="{00000000-0005-0000-0000-0000E4210000}"/>
    <cellStyle name="Note 3 4 6 2" xfId="6984" xr:uid="{00000000-0005-0000-0000-0000E5210000}"/>
    <cellStyle name="Note 3 4 6 2 2" xfId="15413" xr:uid="{3C851562-FE8B-44E5-8D95-51792D3B4BCE}"/>
    <cellStyle name="Note 3 4 6 3" xfId="11195" xr:uid="{6A556BFE-A849-466E-9B1B-B8D67C813781}"/>
    <cellStyle name="Note 3 4 7" xfId="2758" xr:uid="{00000000-0005-0000-0000-0000E6210000}"/>
    <cellStyle name="Note 3 4 8" xfId="2839" xr:uid="{00000000-0005-0000-0000-0000E7210000}"/>
    <cellStyle name="Note 3 4 8 2" xfId="7064" xr:uid="{00000000-0005-0000-0000-0000E8210000}"/>
    <cellStyle name="Note 3 4 8 2 2" xfId="15493" xr:uid="{33F66E62-9A3A-47FF-ACF1-A83F362C3A07}"/>
    <cellStyle name="Note 3 4 8 3" xfId="11275" xr:uid="{1A2E6E19-8D1D-4D37-88E4-ACF65287EFEA}"/>
    <cellStyle name="Note 3 4 9" xfId="4919" xr:uid="{00000000-0005-0000-0000-0000E9210000}"/>
    <cellStyle name="Note 3 4 9 2" xfId="13348" xr:uid="{158FCF08-AA27-46F6-BA3A-550D182969A2}"/>
    <cellStyle name="Note 3 5" xfId="562" xr:uid="{00000000-0005-0000-0000-0000EA210000}"/>
    <cellStyle name="Note 3 5 10" xfId="9131" xr:uid="{2CE532DC-0D93-4701-845E-94D84A1E5917}"/>
    <cellStyle name="Note 3 5 2" xfId="1022" xr:uid="{00000000-0005-0000-0000-0000EB210000}"/>
    <cellStyle name="Note 3 5 2 2" xfId="3254" xr:uid="{00000000-0005-0000-0000-0000EC210000}"/>
    <cellStyle name="Note 3 5 2 2 2" xfId="7478" xr:uid="{00000000-0005-0000-0000-0000ED210000}"/>
    <cellStyle name="Note 3 5 2 2 2 2" xfId="15907" xr:uid="{A95EDCF6-E29C-4E4D-995D-7F8B931F1A1B}"/>
    <cellStyle name="Note 3 5 2 2 3" xfId="11689" xr:uid="{3225C0A4-20E8-41A7-80B5-F1C10807844B}"/>
    <cellStyle name="Note 3 5 2 3" xfId="5333" xr:uid="{00000000-0005-0000-0000-0000EE210000}"/>
    <cellStyle name="Note 3 5 2 3 2" xfId="13762" xr:uid="{1BF49E1F-873B-415B-960A-FB0FCEEE5041}"/>
    <cellStyle name="Note 3 5 2 4" xfId="9544" xr:uid="{7C4B9E10-0070-4C43-B0E5-4CD082F0B351}"/>
    <cellStyle name="Note 3 5 3" xfId="1437" xr:uid="{00000000-0005-0000-0000-0000EF210000}"/>
    <cellStyle name="Note 3 5 3 2" xfId="3667" xr:uid="{00000000-0005-0000-0000-0000F0210000}"/>
    <cellStyle name="Note 3 5 3 2 2" xfId="7891" xr:uid="{00000000-0005-0000-0000-0000F1210000}"/>
    <cellStyle name="Note 3 5 3 2 2 2" xfId="16320" xr:uid="{D1CD7853-DF7E-495B-8433-11F2FFC2226C}"/>
    <cellStyle name="Note 3 5 3 2 3" xfId="12102" xr:uid="{F2A04E65-93EC-4D3B-83A7-0C9AAFE05C2D}"/>
    <cellStyle name="Note 3 5 3 3" xfId="5746" xr:uid="{00000000-0005-0000-0000-0000F2210000}"/>
    <cellStyle name="Note 3 5 3 3 2" xfId="14175" xr:uid="{3BBDE817-F872-4DAC-AA6D-BF087BD896B5}"/>
    <cellStyle name="Note 3 5 3 4" xfId="9957" xr:uid="{274397E4-9F5C-473C-A7AD-63B08746E818}"/>
    <cellStyle name="Note 3 5 4" xfId="1851" xr:uid="{00000000-0005-0000-0000-0000F3210000}"/>
    <cellStyle name="Note 3 5 4 2" xfId="4080" xr:uid="{00000000-0005-0000-0000-0000F4210000}"/>
    <cellStyle name="Note 3 5 4 2 2" xfId="8304" xr:uid="{00000000-0005-0000-0000-0000F5210000}"/>
    <cellStyle name="Note 3 5 4 2 2 2" xfId="16733" xr:uid="{492E051D-89B8-44C9-8309-5B7334F442AA}"/>
    <cellStyle name="Note 3 5 4 2 3" xfId="12515" xr:uid="{CACDB2DE-0D69-4C09-BBCE-6E38CBA064AE}"/>
    <cellStyle name="Note 3 5 4 3" xfId="6159" xr:uid="{00000000-0005-0000-0000-0000F6210000}"/>
    <cellStyle name="Note 3 5 4 3 2" xfId="14588" xr:uid="{5CA5B707-63E7-45CD-A18D-1FE1803E15C3}"/>
    <cellStyle name="Note 3 5 4 4" xfId="10370" xr:uid="{22E9EA33-FA6E-4234-AE23-7740C1B77CC5}"/>
    <cellStyle name="Note 3 5 5" xfId="2264" xr:uid="{00000000-0005-0000-0000-0000F7210000}"/>
    <cellStyle name="Note 3 5 5 2" xfId="4493" xr:uid="{00000000-0005-0000-0000-0000F8210000}"/>
    <cellStyle name="Note 3 5 5 2 2" xfId="8717" xr:uid="{00000000-0005-0000-0000-0000F9210000}"/>
    <cellStyle name="Note 3 5 5 2 2 2" xfId="17146" xr:uid="{1CEFFC73-EE17-43CC-9882-14FC13AF5AB7}"/>
    <cellStyle name="Note 3 5 5 2 3" xfId="12928" xr:uid="{E685408C-D10B-45B9-9F8F-5B98CE92EF83}"/>
    <cellStyle name="Note 3 5 5 3" xfId="6572" xr:uid="{00000000-0005-0000-0000-0000FA210000}"/>
    <cellStyle name="Note 3 5 5 3 2" xfId="15001" xr:uid="{4B506D3F-F999-4FDC-B7D0-51873BA440C5}"/>
    <cellStyle name="Note 3 5 5 4" xfId="10783" xr:uid="{510441DA-6487-48E9-868F-4AC36B0339DB}"/>
    <cellStyle name="Note 3 5 6" xfId="2700" xr:uid="{00000000-0005-0000-0000-0000FB210000}"/>
    <cellStyle name="Note 3 5 6 2" xfId="6985" xr:uid="{00000000-0005-0000-0000-0000FC210000}"/>
    <cellStyle name="Note 3 5 6 2 2" xfId="15414" xr:uid="{3F49728C-EC39-481F-AC60-61CD558D8B62}"/>
    <cellStyle name="Note 3 5 6 3" xfId="11196" xr:uid="{A86B50EB-D52D-4F89-B7BD-84C175B665E0}"/>
    <cellStyle name="Note 3 5 7" xfId="2759" xr:uid="{00000000-0005-0000-0000-0000FD210000}"/>
    <cellStyle name="Note 3 5 8" xfId="2840" xr:uid="{00000000-0005-0000-0000-0000FE210000}"/>
    <cellStyle name="Note 3 5 8 2" xfId="7065" xr:uid="{00000000-0005-0000-0000-0000FF210000}"/>
    <cellStyle name="Note 3 5 8 2 2" xfId="15494" xr:uid="{26EDC960-4A51-4606-AFB0-9F731940D384}"/>
    <cellStyle name="Note 3 5 8 3" xfId="11276" xr:uid="{998AA82C-95C0-4DA6-8B13-CCF1CC68D350}"/>
    <cellStyle name="Note 3 5 9" xfId="4920" xr:uid="{00000000-0005-0000-0000-000000220000}"/>
    <cellStyle name="Note 3 5 9 2" xfId="13349" xr:uid="{82DA0974-BEBF-4A00-BBD8-C0AA0F7C84AC}"/>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3 2" xfId="12932" xr:uid="{5C484EC2-C284-4EA7-8D36-F2A15E7C9CC0}"/>
    <cellStyle name="Percent 4" xfId="4503" xr:uid="{00000000-0005-0000-0000-000006220000}"/>
    <cellStyle name="Percent 4 2" xfId="12935" xr:uid="{25A4BCD5-A715-47F5-B411-467FE8E83125}"/>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152179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cdaps-my.sharepoint.com/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cdaps-my.sharepoint.com/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cdaps-my.sharepoint.com/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cdaps-my.sharepoint.com/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cdaps-my.sharepoint.com/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cdaps-my.sharepoint.com/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95" t="s">
        <v>582</v>
      </c>
      <c r="B1" s="1895"/>
      <c r="C1" s="1895"/>
      <c r="D1" s="1895"/>
      <c r="E1" s="1895"/>
      <c r="F1" s="1895"/>
      <c r="G1" s="1895"/>
      <c r="H1" s="1895"/>
      <c r="I1" s="1895"/>
      <c r="J1" s="1895"/>
      <c r="K1" s="1895"/>
      <c r="L1" s="1895"/>
      <c r="M1" s="1895"/>
      <c r="N1" s="1895"/>
      <c r="O1" s="1895"/>
      <c r="P1" s="1895"/>
      <c r="Q1" s="1895"/>
      <c r="R1" s="1895"/>
      <c r="S1" s="1895"/>
      <c r="T1" s="1895"/>
      <c r="U1" s="1895"/>
      <c r="V1" s="1895"/>
      <c r="W1" s="1895"/>
      <c r="X1" s="1895"/>
      <c r="Y1" s="1895"/>
      <c r="Z1" s="1895"/>
      <c r="AA1" s="1895"/>
      <c r="AB1" s="1895"/>
      <c r="AC1" s="1895"/>
      <c r="AD1" s="1895"/>
      <c r="AE1" s="1895"/>
      <c r="AF1" s="1895"/>
      <c r="AG1" s="1895"/>
      <c r="AH1" s="1895"/>
      <c r="AI1" s="1895"/>
      <c r="AJ1" s="1895"/>
      <c r="AK1" s="1895"/>
      <c r="AL1" s="1895"/>
    </row>
    <row r="2" spans="1:38" ht="13.5" thickBot="1">
      <c r="A2" s="1896"/>
      <c r="B2" s="1896"/>
      <c r="C2" s="1896"/>
      <c r="D2" s="1896"/>
      <c r="E2" s="1896"/>
      <c r="F2" s="1896"/>
      <c r="G2" s="1896"/>
      <c r="H2" s="1896"/>
      <c r="I2" s="1896"/>
      <c r="J2" s="1896"/>
      <c r="K2" s="1896"/>
      <c r="L2" s="1896"/>
      <c r="M2" s="1896"/>
      <c r="N2" s="1896"/>
      <c r="O2" s="1896"/>
      <c r="P2" s="1896"/>
      <c r="Q2" s="1896"/>
      <c r="R2" s="1896"/>
      <c r="S2" s="1896"/>
      <c r="T2" s="1896"/>
      <c r="U2" s="1896"/>
      <c r="V2" s="1896"/>
      <c r="W2" s="1896"/>
      <c r="X2" s="1896"/>
      <c r="Y2" s="1896"/>
      <c r="Z2" s="1896"/>
      <c r="AA2" s="1896"/>
      <c r="AB2" s="1896"/>
      <c r="AC2" s="1896"/>
      <c r="AD2" s="1896"/>
      <c r="AE2" s="1896"/>
      <c r="AF2" s="1896"/>
      <c r="AG2" s="1896"/>
      <c r="AH2" s="1896"/>
      <c r="AI2" s="1896"/>
      <c r="AJ2" s="1896"/>
      <c r="AK2" s="1896"/>
      <c r="AL2" s="1896"/>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97" t="s">
        <v>1389</v>
      </c>
      <c r="E7" s="1897"/>
      <c r="F7" s="1897"/>
      <c r="G7" s="1897"/>
      <c r="H7" s="1897"/>
      <c r="I7" s="1897"/>
      <c r="J7" s="1897"/>
      <c r="K7" s="1897"/>
      <c r="L7" s="1897"/>
      <c r="M7" s="1897"/>
      <c r="N7" s="1897"/>
      <c r="O7" s="1897"/>
      <c r="P7" s="1897"/>
      <c r="Q7" s="1897"/>
      <c r="R7" s="1897"/>
      <c r="S7" s="1897"/>
      <c r="T7" s="1897"/>
      <c r="U7" s="1897"/>
      <c r="V7" s="1897"/>
      <c r="W7" s="1897"/>
      <c r="X7" s="1897"/>
      <c r="Y7" s="1897"/>
      <c r="Z7" s="1897"/>
      <c r="AA7" s="1897"/>
      <c r="AB7" s="1897"/>
      <c r="AC7" s="1897"/>
      <c r="AD7" s="1897"/>
      <c r="AE7" s="1897"/>
      <c r="AF7" s="1897"/>
      <c r="AG7" s="1897"/>
      <c r="AH7" s="1897"/>
      <c r="AI7" s="1897"/>
      <c r="AJ7" s="1897"/>
      <c r="AK7" s="1897"/>
      <c r="AL7" s="746"/>
    </row>
    <row r="8" spans="1:38">
      <c r="A8" s="327"/>
      <c r="B8" s="325"/>
      <c r="C8" s="326"/>
      <c r="D8" s="1897"/>
      <c r="E8" s="1897"/>
      <c r="F8" s="1897"/>
      <c r="G8" s="1897"/>
      <c r="H8" s="1897"/>
      <c r="I8" s="1897"/>
      <c r="J8" s="1897"/>
      <c r="K8" s="1897"/>
      <c r="L8" s="1897"/>
      <c r="M8" s="1897"/>
      <c r="N8" s="1897"/>
      <c r="O8" s="1897"/>
      <c r="P8" s="1897"/>
      <c r="Q8" s="1897"/>
      <c r="R8" s="1897"/>
      <c r="S8" s="1897"/>
      <c r="T8" s="1897"/>
      <c r="U8" s="1897"/>
      <c r="V8" s="1897"/>
      <c r="W8" s="1897"/>
      <c r="X8" s="1897"/>
      <c r="Y8" s="1897"/>
      <c r="Z8" s="1897"/>
      <c r="AA8" s="1897"/>
      <c r="AB8" s="1897"/>
      <c r="AC8" s="1897"/>
      <c r="AD8" s="1897"/>
      <c r="AE8" s="1897"/>
      <c r="AF8" s="1897"/>
      <c r="AG8" s="1897"/>
      <c r="AH8" s="1897"/>
      <c r="AI8" s="1897"/>
      <c r="AJ8" s="1897"/>
      <c r="AK8" s="1897"/>
      <c r="AL8" s="746"/>
    </row>
    <row r="9" spans="1:38">
      <c r="A9" s="327"/>
      <c r="B9" s="325"/>
      <c r="C9" s="326"/>
      <c r="D9" s="1897"/>
      <c r="E9" s="1897"/>
      <c r="F9" s="1897"/>
      <c r="G9" s="1897"/>
      <c r="H9" s="1897"/>
      <c r="I9" s="1897"/>
      <c r="J9" s="1897"/>
      <c r="K9" s="1897"/>
      <c r="L9" s="1897"/>
      <c r="M9" s="1897"/>
      <c r="N9" s="1897"/>
      <c r="O9" s="1897"/>
      <c r="P9" s="1897"/>
      <c r="Q9" s="1897"/>
      <c r="R9" s="1897"/>
      <c r="S9" s="1897"/>
      <c r="T9" s="1897"/>
      <c r="U9" s="1897"/>
      <c r="V9" s="1897"/>
      <c r="W9" s="1897"/>
      <c r="X9" s="1897"/>
      <c r="Y9" s="1897"/>
      <c r="Z9" s="1897"/>
      <c r="AA9" s="1897"/>
      <c r="AB9" s="1897"/>
      <c r="AC9" s="1897"/>
      <c r="AD9" s="1897"/>
      <c r="AE9" s="1897"/>
      <c r="AF9" s="1897"/>
      <c r="AG9" s="1897"/>
      <c r="AH9" s="1897"/>
      <c r="AI9" s="1897"/>
      <c r="AJ9" s="1897"/>
      <c r="AK9" s="1897"/>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97" t="s">
        <v>1393</v>
      </c>
      <c r="E11" s="1897"/>
      <c r="F11" s="1897"/>
      <c r="G11" s="1897"/>
      <c r="H11" s="1897"/>
      <c r="I11" s="1897"/>
      <c r="J11" s="1897"/>
      <c r="K11" s="1897"/>
      <c r="L11" s="1897"/>
      <c r="M11" s="1897"/>
      <c r="N11" s="1897"/>
      <c r="O11" s="1897"/>
      <c r="P11" s="1897"/>
      <c r="Q11" s="1897"/>
      <c r="R11" s="1897"/>
      <c r="S11" s="1897"/>
      <c r="T11" s="1897"/>
      <c r="U11" s="1897"/>
      <c r="V11" s="1897"/>
      <c r="W11" s="1897"/>
      <c r="X11" s="1897"/>
      <c r="Y11" s="1897"/>
      <c r="Z11" s="1897"/>
      <c r="AA11" s="1897"/>
      <c r="AB11" s="1897"/>
      <c r="AC11" s="1897"/>
      <c r="AD11" s="1897"/>
      <c r="AE11" s="1897"/>
      <c r="AF11" s="1897"/>
      <c r="AG11" s="1897"/>
      <c r="AH11" s="1897"/>
      <c r="AI11" s="1897"/>
      <c r="AJ11" s="1897"/>
      <c r="AK11" s="1897"/>
      <c r="AL11" s="746"/>
    </row>
    <row r="12" spans="1:38">
      <c r="A12" s="327"/>
      <c r="B12" s="325"/>
      <c r="C12" s="326"/>
      <c r="D12" s="1897"/>
      <c r="E12" s="1897"/>
      <c r="F12" s="1897"/>
      <c r="G12" s="1897"/>
      <c r="H12" s="1897"/>
      <c r="I12" s="1897"/>
      <c r="J12" s="1897"/>
      <c r="K12" s="1897"/>
      <c r="L12" s="1897"/>
      <c r="M12" s="1897"/>
      <c r="N12" s="1897"/>
      <c r="O12" s="1897"/>
      <c r="P12" s="1897"/>
      <c r="Q12" s="1897"/>
      <c r="R12" s="1897"/>
      <c r="S12" s="1897"/>
      <c r="T12" s="1897"/>
      <c r="U12" s="1897"/>
      <c r="V12" s="1897"/>
      <c r="W12" s="1897"/>
      <c r="X12" s="1897"/>
      <c r="Y12" s="1897"/>
      <c r="Z12" s="1897"/>
      <c r="AA12" s="1897"/>
      <c r="AB12" s="1897"/>
      <c r="AC12" s="1897"/>
      <c r="AD12" s="1897"/>
      <c r="AE12" s="1897"/>
      <c r="AF12" s="1897"/>
      <c r="AG12" s="1897"/>
      <c r="AH12" s="1897"/>
      <c r="AI12" s="1897"/>
      <c r="AJ12" s="1897"/>
      <c r="AK12" s="1897"/>
      <c r="AL12" s="746"/>
    </row>
    <row r="13" spans="1:38" s="717" customFormat="1">
      <c r="A13" s="327"/>
      <c r="B13" s="325"/>
      <c r="C13" s="326"/>
      <c r="D13" s="1897"/>
      <c r="E13" s="1897"/>
      <c r="F13" s="1897"/>
      <c r="G13" s="1897"/>
      <c r="H13" s="1897"/>
      <c r="I13" s="1897"/>
      <c r="J13" s="1897"/>
      <c r="K13" s="1897"/>
      <c r="L13" s="1897"/>
      <c r="M13" s="1897"/>
      <c r="N13" s="1897"/>
      <c r="O13" s="1897"/>
      <c r="P13" s="1897"/>
      <c r="Q13" s="1897"/>
      <c r="R13" s="1897"/>
      <c r="S13" s="1897"/>
      <c r="T13" s="1897"/>
      <c r="U13" s="1897"/>
      <c r="V13" s="1897"/>
      <c r="W13" s="1897"/>
      <c r="X13" s="1897"/>
      <c r="Y13" s="1897"/>
      <c r="Z13" s="1897"/>
      <c r="AA13" s="1897"/>
      <c r="AB13" s="1897"/>
      <c r="AC13" s="1897"/>
      <c r="AD13" s="1897"/>
      <c r="AE13" s="1897"/>
      <c r="AF13" s="1897"/>
      <c r="AG13" s="1897"/>
      <c r="AH13" s="1897"/>
      <c r="AI13" s="1897"/>
      <c r="AJ13" s="1897"/>
      <c r="AK13" s="1897"/>
      <c r="AL13" s="746"/>
    </row>
    <row r="14" spans="1:38" s="717" customFormat="1" ht="13.15" customHeight="1">
      <c r="A14" s="327"/>
      <c r="B14" s="325"/>
      <c r="C14" s="326"/>
      <c r="E14" s="1899" t="s">
        <v>2169</v>
      </c>
      <c r="F14" s="1899"/>
      <c r="G14" s="1899"/>
      <c r="H14" s="1899"/>
      <c r="I14" s="1899"/>
      <c r="J14" s="1899"/>
      <c r="K14" s="1899"/>
      <c r="L14" s="1899"/>
      <c r="M14" s="1899"/>
      <c r="N14" s="1899"/>
      <c r="O14" s="1899"/>
      <c r="P14" s="1899"/>
      <c r="Q14" s="1899"/>
      <c r="R14" s="1899"/>
      <c r="S14" s="1899"/>
      <c r="T14" s="1899"/>
      <c r="U14" s="1899"/>
      <c r="V14" s="1899"/>
      <c r="W14" s="1899"/>
      <c r="X14" s="1899"/>
      <c r="Y14" s="1899"/>
      <c r="Z14" s="1899"/>
      <c r="AA14" s="1899"/>
      <c r="AB14" s="1899"/>
      <c r="AC14" s="1899"/>
      <c r="AD14" s="1899"/>
      <c r="AE14" s="1899"/>
      <c r="AF14" s="1899"/>
      <c r="AG14" s="1899"/>
      <c r="AH14" s="1899"/>
      <c r="AI14" s="1899"/>
      <c r="AJ14" s="1899"/>
      <c r="AK14" s="1899"/>
      <c r="AL14" s="746"/>
    </row>
    <row r="15" spans="1:38" s="717" customFormat="1" ht="13.15" customHeight="1">
      <c r="A15" s="327"/>
      <c r="B15" s="325"/>
      <c r="C15" s="326"/>
      <c r="E15" s="1899"/>
      <c r="F15" s="1899"/>
      <c r="G15" s="1899"/>
      <c r="H15" s="1899"/>
      <c r="I15" s="1899"/>
      <c r="J15" s="1899"/>
      <c r="K15" s="1899"/>
      <c r="L15" s="1899"/>
      <c r="M15" s="1899"/>
      <c r="N15" s="1899"/>
      <c r="O15" s="1899"/>
      <c r="P15" s="1899"/>
      <c r="Q15" s="1899"/>
      <c r="R15" s="1899"/>
      <c r="S15" s="1899"/>
      <c r="T15" s="1899"/>
      <c r="U15" s="1899"/>
      <c r="V15" s="1899"/>
      <c r="W15" s="1899"/>
      <c r="X15" s="1899"/>
      <c r="Y15" s="1899"/>
      <c r="Z15" s="1899"/>
      <c r="AA15" s="1899"/>
      <c r="AB15" s="1899"/>
      <c r="AC15" s="1899"/>
      <c r="AD15" s="1899"/>
      <c r="AE15" s="1899"/>
      <c r="AF15" s="1899"/>
      <c r="AG15" s="1899"/>
      <c r="AH15" s="1899"/>
      <c r="AI15" s="1899"/>
      <c r="AJ15" s="1899"/>
      <c r="AK15" s="1899"/>
      <c r="AL15" s="746"/>
    </row>
    <row r="16" spans="1:38" s="717" customFormat="1">
      <c r="A16" s="327"/>
      <c r="B16" s="325"/>
      <c r="C16" s="326"/>
      <c r="D16" s="746"/>
      <c r="E16" s="1899"/>
      <c r="F16" s="1899"/>
      <c r="G16" s="1899"/>
      <c r="H16" s="1899"/>
      <c r="I16" s="1899"/>
      <c r="J16" s="1899"/>
      <c r="K16" s="1899"/>
      <c r="L16" s="1899"/>
      <c r="M16" s="1899"/>
      <c r="N16" s="1899"/>
      <c r="O16" s="1899"/>
      <c r="P16" s="1899"/>
      <c r="Q16" s="1899"/>
      <c r="R16" s="1899"/>
      <c r="S16" s="1899"/>
      <c r="T16" s="1899"/>
      <c r="U16" s="1899"/>
      <c r="V16" s="1899"/>
      <c r="W16" s="1899"/>
      <c r="X16" s="1899"/>
      <c r="Y16" s="1899"/>
      <c r="Z16" s="1899"/>
      <c r="AA16" s="1899"/>
      <c r="AB16" s="1899"/>
      <c r="AC16" s="1899"/>
      <c r="AD16" s="1899"/>
      <c r="AE16" s="1899"/>
      <c r="AF16" s="1899"/>
      <c r="AG16" s="1899"/>
      <c r="AH16" s="1899"/>
      <c r="AI16" s="1899"/>
      <c r="AJ16" s="1899"/>
      <c r="AK16" s="1899"/>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99" t="s">
        <v>1521</v>
      </c>
      <c r="E18" s="1899"/>
      <c r="F18" s="1899"/>
      <c r="G18" s="1899"/>
      <c r="H18" s="1899"/>
      <c r="I18" s="1899"/>
      <c r="J18" s="1899"/>
      <c r="K18" s="1899"/>
      <c r="L18" s="1899"/>
      <c r="M18" s="1899"/>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899"/>
      <c r="AK18" s="1899"/>
      <c r="AL18" s="325"/>
    </row>
    <row r="19" spans="1:38">
      <c r="A19" s="327"/>
      <c r="B19" s="325"/>
      <c r="C19" s="326"/>
      <c r="D19" s="1899"/>
      <c r="E19" s="1899"/>
      <c r="F19" s="1899"/>
      <c r="G19" s="1899"/>
      <c r="H19" s="1899"/>
      <c r="I19" s="1899"/>
      <c r="J19" s="1899"/>
      <c r="K19" s="1899"/>
      <c r="L19" s="1899"/>
      <c r="M19" s="1899"/>
      <c r="N19" s="1899"/>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1899"/>
      <c r="AK19" s="1899"/>
      <c r="AL19" s="325"/>
    </row>
    <row r="20" spans="1:38" s="717" customFormat="1">
      <c r="A20" s="327"/>
      <c r="B20" s="325"/>
      <c r="C20" s="326"/>
      <c r="D20" s="1899"/>
      <c r="E20" s="1899"/>
      <c r="F20" s="1899"/>
      <c r="G20" s="1899"/>
      <c r="H20" s="1899"/>
      <c r="I20" s="1899"/>
      <c r="J20" s="1899"/>
      <c r="K20" s="1899"/>
      <c r="L20" s="1899"/>
      <c r="M20" s="1899"/>
      <c r="N20" s="1899"/>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1899"/>
      <c r="AK20" s="1899"/>
      <c r="AL20" s="325"/>
    </row>
    <row r="21" spans="1:38" s="717" customFormat="1" ht="13.15" customHeight="1">
      <c r="A21" s="327"/>
      <c r="B21" s="325"/>
      <c r="C21" s="326"/>
      <c r="D21" s="1899"/>
      <c r="E21" s="1899"/>
      <c r="F21" s="1899"/>
      <c r="G21" s="1899"/>
      <c r="H21" s="1899"/>
      <c r="I21" s="1899"/>
      <c r="J21" s="1899"/>
      <c r="K21" s="1899"/>
      <c r="L21" s="1899"/>
      <c r="M21" s="1899"/>
      <c r="N21" s="1899"/>
      <c r="O21" s="1899"/>
      <c r="P21" s="1899"/>
      <c r="Q21" s="1899"/>
      <c r="R21" s="1899"/>
      <c r="S21" s="1899"/>
      <c r="T21" s="1899"/>
      <c r="U21" s="1899"/>
      <c r="V21" s="1899"/>
      <c r="W21" s="1899"/>
      <c r="X21" s="1899"/>
      <c r="Y21" s="1899"/>
      <c r="Z21" s="1899"/>
      <c r="AA21" s="1899"/>
      <c r="AB21" s="1899"/>
      <c r="AC21" s="1899"/>
      <c r="AD21" s="1899"/>
      <c r="AE21" s="1899"/>
      <c r="AF21" s="1899"/>
      <c r="AG21" s="1899"/>
      <c r="AH21" s="1899"/>
      <c r="AI21" s="1899"/>
      <c r="AJ21" s="1899"/>
      <c r="AK21" s="1899"/>
      <c r="AL21" s="325"/>
    </row>
    <row r="22" spans="1:38" s="717" customFormat="1">
      <c r="A22" s="327"/>
      <c r="B22" s="325"/>
      <c r="C22" s="326"/>
      <c r="D22" s="1899"/>
      <c r="E22" s="1899"/>
      <c r="F22" s="1899"/>
      <c r="G22" s="1899"/>
      <c r="H22" s="1899"/>
      <c r="I22" s="1899"/>
      <c r="J22" s="1899"/>
      <c r="K22" s="1899"/>
      <c r="L22" s="1899"/>
      <c r="M22" s="1899"/>
      <c r="N22" s="1899"/>
      <c r="O22" s="1899"/>
      <c r="P22" s="1899"/>
      <c r="Q22" s="1899"/>
      <c r="R22" s="1899"/>
      <c r="S22" s="1899"/>
      <c r="T22" s="1899"/>
      <c r="U22" s="1899"/>
      <c r="V22" s="1899"/>
      <c r="W22" s="1899"/>
      <c r="X22" s="1899"/>
      <c r="Y22" s="1899"/>
      <c r="Z22" s="1899"/>
      <c r="AA22" s="1899"/>
      <c r="AB22" s="1899"/>
      <c r="AC22" s="1899"/>
      <c r="AD22" s="1899"/>
      <c r="AE22" s="1899"/>
      <c r="AF22" s="1899"/>
      <c r="AG22" s="1899"/>
      <c r="AH22" s="1899"/>
      <c r="AI22" s="1899"/>
      <c r="AJ22" s="1899"/>
      <c r="AK22" s="1899"/>
      <c r="AL22" s="325"/>
    </row>
    <row r="23" spans="1:38" s="717" customFormat="1">
      <c r="A23" s="327"/>
      <c r="B23" s="325"/>
      <c r="C23" s="326"/>
      <c r="D23" s="1899"/>
      <c r="E23" s="1899"/>
      <c r="F23" s="1899"/>
      <c r="G23" s="1899"/>
      <c r="H23" s="1899"/>
      <c r="I23" s="1899"/>
      <c r="J23" s="1899"/>
      <c r="K23" s="1899"/>
      <c r="L23" s="1899"/>
      <c r="M23" s="1899"/>
      <c r="N23" s="1899"/>
      <c r="O23" s="1899"/>
      <c r="P23" s="1899"/>
      <c r="Q23" s="1899"/>
      <c r="R23" s="1899"/>
      <c r="S23" s="1899"/>
      <c r="T23" s="1899"/>
      <c r="U23" s="1899"/>
      <c r="V23" s="1899"/>
      <c r="W23" s="1899"/>
      <c r="X23" s="1899"/>
      <c r="Y23" s="1899"/>
      <c r="Z23" s="1899"/>
      <c r="AA23" s="1899"/>
      <c r="AB23" s="1899"/>
      <c r="AC23" s="1899"/>
      <c r="AD23" s="1899"/>
      <c r="AE23" s="1899"/>
      <c r="AF23" s="1899"/>
      <c r="AG23" s="1899"/>
      <c r="AH23" s="1899"/>
      <c r="AI23" s="1899"/>
      <c r="AJ23" s="1899"/>
      <c r="AK23" s="1899"/>
      <c r="AL23" s="325"/>
    </row>
    <row r="24" spans="1:38">
      <c r="A24" s="327"/>
      <c r="B24" s="325"/>
      <c r="C24" s="326"/>
      <c r="D24" s="1899"/>
      <c r="E24" s="1899"/>
      <c r="F24" s="1899"/>
      <c r="G24" s="1899"/>
      <c r="H24" s="1899"/>
      <c r="I24" s="1899"/>
      <c r="J24" s="1899"/>
      <c r="K24" s="1899"/>
      <c r="L24" s="1899"/>
      <c r="M24" s="1899"/>
      <c r="N24" s="1899"/>
      <c r="O24" s="1899"/>
      <c r="P24" s="1899"/>
      <c r="Q24" s="1899"/>
      <c r="R24" s="1899"/>
      <c r="S24" s="1899"/>
      <c r="T24" s="1899"/>
      <c r="U24" s="1899"/>
      <c r="V24" s="1899"/>
      <c r="W24" s="1899"/>
      <c r="X24" s="1899"/>
      <c r="Y24" s="1899"/>
      <c r="Z24" s="1899"/>
      <c r="AA24" s="1899"/>
      <c r="AB24" s="1899"/>
      <c r="AC24" s="1899"/>
      <c r="AD24" s="1899"/>
      <c r="AE24" s="1899"/>
      <c r="AF24" s="1899"/>
      <c r="AG24" s="1899"/>
      <c r="AH24" s="1899"/>
      <c r="AI24" s="1899"/>
      <c r="AJ24" s="1899"/>
      <c r="AK24" s="1899"/>
      <c r="AL24" s="325"/>
    </row>
    <row r="25" spans="1:38" s="717" customFormat="1">
      <c r="A25" s="327"/>
      <c r="B25" s="325"/>
      <c r="C25" s="326"/>
      <c r="D25" s="1899"/>
      <c r="E25" s="1899"/>
      <c r="F25" s="1899"/>
      <c r="G25" s="1899"/>
      <c r="H25" s="1899"/>
      <c r="I25" s="1899"/>
      <c r="J25" s="1899"/>
      <c r="K25" s="1899"/>
      <c r="L25" s="1899"/>
      <c r="M25" s="1899"/>
      <c r="N25" s="1899"/>
      <c r="O25" s="1899"/>
      <c r="P25" s="1899"/>
      <c r="Q25" s="1899"/>
      <c r="R25" s="1899"/>
      <c r="S25" s="1899"/>
      <c r="T25" s="1899"/>
      <c r="U25" s="1899"/>
      <c r="V25" s="1899"/>
      <c r="W25" s="1899"/>
      <c r="X25" s="1899"/>
      <c r="Y25" s="1899"/>
      <c r="Z25" s="1899"/>
      <c r="AA25" s="1899"/>
      <c r="AB25" s="1899"/>
      <c r="AC25" s="1899"/>
      <c r="AD25" s="1899"/>
      <c r="AE25" s="1899"/>
      <c r="AF25" s="1899"/>
      <c r="AG25" s="1899"/>
      <c r="AH25" s="1899"/>
      <c r="AI25" s="1899"/>
      <c r="AJ25" s="1899"/>
      <c r="AK25" s="1899"/>
      <c r="AL25" s="325"/>
    </row>
    <row r="26" spans="1:38" s="717" customFormat="1">
      <c r="A26" s="327"/>
      <c r="B26" s="325"/>
      <c r="C26" s="326"/>
      <c r="D26" s="1899"/>
      <c r="E26" s="1899"/>
      <c r="F26" s="1899"/>
      <c r="G26" s="1899"/>
      <c r="H26" s="1899"/>
      <c r="I26" s="1899"/>
      <c r="J26" s="1899"/>
      <c r="K26" s="1899"/>
      <c r="L26" s="1899"/>
      <c r="M26" s="1899"/>
      <c r="N26" s="1899"/>
      <c r="O26" s="1899"/>
      <c r="P26" s="1899"/>
      <c r="Q26" s="1899"/>
      <c r="R26" s="1899"/>
      <c r="S26" s="1899"/>
      <c r="T26" s="1899"/>
      <c r="U26" s="1899"/>
      <c r="V26" s="1899"/>
      <c r="W26" s="1899"/>
      <c r="X26" s="1899"/>
      <c r="Y26" s="1899"/>
      <c r="Z26" s="1899"/>
      <c r="AA26" s="1899"/>
      <c r="AB26" s="1899"/>
      <c r="AC26" s="1899"/>
      <c r="AD26" s="1899"/>
      <c r="AE26" s="1899"/>
      <c r="AF26" s="1899"/>
      <c r="AG26" s="1899"/>
      <c r="AH26" s="1899"/>
      <c r="AI26" s="1899"/>
      <c r="AJ26" s="1899"/>
      <c r="AK26" s="1899"/>
      <c r="AL26" s="325"/>
    </row>
    <row r="27" spans="1:38" s="717" customFormat="1" ht="11.85" customHeight="1">
      <c r="A27" s="327"/>
      <c r="B27" s="325"/>
      <c r="C27" s="326"/>
      <c r="D27" s="1899"/>
      <c r="E27" s="1899"/>
      <c r="F27" s="1899"/>
      <c r="G27" s="1899"/>
      <c r="H27" s="1899"/>
      <c r="I27" s="1899"/>
      <c r="J27" s="1899"/>
      <c r="K27" s="1899"/>
      <c r="L27" s="1899"/>
      <c r="M27" s="1899"/>
      <c r="N27" s="1899"/>
      <c r="O27" s="1899"/>
      <c r="P27" s="1899"/>
      <c r="Q27" s="1899"/>
      <c r="R27" s="1899"/>
      <c r="S27" s="1899"/>
      <c r="T27" s="1899"/>
      <c r="U27" s="1899"/>
      <c r="V27" s="1899"/>
      <c r="W27" s="1899"/>
      <c r="X27" s="1899"/>
      <c r="Y27" s="1899"/>
      <c r="Z27" s="1899"/>
      <c r="AA27" s="1899"/>
      <c r="AB27" s="1899"/>
      <c r="AC27" s="1899"/>
      <c r="AD27" s="1899"/>
      <c r="AE27" s="1899"/>
      <c r="AF27" s="1899"/>
      <c r="AG27" s="1899"/>
      <c r="AH27" s="1899"/>
      <c r="AI27" s="1899"/>
      <c r="AJ27" s="1899"/>
      <c r="AK27" s="1899"/>
      <c r="AL27" s="325"/>
    </row>
    <row r="28" spans="1:38" s="717" customFormat="1" ht="13.15" customHeight="1">
      <c r="A28" s="327"/>
      <c r="B28" s="325"/>
      <c r="C28" s="326"/>
      <c r="E28" s="1899" t="s">
        <v>2170</v>
      </c>
      <c r="F28" s="1899"/>
      <c r="G28" s="1899"/>
      <c r="H28" s="1899"/>
      <c r="I28" s="1899"/>
      <c r="J28" s="1899"/>
      <c r="K28" s="1899"/>
      <c r="L28" s="1899"/>
      <c r="M28" s="1899"/>
      <c r="N28" s="1899"/>
      <c r="O28" s="1899"/>
      <c r="P28" s="1899"/>
      <c r="Q28" s="1899"/>
      <c r="R28" s="1899"/>
      <c r="S28" s="1899"/>
      <c r="T28" s="1899"/>
      <c r="U28" s="1899"/>
      <c r="V28" s="1899"/>
      <c r="W28" s="1899"/>
      <c r="X28" s="1899"/>
      <c r="Y28" s="1899"/>
      <c r="Z28" s="1899"/>
      <c r="AA28" s="1899"/>
      <c r="AB28" s="1899"/>
      <c r="AC28" s="1899"/>
      <c r="AD28" s="1899"/>
      <c r="AE28" s="1899"/>
      <c r="AF28" s="1899"/>
      <c r="AG28" s="1899"/>
      <c r="AH28" s="1899"/>
      <c r="AI28" s="1899"/>
      <c r="AJ28" s="1899"/>
      <c r="AK28" s="1899"/>
      <c r="AL28" s="325"/>
    </row>
    <row r="29" spans="1:38" s="717" customFormat="1" ht="13.15" customHeight="1">
      <c r="A29" s="327"/>
      <c r="B29" s="325"/>
      <c r="C29" s="326"/>
      <c r="E29" s="1899"/>
      <c r="F29" s="1899"/>
      <c r="G29" s="1899"/>
      <c r="H29" s="1899"/>
      <c r="I29" s="1899"/>
      <c r="J29" s="1899"/>
      <c r="K29" s="1899"/>
      <c r="L29" s="1899"/>
      <c r="M29" s="1899"/>
      <c r="N29" s="1899"/>
      <c r="O29" s="1899"/>
      <c r="P29" s="1899"/>
      <c r="Q29" s="1899"/>
      <c r="R29" s="1899"/>
      <c r="S29" s="1899"/>
      <c r="T29" s="1899"/>
      <c r="U29" s="1899"/>
      <c r="V29" s="1899"/>
      <c r="W29" s="1899"/>
      <c r="X29" s="1899"/>
      <c r="Y29" s="1899"/>
      <c r="Z29" s="1899"/>
      <c r="AA29" s="1899"/>
      <c r="AB29" s="1899"/>
      <c r="AC29" s="1899"/>
      <c r="AD29" s="1899"/>
      <c r="AE29" s="1899"/>
      <c r="AF29" s="1899"/>
      <c r="AG29" s="1899"/>
      <c r="AH29" s="1899"/>
      <c r="AI29" s="1899"/>
      <c r="AJ29" s="1899"/>
      <c r="AK29" s="1899"/>
      <c r="AL29" s="325"/>
    </row>
    <row r="30" spans="1:38" s="717" customFormat="1">
      <c r="A30" s="327"/>
      <c r="B30" s="325"/>
      <c r="C30" s="326"/>
      <c r="D30" s="746"/>
      <c r="E30" s="1899"/>
      <c r="F30" s="1899"/>
      <c r="G30" s="1899"/>
      <c r="H30" s="1899"/>
      <c r="I30" s="1899"/>
      <c r="J30" s="1899"/>
      <c r="K30" s="1899"/>
      <c r="L30" s="1899"/>
      <c r="M30" s="1899"/>
      <c r="N30" s="1899"/>
      <c r="O30" s="1899"/>
      <c r="P30" s="1899"/>
      <c r="Q30" s="1899"/>
      <c r="R30" s="1899"/>
      <c r="S30" s="1899"/>
      <c r="T30" s="1899"/>
      <c r="U30" s="1899"/>
      <c r="V30" s="1899"/>
      <c r="W30" s="1899"/>
      <c r="X30" s="1899"/>
      <c r="Y30" s="1899"/>
      <c r="Z30" s="1899"/>
      <c r="AA30" s="1899"/>
      <c r="AB30" s="1899"/>
      <c r="AC30" s="1899"/>
      <c r="AD30" s="1899"/>
      <c r="AE30" s="1899"/>
      <c r="AF30" s="1899"/>
      <c r="AG30" s="1899"/>
      <c r="AH30" s="1899"/>
      <c r="AI30" s="1899"/>
      <c r="AJ30" s="1899"/>
      <c r="AK30" s="1899"/>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900" t="s">
        <v>1394</v>
      </c>
      <c r="E32" s="1900"/>
      <c r="F32" s="1900"/>
      <c r="G32" s="1900"/>
      <c r="H32" s="1900"/>
      <c r="I32" s="1900"/>
      <c r="J32" s="1900"/>
      <c r="K32" s="1900"/>
      <c r="L32" s="1900"/>
      <c r="M32" s="1900"/>
      <c r="N32" s="1900"/>
      <c r="O32" s="1900"/>
      <c r="P32" s="1900"/>
      <c r="Q32" s="1900"/>
      <c r="R32" s="1900"/>
      <c r="S32" s="1900"/>
      <c r="T32" s="1900"/>
      <c r="U32" s="1900"/>
      <c r="V32" s="1900"/>
      <c r="W32" s="1900"/>
      <c r="X32" s="1900"/>
      <c r="Y32" s="1900"/>
      <c r="Z32" s="1900"/>
      <c r="AA32" s="1900"/>
      <c r="AB32" s="1900"/>
      <c r="AC32" s="1900"/>
      <c r="AD32" s="1900"/>
      <c r="AE32" s="1900"/>
      <c r="AF32" s="1900"/>
      <c r="AG32" s="1900"/>
      <c r="AH32" s="1900"/>
      <c r="AI32" s="1900"/>
      <c r="AJ32" s="1900"/>
      <c r="AK32" s="1900"/>
      <c r="AL32" s="325"/>
    </row>
    <row r="33" spans="1:38" s="717" customFormat="1">
      <c r="A33" s="327"/>
      <c r="B33" s="325"/>
      <c r="C33" s="326"/>
      <c r="D33" s="746"/>
      <c r="E33" s="1906" t="s">
        <v>2409</v>
      </c>
      <c r="F33" s="1906"/>
      <c r="G33" s="1906"/>
      <c r="H33" s="1906"/>
      <c r="I33" s="1906"/>
      <c r="J33" s="1906"/>
      <c r="K33" s="1906"/>
      <c r="L33" s="1906"/>
      <c r="M33" s="1906"/>
      <c r="N33" s="1906"/>
      <c r="O33" s="1906"/>
      <c r="P33" s="1906"/>
      <c r="Q33" s="1906"/>
      <c r="R33" s="1906"/>
      <c r="S33" s="1906"/>
      <c r="T33" s="1906"/>
      <c r="U33" s="1906"/>
      <c r="V33" s="1906"/>
      <c r="W33" s="1906"/>
      <c r="X33" s="1906"/>
      <c r="Y33" s="1906"/>
      <c r="Z33" s="1906"/>
      <c r="AA33" s="1906"/>
      <c r="AB33" s="1906"/>
      <c r="AC33" s="1906"/>
      <c r="AD33" s="1906"/>
      <c r="AE33" s="1906"/>
      <c r="AF33" s="1906"/>
      <c r="AG33" s="1906"/>
      <c r="AH33" s="1906"/>
      <c r="AI33" s="1906"/>
      <c r="AJ33" s="1906"/>
      <c r="AK33" s="1906"/>
      <c r="AL33" s="325"/>
    </row>
    <row r="34" spans="1:38">
      <c r="A34" s="149"/>
      <c r="C34" s="5"/>
    </row>
    <row r="35" spans="1:38">
      <c r="A35" s="149"/>
      <c r="D35" s="1898" t="s">
        <v>2410</v>
      </c>
      <c r="E35" s="1898"/>
      <c r="F35" s="1898"/>
      <c r="G35" s="1898"/>
      <c r="H35" s="1898"/>
      <c r="I35" s="1898"/>
      <c r="J35" s="1898"/>
      <c r="K35" s="1898"/>
      <c r="L35" s="1898"/>
      <c r="M35" s="1898"/>
      <c r="N35" s="1898"/>
      <c r="O35" s="1898"/>
      <c r="P35" s="1898"/>
      <c r="Q35" s="1898"/>
      <c r="R35" s="1898"/>
      <c r="S35" s="1898"/>
      <c r="T35" s="1898"/>
      <c r="U35" s="1898"/>
      <c r="V35" s="1898"/>
      <c r="W35" s="1898"/>
      <c r="X35" s="1898"/>
      <c r="Y35" s="1898"/>
      <c r="Z35" s="1898"/>
      <c r="AA35" s="1898"/>
      <c r="AB35" s="1898"/>
      <c r="AC35" s="1898"/>
      <c r="AD35" s="1898"/>
      <c r="AE35" s="1898"/>
      <c r="AF35" s="1898"/>
      <c r="AG35" s="1898"/>
      <c r="AH35" s="1898"/>
      <c r="AI35" s="1898"/>
      <c r="AJ35" s="1898"/>
      <c r="AK35" s="1898"/>
    </row>
    <row r="36" spans="1:38">
      <c r="A36" s="149"/>
      <c r="D36" s="1898"/>
      <c r="E36" s="1898"/>
      <c r="F36" s="1898"/>
      <c r="G36" s="1898"/>
      <c r="H36" s="1898"/>
      <c r="I36" s="1898"/>
      <c r="J36" s="1898"/>
      <c r="K36" s="1898"/>
      <c r="L36" s="1898"/>
      <c r="M36" s="1898"/>
      <c r="N36" s="1898"/>
      <c r="O36" s="1898"/>
      <c r="P36" s="1898"/>
      <c r="Q36" s="1898"/>
      <c r="R36" s="1898"/>
      <c r="S36" s="1898"/>
      <c r="T36" s="1898"/>
      <c r="U36" s="1898"/>
      <c r="V36" s="1898"/>
      <c r="W36" s="1898"/>
      <c r="X36" s="1898"/>
      <c r="Y36" s="1898"/>
      <c r="Z36" s="1898"/>
      <c r="AA36" s="1898"/>
      <c r="AB36" s="1898"/>
      <c r="AC36" s="1898"/>
      <c r="AD36" s="1898"/>
      <c r="AE36" s="1898"/>
      <c r="AF36" s="1898"/>
      <c r="AG36" s="1898"/>
      <c r="AH36" s="1898"/>
      <c r="AI36" s="1898"/>
      <c r="AJ36" s="1898"/>
      <c r="AK36" s="1898"/>
    </row>
    <row r="37" spans="1:38">
      <c r="A37" s="149"/>
      <c r="D37" s="250"/>
      <c r="E37" s="1905" t="s">
        <v>1093</v>
      </c>
      <c r="F37" s="1905"/>
      <c r="G37" s="1905"/>
      <c r="H37" s="1905"/>
      <c r="I37" s="1905"/>
      <c r="J37" s="1905"/>
      <c r="K37" s="1905"/>
      <c r="L37" s="1905"/>
      <c r="M37" s="1905"/>
      <c r="N37" s="1905"/>
      <c r="O37" s="1905"/>
      <c r="P37" s="1905"/>
      <c r="Q37" s="1905"/>
      <c r="R37" s="1905"/>
      <c r="S37" s="1905"/>
      <c r="T37" s="1905"/>
      <c r="U37" s="1905"/>
      <c r="V37" s="1905"/>
      <c r="W37" s="1905"/>
      <c r="X37" s="1905"/>
      <c r="Y37" s="1905"/>
      <c r="Z37" s="1905"/>
      <c r="AA37" s="1905"/>
      <c r="AB37" s="1905"/>
      <c r="AC37" s="1905"/>
      <c r="AD37" s="1905"/>
      <c r="AE37" s="1905"/>
      <c r="AF37" s="1905"/>
      <c r="AG37" s="1905"/>
      <c r="AH37" s="1905"/>
      <c r="AI37" s="1905"/>
      <c r="AJ37" s="1905"/>
      <c r="AK37" s="1905"/>
    </row>
    <row r="38" spans="1:38">
      <c r="A38" s="149"/>
      <c r="D38" s="250"/>
      <c r="E38" s="1905" t="s">
        <v>1392</v>
      </c>
      <c r="F38" s="1905"/>
      <c r="G38" s="1905"/>
      <c r="H38" s="1905"/>
      <c r="I38" s="1905"/>
      <c r="J38" s="1905"/>
      <c r="K38" s="1905"/>
      <c r="L38" s="1905"/>
      <c r="M38" s="1905"/>
      <c r="N38" s="1905"/>
      <c r="O38" s="1905"/>
      <c r="P38" s="1905"/>
      <c r="Q38" s="1905"/>
      <c r="R38" s="1905"/>
      <c r="S38" s="1905"/>
      <c r="T38" s="1905"/>
      <c r="U38" s="1905"/>
      <c r="V38" s="1905"/>
      <c r="W38" s="1905"/>
      <c r="X38" s="1905"/>
      <c r="Y38" s="1905"/>
      <c r="Z38" s="1905"/>
      <c r="AA38" s="1905"/>
      <c r="AB38" s="1905"/>
      <c r="AC38" s="1905"/>
      <c r="AD38" s="1905"/>
      <c r="AE38" s="1905"/>
      <c r="AF38" s="1905"/>
      <c r="AG38" s="1905"/>
      <c r="AH38" s="1905"/>
      <c r="AI38" s="1905"/>
      <c r="AJ38" s="1905"/>
      <c r="AK38" s="190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9" customFormat="1" ht="13.15" customHeight="1">
      <c r="A42" s="149"/>
      <c r="B42"/>
      <c r="C42" s="5"/>
      <c r="D42" s="149"/>
      <c r="E42" s="149" t="s">
        <v>689</v>
      </c>
      <c r="F42" s="1899" t="s">
        <v>1359</v>
      </c>
    </row>
    <row r="43" spans="1:38" s="1899" customFormat="1" ht="13.15"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357</v>
      </c>
      <c r="F45" s="1910" t="s">
        <v>1473</v>
      </c>
      <c r="G45" s="1910"/>
      <c r="H45" s="1910"/>
      <c r="I45" s="1910"/>
      <c r="J45" s="1910"/>
      <c r="K45" s="1910"/>
      <c r="L45" s="1910"/>
      <c r="M45" s="1910"/>
      <c r="N45" s="1910"/>
      <c r="O45" s="1910"/>
      <c r="P45" s="1910"/>
      <c r="Q45" s="1910"/>
      <c r="R45" s="1910"/>
      <c r="S45" s="1910"/>
      <c r="T45" s="1910"/>
      <c r="U45" s="1910"/>
      <c r="V45" s="1910"/>
      <c r="W45" s="1910"/>
      <c r="X45" s="1910"/>
      <c r="Y45" s="1910"/>
      <c r="Z45" s="1910"/>
      <c r="AA45" s="1910"/>
      <c r="AB45" s="1910"/>
      <c r="AC45" s="1910"/>
      <c r="AD45" s="1910"/>
      <c r="AE45" s="1910"/>
      <c r="AF45" s="1910"/>
      <c r="AG45" s="1910"/>
      <c r="AH45" s="1910"/>
      <c r="AI45" s="1910"/>
      <c r="AJ45" s="1910"/>
      <c r="AK45" s="1910"/>
      <c r="AL45" s="1910"/>
    </row>
    <row r="46" spans="1:38" s="770" customFormat="1">
      <c r="A46" s="149"/>
      <c r="B46" s="717"/>
      <c r="C46" s="5"/>
      <c r="D46" s="149"/>
      <c r="E46" s="149"/>
      <c r="F46" s="1910"/>
      <c r="G46" s="1910"/>
      <c r="H46" s="1910"/>
      <c r="I46" s="1910"/>
      <c r="J46" s="1910"/>
      <c r="K46" s="1910"/>
      <c r="L46" s="1910"/>
      <c r="M46" s="1910"/>
      <c r="N46" s="1910"/>
      <c r="O46" s="1910"/>
      <c r="P46" s="1910"/>
      <c r="Q46" s="1910"/>
      <c r="R46" s="1910"/>
      <c r="S46" s="1910"/>
      <c r="T46" s="1910"/>
      <c r="U46" s="1910"/>
      <c r="V46" s="1910"/>
      <c r="W46" s="1910"/>
      <c r="X46" s="1910"/>
      <c r="Y46" s="1910"/>
      <c r="Z46" s="1910"/>
      <c r="AA46" s="1910"/>
      <c r="AB46" s="1910"/>
      <c r="AC46" s="1910"/>
      <c r="AD46" s="1910"/>
      <c r="AE46" s="1910"/>
      <c r="AF46" s="1910"/>
      <c r="AG46" s="1910"/>
      <c r="AH46" s="1910"/>
      <c r="AI46" s="1910"/>
      <c r="AJ46" s="1910"/>
      <c r="AK46" s="1910"/>
      <c r="AL46" s="1910"/>
    </row>
    <row r="47" spans="1:38" s="770" customFormat="1" ht="13.15" customHeight="1">
      <c r="A47" s="149"/>
      <c r="B47" s="717"/>
      <c r="C47" s="5"/>
      <c r="D47" s="149"/>
      <c r="E47" s="149"/>
      <c r="F47" s="1910"/>
      <c r="G47" s="1910"/>
      <c r="H47" s="1910"/>
      <c r="I47" s="1910"/>
      <c r="J47" s="1910"/>
      <c r="K47" s="1910"/>
      <c r="L47" s="1910"/>
      <c r="M47" s="1910"/>
      <c r="N47" s="1910"/>
      <c r="O47" s="1910"/>
      <c r="P47" s="1910"/>
      <c r="Q47" s="1910"/>
      <c r="R47" s="1910"/>
      <c r="S47" s="1910"/>
      <c r="T47" s="1910"/>
      <c r="U47" s="1910"/>
      <c r="V47" s="1910"/>
      <c r="W47" s="1910"/>
      <c r="X47" s="1910"/>
      <c r="Y47" s="1910"/>
      <c r="Z47" s="1910"/>
      <c r="AA47" s="1910"/>
      <c r="AB47" s="1910"/>
      <c r="AC47" s="1910"/>
      <c r="AD47" s="1910"/>
      <c r="AE47" s="1910"/>
      <c r="AF47" s="1910"/>
      <c r="AG47" s="1910"/>
      <c r="AH47" s="1910"/>
      <c r="AI47" s="1910"/>
      <c r="AJ47" s="1910"/>
      <c r="AK47" s="1910"/>
      <c r="AL47" s="1910"/>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99" t="s">
        <v>1474</v>
      </c>
      <c r="G50" s="1899"/>
      <c r="H50" s="1899"/>
      <c r="I50" s="1899"/>
      <c r="J50" s="1899"/>
      <c r="K50" s="1899"/>
      <c r="L50" s="1899"/>
      <c r="M50" s="1899"/>
      <c r="N50" s="1899"/>
      <c r="O50" s="1899"/>
      <c r="P50" s="1899"/>
      <c r="Q50" s="1899"/>
      <c r="R50" s="1899"/>
      <c r="S50" s="1899"/>
      <c r="T50" s="1899"/>
      <c r="U50" s="1899"/>
      <c r="V50" s="1899"/>
      <c r="W50" s="1899"/>
      <c r="X50" s="1899"/>
      <c r="Y50" s="1899"/>
      <c r="Z50" s="1899"/>
      <c r="AA50" s="1899"/>
      <c r="AB50" s="1899"/>
      <c r="AC50" s="1899"/>
      <c r="AD50" s="1899"/>
      <c r="AE50" s="1899"/>
      <c r="AF50" s="1899"/>
      <c r="AG50" s="1899"/>
      <c r="AH50" s="1899"/>
      <c r="AI50" s="1899"/>
      <c r="AJ50" s="1899"/>
      <c r="AK50" s="1899"/>
    </row>
    <row r="51" spans="1:38">
      <c r="A51" s="149"/>
      <c r="C51" s="5"/>
      <c r="D51" s="149"/>
      <c r="E51" s="149"/>
      <c r="F51" s="1899"/>
      <c r="G51" s="1899"/>
      <c r="H51" s="1899"/>
      <c r="I51" s="1899"/>
      <c r="J51" s="1899"/>
      <c r="K51" s="1899"/>
      <c r="L51" s="1899"/>
      <c r="M51" s="1899"/>
      <c r="N51" s="1899"/>
      <c r="O51" s="1899"/>
      <c r="P51" s="1899"/>
      <c r="Q51" s="1899"/>
      <c r="R51" s="1899"/>
      <c r="S51" s="1899"/>
      <c r="T51" s="1899"/>
      <c r="U51" s="1899"/>
      <c r="V51" s="1899"/>
      <c r="W51" s="1899"/>
      <c r="X51" s="1899"/>
      <c r="Y51" s="1899"/>
      <c r="Z51" s="1899"/>
      <c r="AA51" s="1899"/>
      <c r="AB51" s="1899"/>
      <c r="AC51" s="1899"/>
      <c r="AD51" s="1899"/>
      <c r="AE51" s="1899"/>
      <c r="AF51" s="1899"/>
      <c r="AG51" s="1899"/>
      <c r="AH51" s="1899"/>
      <c r="AI51" s="1899"/>
      <c r="AJ51" s="1899"/>
      <c r="AK51" s="1899"/>
    </row>
    <row r="52" spans="1:38">
      <c r="A52" s="149"/>
      <c r="C52" s="5"/>
      <c r="D52" s="149"/>
      <c r="F52" s="1899"/>
      <c r="G52" s="1899"/>
      <c r="H52" s="1899"/>
      <c r="I52" s="1899"/>
      <c r="J52" s="1899"/>
      <c r="K52" s="1899"/>
      <c r="L52" s="1899"/>
      <c r="M52" s="1899"/>
      <c r="N52" s="1899"/>
      <c r="O52" s="1899"/>
      <c r="P52" s="1899"/>
      <c r="Q52" s="1899"/>
      <c r="R52" s="1899"/>
      <c r="S52" s="1899"/>
      <c r="T52" s="1899"/>
      <c r="U52" s="1899"/>
      <c r="V52" s="1899"/>
      <c r="W52" s="1899"/>
      <c r="X52" s="1899"/>
      <c r="Y52" s="1899"/>
      <c r="Z52" s="1899"/>
      <c r="AA52" s="1899"/>
      <c r="AB52" s="1899"/>
      <c r="AC52" s="1899"/>
      <c r="AD52" s="1899"/>
      <c r="AE52" s="1899"/>
      <c r="AF52" s="1899"/>
      <c r="AG52" s="1899"/>
      <c r="AH52" s="1899"/>
      <c r="AI52" s="1899"/>
      <c r="AJ52" s="1899"/>
      <c r="AK52" s="1899"/>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901" t="s">
        <v>1395</v>
      </c>
      <c r="H56" s="1901"/>
      <c r="I56" s="1901"/>
      <c r="J56" s="1901"/>
      <c r="K56" s="1901"/>
      <c r="L56" s="1901"/>
      <c r="M56" s="1901"/>
      <c r="N56" s="1901"/>
      <c r="O56" s="1901"/>
      <c r="P56" s="1901"/>
      <c r="Q56" s="1901"/>
      <c r="R56" s="1901"/>
      <c r="S56" s="1901"/>
      <c r="T56" s="1901"/>
      <c r="U56" s="1901"/>
      <c r="V56" s="1901"/>
      <c r="W56" s="1901"/>
      <c r="X56" s="1901"/>
      <c r="Y56" s="1901"/>
      <c r="Z56" s="1901"/>
      <c r="AA56" s="1901"/>
      <c r="AB56" s="1901"/>
      <c r="AC56" s="1901"/>
      <c r="AD56" s="1901"/>
      <c r="AE56" s="1901"/>
      <c r="AF56" s="1901"/>
      <c r="AG56" s="1901"/>
      <c r="AH56" s="1901"/>
      <c r="AI56" s="1901"/>
      <c r="AJ56" s="1901"/>
      <c r="AK56" s="1901"/>
      <c r="AL56" s="325"/>
    </row>
    <row r="57" spans="1:38" s="717" customFormat="1" ht="13.1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901" t="s">
        <v>609</v>
      </c>
      <c r="H58" s="1901"/>
      <c r="I58" s="1901"/>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541</v>
      </c>
      <c r="G59" s="1909" t="s">
        <v>1475</v>
      </c>
      <c r="H59" s="1909"/>
      <c r="I59" s="1909"/>
      <c r="J59" s="1909"/>
      <c r="K59" s="1909"/>
      <c r="L59" s="1909"/>
      <c r="M59" s="1909"/>
      <c r="N59" s="1909"/>
      <c r="O59" s="1909"/>
      <c r="P59" s="1909"/>
      <c r="Q59" s="1909"/>
      <c r="R59" s="1909"/>
      <c r="S59" s="1909"/>
      <c r="T59" s="1909"/>
      <c r="U59" s="1909"/>
      <c r="V59" s="1909"/>
      <c r="W59" s="1909"/>
      <c r="X59" s="1909"/>
      <c r="Y59" s="1909"/>
      <c r="Z59" s="1909"/>
      <c r="AA59" s="1909"/>
      <c r="AB59" s="1909"/>
      <c r="AC59" s="1909"/>
      <c r="AD59" s="1909"/>
      <c r="AE59" s="1909"/>
      <c r="AF59" s="1909"/>
      <c r="AG59" s="1909"/>
      <c r="AH59" s="1909"/>
      <c r="AI59" s="1909"/>
      <c r="AJ59" s="1909"/>
      <c r="AK59" s="1909"/>
      <c r="AL59" s="1909"/>
    </row>
    <row r="60" spans="1:38" s="2" customFormat="1">
      <c r="A60" s="327"/>
      <c r="B60" s="325"/>
      <c r="C60" s="326"/>
      <c r="D60" s="326"/>
      <c r="E60" s="327"/>
      <c r="F60" s="331"/>
      <c r="G60" s="1909"/>
      <c r="H60" s="1909"/>
      <c r="I60" s="1909"/>
      <c r="J60" s="1909"/>
      <c r="K60" s="1909"/>
      <c r="L60" s="1909"/>
      <c r="M60" s="1909"/>
      <c r="N60" s="1909"/>
      <c r="O60" s="1909"/>
      <c r="P60" s="1909"/>
      <c r="Q60" s="1909"/>
      <c r="R60" s="1909"/>
      <c r="S60" s="1909"/>
      <c r="T60" s="1909"/>
      <c r="U60" s="1909"/>
      <c r="V60" s="1909"/>
      <c r="W60" s="1909"/>
      <c r="X60" s="1909"/>
      <c r="Y60" s="1909"/>
      <c r="Z60" s="1909"/>
      <c r="AA60" s="1909"/>
      <c r="AB60" s="1909"/>
      <c r="AC60" s="1909"/>
      <c r="AD60" s="1909"/>
      <c r="AE60" s="1909"/>
      <c r="AF60" s="1909"/>
      <c r="AG60" s="1909"/>
      <c r="AH60" s="1909"/>
      <c r="AI60" s="1909"/>
      <c r="AJ60" s="1909"/>
      <c r="AK60" s="1909"/>
      <c r="AL60" s="1909"/>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99" t="s">
        <v>1361</v>
      </c>
      <c r="H66" s="1899"/>
      <c r="I66" s="1899"/>
      <c r="J66" s="1899"/>
      <c r="K66" s="1899"/>
      <c r="L66" s="1899"/>
      <c r="M66" s="1899"/>
      <c r="N66" s="1899"/>
      <c r="O66" s="1899"/>
      <c r="P66" s="1899"/>
      <c r="Q66" s="1899"/>
      <c r="R66" s="1899"/>
      <c r="S66" s="1899"/>
      <c r="T66" s="1899"/>
      <c r="U66" s="1899"/>
      <c r="V66" s="1899"/>
      <c r="W66" s="1899"/>
      <c r="X66" s="1899"/>
      <c r="Y66" s="1899"/>
      <c r="Z66" s="1899"/>
      <c r="AA66" s="1899"/>
      <c r="AB66" s="1899"/>
      <c r="AC66" s="1899"/>
      <c r="AD66" s="1899"/>
      <c r="AE66" s="1899"/>
      <c r="AF66" s="1899"/>
      <c r="AG66" s="1899"/>
      <c r="AH66" s="1899"/>
      <c r="AI66" s="1899"/>
      <c r="AJ66" s="1899"/>
      <c r="AK66" s="1899"/>
    </row>
    <row r="67" spans="1:37">
      <c r="A67" s="149"/>
      <c r="C67" s="5"/>
      <c r="D67" s="149"/>
      <c r="E67" s="149"/>
      <c r="F67" s="9"/>
      <c r="G67" s="1899"/>
      <c r="H67" s="1899"/>
      <c r="I67" s="1899"/>
      <c r="J67" s="1899"/>
      <c r="K67" s="1899"/>
      <c r="L67" s="1899"/>
      <c r="M67" s="1899"/>
      <c r="N67" s="1899"/>
      <c r="O67" s="1899"/>
      <c r="P67" s="1899"/>
      <c r="Q67" s="1899"/>
      <c r="R67" s="1899"/>
      <c r="S67" s="1899"/>
      <c r="T67" s="1899"/>
      <c r="U67" s="1899"/>
      <c r="V67" s="1899"/>
      <c r="W67" s="1899"/>
      <c r="X67" s="1899"/>
      <c r="Y67" s="1899"/>
      <c r="Z67" s="1899"/>
      <c r="AA67" s="1899"/>
      <c r="AB67" s="1899"/>
      <c r="AC67" s="1899"/>
      <c r="AD67" s="1899"/>
      <c r="AE67" s="1899"/>
      <c r="AF67" s="1899"/>
      <c r="AG67" s="1899"/>
      <c r="AH67" s="1899"/>
      <c r="AI67" s="1899"/>
      <c r="AJ67" s="1899"/>
      <c r="AK67" s="1899"/>
    </row>
    <row r="68" spans="1:37">
      <c r="A68" s="149"/>
      <c r="C68" s="5"/>
      <c r="D68" s="149"/>
      <c r="E68" s="149"/>
      <c r="F68" s="9"/>
      <c r="G68" s="1899"/>
      <c r="H68" s="1899"/>
      <c r="I68" s="1899"/>
      <c r="J68" s="1899"/>
      <c r="K68" s="1899"/>
      <c r="L68" s="1899"/>
      <c r="M68" s="1899"/>
      <c r="N68" s="1899"/>
      <c r="O68" s="1899"/>
      <c r="P68" s="1899"/>
      <c r="Q68" s="1899"/>
      <c r="R68" s="1899"/>
      <c r="S68" s="1899"/>
      <c r="T68" s="1899"/>
      <c r="U68" s="1899"/>
      <c r="V68" s="1899"/>
      <c r="W68" s="1899"/>
      <c r="X68" s="1899"/>
      <c r="Y68" s="1899"/>
      <c r="Z68" s="1899"/>
      <c r="AA68" s="1899"/>
      <c r="AB68" s="1899"/>
      <c r="AC68" s="1899"/>
      <c r="AD68" s="1899"/>
      <c r="AE68" s="1899"/>
      <c r="AF68" s="1899"/>
      <c r="AG68" s="1899"/>
      <c r="AH68" s="1899"/>
      <c r="AI68" s="1899"/>
      <c r="AJ68" s="1899"/>
      <c r="AK68" s="1899"/>
    </row>
    <row r="69" spans="1:37" ht="13.15" customHeight="1">
      <c r="A69" s="149"/>
      <c r="C69" s="5"/>
      <c r="D69" s="149"/>
      <c r="E69" s="149"/>
      <c r="F69" s="9" t="s">
        <v>541</v>
      </c>
      <c r="G69" s="1899" t="s">
        <v>1362</v>
      </c>
      <c r="H69" s="1899"/>
      <c r="I69" s="1899"/>
      <c r="J69" s="1899"/>
      <c r="K69" s="1899"/>
      <c r="L69" s="1899"/>
      <c r="M69" s="1899"/>
      <c r="N69" s="1899"/>
      <c r="O69" s="1899"/>
      <c r="P69" s="1899"/>
      <c r="Q69" s="1899"/>
      <c r="R69" s="1899"/>
      <c r="S69" s="1899"/>
      <c r="T69" s="1899"/>
      <c r="U69" s="1899"/>
      <c r="V69" s="1899"/>
      <c r="W69" s="1899"/>
      <c r="X69" s="1899"/>
      <c r="Y69" s="1899"/>
      <c r="Z69" s="1899"/>
      <c r="AA69" s="1899"/>
      <c r="AB69" s="1899"/>
      <c r="AC69" s="1899"/>
      <c r="AD69" s="1899"/>
      <c r="AE69" s="1899"/>
      <c r="AF69" s="1899"/>
      <c r="AG69" s="1899"/>
      <c r="AH69" s="1899"/>
      <c r="AI69" s="1899"/>
      <c r="AJ69" s="1899"/>
      <c r="AK69" s="1899"/>
    </row>
    <row r="70" spans="1:37">
      <c r="A70" s="149"/>
      <c r="C70" s="5"/>
      <c r="D70" s="149"/>
      <c r="E70" s="149"/>
      <c r="F70" s="379"/>
      <c r="G70" s="1899"/>
      <c r="H70" s="1899"/>
      <c r="I70" s="1899"/>
      <c r="J70" s="1899"/>
      <c r="K70" s="1899"/>
      <c r="L70" s="1899"/>
      <c r="M70" s="1899"/>
      <c r="N70" s="1899"/>
      <c r="O70" s="1899"/>
      <c r="P70" s="1899"/>
      <c r="Q70" s="1899"/>
      <c r="R70" s="1899"/>
      <c r="S70" s="1899"/>
      <c r="T70" s="1899"/>
      <c r="U70" s="1899"/>
      <c r="V70" s="1899"/>
      <c r="W70" s="1899"/>
      <c r="X70" s="1899"/>
      <c r="Y70" s="1899"/>
      <c r="Z70" s="1899"/>
      <c r="AA70" s="1899"/>
      <c r="AB70" s="1899"/>
      <c r="AC70" s="1899"/>
      <c r="AD70" s="1899"/>
      <c r="AE70" s="1899"/>
      <c r="AF70" s="1899"/>
      <c r="AG70" s="1899"/>
      <c r="AH70" s="1899"/>
      <c r="AI70" s="1899"/>
      <c r="AJ70" s="1899"/>
      <c r="AK70" s="1899"/>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99" t="s">
        <v>1363</v>
      </c>
      <c r="H72" s="1899"/>
      <c r="I72" s="1899"/>
      <c r="J72" s="1899"/>
      <c r="K72" s="1899"/>
      <c r="L72" s="1899"/>
      <c r="M72" s="1899"/>
      <c r="N72" s="1899"/>
      <c r="O72" s="1899"/>
      <c r="P72" s="1899"/>
      <c r="Q72" s="1899"/>
      <c r="R72" s="1899"/>
      <c r="S72" s="1899"/>
      <c r="T72" s="1899"/>
      <c r="U72" s="1899"/>
      <c r="V72" s="1899"/>
      <c r="W72" s="1899"/>
      <c r="X72" s="1899"/>
      <c r="Y72" s="1899"/>
      <c r="Z72" s="1899"/>
      <c r="AA72" s="1899"/>
      <c r="AB72" s="1899"/>
      <c r="AC72" s="1899"/>
      <c r="AD72" s="1899"/>
      <c r="AE72" s="1899"/>
      <c r="AF72" s="1899"/>
      <c r="AG72" s="1899"/>
      <c r="AH72" s="1899"/>
      <c r="AI72" s="1899"/>
      <c r="AJ72" s="1899"/>
      <c r="AK72" s="1899"/>
    </row>
    <row r="73" spans="1:37">
      <c r="A73" s="149"/>
      <c r="C73" s="5"/>
      <c r="D73" s="149"/>
      <c r="E73" s="149"/>
      <c r="F73" s="249"/>
      <c r="G73" s="1899"/>
      <c r="H73" s="1899"/>
      <c r="I73" s="1899"/>
      <c r="J73" s="1899"/>
      <c r="K73" s="1899"/>
      <c r="L73" s="1899"/>
      <c r="M73" s="1899"/>
      <c r="N73" s="1899"/>
      <c r="O73" s="1899"/>
      <c r="P73" s="1899"/>
      <c r="Q73" s="1899"/>
      <c r="R73" s="1899"/>
      <c r="S73" s="1899"/>
      <c r="T73" s="1899"/>
      <c r="U73" s="1899"/>
      <c r="V73" s="1899"/>
      <c r="W73" s="1899"/>
      <c r="X73" s="1899"/>
      <c r="Y73" s="1899"/>
      <c r="Z73" s="1899"/>
      <c r="AA73" s="1899"/>
      <c r="AB73" s="1899"/>
      <c r="AC73" s="1899"/>
      <c r="AD73" s="1899"/>
      <c r="AE73" s="1899"/>
      <c r="AF73" s="1899"/>
      <c r="AG73" s="1899"/>
      <c r="AH73" s="1899"/>
      <c r="AI73" s="1899"/>
      <c r="AJ73" s="1899"/>
      <c r="AK73" s="1899"/>
    </row>
    <row r="74" spans="1:37">
      <c r="A74" s="149"/>
      <c r="C74" s="5"/>
      <c r="D74" s="149"/>
      <c r="E74" s="149"/>
      <c r="F74" s="249" t="s">
        <v>541</v>
      </c>
      <c r="G74" s="1899" t="s">
        <v>1364</v>
      </c>
      <c r="H74" s="1899"/>
      <c r="I74" s="1899"/>
      <c r="J74" s="1899"/>
      <c r="K74" s="1899"/>
      <c r="L74" s="1899"/>
      <c r="M74" s="1899"/>
      <c r="N74" s="1899"/>
      <c r="O74" s="1899"/>
      <c r="P74" s="1899"/>
      <c r="Q74" s="1899"/>
      <c r="R74" s="1899"/>
      <c r="S74" s="1899"/>
      <c r="T74" s="1899"/>
      <c r="U74" s="1899"/>
      <c r="V74" s="1899"/>
      <c r="W74" s="1899"/>
      <c r="X74" s="1899"/>
      <c r="Y74" s="1899"/>
      <c r="Z74" s="1899"/>
      <c r="AA74" s="1899"/>
      <c r="AB74" s="1899"/>
      <c r="AC74" s="1899"/>
      <c r="AD74" s="1899"/>
      <c r="AE74" s="1899"/>
      <c r="AF74" s="1899"/>
      <c r="AG74" s="1899"/>
      <c r="AH74" s="1899"/>
      <c r="AI74" s="1899"/>
      <c r="AJ74" s="1899"/>
      <c r="AK74" s="1899"/>
    </row>
    <row r="75" spans="1:37">
      <c r="A75" s="149"/>
      <c r="C75" s="5"/>
      <c r="D75" s="149"/>
      <c r="E75" s="149"/>
      <c r="F75" s="249"/>
      <c r="G75" s="1899"/>
      <c r="H75" s="1899"/>
      <c r="I75" s="1899"/>
      <c r="J75" s="1899"/>
      <c r="K75" s="1899"/>
      <c r="L75" s="1899"/>
      <c r="M75" s="1899"/>
      <c r="N75" s="1899"/>
      <c r="O75" s="1899"/>
      <c r="P75" s="1899"/>
      <c r="Q75" s="1899"/>
      <c r="R75" s="1899"/>
      <c r="S75" s="1899"/>
      <c r="T75" s="1899"/>
      <c r="U75" s="1899"/>
      <c r="V75" s="1899"/>
      <c r="W75" s="1899"/>
      <c r="X75" s="1899"/>
      <c r="Y75" s="1899"/>
      <c r="Z75" s="1899"/>
      <c r="AA75" s="1899"/>
      <c r="AB75" s="1899"/>
      <c r="AC75" s="1899"/>
      <c r="AD75" s="1899"/>
      <c r="AE75" s="1899"/>
      <c r="AF75" s="1899"/>
      <c r="AG75" s="1899"/>
      <c r="AH75" s="1899"/>
      <c r="AI75" s="1899"/>
      <c r="AJ75" s="1899"/>
      <c r="AK75" s="1899"/>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9" t="s">
        <v>1365</v>
      </c>
      <c r="H82" s="1899"/>
      <c r="I82" s="1899"/>
      <c r="J82" s="1899"/>
      <c r="K82" s="1899"/>
      <c r="L82" s="1899"/>
      <c r="M82" s="1899"/>
      <c r="N82" s="1899"/>
      <c r="O82" s="1899"/>
      <c r="P82" s="1899"/>
      <c r="Q82" s="1899"/>
      <c r="R82" s="1899"/>
      <c r="S82" s="1899"/>
      <c r="T82" s="1899"/>
      <c r="U82" s="1899"/>
      <c r="V82" s="1899"/>
      <c r="W82" s="1899"/>
      <c r="X82" s="1899"/>
      <c r="Y82" s="1899"/>
      <c r="Z82" s="1899"/>
      <c r="AA82" s="1899"/>
      <c r="AB82" s="1899"/>
      <c r="AC82" s="1899"/>
      <c r="AD82" s="1899"/>
      <c r="AE82" s="1899"/>
      <c r="AF82" s="1899"/>
      <c r="AG82" s="1899"/>
      <c r="AH82" s="1899"/>
      <c r="AI82" s="1899"/>
      <c r="AJ82" s="1899"/>
      <c r="AK82" s="1899"/>
    </row>
    <row r="83" spans="1:37">
      <c r="A83" s="149"/>
      <c r="C83" s="5"/>
      <c r="D83" s="149"/>
      <c r="E83" s="149"/>
      <c r="F83" s="149"/>
      <c r="G83" s="1899"/>
      <c r="H83" s="1899"/>
      <c r="I83" s="1899"/>
      <c r="J83" s="1899"/>
      <c r="K83" s="1899"/>
      <c r="L83" s="1899"/>
      <c r="M83" s="1899"/>
      <c r="N83" s="1899"/>
      <c r="O83" s="1899"/>
      <c r="P83" s="1899"/>
      <c r="Q83" s="1899"/>
      <c r="R83" s="1899"/>
      <c r="S83" s="1899"/>
      <c r="T83" s="1899"/>
      <c r="U83" s="1899"/>
      <c r="V83" s="1899"/>
      <c r="W83" s="1899"/>
      <c r="X83" s="1899"/>
      <c r="Y83" s="1899"/>
      <c r="Z83" s="1899"/>
      <c r="AA83" s="1899"/>
      <c r="AB83" s="1899"/>
      <c r="AC83" s="1899"/>
      <c r="AD83" s="1899"/>
      <c r="AE83" s="1899"/>
      <c r="AF83" s="1899"/>
      <c r="AG83" s="1899"/>
      <c r="AH83" s="1899"/>
      <c r="AI83" s="1899"/>
      <c r="AJ83" s="1899"/>
      <c r="AK83" s="1899"/>
    </row>
    <row r="84" spans="1:37" s="717" customFormat="1">
      <c r="A84" s="149"/>
      <c r="C84" s="5"/>
      <c r="D84" s="149"/>
      <c r="E84" s="149"/>
      <c r="F84" s="149"/>
      <c r="G84" s="1899"/>
      <c r="H84" s="1899"/>
      <c r="I84" s="1899"/>
      <c r="J84" s="1899"/>
      <c r="K84" s="1899"/>
      <c r="L84" s="1899"/>
      <c r="M84" s="1899"/>
      <c r="N84" s="1899"/>
      <c r="O84" s="1899"/>
      <c r="P84" s="1899"/>
      <c r="Q84" s="1899"/>
      <c r="R84" s="1899"/>
      <c r="S84" s="1899"/>
      <c r="T84" s="1899"/>
      <c r="U84" s="1899"/>
      <c r="V84" s="1899"/>
      <c r="W84" s="1899"/>
      <c r="X84" s="1899"/>
      <c r="Y84" s="1899"/>
      <c r="Z84" s="1899"/>
      <c r="AA84" s="1899"/>
      <c r="AB84" s="1899"/>
      <c r="AC84" s="1899"/>
      <c r="AD84" s="1899"/>
      <c r="AE84" s="1899"/>
      <c r="AF84" s="1899"/>
      <c r="AG84" s="1899"/>
      <c r="AH84" s="1899"/>
      <c r="AI84" s="1899"/>
      <c r="AJ84" s="1899"/>
      <c r="AK84" s="1899"/>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9" t="s">
        <v>1366</v>
      </c>
      <c r="H86" s="1899"/>
      <c r="I86" s="1899"/>
      <c r="J86" s="1899"/>
      <c r="K86" s="1899"/>
      <c r="L86" s="1899"/>
      <c r="M86" s="1899"/>
      <c r="N86" s="1899"/>
      <c r="O86" s="1899"/>
      <c r="P86" s="1899"/>
      <c r="Q86" s="1899"/>
      <c r="R86" s="1899"/>
      <c r="S86" s="1899"/>
      <c r="T86" s="1899"/>
      <c r="U86" s="1899"/>
      <c r="V86" s="1899"/>
      <c r="W86" s="1899"/>
      <c r="X86" s="1899"/>
      <c r="Y86" s="1899"/>
      <c r="Z86" s="1899"/>
      <c r="AA86" s="1899"/>
      <c r="AB86" s="1899"/>
      <c r="AC86" s="1899"/>
      <c r="AD86" s="1899"/>
      <c r="AE86" s="1899"/>
      <c r="AF86" s="1899"/>
      <c r="AG86" s="1899"/>
      <c r="AH86" s="1899"/>
      <c r="AI86" s="1899"/>
      <c r="AJ86" s="1899"/>
      <c r="AK86" s="1899"/>
    </row>
    <row r="87" spans="1:37">
      <c r="A87" s="149"/>
      <c r="C87" s="5"/>
      <c r="D87" s="149"/>
      <c r="E87" s="149"/>
      <c r="F87" s="149"/>
      <c r="G87" s="1899"/>
      <c r="H87" s="1899"/>
      <c r="I87" s="1899"/>
      <c r="J87" s="1899"/>
      <c r="K87" s="1899"/>
      <c r="L87" s="1899"/>
      <c r="M87" s="1899"/>
      <c r="N87" s="1899"/>
      <c r="O87" s="1899"/>
      <c r="P87" s="1899"/>
      <c r="Q87" s="1899"/>
      <c r="R87" s="1899"/>
      <c r="S87" s="1899"/>
      <c r="T87" s="1899"/>
      <c r="U87" s="1899"/>
      <c r="V87" s="1899"/>
      <c r="W87" s="1899"/>
      <c r="X87" s="1899"/>
      <c r="Y87" s="1899"/>
      <c r="Z87" s="1899"/>
      <c r="AA87" s="1899"/>
      <c r="AB87" s="1899"/>
      <c r="AC87" s="1899"/>
      <c r="AD87" s="1899"/>
      <c r="AE87" s="1899"/>
      <c r="AF87" s="1899"/>
      <c r="AG87" s="1899"/>
      <c r="AH87" s="1899"/>
      <c r="AI87" s="1899"/>
      <c r="AJ87" s="1899"/>
      <c r="AK87" s="1899"/>
    </row>
    <row r="88" spans="1:37">
      <c r="A88" s="149"/>
      <c r="C88" s="5"/>
      <c r="D88" s="149"/>
      <c r="E88" s="149"/>
      <c r="G88" s="1899"/>
      <c r="H88" s="1899"/>
      <c r="I88" s="1899"/>
      <c r="J88" s="1899"/>
      <c r="K88" s="1899"/>
      <c r="L88" s="1899"/>
      <c r="M88" s="1899"/>
      <c r="N88" s="1899"/>
      <c r="O88" s="1899"/>
      <c r="P88" s="1899"/>
      <c r="Q88" s="1899"/>
      <c r="R88" s="1899"/>
      <c r="S88" s="1899"/>
      <c r="T88" s="1899"/>
      <c r="U88" s="1899"/>
      <c r="V88" s="1899"/>
      <c r="W88" s="1899"/>
      <c r="X88" s="1899"/>
      <c r="Y88" s="1899"/>
      <c r="Z88" s="1899"/>
      <c r="AA88" s="1899"/>
      <c r="AB88" s="1899"/>
      <c r="AC88" s="1899"/>
      <c r="AD88" s="1899"/>
      <c r="AE88" s="1899"/>
      <c r="AF88" s="1899"/>
      <c r="AG88" s="1899"/>
      <c r="AH88" s="1899"/>
      <c r="AI88" s="1899"/>
      <c r="AJ88" s="1899"/>
      <c r="AK88" s="1899"/>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907" t="s">
        <v>1367</v>
      </c>
      <c r="H90" s="1907"/>
      <c r="I90" s="1907"/>
      <c r="J90" s="1907"/>
      <c r="K90" s="1907"/>
      <c r="L90" s="1907"/>
      <c r="M90" s="1907"/>
      <c r="N90" s="1907"/>
      <c r="O90" s="1907"/>
      <c r="P90" s="1907"/>
      <c r="Q90" s="1907"/>
      <c r="R90" s="1907"/>
      <c r="S90" s="1907"/>
      <c r="T90" s="1907"/>
      <c r="U90" s="1907"/>
      <c r="V90" s="1907"/>
      <c r="W90" s="1907"/>
      <c r="X90" s="1907"/>
      <c r="Y90" s="1907"/>
      <c r="Z90" s="1907"/>
      <c r="AA90" s="1907"/>
      <c r="AB90" s="1907"/>
      <c r="AC90" s="1907"/>
      <c r="AD90" s="1907"/>
      <c r="AE90" s="1907"/>
      <c r="AF90" s="1907"/>
      <c r="AG90" s="1907"/>
      <c r="AH90" s="1907"/>
      <c r="AI90" s="1907"/>
      <c r="AJ90" s="1907"/>
      <c r="AK90" s="1907"/>
    </row>
    <row r="91" spans="1:37" s="717" customFormat="1">
      <c r="A91" s="149"/>
      <c r="C91" s="5"/>
      <c r="D91" s="149"/>
      <c r="E91" s="149"/>
      <c r="G91" s="1907"/>
      <c r="H91" s="1907"/>
      <c r="I91" s="1907"/>
      <c r="J91" s="1907"/>
      <c r="K91" s="1907"/>
      <c r="L91" s="1907"/>
      <c r="M91" s="1907"/>
      <c r="N91" s="1907"/>
      <c r="O91" s="1907"/>
      <c r="P91" s="1907"/>
      <c r="Q91" s="1907"/>
      <c r="R91" s="1907"/>
      <c r="S91" s="1907"/>
      <c r="T91" s="1907"/>
      <c r="U91" s="1907"/>
      <c r="V91" s="1907"/>
      <c r="W91" s="1907"/>
      <c r="X91" s="1907"/>
      <c r="Y91" s="1907"/>
      <c r="Z91" s="1907"/>
      <c r="AA91" s="1907"/>
      <c r="AB91" s="1907"/>
      <c r="AC91" s="1907"/>
      <c r="AD91" s="1907"/>
      <c r="AE91" s="1907"/>
      <c r="AF91" s="1907"/>
      <c r="AG91" s="1907"/>
      <c r="AH91" s="1907"/>
      <c r="AI91" s="1907"/>
      <c r="AJ91" s="1907"/>
      <c r="AK91" s="1907"/>
    </row>
    <row r="92" spans="1:37">
      <c r="A92" s="149"/>
      <c r="C92" s="5"/>
      <c r="D92" s="149"/>
      <c r="E92" s="149"/>
      <c r="G92" s="1907"/>
      <c r="H92" s="1907"/>
      <c r="I92" s="1907"/>
      <c r="J92" s="1907"/>
      <c r="K92" s="1907"/>
      <c r="L92" s="1907"/>
      <c r="M92" s="1907"/>
      <c r="N92" s="1907"/>
      <c r="O92" s="1907"/>
      <c r="P92" s="1907"/>
      <c r="Q92" s="1907"/>
      <c r="R92" s="1907"/>
      <c r="S92" s="1907"/>
      <c r="T92" s="1907"/>
      <c r="U92" s="1907"/>
      <c r="V92" s="1907"/>
      <c r="W92" s="1907"/>
      <c r="X92" s="1907"/>
      <c r="Y92" s="1907"/>
      <c r="Z92" s="1907"/>
      <c r="AA92" s="1907"/>
      <c r="AB92" s="1907"/>
      <c r="AC92" s="1907"/>
      <c r="AD92" s="1907"/>
      <c r="AE92" s="1907"/>
      <c r="AF92" s="1907"/>
      <c r="AG92" s="1907"/>
      <c r="AH92" s="1907"/>
      <c r="AI92" s="1907"/>
      <c r="AJ92" s="1907"/>
      <c r="AK92" s="1907"/>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9" t="s">
        <v>1368</v>
      </c>
      <c r="H94" s="1899"/>
      <c r="I94" s="1899"/>
      <c r="J94" s="1899"/>
      <c r="K94" s="1899"/>
      <c r="L94" s="1899"/>
      <c r="M94" s="1899"/>
      <c r="N94" s="1899"/>
      <c r="O94" s="1899"/>
      <c r="P94" s="1899"/>
      <c r="Q94" s="1899"/>
      <c r="R94" s="1899"/>
      <c r="S94" s="1899"/>
      <c r="T94" s="1899"/>
      <c r="U94" s="1899"/>
      <c r="V94" s="1899"/>
      <c r="W94" s="1899"/>
      <c r="X94" s="1899"/>
      <c r="Y94" s="1899"/>
      <c r="Z94" s="1899"/>
      <c r="AA94" s="1899"/>
      <c r="AB94" s="1899"/>
      <c r="AC94" s="1899"/>
      <c r="AD94" s="1899"/>
      <c r="AE94" s="1899"/>
      <c r="AF94" s="1899"/>
      <c r="AG94" s="1899"/>
      <c r="AH94" s="1899"/>
      <c r="AI94" s="1899"/>
      <c r="AJ94" s="1899"/>
      <c r="AK94" s="1899"/>
    </row>
    <row r="95" spans="1:37">
      <c r="A95" s="149"/>
      <c r="C95" s="5"/>
      <c r="D95" s="149"/>
      <c r="E95" s="149"/>
      <c r="G95" s="1899"/>
      <c r="H95" s="1899"/>
      <c r="I95" s="1899"/>
      <c r="J95" s="1899"/>
      <c r="K95" s="1899"/>
      <c r="L95" s="1899"/>
      <c r="M95" s="1899"/>
      <c r="N95" s="1899"/>
      <c r="O95" s="1899"/>
      <c r="P95" s="1899"/>
      <c r="Q95" s="1899"/>
      <c r="R95" s="1899"/>
      <c r="S95" s="1899"/>
      <c r="T95" s="1899"/>
      <c r="U95" s="1899"/>
      <c r="V95" s="1899"/>
      <c r="W95" s="1899"/>
      <c r="X95" s="1899"/>
      <c r="Y95" s="1899"/>
      <c r="Z95" s="1899"/>
      <c r="AA95" s="1899"/>
      <c r="AB95" s="1899"/>
      <c r="AC95" s="1899"/>
      <c r="AD95" s="1899"/>
      <c r="AE95" s="1899"/>
      <c r="AF95" s="1899"/>
      <c r="AG95" s="1899"/>
      <c r="AH95" s="1899"/>
      <c r="AI95" s="1899"/>
      <c r="AJ95" s="1899"/>
      <c r="AK95" s="1899"/>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99" t="s">
        <v>1369</v>
      </c>
      <c r="H97" s="1899"/>
      <c r="I97" s="1899"/>
      <c r="J97" s="1899"/>
      <c r="K97" s="1899"/>
      <c r="L97" s="1899"/>
      <c r="M97" s="1899"/>
      <c r="N97" s="1899"/>
      <c r="O97" s="1899"/>
      <c r="P97" s="1899"/>
      <c r="Q97" s="1899"/>
      <c r="R97" s="1899"/>
      <c r="S97" s="1899"/>
      <c r="T97" s="1899"/>
      <c r="U97" s="1899"/>
      <c r="V97" s="1899"/>
      <c r="W97" s="1899"/>
      <c r="X97" s="1899"/>
      <c r="Y97" s="1899"/>
      <c r="Z97" s="1899"/>
      <c r="AA97" s="1899"/>
      <c r="AB97" s="1899"/>
      <c r="AC97" s="1899"/>
      <c r="AD97" s="1899"/>
      <c r="AE97" s="1899"/>
      <c r="AF97" s="1899"/>
      <c r="AG97" s="1899"/>
      <c r="AH97" s="1899"/>
      <c r="AI97" s="1899"/>
      <c r="AJ97" s="1899"/>
      <c r="AK97" s="1899"/>
    </row>
    <row r="98" spans="1:38">
      <c r="A98" s="149"/>
      <c r="C98" s="183"/>
      <c r="D98" s="182"/>
      <c r="E98" s="182"/>
      <c r="F98" s="2"/>
      <c r="G98" s="1899"/>
      <c r="H98" s="1899"/>
      <c r="I98" s="1899"/>
      <c r="J98" s="1899"/>
      <c r="K98" s="1899"/>
      <c r="L98" s="1899"/>
      <c r="M98" s="1899"/>
      <c r="N98" s="1899"/>
      <c r="O98" s="1899"/>
      <c r="P98" s="1899"/>
      <c r="Q98" s="1899"/>
      <c r="R98" s="1899"/>
      <c r="S98" s="1899"/>
      <c r="T98" s="1899"/>
      <c r="U98" s="1899"/>
      <c r="V98" s="1899"/>
      <c r="W98" s="1899"/>
      <c r="X98" s="1899"/>
      <c r="Y98" s="1899"/>
      <c r="Z98" s="1899"/>
      <c r="AA98" s="1899"/>
      <c r="AB98" s="1899"/>
      <c r="AC98" s="1899"/>
      <c r="AD98" s="1899"/>
      <c r="AE98" s="1899"/>
      <c r="AF98" s="1899"/>
      <c r="AG98" s="1899"/>
      <c r="AH98" s="1899"/>
      <c r="AI98" s="1899"/>
      <c r="AJ98" s="1899"/>
      <c r="AK98" s="1899"/>
      <c r="AL98" s="2"/>
    </row>
    <row r="99" spans="1:38">
      <c r="A99" s="149"/>
      <c r="C99" s="183"/>
      <c r="D99" s="182"/>
      <c r="E99" s="182"/>
      <c r="F99" s="2"/>
      <c r="G99" s="1899"/>
      <c r="H99" s="1899"/>
      <c r="I99" s="1899"/>
      <c r="J99" s="1899"/>
      <c r="K99" s="1899"/>
      <c r="L99" s="1899"/>
      <c r="M99" s="1899"/>
      <c r="N99" s="1899"/>
      <c r="O99" s="1899"/>
      <c r="P99" s="1899"/>
      <c r="Q99" s="1899"/>
      <c r="R99" s="1899"/>
      <c r="S99" s="1899"/>
      <c r="T99" s="1899"/>
      <c r="U99" s="1899"/>
      <c r="V99" s="1899"/>
      <c r="W99" s="1899"/>
      <c r="X99" s="1899"/>
      <c r="Y99" s="1899"/>
      <c r="Z99" s="1899"/>
      <c r="AA99" s="1899"/>
      <c r="AB99" s="1899"/>
      <c r="AC99" s="1899"/>
      <c r="AD99" s="1899"/>
      <c r="AE99" s="1899"/>
      <c r="AF99" s="1899"/>
      <c r="AG99" s="1899"/>
      <c r="AH99" s="1899"/>
      <c r="AI99" s="1899"/>
      <c r="AJ99" s="1899"/>
      <c r="AK99" s="1899"/>
      <c r="AL99" s="2"/>
    </row>
    <row r="100" spans="1:38">
      <c r="A100" s="149"/>
      <c r="C100" s="2"/>
      <c r="D100" s="491"/>
      <c r="E100" s="1908" t="s">
        <v>1370</v>
      </c>
      <c r="F100" s="1908"/>
      <c r="G100" s="1908"/>
      <c r="H100" s="1908"/>
      <c r="I100" s="1908"/>
      <c r="J100" s="1908"/>
      <c r="K100" s="1908"/>
      <c r="L100" s="1908"/>
      <c r="M100" s="1908"/>
      <c r="N100" s="1908"/>
      <c r="O100" s="1908"/>
      <c r="P100" s="1908"/>
      <c r="Q100" s="1908"/>
      <c r="R100" s="1908"/>
      <c r="S100" s="1908"/>
      <c r="T100" s="1908"/>
      <c r="U100" s="1908"/>
      <c r="V100" s="1908"/>
      <c r="W100" s="1908"/>
      <c r="X100" s="1908"/>
      <c r="Y100" s="1908"/>
      <c r="Z100" s="1908"/>
      <c r="AA100" s="1908"/>
      <c r="AB100" s="1908"/>
      <c r="AC100" s="1908"/>
      <c r="AD100" s="1908"/>
      <c r="AE100" s="1908"/>
      <c r="AF100" s="1908"/>
      <c r="AG100" s="1908"/>
      <c r="AH100" s="1908"/>
      <c r="AI100" s="1908"/>
      <c r="AJ100" s="1908"/>
      <c r="AK100" s="1908"/>
      <c r="AL100" s="2"/>
    </row>
    <row r="101" spans="1:38">
      <c r="A101" s="149"/>
      <c r="D101" s="153"/>
      <c r="E101" s="1908"/>
      <c r="F101" s="1908"/>
      <c r="G101" s="1908"/>
      <c r="H101" s="1908"/>
      <c r="I101" s="1908"/>
      <c r="J101" s="1908"/>
      <c r="K101" s="1908"/>
      <c r="L101" s="1908"/>
      <c r="M101" s="1908"/>
      <c r="N101" s="1908"/>
      <c r="O101" s="1908"/>
      <c r="P101" s="1908"/>
      <c r="Q101" s="1908"/>
      <c r="R101" s="1908"/>
      <c r="S101" s="1908"/>
      <c r="T101" s="1908"/>
      <c r="U101" s="1908"/>
      <c r="V101" s="1908"/>
      <c r="W101" s="1908"/>
      <c r="X101" s="1908"/>
      <c r="Y101" s="1908"/>
      <c r="Z101" s="1908"/>
      <c r="AA101" s="1908"/>
      <c r="AB101" s="1908"/>
      <c r="AC101" s="1908"/>
      <c r="AD101" s="1908"/>
      <c r="AE101" s="1908"/>
      <c r="AF101" s="1908"/>
      <c r="AG101" s="1908"/>
      <c r="AH101" s="1908"/>
      <c r="AI101" s="1908"/>
      <c r="AJ101" s="1908"/>
      <c r="AK101" s="1908"/>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395</v>
      </c>
    </row>
    <row r="123" spans="1:38">
      <c r="E123" s="149"/>
      <c r="F123" s="149" t="s">
        <v>1113</v>
      </c>
    </row>
    <row r="124" spans="1:38">
      <c r="B124" s="5"/>
      <c r="C124" s="5"/>
      <c r="F124" s="5"/>
    </row>
    <row r="125" spans="1:38">
      <c r="B125" s="5"/>
      <c r="C125" s="5" t="s">
        <v>451</v>
      </c>
      <c r="G125" s="5" t="s">
        <v>396</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350</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7" t="s">
        <v>1001</v>
      </c>
      <c r="F145" s="327"/>
    </row>
    <row r="146" spans="3:7"/>
    <row r="147" spans="3:7">
      <c r="C147" s="5" t="s">
        <v>6</v>
      </c>
      <c r="G147" s="5" t="s">
        <v>397</v>
      </c>
    </row>
    <row r="148" spans="3:7">
      <c r="D148" s="183" t="s">
        <v>213</v>
      </c>
      <c r="E148" s="183" t="s">
        <v>140</v>
      </c>
    </row>
    <row r="149" spans="3:7">
      <c r="D149" s="2"/>
      <c r="E149" t="s">
        <v>854</v>
      </c>
    </row>
    <row r="150" spans="3:7">
      <c r="D150" s="2"/>
      <c r="E150" s="2"/>
    </row>
    <row r="151" spans="3:7">
      <c r="D151" s="183" t="s">
        <v>350</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398</v>
      </c>
    </row>
    <row r="164" spans="3:20">
      <c r="D164" s="2"/>
      <c r="E164" s="149" t="s">
        <v>1006</v>
      </c>
      <c r="F164" s="149"/>
    </row>
    <row r="165" spans="3:20">
      <c r="D165" s="2"/>
      <c r="E165" s="2"/>
    </row>
    <row r="166" spans="3:20">
      <c r="D166" s="183" t="s">
        <v>449</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357</v>
      </c>
      <c r="G195" s="155" t="s">
        <v>1415</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99" t="s">
        <v>1371</v>
      </c>
      <c r="H207" s="1899"/>
      <c r="I207" s="1899"/>
      <c r="J207" s="1899"/>
      <c r="K207" s="1899"/>
      <c r="L207" s="1899"/>
      <c r="M207" s="1899"/>
      <c r="N207" s="1899"/>
      <c r="O207" s="1899"/>
      <c r="P207" s="1899"/>
      <c r="Q207" s="1899"/>
      <c r="R207" s="1899"/>
      <c r="S207" s="1899"/>
      <c r="T207" s="1899"/>
      <c r="U207" s="1899"/>
      <c r="V207" s="1899"/>
      <c r="W207" s="1899"/>
      <c r="X207" s="1899"/>
      <c r="Y207" s="1899"/>
      <c r="Z207" s="1899"/>
      <c r="AA207" s="1899"/>
      <c r="AB207" s="1899"/>
      <c r="AC207" s="1899"/>
      <c r="AD207" s="1899"/>
      <c r="AE207" s="1899"/>
      <c r="AF207" s="1899"/>
      <c r="AG207" s="1899"/>
      <c r="AH207" s="1899"/>
      <c r="AI207" s="1899"/>
      <c r="AJ207" s="1899"/>
      <c r="AK207" s="1899"/>
    </row>
    <row r="208" spans="2:37">
      <c r="B208" s="149"/>
      <c r="C208" s="149"/>
      <c r="D208" s="5"/>
      <c r="G208" s="1899"/>
      <c r="H208" s="1899"/>
      <c r="I208" s="1899"/>
      <c r="J208" s="1899"/>
      <c r="K208" s="1899"/>
      <c r="L208" s="1899"/>
      <c r="M208" s="1899"/>
      <c r="N208" s="1899"/>
      <c r="O208" s="1899"/>
      <c r="P208" s="1899"/>
      <c r="Q208" s="1899"/>
      <c r="R208" s="1899"/>
      <c r="S208" s="1899"/>
      <c r="T208" s="1899"/>
      <c r="U208" s="1899"/>
      <c r="V208" s="1899"/>
      <c r="W208" s="1899"/>
      <c r="X208" s="1899"/>
      <c r="Y208" s="1899"/>
      <c r="Z208" s="1899"/>
      <c r="AA208" s="1899"/>
      <c r="AB208" s="1899"/>
      <c r="AC208" s="1899"/>
      <c r="AD208" s="1899"/>
      <c r="AE208" s="1899"/>
      <c r="AF208" s="1899"/>
      <c r="AG208" s="1899"/>
      <c r="AH208" s="1899"/>
      <c r="AI208" s="1899"/>
      <c r="AJ208" s="1899"/>
      <c r="AK208" s="1899"/>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408</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99" t="s">
        <v>1346</v>
      </c>
      <c r="G338" s="1899"/>
      <c r="H338" s="1899"/>
      <c r="I338" s="1899"/>
      <c r="J338" s="1899"/>
      <c r="K338" s="1899"/>
      <c r="L338" s="1899"/>
      <c r="M338" s="1899"/>
      <c r="N338" s="1899"/>
      <c r="O338" s="1899"/>
      <c r="P338" s="1899"/>
      <c r="Q338" s="1899"/>
      <c r="R338" s="1899"/>
      <c r="S338" s="1899"/>
      <c r="T338" s="1899"/>
      <c r="U338" s="1899"/>
      <c r="V338" s="1899"/>
      <c r="W338" s="1899"/>
      <c r="X338" s="1899"/>
      <c r="Y338" s="1899"/>
      <c r="Z338" s="1899"/>
      <c r="AA338" s="1899"/>
      <c r="AB338" s="1899"/>
      <c r="AC338" s="1899"/>
      <c r="AD338" s="1899"/>
      <c r="AE338" s="1899"/>
      <c r="AF338" s="1899"/>
      <c r="AG338" s="1899"/>
      <c r="AH338" s="1899"/>
      <c r="AI338" s="1899"/>
      <c r="AJ338" s="1899"/>
      <c r="AK338" s="1899"/>
    </row>
    <row r="339" spans="2:37">
      <c r="B339" s="5"/>
      <c r="E339" s="149"/>
      <c r="F339" s="1899"/>
      <c r="G339" s="1899"/>
      <c r="H339" s="1899"/>
      <c r="I339" s="1899"/>
      <c r="J339" s="1899"/>
      <c r="K339" s="1899"/>
      <c r="L339" s="1899"/>
      <c r="M339" s="1899"/>
      <c r="N339" s="1899"/>
      <c r="O339" s="1899"/>
      <c r="P339" s="1899"/>
      <c r="Q339" s="1899"/>
      <c r="R339" s="1899"/>
      <c r="S339" s="1899"/>
      <c r="T339" s="1899"/>
      <c r="U339" s="1899"/>
      <c r="V339" s="1899"/>
      <c r="W339" s="1899"/>
      <c r="X339" s="1899"/>
      <c r="Y339" s="1899"/>
      <c r="Z339" s="1899"/>
      <c r="AA339" s="1899"/>
      <c r="AB339" s="1899"/>
      <c r="AC339" s="1899"/>
      <c r="AD339" s="1899"/>
      <c r="AE339" s="1899"/>
      <c r="AF339" s="1899"/>
      <c r="AG339" s="1899"/>
      <c r="AH339" s="1899"/>
      <c r="AI339" s="1899"/>
      <c r="AJ339" s="1899"/>
      <c r="AK339" s="1899"/>
    </row>
    <row r="340" spans="2:37">
      <c r="B340" s="5"/>
      <c r="E340" s="149"/>
      <c r="F340" s="1899"/>
      <c r="G340" s="1899"/>
      <c r="H340" s="1899"/>
      <c r="I340" s="1899"/>
      <c r="J340" s="1899"/>
      <c r="K340" s="1899"/>
      <c r="L340" s="1899"/>
      <c r="M340" s="1899"/>
      <c r="N340" s="1899"/>
      <c r="O340" s="1899"/>
      <c r="P340" s="1899"/>
      <c r="Q340" s="1899"/>
      <c r="R340" s="1899"/>
      <c r="S340" s="1899"/>
      <c r="T340" s="1899"/>
      <c r="U340" s="1899"/>
      <c r="V340" s="1899"/>
      <c r="W340" s="1899"/>
      <c r="X340" s="1899"/>
      <c r="Y340" s="1899"/>
      <c r="Z340" s="1899"/>
      <c r="AA340" s="1899"/>
      <c r="AB340" s="1899"/>
      <c r="AC340" s="1899"/>
      <c r="AD340" s="1899"/>
      <c r="AE340" s="1899"/>
      <c r="AF340" s="1899"/>
      <c r="AG340" s="1899"/>
      <c r="AH340" s="1899"/>
      <c r="AI340" s="1899"/>
      <c r="AJ340" s="1899"/>
      <c r="AK340" s="1899"/>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1442</v>
      </c>
      <c r="I342" s="183"/>
      <c r="J342" s="149"/>
      <c r="K342" s="149"/>
      <c r="L342" s="149"/>
      <c r="M342" s="149"/>
      <c r="N342" s="149"/>
      <c r="O342" s="149"/>
      <c r="P342" s="149"/>
      <c r="Q342" s="149"/>
      <c r="R342" s="149"/>
      <c r="S342" s="149"/>
    </row>
    <row r="343" spans="2:37" s="717" customFormat="1" ht="13.15" customHeight="1">
      <c r="B343" s="5"/>
      <c r="E343" s="1901" t="s">
        <v>1449</v>
      </c>
      <c r="F343" s="1901"/>
      <c r="G343" s="1901"/>
      <c r="H343" s="1901"/>
      <c r="I343" s="1901"/>
      <c r="J343" s="1901"/>
      <c r="K343" s="1901"/>
      <c r="L343" s="1901"/>
      <c r="M343" s="1901"/>
      <c r="N343" s="1901"/>
      <c r="O343" s="1901"/>
      <c r="P343" s="1901"/>
      <c r="Q343" s="1901"/>
      <c r="R343" s="1901"/>
      <c r="S343" s="1901"/>
      <c r="T343" s="1901"/>
      <c r="U343" s="1901"/>
      <c r="V343" s="1901"/>
      <c r="W343" s="1901"/>
      <c r="X343" s="1901"/>
      <c r="Y343" s="1901"/>
      <c r="Z343" s="1901"/>
      <c r="AA343" s="1901"/>
      <c r="AB343" s="1901"/>
      <c r="AC343" s="1901"/>
      <c r="AD343" s="1901"/>
      <c r="AE343" s="1901"/>
      <c r="AF343" s="1901"/>
      <c r="AG343" s="1901"/>
      <c r="AH343" s="1901"/>
      <c r="AI343" s="1901"/>
      <c r="AJ343" s="1901"/>
      <c r="AK343" s="1901"/>
    </row>
    <row r="344" spans="2:37" s="717" customFormat="1">
      <c r="B344" s="5"/>
      <c r="E344" s="1901"/>
      <c r="F344" s="1901"/>
      <c r="G344" s="1901"/>
      <c r="H344" s="1901"/>
      <c r="I344" s="1901"/>
      <c r="J344" s="1901"/>
      <c r="K344" s="1901"/>
      <c r="L344" s="1901"/>
      <c r="M344" s="1901"/>
      <c r="N344" s="1901"/>
      <c r="O344" s="1901"/>
      <c r="P344" s="1901"/>
      <c r="Q344" s="1901"/>
      <c r="R344" s="1901"/>
      <c r="S344" s="1901"/>
      <c r="T344" s="1901"/>
      <c r="U344" s="1901"/>
      <c r="V344" s="1901"/>
      <c r="W344" s="1901"/>
      <c r="X344" s="1901"/>
      <c r="Y344" s="1901"/>
      <c r="Z344" s="1901"/>
      <c r="AA344" s="1901"/>
      <c r="AB344" s="1901"/>
      <c r="AC344" s="1901"/>
      <c r="AD344" s="1901"/>
      <c r="AE344" s="1901"/>
      <c r="AF344" s="1901"/>
      <c r="AG344" s="1901"/>
      <c r="AH344" s="1901"/>
      <c r="AI344" s="1901"/>
      <c r="AJ344" s="1901"/>
      <c r="AK344" s="1901"/>
    </row>
    <row r="345" spans="2:37" s="717" customFormat="1">
      <c r="B345" s="5"/>
      <c r="E345" s="1901"/>
      <c r="F345" s="1901"/>
      <c r="G345" s="1901"/>
      <c r="H345" s="1901"/>
      <c r="I345" s="1901"/>
      <c r="J345" s="1901"/>
      <c r="K345" s="1901"/>
      <c r="L345" s="1901"/>
      <c r="M345" s="1901"/>
      <c r="N345" s="1901"/>
      <c r="O345" s="1901"/>
      <c r="P345" s="1901"/>
      <c r="Q345" s="1901"/>
      <c r="R345" s="1901"/>
      <c r="S345" s="1901"/>
      <c r="T345" s="1901"/>
      <c r="U345" s="1901"/>
      <c r="V345" s="1901"/>
      <c r="W345" s="1901"/>
      <c r="X345" s="1901"/>
      <c r="Y345" s="1901"/>
      <c r="Z345" s="1901"/>
      <c r="AA345" s="1901"/>
      <c r="AB345" s="1901"/>
      <c r="AC345" s="1901"/>
      <c r="AD345" s="1901"/>
      <c r="AE345" s="1901"/>
      <c r="AF345" s="1901"/>
      <c r="AG345" s="1901"/>
      <c r="AH345" s="1901"/>
      <c r="AI345" s="1901"/>
      <c r="AJ345" s="1901"/>
      <c r="AK345" s="1901"/>
    </row>
    <row r="346" spans="2:37" s="717" customFormat="1">
      <c r="B346" s="5"/>
      <c r="E346" s="1901"/>
      <c r="F346" s="1901"/>
      <c r="G346" s="1901"/>
      <c r="H346" s="1901"/>
      <c r="I346" s="1901"/>
      <c r="J346" s="1901"/>
      <c r="K346" s="1901"/>
      <c r="L346" s="1901"/>
      <c r="M346" s="1901"/>
      <c r="N346" s="1901"/>
      <c r="O346" s="1901"/>
      <c r="P346" s="1901"/>
      <c r="Q346" s="1901"/>
      <c r="R346" s="1901"/>
      <c r="S346" s="1901"/>
      <c r="T346" s="1901"/>
      <c r="U346" s="1901"/>
      <c r="V346" s="1901"/>
      <c r="W346" s="1901"/>
      <c r="X346" s="1901"/>
      <c r="Y346" s="1901"/>
      <c r="Z346" s="1901"/>
      <c r="AA346" s="1901"/>
      <c r="AB346" s="1901"/>
      <c r="AC346" s="1901"/>
      <c r="AD346" s="1901"/>
      <c r="AE346" s="1901"/>
      <c r="AF346" s="1901"/>
      <c r="AG346" s="1901"/>
      <c r="AH346" s="1901"/>
      <c r="AI346" s="1901"/>
      <c r="AJ346" s="1901"/>
      <c r="AK346" s="1901"/>
    </row>
    <row r="347" spans="2:37" s="717" customFormat="1">
      <c r="B347" s="5"/>
      <c r="E347" s="1901"/>
      <c r="F347" s="1901"/>
      <c r="G347" s="1901"/>
      <c r="H347" s="1901"/>
      <c r="I347" s="1901"/>
      <c r="J347" s="1901"/>
      <c r="K347" s="1901"/>
      <c r="L347" s="1901"/>
      <c r="M347" s="1901"/>
      <c r="N347" s="1901"/>
      <c r="O347" s="1901"/>
      <c r="P347" s="1901"/>
      <c r="Q347" s="1901"/>
      <c r="R347" s="1901"/>
      <c r="S347" s="1901"/>
      <c r="T347" s="1901"/>
      <c r="U347" s="1901"/>
      <c r="V347" s="1901"/>
      <c r="W347" s="1901"/>
      <c r="X347" s="1901"/>
      <c r="Y347" s="1901"/>
      <c r="Z347" s="1901"/>
      <c r="AA347" s="1901"/>
      <c r="AB347" s="1901"/>
      <c r="AC347" s="1901"/>
      <c r="AD347" s="1901"/>
      <c r="AE347" s="1901"/>
      <c r="AF347" s="1901"/>
      <c r="AG347" s="1901"/>
      <c r="AH347" s="1901"/>
      <c r="AI347" s="1901"/>
      <c r="AJ347" s="1901"/>
      <c r="AK347" s="1901"/>
    </row>
    <row r="348" spans="2:37" s="717" customFormat="1">
      <c r="B348" s="5"/>
      <c r="E348" s="6" t="s">
        <v>117</v>
      </c>
      <c r="F348" s="1899" t="s">
        <v>1451</v>
      </c>
      <c r="G348" s="1899"/>
      <c r="H348" s="1899"/>
      <c r="I348" s="1899"/>
      <c r="J348" s="1899"/>
      <c r="K348" s="1899"/>
      <c r="L348" s="1899"/>
      <c r="M348" s="1899"/>
      <c r="N348" s="1899"/>
      <c r="O348" s="1899"/>
      <c r="P348" s="1899"/>
      <c r="Q348" s="1899"/>
      <c r="R348" s="1899"/>
      <c r="S348" s="1899"/>
      <c r="T348" s="1899"/>
      <c r="U348" s="1899"/>
      <c r="V348" s="1899"/>
      <c r="W348" s="1899"/>
      <c r="X348" s="1899"/>
      <c r="Y348" s="1899"/>
      <c r="Z348" s="1899"/>
      <c r="AA348" s="1899"/>
      <c r="AB348" s="1899"/>
      <c r="AC348" s="1899"/>
      <c r="AD348" s="1899"/>
      <c r="AE348" s="1899"/>
      <c r="AF348" s="1899"/>
      <c r="AG348" s="1899"/>
      <c r="AH348" s="1899"/>
      <c r="AI348" s="1899"/>
      <c r="AJ348" s="1899"/>
      <c r="AK348" s="1899"/>
    </row>
    <row r="349" spans="2:37" s="717" customFormat="1">
      <c r="B349" s="5"/>
      <c r="E349" s="6"/>
      <c r="F349" s="1899"/>
      <c r="G349" s="1899"/>
      <c r="H349" s="1899"/>
      <c r="I349" s="1899"/>
      <c r="J349" s="1899"/>
      <c r="K349" s="1899"/>
      <c r="L349" s="1899"/>
      <c r="M349" s="1899"/>
      <c r="N349" s="1899"/>
      <c r="O349" s="1899"/>
      <c r="P349" s="1899"/>
      <c r="Q349" s="1899"/>
      <c r="R349" s="1899"/>
      <c r="S349" s="1899"/>
      <c r="T349" s="1899"/>
      <c r="U349" s="1899"/>
      <c r="V349" s="1899"/>
      <c r="W349" s="1899"/>
      <c r="X349" s="1899"/>
      <c r="Y349" s="1899"/>
      <c r="Z349" s="1899"/>
      <c r="AA349" s="1899"/>
      <c r="AB349" s="1899"/>
      <c r="AC349" s="1899"/>
      <c r="AD349" s="1899"/>
      <c r="AE349" s="1899"/>
      <c r="AF349" s="1899"/>
      <c r="AG349" s="1899"/>
      <c r="AH349" s="1899"/>
      <c r="AI349" s="1899"/>
      <c r="AJ349" s="1899"/>
      <c r="AK349" s="1899"/>
    </row>
    <row r="350" spans="2:37" s="717" customFormat="1">
      <c r="B350" s="5"/>
      <c r="E350" s="6"/>
      <c r="F350" s="1899"/>
      <c r="G350" s="1899"/>
      <c r="H350" s="1899"/>
      <c r="I350" s="1899"/>
      <c r="J350" s="1899"/>
      <c r="K350" s="1899"/>
      <c r="L350" s="1899"/>
      <c r="M350" s="1899"/>
      <c r="N350" s="1899"/>
      <c r="O350" s="1899"/>
      <c r="P350" s="1899"/>
      <c r="Q350" s="1899"/>
      <c r="R350" s="1899"/>
      <c r="S350" s="1899"/>
      <c r="T350" s="1899"/>
      <c r="U350" s="1899"/>
      <c r="V350" s="1899"/>
      <c r="W350" s="1899"/>
      <c r="X350" s="1899"/>
      <c r="Y350" s="1899"/>
      <c r="Z350" s="1899"/>
      <c r="AA350" s="1899"/>
      <c r="AB350" s="1899"/>
      <c r="AC350" s="1899"/>
      <c r="AD350" s="1899"/>
      <c r="AE350" s="1899"/>
      <c r="AF350" s="1899"/>
      <c r="AG350" s="1899"/>
      <c r="AH350" s="1899"/>
      <c r="AI350" s="1899"/>
      <c r="AJ350" s="1899"/>
      <c r="AK350" s="1899"/>
    </row>
    <row r="351" spans="2:37" s="717" customFormat="1">
      <c r="B351" s="5"/>
      <c r="E351" s="6"/>
      <c r="F351" s="1899"/>
      <c r="G351" s="1899"/>
      <c r="H351" s="1899"/>
      <c r="I351" s="1899"/>
      <c r="J351" s="1899"/>
      <c r="K351" s="1899"/>
      <c r="L351" s="1899"/>
      <c r="M351" s="1899"/>
      <c r="N351" s="1899"/>
      <c r="O351" s="1899"/>
      <c r="P351" s="1899"/>
      <c r="Q351" s="1899"/>
      <c r="R351" s="1899"/>
      <c r="S351" s="1899"/>
      <c r="T351" s="1899"/>
      <c r="U351" s="1899"/>
      <c r="V351" s="1899"/>
      <c r="W351" s="1899"/>
      <c r="X351" s="1899"/>
      <c r="Y351" s="1899"/>
      <c r="Z351" s="1899"/>
      <c r="AA351" s="1899"/>
      <c r="AB351" s="1899"/>
      <c r="AC351" s="1899"/>
      <c r="AD351" s="1899"/>
      <c r="AE351" s="1899"/>
      <c r="AF351" s="1899"/>
      <c r="AG351" s="1899"/>
      <c r="AH351" s="1899"/>
      <c r="AI351" s="1899"/>
      <c r="AJ351" s="1899"/>
      <c r="AK351" s="1899"/>
    </row>
    <row r="352" spans="2:37" s="717" customFormat="1">
      <c r="B352" s="5"/>
      <c r="E352" s="6" t="s">
        <v>118</v>
      </c>
      <c r="F352" s="1899" t="s">
        <v>1450</v>
      </c>
      <c r="G352" s="1899"/>
      <c r="H352" s="1899"/>
      <c r="I352" s="1899"/>
      <c r="J352" s="1899"/>
      <c r="K352" s="1899"/>
      <c r="L352" s="1899"/>
      <c r="M352" s="1899"/>
      <c r="N352" s="1899"/>
      <c r="O352" s="1899"/>
      <c r="P352" s="1899"/>
      <c r="Q352" s="1899"/>
      <c r="R352" s="1899"/>
      <c r="S352" s="1899"/>
      <c r="T352" s="1899"/>
      <c r="U352" s="1899"/>
      <c r="V352" s="1899"/>
      <c r="W352" s="1899"/>
      <c r="X352" s="1899"/>
      <c r="Y352" s="1899"/>
      <c r="Z352" s="1899"/>
      <c r="AA352" s="1899"/>
      <c r="AB352" s="1899"/>
      <c r="AC352" s="1899"/>
      <c r="AD352" s="1899"/>
      <c r="AE352" s="1899"/>
      <c r="AF352" s="1899"/>
      <c r="AG352" s="1899"/>
      <c r="AH352" s="1899"/>
      <c r="AI352" s="1899"/>
      <c r="AJ352" s="1899"/>
      <c r="AK352" s="1899"/>
    </row>
    <row r="353" spans="1:38" s="717" customFormat="1">
      <c r="B353" s="5"/>
      <c r="F353" s="1899"/>
      <c r="G353" s="1899"/>
      <c r="H353" s="1899"/>
      <c r="I353" s="1899"/>
      <c r="J353" s="1899"/>
      <c r="K353" s="1899"/>
      <c r="L353" s="1899"/>
      <c r="M353" s="1899"/>
      <c r="N353" s="1899"/>
      <c r="O353" s="1899"/>
      <c r="P353" s="1899"/>
      <c r="Q353" s="1899"/>
      <c r="R353" s="1899"/>
      <c r="S353" s="1899"/>
      <c r="T353" s="1899"/>
      <c r="U353" s="1899"/>
      <c r="V353" s="1899"/>
      <c r="W353" s="1899"/>
      <c r="X353" s="1899"/>
      <c r="Y353" s="1899"/>
      <c r="Z353" s="1899"/>
      <c r="AA353" s="1899"/>
      <c r="AB353" s="1899"/>
      <c r="AC353" s="1899"/>
      <c r="AD353" s="1899"/>
      <c r="AE353" s="1899"/>
      <c r="AF353" s="1899"/>
      <c r="AG353" s="1899"/>
      <c r="AH353" s="1899"/>
      <c r="AI353" s="1899"/>
      <c r="AJ353" s="1899"/>
      <c r="AK353" s="1899"/>
    </row>
    <row r="354" spans="1:38" s="717" customFormat="1">
      <c r="B354" s="5"/>
      <c r="F354" s="1899"/>
      <c r="G354" s="1899"/>
      <c r="H354" s="1899"/>
      <c r="I354" s="1899"/>
      <c r="J354" s="1899"/>
      <c r="K354" s="1899"/>
      <c r="L354" s="1899"/>
      <c r="M354" s="1899"/>
      <c r="N354" s="1899"/>
      <c r="O354" s="1899"/>
      <c r="P354" s="1899"/>
      <c r="Q354" s="1899"/>
      <c r="R354" s="1899"/>
      <c r="S354" s="1899"/>
      <c r="T354" s="1899"/>
      <c r="U354" s="1899"/>
      <c r="V354" s="1899"/>
      <c r="W354" s="1899"/>
      <c r="X354" s="1899"/>
      <c r="Y354" s="1899"/>
      <c r="Z354" s="1899"/>
      <c r="AA354" s="1899"/>
      <c r="AB354" s="1899"/>
      <c r="AC354" s="1899"/>
      <c r="AD354" s="1899"/>
      <c r="AE354" s="1899"/>
      <c r="AF354" s="1899"/>
      <c r="AG354" s="1899"/>
      <c r="AH354" s="1899"/>
      <c r="AI354" s="1899"/>
      <c r="AJ354" s="1899"/>
      <c r="AK354" s="1899"/>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902" t="s">
        <v>1440</v>
      </c>
      <c r="F367" s="1902"/>
      <c r="G367" s="1902"/>
      <c r="H367" s="1902"/>
      <c r="I367" s="1902"/>
      <c r="J367" s="1902"/>
      <c r="K367" s="1902"/>
      <c r="L367" s="1902"/>
      <c r="M367" s="1902"/>
      <c r="N367" s="1902"/>
      <c r="O367" s="1902"/>
      <c r="P367" s="1902"/>
      <c r="Q367" s="1902"/>
      <c r="R367" s="1902"/>
      <c r="S367" s="1902"/>
      <c r="T367" s="1902"/>
      <c r="U367" s="1902"/>
      <c r="V367" s="1902"/>
      <c r="W367" s="1902"/>
      <c r="X367" s="1902"/>
      <c r="Y367" s="1902"/>
      <c r="Z367" s="1902"/>
      <c r="AA367" s="1902"/>
      <c r="AB367" s="1902"/>
      <c r="AC367" s="1902"/>
      <c r="AD367" s="1902"/>
      <c r="AE367" s="1902"/>
      <c r="AF367" s="1902"/>
      <c r="AG367" s="1902"/>
      <c r="AH367" s="1902"/>
      <c r="AI367" s="1902"/>
      <c r="AJ367" s="1902"/>
      <c r="AK367" s="1902"/>
      <c r="AL367" s="1902"/>
    </row>
    <row r="368" spans="1:38" s="717" customFormat="1">
      <c r="B368" s="5"/>
      <c r="E368" s="1902"/>
      <c r="F368" s="1902"/>
      <c r="G368" s="1902"/>
      <c r="H368" s="1902"/>
      <c r="I368" s="1902"/>
      <c r="J368" s="1902"/>
      <c r="K368" s="1902"/>
      <c r="L368" s="1902"/>
      <c r="M368" s="1902"/>
      <c r="N368" s="1902"/>
      <c r="O368" s="1902"/>
      <c r="P368" s="1902"/>
      <c r="Q368" s="1902"/>
      <c r="R368" s="1902"/>
      <c r="S368" s="1902"/>
      <c r="T368" s="1902"/>
      <c r="U368" s="1902"/>
      <c r="V368" s="1902"/>
      <c r="W368" s="1902"/>
      <c r="X368" s="1902"/>
      <c r="Y368" s="1902"/>
      <c r="Z368" s="1902"/>
      <c r="AA368" s="1902"/>
      <c r="AB368" s="1902"/>
      <c r="AC368" s="1902"/>
      <c r="AD368" s="1902"/>
      <c r="AE368" s="1902"/>
      <c r="AF368" s="1902"/>
      <c r="AG368" s="1902"/>
      <c r="AH368" s="1902"/>
      <c r="AI368" s="1902"/>
      <c r="AJ368" s="1902"/>
      <c r="AK368" s="1902"/>
      <c r="AL368" s="1902"/>
    </row>
    <row r="369" spans="1:38" s="1904" customFormat="1">
      <c r="A369"/>
      <c r="B369" s="5"/>
      <c r="C369"/>
      <c r="D369"/>
      <c r="E369" s="1903" t="s">
        <v>1489</v>
      </c>
    </row>
    <row r="370" spans="1:38" s="1904"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900" t="s">
        <v>1501</v>
      </c>
      <c r="G388" s="1900"/>
      <c r="H388" s="1900"/>
      <c r="I388" s="1900"/>
      <c r="J388" s="1900"/>
      <c r="K388" s="1900"/>
      <c r="L388" s="1900"/>
      <c r="M388" s="1900"/>
      <c r="N388" s="1900"/>
      <c r="O388" s="1900"/>
      <c r="P388" s="1900"/>
      <c r="Q388" s="1900"/>
      <c r="R388" s="1900"/>
      <c r="S388" s="1900"/>
      <c r="T388" s="1900"/>
      <c r="U388" s="1900"/>
      <c r="V388" s="1900"/>
      <c r="W388" s="1900"/>
      <c r="X388" s="1900"/>
      <c r="Y388" s="1900"/>
      <c r="Z388" s="1900"/>
      <c r="AA388" s="1900"/>
      <c r="AB388" s="1900"/>
      <c r="AC388" s="1900"/>
      <c r="AD388" s="1900"/>
      <c r="AE388" s="1900"/>
      <c r="AF388" s="1900"/>
      <c r="AG388" s="1900"/>
      <c r="AH388" s="1900"/>
      <c r="AI388" s="1900"/>
      <c r="AJ388" s="1900"/>
      <c r="AK388" s="1900"/>
      <c r="AL388" s="677"/>
    </row>
    <row r="389" spans="1:38" s="717" customFormat="1">
      <c r="A389" s="677"/>
      <c r="B389" s="183"/>
      <c r="C389" s="677"/>
      <c r="D389" s="677"/>
      <c r="E389" s="678"/>
      <c r="F389" s="1900"/>
      <c r="G389" s="1900"/>
      <c r="H389" s="1900"/>
      <c r="I389" s="1900"/>
      <c r="J389" s="1900"/>
      <c r="K389" s="1900"/>
      <c r="L389" s="1900"/>
      <c r="M389" s="1900"/>
      <c r="N389" s="1900"/>
      <c r="O389" s="1900"/>
      <c r="P389" s="1900"/>
      <c r="Q389" s="1900"/>
      <c r="R389" s="1900"/>
      <c r="S389" s="1900"/>
      <c r="T389" s="1900"/>
      <c r="U389" s="1900"/>
      <c r="V389" s="1900"/>
      <c r="W389" s="1900"/>
      <c r="X389" s="1900"/>
      <c r="Y389" s="1900"/>
      <c r="Z389" s="1900"/>
      <c r="AA389" s="1900"/>
      <c r="AB389" s="1900"/>
      <c r="AC389" s="1900"/>
      <c r="AD389" s="1900"/>
      <c r="AE389" s="1900"/>
      <c r="AF389" s="1900"/>
      <c r="AG389" s="1900"/>
      <c r="AH389" s="1900"/>
      <c r="AI389" s="1900"/>
      <c r="AJ389" s="1900"/>
      <c r="AK389" s="1900"/>
      <c r="AL389" s="677"/>
    </row>
    <row r="390" spans="1:38" s="717" customFormat="1">
      <c r="A390" s="677"/>
      <c r="B390" s="183"/>
      <c r="C390" s="677"/>
      <c r="D390" s="677"/>
      <c r="E390" s="678"/>
      <c r="F390" s="1900"/>
      <c r="G390" s="1900"/>
      <c r="H390" s="1900"/>
      <c r="I390" s="1900"/>
      <c r="J390" s="1900"/>
      <c r="K390" s="1900"/>
      <c r="L390" s="1900"/>
      <c r="M390" s="1900"/>
      <c r="N390" s="1900"/>
      <c r="O390" s="1900"/>
      <c r="P390" s="1900"/>
      <c r="Q390" s="1900"/>
      <c r="R390" s="1900"/>
      <c r="S390" s="1900"/>
      <c r="T390" s="1900"/>
      <c r="U390" s="1900"/>
      <c r="V390" s="1900"/>
      <c r="W390" s="1900"/>
      <c r="X390" s="1900"/>
      <c r="Y390" s="1900"/>
      <c r="Z390" s="1900"/>
      <c r="AA390" s="1900"/>
      <c r="AB390" s="1900"/>
      <c r="AC390" s="1900"/>
      <c r="AD390" s="1900"/>
      <c r="AE390" s="1900"/>
      <c r="AF390" s="1900"/>
      <c r="AG390" s="1900"/>
      <c r="AH390" s="1900"/>
      <c r="AI390" s="1900"/>
      <c r="AJ390" s="1900"/>
      <c r="AK390" s="1900"/>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D1" zoomScaleNormal="100" workbookViewId="0">
      <selection activeCell="K28" sqref="K28"/>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99" t="s">
        <v>1878</v>
      </c>
      <c r="B1" s="3299"/>
      <c r="C1" s="3299"/>
      <c r="D1" s="3299"/>
      <c r="E1" s="3299"/>
      <c r="F1" s="3299"/>
      <c r="G1" s="3299"/>
      <c r="H1" s="3299"/>
      <c r="I1" s="3299"/>
    </row>
    <row r="2" spans="1:11" ht="15">
      <c r="A2" s="1336"/>
      <c r="B2" s="1336"/>
      <c r="E2" s="1337"/>
      <c r="I2" s="1339"/>
      <c r="K2" s="1340"/>
    </row>
    <row r="3" spans="1:11">
      <c r="A3" s="1341" t="s">
        <v>1585</v>
      </c>
      <c r="B3" s="1341"/>
      <c r="C3" s="1334" t="s">
        <v>2181</v>
      </c>
      <c r="E3" s="1825">
        <f>ROUND(Application!AM564+'Basis &amp; Credits'!AB77,0)</f>
        <v>38051019</v>
      </c>
      <c r="F3" s="1342"/>
      <c r="K3" s="1413"/>
    </row>
    <row r="4" spans="1:11" s="1343" customFormat="1" ht="15" customHeight="1">
      <c r="C4" s="1343" t="s">
        <v>1879</v>
      </c>
      <c r="E4" s="1419">
        <f>Application!AD1037</f>
        <v>-6.5789473684210523E-3</v>
      </c>
      <c r="F4" s="1344"/>
      <c r="H4" s="1345"/>
      <c r="K4" s="1631"/>
    </row>
    <row r="5" spans="1:11" s="1346" customFormat="1" ht="15" customHeight="1">
      <c r="A5" s="3300"/>
      <c r="B5" s="3300"/>
      <c r="D5" s="1346" t="s">
        <v>2182</v>
      </c>
      <c r="E5" s="1347">
        <f>IF('CDLAC Points System'!C274="Yes",0.2,0)</f>
        <v>0.2</v>
      </c>
      <c r="F5" s="1344"/>
      <c r="H5" s="1345"/>
      <c r="K5" s="1632"/>
    </row>
    <row r="6" spans="1:11" s="1346" customFormat="1" ht="15" customHeight="1">
      <c r="A6" s="1495"/>
      <c r="B6" s="1495"/>
      <c r="D6" s="1346" t="s">
        <v>2183</v>
      </c>
      <c r="E6" s="1347" t="str">
        <f>IF(AND((Application!W464&gt;=(0.5*Application!G753)),Application!D210="Special Needs",(OR(Application!M354="Yes",Application!M355="Yes"))),0.2," ")</f>
        <v xml:space="preserve"> </v>
      </c>
      <c r="F6" s="1344"/>
      <c r="H6" s="1345"/>
      <c r="K6" s="1632"/>
    </row>
    <row r="7" spans="1:11" ht="15">
      <c r="A7" s="1336"/>
      <c r="B7" s="1336"/>
      <c r="C7" s="1334" t="s">
        <v>2185</v>
      </c>
      <c r="E7" s="1417">
        <f>E3-(E3*(E4+(MAX(E5,E6))))</f>
        <v>30691150.851315789</v>
      </c>
      <c r="F7" s="1342"/>
      <c r="I7" s="1348"/>
      <c r="K7" s="1633"/>
    </row>
    <row r="8" spans="1:11" ht="15">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5">
      <c r="A11" s="1336"/>
      <c r="B11" s="1336"/>
      <c r="C11" s="1360" t="s">
        <v>1886</v>
      </c>
      <c r="D11" s="1360"/>
      <c r="E11" s="1414">
        <f>Application!BN635+Application!BN644+Application!CS658</f>
        <v>0</v>
      </c>
      <c r="G11" s="1361">
        <v>0.9</v>
      </c>
      <c r="H11" s="1362"/>
      <c r="I11" s="1363">
        <f>E11*G11</f>
        <v>0</v>
      </c>
      <c r="J11" s="1354"/>
      <c r="K11" s="1358"/>
    </row>
    <row r="12" spans="1:11" ht="15">
      <c r="A12" s="1336"/>
      <c r="B12" s="1336"/>
      <c r="C12" s="1354" t="s">
        <v>1887</v>
      </c>
      <c r="D12" s="1354"/>
      <c r="E12" s="1414">
        <f>Application!BS635+Application!BS644+Application!CX658</f>
        <v>23</v>
      </c>
      <c r="G12" s="1361">
        <v>1</v>
      </c>
      <c r="H12" s="1362"/>
      <c r="I12" s="1363">
        <f>E12*G12</f>
        <v>23</v>
      </c>
      <c r="J12" s="1354"/>
    </row>
    <row r="13" spans="1:11" ht="15">
      <c r="A13" s="1336"/>
      <c r="B13" s="1336"/>
      <c r="C13" s="1354" t="s">
        <v>1888</v>
      </c>
      <c r="D13" s="1354"/>
      <c r="E13" s="1414">
        <f>Application!BX635+Application!BX644+Application!DC658</f>
        <v>18</v>
      </c>
      <c r="G13" s="1361">
        <v>1.25</v>
      </c>
      <c r="H13" s="1362"/>
      <c r="I13" s="1363">
        <f>E13*G13</f>
        <v>22.5</v>
      </c>
      <c r="J13" s="1354"/>
    </row>
    <row r="14" spans="1:11" ht="15">
      <c r="A14" s="1336"/>
      <c r="B14" s="1336"/>
      <c r="C14" s="1354" t="s">
        <v>1889</v>
      </c>
      <c r="D14" s="1354"/>
      <c r="E14" s="1414">
        <f>Application!CC635+Application!CC644+Application!DH658</f>
        <v>48</v>
      </c>
      <c r="G14" s="1361">
        <f>1.5+0.25*0</f>
        <v>1.5</v>
      </c>
      <c r="H14" s="1362"/>
      <c r="I14" s="1363">
        <f>IF(E14/E16&lt;=30%,E14*G14,TRUNC(0.3*E16)*G14+(E14-TRUNC(0.3*E16))*G13)</f>
        <v>66.5</v>
      </c>
      <c r="J14" s="1354"/>
    </row>
    <row r="15" spans="1:11" ht="15">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89</v>
      </c>
      <c r="G16" s="1337"/>
      <c r="I16" s="1418">
        <f>SUM(I11:I15)</f>
        <v>112</v>
      </c>
    </row>
    <row r="17" spans="1:9" ht="15">
      <c r="A17" s="1336"/>
      <c r="B17" s="1336"/>
      <c r="E17" s="1337"/>
      <c r="I17" s="1365"/>
    </row>
    <row r="18" spans="1:9" ht="15">
      <c r="A18" s="1341" t="s">
        <v>1590</v>
      </c>
      <c r="B18" s="1341"/>
      <c r="C18" s="1366" t="s">
        <v>1891</v>
      </c>
      <c r="D18" s="1338"/>
      <c r="E18" s="1367">
        <f>E7/I16</f>
        <v>274028.13260103384</v>
      </c>
      <c r="F18" s="1368"/>
      <c r="G18" s="1369"/>
      <c r="H18" s="1370"/>
      <c r="I18" s="1365"/>
    </row>
    <row r="21" spans="1:9" ht="14.25" customHeight="1">
      <c r="A21" s="3301" t="s">
        <v>2180</v>
      </c>
      <c r="B21" s="3301"/>
      <c r="C21" s="3301"/>
      <c r="D21" s="3301"/>
      <c r="E21" s="3301"/>
      <c r="F21" s="3301"/>
      <c r="G21" s="3301"/>
      <c r="H21" s="3301"/>
      <c r="I21" s="3301"/>
    </row>
    <row r="22" spans="1:9">
      <c r="A22" s="3301"/>
      <c r="B22" s="3301"/>
      <c r="C22" s="3301"/>
      <c r="D22" s="3301"/>
      <c r="E22" s="3301"/>
      <c r="F22" s="3301"/>
      <c r="G22" s="3301"/>
      <c r="H22" s="3301"/>
      <c r="I22" s="3301"/>
    </row>
    <row r="23" spans="1:9">
      <c r="A23" s="3301"/>
      <c r="B23" s="3301"/>
      <c r="C23" s="3301"/>
      <c r="D23" s="3301"/>
      <c r="E23" s="3301"/>
      <c r="F23" s="3301"/>
      <c r="G23" s="3301"/>
      <c r="H23" s="3301"/>
      <c r="I23" s="3301"/>
    </row>
    <row r="24" spans="1:9">
      <c r="A24" s="3301"/>
      <c r="B24" s="3301"/>
      <c r="C24" s="3301"/>
      <c r="D24" s="3301"/>
      <c r="E24" s="3301"/>
      <c r="F24" s="3301"/>
      <c r="G24" s="3301"/>
      <c r="H24" s="3301"/>
      <c r="I24" s="3301"/>
    </row>
    <row r="26" spans="1:9" ht="20.100000000000001"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50" zoomScaleNormal="100" zoomScaleSheetLayoutView="100" workbookViewId="0">
      <selection activeCell="X54" sqref="X54"/>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58" t="s">
        <v>1522</v>
      </c>
      <c r="B1" s="3358"/>
      <c r="C1" s="3358"/>
      <c r="D1" s="3358"/>
      <c r="E1" s="3358"/>
      <c r="F1" s="3358"/>
      <c r="G1" s="3358"/>
      <c r="H1" s="3358"/>
      <c r="I1" s="3358"/>
      <c r="J1" s="3358"/>
      <c r="K1" s="3358"/>
      <c r="L1" s="3358"/>
      <c r="M1" s="3358"/>
      <c r="N1" s="3358"/>
      <c r="O1" s="3358"/>
      <c r="P1" s="3358"/>
      <c r="Q1" s="3358"/>
      <c r="R1" s="3358"/>
      <c r="S1" s="3358"/>
      <c r="T1" s="3358"/>
      <c r="U1" s="3358"/>
      <c r="V1" s="3358"/>
      <c r="W1" s="3358"/>
      <c r="X1" s="3358"/>
      <c r="Y1" s="3358"/>
      <c r="Z1" s="3358"/>
      <c r="AA1" s="3358"/>
      <c r="AB1" s="3358"/>
      <c r="AC1" s="3358"/>
      <c r="AD1" s="3358"/>
      <c r="AE1" s="3358"/>
      <c r="AF1" s="3358"/>
      <c r="AG1" s="3358"/>
      <c r="AH1" s="3358"/>
      <c r="AI1" s="3358"/>
      <c r="AJ1" s="3358"/>
      <c r="AK1" s="3358"/>
      <c r="AL1" s="3358"/>
      <c r="AM1" s="3358"/>
      <c r="AN1" s="3358"/>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59"/>
      <c r="B2" s="3359"/>
      <c r="C2" s="3359"/>
      <c r="D2" s="3359"/>
      <c r="E2" s="3359"/>
      <c r="F2" s="3359"/>
      <c r="G2" s="3359"/>
      <c r="H2" s="3359"/>
      <c r="I2" s="3359"/>
      <c r="J2" s="3359"/>
      <c r="K2" s="3359"/>
      <c r="L2" s="3359"/>
      <c r="M2" s="3359"/>
      <c r="N2" s="3359"/>
      <c r="O2" s="3359"/>
      <c r="P2" s="3359"/>
      <c r="Q2" s="3359"/>
      <c r="R2" s="3359"/>
      <c r="S2" s="3359"/>
      <c r="T2" s="3359"/>
      <c r="U2" s="3359"/>
      <c r="V2" s="3359"/>
      <c r="W2" s="3359"/>
      <c r="X2" s="3359"/>
      <c r="Y2" s="3359"/>
      <c r="Z2" s="3359"/>
      <c r="AA2" s="3359"/>
      <c r="AB2" s="3359"/>
      <c r="AC2" s="3359"/>
      <c r="AD2" s="3359"/>
      <c r="AE2" s="3359"/>
      <c r="AF2" s="3359"/>
      <c r="AG2" s="3359"/>
      <c r="AH2" s="3359"/>
      <c r="AI2" s="3359"/>
      <c r="AJ2" s="3359"/>
      <c r="AK2" s="3359"/>
      <c r="AL2" s="3359"/>
      <c r="AM2" s="3359"/>
      <c r="AN2" s="3359"/>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33" t="str">
        <f xml:space="preserve"> IF(T25=100%,'Sources and Basis Breakdown'!G2,'Sources and Basis Breakdown'!F2)</f>
        <v>30% PVC for New Const/
Rehabilitation
DDA/QCT
Building(s)</v>
      </c>
      <c r="U7" s="3333"/>
      <c r="V7" s="3333"/>
      <c r="W7" s="3333"/>
      <c r="X7" s="3333"/>
      <c r="Y7" s="3333" t="str">
        <f>IF(T25=100%," ",'Sources and Basis Breakdown'!G2)</f>
        <v>30% PVC for New Const/
Rehabilitation
NON-DDA/
NON-QCT Building(s)</v>
      </c>
      <c r="Z7" s="3333"/>
      <c r="AA7" s="3333"/>
      <c r="AB7" s="3333"/>
      <c r="AC7" s="3333"/>
      <c r="AD7" s="3333" t="str">
        <f xml:space="preserve"> IF(T25=100%, 'Sources and Basis Breakdown'!J2,'Sources and Basis Breakdown'!I2)</f>
        <v>30% PVC for Acquisition
DDA/QCT Building(s)</v>
      </c>
      <c r="AE7" s="3333"/>
      <c r="AF7" s="3333"/>
      <c r="AG7" s="3333"/>
      <c r="AH7" s="3333"/>
      <c r="AI7" s="3333" t="str">
        <f>IF(T25=100%," ",'Sources and Basis Breakdown'!J2)</f>
        <v>30% PVC for Acquisition
NON-DDA/
NON-QCT Building(s)</v>
      </c>
      <c r="AJ7" s="3333"/>
      <c r="AK7" s="3333"/>
      <c r="AL7" s="3333"/>
      <c r="AM7" s="3333"/>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33"/>
      <c r="U8" s="3333"/>
      <c r="V8" s="3333"/>
      <c r="W8" s="3333"/>
      <c r="X8" s="3333"/>
      <c r="Y8" s="3333"/>
      <c r="Z8" s="3333"/>
      <c r="AA8" s="3333"/>
      <c r="AB8" s="3333"/>
      <c r="AC8" s="3333"/>
      <c r="AD8" s="3333"/>
      <c r="AE8" s="3333"/>
      <c r="AF8" s="3333"/>
      <c r="AG8" s="3333"/>
      <c r="AH8" s="3333"/>
      <c r="AI8" s="3333"/>
      <c r="AJ8" s="3333"/>
      <c r="AK8" s="3333"/>
      <c r="AL8" s="3333"/>
      <c r="AM8" s="3333"/>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33"/>
      <c r="U9" s="3333"/>
      <c r="V9" s="3333"/>
      <c r="W9" s="3333"/>
      <c r="X9" s="3333"/>
      <c r="Y9" s="3333"/>
      <c r="Z9" s="3333"/>
      <c r="AA9" s="3333"/>
      <c r="AB9" s="3333"/>
      <c r="AC9" s="3333"/>
      <c r="AD9" s="3333"/>
      <c r="AE9" s="3333"/>
      <c r="AF9" s="3333"/>
      <c r="AG9" s="3333"/>
      <c r="AH9" s="3333"/>
      <c r="AI9" s="3333"/>
      <c r="AJ9" s="3333"/>
      <c r="AK9" s="3333"/>
      <c r="AL9" s="3333"/>
      <c r="AM9" s="3333"/>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33"/>
      <c r="U10" s="3333"/>
      <c r="V10" s="3333"/>
      <c r="W10" s="3333"/>
      <c r="X10" s="3333"/>
      <c r="Y10" s="3333"/>
      <c r="Z10" s="3333"/>
      <c r="AA10" s="3333"/>
      <c r="AB10" s="3333"/>
      <c r="AC10" s="3333"/>
      <c r="AD10" s="3333"/>
      <c r="AE10" s="3333"/>
      <c r="AF10" s="3333"/>
      <c r="AG10" s="3333"/>
      <c r="AH10" s="3333"/>
      <c r="AI10" s="3333"/>
      <c r="AJ10" s="3333"/>
      <c r="AK10" s="3333"/>
      <c r="AL10" s="3333"/>
      <c r="AM10" s="3333"/>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315" t="s">
        <v>392</v>
      </c>
      <c r="C11" s="3316"/>
      <c r="D11" s="3316"/>
      <c r="E11" s="3316"/>
      <c r="F11" s="3316"/>
      <c r="G11" s="3316"/>
      <c r="H11" s="3316"/>
      <c r="I11" s="3316"/>
      <c r="J11" s="3316"/>
      <c r="K11" s="3316"/>
      <c r="L11" s="3316"/>
      <c r="M11" s="3316"/>
      <c r="N11" s="3316"/>
      <c r="O11" s="3316"/>
      <c r="P11" s="3316"/>
      <c r="Q11" s="3316"/>
      <c r="R11" s="3316"/>
      <c r="S11" s="3317"/>
      <c r="T11" s="3360">
        <f>IF('Sources and Basis Breakdown'!F107=0,'Sources and Basis Breakdown'!E107,'Sources and Basis Breakdown'!F107)</f>
        <v>40518616</v>
      </c>
      <c r="U11" s="3361"/>
      <c r="V11" s="3361"/>
      <c r="W11" s="3361"/>
      <c r="X11" s="3361"/>
      <c r="Y11" s="3360">
        <f>IF(Y7=" ",0,IF('Sources and Basis Breakdown'!G107+'Sources and Basis Breakdown'!F107='Sources and Basis Breakdown'!E107,'Sources and Basis Breakdown'!G107,0))</f>
        <v>0</v>
      </c>
      <c r="Z11" s="3361"/>
      <c r="AA11" s="3361"/>
      <c r="AB11" s="3361"/>
      <c r="AC11" s="3361"/>
      <c r="AD11" s="3361">
        <f>IF('Sources and Basis Breakdown'!I107=0,'Sources and Basis Breakdown'!H107,'Sources and Basis Breakdown'!I107)</f>
        <v>313677</v>
      </c>
      <c r="AE11" s="3361"/>
      <c r="AF11" s="3361"/>
      <c r="AG11" s="3361"/>
      <c r="AH11" s="3361"/>
      <c r="AI11" s="3361">
        <f>IF(Y7=" ",0,IF('Sources and Basis Breakdown'!I107+'Sources and Basis Breakdown'!J107='Sources and Basis Breakdown'!H107,'Sources and Basis Breakdown'!J107,0))</f>
        <v>0</v>
      </c>
      <c r="AJ11" s="3361"/>
      <c r="AK11" s="3361"/>
      <c r="AL11" s="3361"/>
      <c r="AM11" s="3361"/>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64" t="s">
        <v>529</v>
      </c>
      <c r="C12" s="3365"/>
      <c r="D12" s="3365"/>
      <c r="E12" s="3365"/>
      <c r="F12" s="3365"/>
      <c r="G12" s="3365"/>
      <c r="H12" s="3365"/>
      <c r="I12" s="3365"/>
      <c r="J12" s="3365"/>
      <c r="K12" s="3365"/>
      <c r="L12" s="3365"/>
      <c r="M12" s="3365"/>
      <c r="N12" s="3365"/>
      <c r="O12" s="3365"/>
      <c r="P12" s="3365"/>
      <c r="Q12" s="3365"/>
      <c r="R12" s="3365"/>
      <c r="S12" s="3366"/>
      <c r="T12" s="3353"/>
      <c r="U12" s="3354"/>
      <c r="V12" s="3354"/>
      <c r="W12" s="3354"/>
      <c r="X12" s="3355"/>
      <c r="Y12" s="3353"/>
      <c r="Z12" s="3354"/>
      <c r="AA12" s="3354"/>
      <c r="AB12" s="3354"/>
      <c r="AC12" s="3355"/>
      <c r="AD12" s="3353"/>
      <c r="AE12" s="3354"/>
      <c r="AF12" s="3354"/>
      <c r="AG12" s="3354"/>
      <c r="AH12" s="3355"/>
      <c r="AI12" s="3353"/>
      <c r="AJ12" s="3354"/>
      <c r="AK12" s="3354"/>
      <c r="AL12" s="3354"/>
      <c r="AM12" s="3355"/>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67" t="s">
        <v>530</v>
      </c>
      <c r="D13" s="3367"/>
      <c r="E13" s="3367"/>
      <c r="F13" s="3367"/>
      <c r="G13" s="3367"/>
      <c r="H13" s="3367"/>
      <c r="I13" s="3367"/>
      <c r="J13" s="3367"/>
      <c r="K13" s="3367"/>
      <c r="L13" s="3367"/>
      <c r="M13" s="3367"/>
      <c r="N13" s="3367"/>
      <c r="O13" s="3367"/>
      <c r="P13" s="3367"/>
      <c r="Q13" s="3367"/>
      <c r="R13" s="3367"/>
      <c r="S13" s="3368"/>
      <c r="T13" s="3356"/>
      <c r="U13" s="3357"/>
      <c r="V13" s="3357"/>
      <c r="W13" s="3357"/>
      <c r="X13" s="3357"/>
      <c r="Y13" s="3356"/>
      <c r="Z13" s="3357"/>
      <c r="AA13" s="3357"/>
      <c r="AB13" s="3357"/>
      <c r="AC13" s="3357"/>
      <c r="AD13" s="3357"/>
      <c r="AE13" s="3357"/>
      <c r="AF13" s="3357"/>
      <c r="AG13" s="3357"/>
      <c r="AH13" s="3357"/>
      <c r="AI13" s="3357"/>
      <c r="AJ13" s="3357"/>
      <c r="AK13" s="3357"/>
      <c r="AL13" s="3357"/>
      <c r="AM13" s="3357"/>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67" t="s">
        <v>531</v>
      </c>
      <c r="D14" s="3367"/>
      <c r="E14" s="3367"/>
      <c r="F14" s="3367"/>
      <c r="G14" s="3367"/>
      <c r="H14" s="3367"/>
      <c r="I14" s="3367"/>
      <c r="J14" s="3367"/>
      <c r="K14" s="3367"/>
      <c r="L14" s="3367"/>
      <c r="M14" s="3367"/>
      <c r="N14" s="3367"/>
      <c r="O14" s="3367"/>
      <c r="P14" s="3367"/>
      <c r="Q14" s="3367"/>
      <c r="R14" s="3367"/>
      <c r="S14" s="3368"/>
      <c r="T14" s="3342"/>
      <c r="U14" s="3343"/>
      <c r="V14" s="3343"/>
      <c r="W14" s="3343"/>
      <c r="X14" s="3343"/>
      <c r="Y14" s="3342"/>
      <c r="Z14" s="3343"/>
      <c r="AA14" s="3343"/>
      <c r="AB14" s="3343"/>
      <c r="AC14" s="3343"/>
      <c r="AD14" s="3343"/>
      <c r="AE14" s="3343"/>
      <c r="AF14" s="3343"/>
      <c r="AG14" s="3343"/>
      <c r="AH14" s="3343"/>
      <c r="AI14" s="3343"/>
      <c r="AJ14" s="3343"/>
      <c r="AK14" s="3343"/>
      <c r="AL14" s="3343"/>
      <c r="AM14" s="3343"/>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67" t="s">
        <v>532</v>
      </c>
      <c r="D15" s="3367"/>
      <c r="E15" s="3367"/>
      <c r="F15" s="3367"/>
      <c r="G15" s="3367"/>
      <c r="H15" s="3367"/>
      <c r="I15" s="3367"/>
      <c r="J15" s="3367"/>
      <c r="K15" s="3367"/>
      <c r="L15" s="3367"/>
      <c r="M15" s="3367"/>
      <c r="N15" s="3367"/>
      <c r="O15" s="3367"/>
      <c r="P15" s="3367"/>
      <c r="Q15" s="3367"/>
      <c r="R15" s="3367"/>
      <c r="S15" s="3368"/>
      <c r="T15" s="3342"/>
      <c r="U15" s="3343"/>
      <c r="V15" s="3343"/>
      <c r="W15" s="3343"/>
      <c r="X15" s="3343"/>
      <c r="Y15" s="3342"/>
      <c r="Z15" s="3343"/>
      <c r="AA15" s="3343"/>
      <c r="AB15" s="3343"/>
      <c r="AC15" s="3343"/>
      <c r="AD15" s="3343"/>
      <c r="AE15" s="3343"/>
      <c r="AF15" s="3343"/>
      <c r="AG15" s="3343"/>
      <c r="AH15" s="3343"/>
      <c r="AI15" s="3343"/>
      <c r="AJ15" s="3343"/>
      <c r="AK15" s="3343"/>
      <c r="AL15" s="3343"/>
      <c r="AM15" s="3343"/>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67" t="s">
        <v>863</v>
      </c>
      <c r="D16" s="3367"/>
      <c r="E16" s="3367"/>
      <c r="F16" s="3367"/>
      <c r="G16" s="3367"/>
      <c r="H16" s="3367"/>
      <c r="I16" s="3367"/>
      <c r="J16" s="3367"/>
      <c r="K16" s="3367"/>
      <c r="L16" s="3367"/>
      <c r="M16" s="3367"/>
      <c r="N16" s="3367"/>
      <c r="O16" s="3367"/>
      <c r="P16" s="3367"/>
      <c r="Q16" s="3367"/>
      <c r="R16" s="3367"/>
      <c r="S16" s="3368"/>
      <c r="T16" s="3342"/>
      <c r="U16" s="3343"/>
      <c r="V16" s="3343"/>
      <c r="W16" s="3343"/>
      <c r="X16" s="3343"/>
      <c r="Y16" s="3342"/>
      <c r="Z16" s="3343"/>
      <c r="AA16" s="3343"/>
      <c r="AB16" s="3343"/>
      <c r="AC16" s="3343"/>
      <c r="AD16" s="3343"/>
      <c r="AE16" s="3343"/>
      <c r="AF16" s="3343"/>
      <c r="AG16" s="3343"/>
      <c r="AH16" s="3343"/>
      <c r="AI16" s="3343"/>
      <c r="AJ16" s="3343"/>
      <c r="AK16" s="3343"/>
      <c r="AL16" s="3343"/>
      <c r="AM16" s="3343"/>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67" t="s">
        <v>533</v>
      </c>
      <c r="D17" s="3367"/>
      <c r="E17" s="3367"/>
      <c r="F17" s="3367"/>
      <c r="G17" s="3367"/>
      <c r="H17" s="3367"/>
      <c r="I17" s="3367"/>
      <c r="J17" s="3367"/>
      <c r="K17" s="3367"/>
      <c r="L17" s="3367"/>
      <c r="M17" s="3367"/>
      <c r="N17" s="3367"/>
      <c r="O17" s="3367"/>
      <c r="P17" s="3367"/>
      <c r="Q17" s="3367"/>
      <c r="R17" s="3367"/>
      <c r="S17" s="3368"/>
      <c r="T17" s="3342"/>
      <c r="U17" s="3343"/>
      <c r="V17" s="3343"/>
      <c r="W17" s="3343"/>
      <c r="X17" s="3343"/>
      <c r="Y17" s="3342"/>
      <c r="Z17" s="3343"/>
      <c r="AA17" s="3343"/>
      <c r="AB17" s="3343"/>
      <c r="AC17" s="3343"/>
      <c r="AD17" s="3343"/>
      <c r="AE17" s="3343"/>
      <c r="AF17" s="3343"/>
      <c r="AG17" s="3343"/>
      <c r="AH17" s="3343"/>
      <c r="AI17" s="3343"/>
      <c r="AJ17" s="3343"/>
      <c r="AK17" s="3343"/>
      <c r="AL17" s="3343"/>
      <c r="AM17" s="3343"/>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62" t="s">
        <v>1038</v>
      </c>
      <c r="D18" s="3362"/>
      <c r="E18" s="3362"/>
      <c r="F18" s="3362"/>
      <c r="G18" s="3362"/>
      <c r="H18" s="3362"/>
      <c r="I18" s="3362"/>
      <c r="J18" s="3362"/>
      <c r="K18" s="3362"/>
      <c r="L18" s="3362"/>
      <c r="M18" s="3362"/>
      <c r="N18" s="3362"/>
      <c r="O18" s="3362"/>
      <c r="P18" s="3362"/>
      <c r="Q18" s="3362"/>
      <c r="R18" s="3362"/>
      <c r="S18" s="3363"/>
      <c r="T18" s="3342"/>
      <c r="U18" s="3343"/>
      <c r="V18" s="3343"/>
      <c r="W18" s="3343"/>
      <c r="X18" s="3343"/>
      <c r="Y18" s="3342"/>
      <c r="Z18" s="3343"/>
      <c r="AA18" s="3343"/>
      <c r="AB18" s="3343"/>
      <c r="AC18" s="3343"/>
      <c r="AD18" s="3343"/>
      <c r="AE18" s="3343"/>
      <c r="AF18" s="3343"/>
      <c r="AG18" s="3343"/>
      <c r="AH18" s="3343"/>
      <c r="AI18" s="3343"/>
      <c r="AJ18" s="3343"/>
      <c r="AK18" s="3343"/>
      <c r="AL18" s="3343"/>
      <c r="AM18" s="3343"/>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62" t="s">
        <v>1038</v>
      </c>
      <c r="D19" s="3362"/>
      <c r="E19" s="3362"/>
      <c r="F19" s="3362"/>
      <c r="G19" s="3362"/>
      <c r="H19" s="3362"/>
      <c r="I19" s="3362"/>
      <c r="J19" s="3362"/>
      <c r="K19" s="3362"/>
      <c r="L19" s="3362"/>
      <c r="M19" s="3362"/>
      <c r="N19" s="3362"/>
      <c r="O19" s="3362"/>
      <c r="P19" s="3362"/>
      <c r="Q19" s="3362"/>
      <c r="R19" s="3362"/>
      <c r="S19" s="3363"/>
      <c r="T19" s="3342"/>
      <c r="U19" s="3343"/>
      <c r="V19" s="3343"/>
      <c r="W19" s="3343"/>
      <c r="X19" s="3343"/>
      <c r="Y19" s="3342"/>
      <c r="Z19" s="3343"/>
      <c r="AA19" s="3343"/>
      <c r="AB19" s="3343"/>
      <c r="AC19" s="3343"/>
      <c r="AD19" s="3343"/>
      <c r="AE19" s="3343"/>
      <c r="AF19" s="3343"/>
      <c r="AG19" s="3343"/>
      <c r="AH19" s="3343"/>
      <c r="AI19" s="3343"/>
      <c r="AJ19" s="3343"/>
      <c r="AK19" s="3343"/>
      <c r="AL19" s="3343"/>
      <c r="AM19" s="3343"/>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315" t="s">
        <v>534</v>
      </c>
      <c r="C20" s="3316"/>
      <c r="D20" s="3316"/>
      <c r="E20" s="3316"/>
      <c r="F20" s="3316"/>
      <c r="G20" s="3316"/>
      <c r="H20" s="3316"/>
      <c r="I20" s="3316"/>
      <c r="J20" s="3316"/>
      <c r="K20" s="3316"/>
      <c r="L20" s="3316"/>
      <c r="M20" s="3316"/>
      <c r="N20" s="3316"/>
      <c r="O20" s="3316"/>
      <c r="P20" s="3316"/>
      <c r="Q20" s="3316"/>
      <c r="R20" s="3316"/>
      <c r="S20" s="3317"/>
      <c r="T20" s="3332">
        <f>SUM(T13:X19)</f>
        <v>0</v>
      </c>
      <c r="U20" s="3335"/>
      <c r="V20" s="3335"/>
      <c r="W20" s="3335"/>
      <c r="X20" s="3335"/>
      <c r="Y20" s="3332">
        <f>SUM(Y13:AC19)</f>
        <v>0</v>
      </c>
      <c r="Z20" s="3335"/>
      <c r="AA20" s="3335"/>
      <c r="AB20" s="3335"/>
      <c r="AC20" s="3335"/>
      <c r="AD20" s="3330">
        <f>SUM(AD13:AH19)</f>
        <v>0</v>
      </c>
      <c r="AE20" s="3331"/>
      <c r="AF20" s="3331"/>
      <c r="AG20" s="3331"/>
      <c r="AH20" s="3332"/>
      <c r="AI20" s="3330">
        <f>SUM(AI13:AM19)</f>
        <v>0</v>
      </c>
      <c r="AJ20" s="3331"/>
      <c r="AK20" s="3331"/>
      <c r="AL20" s="3331"/>
      <c r="AM20" s="3332"/>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315" t="s">
        <v>1494</v>
      </c>
      <c r="C21" s="3316"/>
      <c r="D21" s="3316"/>
      <c r="E21" s="3316"/>
      <c r="F21" s="3316"/>
      <c r="G21" s="3316"/>
      <c r="H21" s="3316"/>
      <c r="I21" s="3316"/>
      <c r="J21" s="3316"/>
      <c r="K21" s="3316"/>
      <c r="L21" s="3316"/>
      <c r="M21" s="3316"/>
      <c r="N21" s="3316"/>
      <c r="O21" s="3316"/>
      <c r="P21" s="3316"/>
      <c r="Q21" s="3316"/>
      <c r="R21" s="3316"/>
      <c r="S21" s="3317"/>
      <c r="T21" s="3342"/>
      <c r="U21" s="3343"/>
      <c r="V21" s="3343"/>
      <c r="W21" s="3343"/>
      <c r="X21" s="3343"/>
      <c r="Y21" s="3342"/>
      <c r="Z21" s="3343"/>
      <c r="AA21" s="3343"/>
      <c r="AB21" s="3343"/>
      <c r="AC21" s="3343"/>
      <c r="AD21" s="3353"/>
      <c r="AE21" s="3354"/>
      <c r="AF21" s="3354"/>
      <c r="AG21" s="3354"/>
      <c r="AH21" s="3355"/>
      <c r="AI21" s="3353"/>
      <c r="AJ21" s="3354"/>
      <c r="AK21" s="3354"/>
      <c r="AL21" s="3354"/>
      <c r="AM21" s="3355"/>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315" t="s">
        <v>535</v>
      </c>
      <c r="C22" s="3316"/>
      <c r="D22" s="3316"/>
      <c r="E22" s="3316"/>
      <c r="F22" s="3316"/>
      <c r="G22" s="3316"/>
      <c r="H22" s="3316"/>
      <c r="I22" s="3316"/>
      <c r="J22" s="3316"/>
      <c r="K22" s="3316"/>
      <c r="L22" s="3316"/>
      <c r="M22" s="3316"/>
      <c r="N22" s="3316"/>
      <c r="O22" s="3316"/>
      <c r="P22" s="3316"/>
      <c r="Q22" s="3316"/>
      <c r="R22" s="3316"/>
      <c r="S22" s="3317"/>
      <c r="T22" s="3338">
        <f>(T20+T21)*-1</f>
        <v>0</v>
      </c>
      <c r="U22" s="3339"/>
      <c r="V22" s="3339"/>
      <c r="W22" s="3339"/>
      <c r="X22" s="3339"/>
      <c r="Y22" s="3338">
        <f>(Y20+Y21)*-1</f>
        <v>0</v>
      </c>
      <c r="Z22" s="3339"/>
      <c r="AA22" s="3339"/>
      <c r="AB22" s="3339"/>
      <c r="AC22" s="3339"/>
      <c r="AD22" s="3340">
        <f>(AD20)*-1</f>
        <v>0</v>
      </c>
      <c r="AE22" s="3341"/>
      <c r="AF22" s="3341"/>
      <c r="AG22" s="3341"/>
      <c r="AH22" s="3338"/>
      <c r="AI22" s="3340">
        <f>(AI20)*-1</f>
        <v>0</v>
      </c>
      <c r="AJ22" s="3341"/>
      <c r="AK22" s="3341"/>
      <c r="AL22" s="3341"/>
      <c r="AM22" s="3338"/>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71" t="s">
        <v>536</v>
      </c>
      <c r="C23" s="3372"/>
      <c r="D23" s="3372"/>
      <c r="E23" s="3372"/>
      <c r="F23" s="3372"/>
      <c r="G23" s="3372"/>
      <c r="H23" s="3372"/>
      <c r="I23" s="3372"/>
      <c r="J23" s="3372"/>
      <c r="K23" s="3372"/>
      <c r="L23" s="3372"/>
      <c r="M23" s="3372"/>
      <c r="N23" s="3372"/>
      <c r="O23" s="3372"/>
      <c r="P23" s="3372"/>
      <c r="Q23" s="3372"/>
      <c r="R23" s="3372"/>
      <c r="S23" s="3373"/>
      <c r="T23" s="3332">
        <f>T11+T22</f>
        <v>40518616</v>
      </c>
      <c r="U23" s="3335"/>
      <c r="V23" s="3335"/>
      <c r="W23" s="3335"/>
      <c r="X23" s="3335"/>
      <c r="Y23" s="3332">
        <f>Y11+Y22</f>
        <v>0</v>
      </c>
      <c r="Z23" s="3335"/>
      <c r="AA23" s="3335"/>
      <c r="AB23" s="3335"/>
      <c r="AC23" s="3335"/>
      <c r="AD23" s="3332">
        <f>AD11+AD22</f>
        <v>313677</v>
      </c>
      <c r="AE23" s="3335"/>
      <c r="AF23" s="3335"/>
      <c r="AG23" s="3335"/>
      <c r="AH23" s="3335"/>
      <c r="AI23" s="3332">
        <f>AI11+AI22</f>
        <v>0</v>
      </c>
      <c r="AJ23" s="3335"/>
      <c r="AK23" s="3335"/>
      <c r="AL23" s="3335"/>
      <c r="AM23" s="3335"/>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315" t="s">
        <v>1039</v>
      </c>
      <c r="C24" s="3316"/>
      <c r="D24" s="3316"/>
      <c r="E24" s="3316"/>
      <c r="F24" s="3316"/>
      <c r="G24" s="3316"/>
      <c r="H24" s="3316"/>
      <c r="I24" s="3316"/>
      <c r="J24" s="3316"/>
      <c r="K24" s="3316"/>
      <c r="L24" s="3316"/>
      <c r="M24" s="3316"/>
      <c r="N24" s="3316"/>
      <c r="O24" s="3316"/>
      <c r="P24" s="3316"/>
      <c r="Q24" s="3316"/>
      <c r="R24" s="3316"/>
      <c r="S24" s="3317"/>
      <c r="T24" s="3330">
        <f>Application!AJ1032</f>
        <v>57118313.600000001</v>
      </c>
      <c r="U24" s="3331"/>
      <c r="V24" s="3331"/>
      <c r="W24" s="3331"/>
      <c r="X24" s="3331"/>
      <c r="Y24" s="3331"/>
      <c r="Z24" s="3331"/>
      <c r="AA24" s="3331"/>
      <c r="AB24" s="3331"/>
      <c r="AC24" s="3331"/>
      <c r="AD24" s="3331"/>
      <c r="AE24" s="3331"/>
      <c r="AF24" s="3331"/>
      <c r="AG24" s="3331"/>
      <c r="AH24" s="3331"/>
      <c r="AI24" s="3331"/>
      <c r="AJ24" s="3331"/>
      <c r="AK24" s="3331"/>
      <c r="AL24" s="3331"/>
      <c r="AM24" s="3332"/>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74" t="s">
        <v>1495</v>
      </c>
      <c r="C25" s="3375"/>
      <c r="D25" s="3375"/>
      <c r="E25" s="3375"/>
      <c r="F25" s="3375"/>
      <c r="G25" s="3375"/>
      <c r="H25" s="3375"/>
      <c r="I25" s="3375"/>
      <c r="J25" s="3375"/>
      <c r="K25" s="3375"/>
      <c r="L25" s="3375"/>
      <c r="M25" s="3375"/>
      <c r="N25" s="3375"/>
      <c r="O25" s="3375"/>
      <c r="P25" s="3375"/>
      <c r="Q25" s="3375"/>
      <c r="R25" s="3375"/>
      <c r="S25" s="3376"/>
      <c r="T25" s="3348">
        <f>IF(OR(Application!T195="yes",Application!T194="yes"),1.3,1)</f>
        <v>1.3</v>
      </c>
      <c r="U25" s="3349"/>
      <c r="V25" s="3349"/>
      <c r="W25" s="3349"/>
      <c r="X25" s="3349"/>
      <c r="Y25" s="3348">
        <v>1</v>
      </c>
      <c r="Z25" s="3349"/>
      <c r="AA25" s="3349"/>
      <c r="AB25" s="3349"/>
      <c r="AC25" s="3349"/>
      <c r="AD25" s="3348">
        <v>1</v>
      </c>
      <c r="AE25" s="3349"/>
      <c r="AF25" s="3349"/>
      <c r="AG25" s="3349"/>
      <c r="AH25" s="3350"/>
      <c r="AI25" s="3348">
        <v>1</v>
      </c>
      <c r="AJ25" s="3349"/>
      <c r="AK25" s="3349"/>
      <c r="AL25" s="3349"/>
      <c r="AM25" s="3350"/>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315" t="s">
        <v>537</v>
      </c>
      <c r="C26" s="3316"/>
      <c r="D26" s="3316"/>
      <c r="E26" s="3316"/>
      <c r="F26" s="3316"/>
      <c r="G26" s="3316"/>
      <c r="H26" s="3316"/>
      <c r="I26" s="3316"/>
      <c r="J26" s="3316"/>
      <c r="K26" s="3316"/>
      <c r="L26" s="3316"/>
      <c r="M26" s="3316"/>
      <c r="N26" s="3316"/>
      <c r="O26" s="3316"/>
      <c r="P26" s="3316"/>
      <c r="Q26" s="3316"/>
      <c r="R26" s="3316"/>
      <c r="S26" s="3317"/>
      <c r="T26" s="3351">
        <f>T23*T25</f>
        <v>52674200.800000004</v>
      </c>
      <c r="U26" s="3352"/>
      <c r="V26" s="3352"/>
      <c r="W26" s="3352"/>
      <c r="X26" s="3352"/>
      <c r="Y26" s="3351">
        <f>Y23*Y25</f>
        <v>0</v>
      </c>
      <c r="Z26" s="3352"/>
      <c r="AA26" s="3352"/>
      <c r="AB26" s="3352"/>
      <c r="AC26" s="3352"/>
      <c r="AD26" s="3351">
        <f>AD23*AD25</f>
        <v>313677</v>
      </c>
      <c r="AE26" s="3352"/>
      <c r="AF26" s="3352"/>
      <c r="AG26" s="3352"/>
      <c r="AH26" s="3352"/>
      <c r="AI26" s="3351">
        <f>AI23*AI25</f>
        <v>0</v>
      </c>
      <c r="AJ26" s="3352"/>
      <c r="AK26" s="3352"/>
      <c r="AL26" s="3352"/>
      <c r="AM26" s="3352"/>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77" t="s">
        <v>446</v>
      </c>
      <c r="C27" s="3378"/>
      <c r="D27" s="3378"/>
      <c r="E27" s="3378"/>
      <c r="F27" s="3378"/>
      <c r="G27" s="3378"/>
      <c r="H27" s="3378"/>
      <c r="I27" s="3378"/>
      <c r="J27" s="3378"/>
      <c r="K27" s="3378"/>
      <c r="L27" s="3378"/>
      <c r="M27" s="3378"/>
      <c r="N27" s="3378"/>
      <c r="O27" s="3378"/>
      <c r="P27" s="3378"/>
      <c r="Q27" s="3378"/>
      <c r="R27" s="3378"/>
      <c r="S27" s="3379"/>
      <c r="T27" s="3346">
        <f>Application!$AG$444</f>
        <v>1</v>
      </c>
      <c r="U27" s="3347"/>
      <c r="V27" s="3347"/>
      <c r="W27" s="3347"/>
      <c r="X27" s="3347"/>
      <c r="Y27" s="3346">
        <f>Application!$AG$444</f>
        <v>1</v>
      </c>
      <c r="Z27" s="3347"/>
      <c r="AA27" s="3347"/>
      <c r="AB27" s="3347"/>
      <c r="AC27" s="3347"/>
      <c r="AD27" s="3346">
        <f>Application!$AG$444</f>
        <v>1</v>
      </c>
      <c r="AE27" s="3347"/>
      <c r="AF27" s="3347"/>
      <c r="AG27" s="3347"/>
      <c r="AH27" s="3347"/>
      <c r="AI27" s="3346">
        <f>Application!$AG$444</f>
        <v>1</v>
      </c>
      <c r="AJ27" s="3347"/>
      <c r="AK27" s="3347"/>
      <c r="AL27" s="3347"/>
      <c r="AM27" s="3347"/>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315" t="s">
        <v>538</v>
      </c>
      <c r="C28" s="3316"/>
      <c r="D28" s="3316"/>
      <c r="E28" s="3316"/>
      <c r="F28" s="3316"/>
      <c r="G28" s="3316"/>
      <c r="H28" s="3316"/>
      <c r="I28" s="3316"/>
      <c r="J28" s="3316"/>
      <c r="K28" s="3316"/>
      <c r="L28" s="3316"/>
      <c r="M28" s="3316"/>
      <c r="N28" s="3316"/>
      <c r="O28" s="3316"/>
      <c r="P28" s="3316"/>
      <c r="Q28" s="3316"/>
      <c r="R28" s="3316"/>
      <c r="S28" s="3317"/>
      <c r="T28" s="3344">
        <f>IF(ISERROR((T26*T27)),0,(T26*T27))</f>
        <v>52674200.800000004</v>
      </c>
      <c r="U28" s="3345"/>
      <c r="V28" s="3345"/>
      <c r="W28" s="3345"/>
      <c r="X28" s="3345"/>
      <c r="Y28" s="3344">
        <f>IF(ISERROR((Y26*Y27)),0,(Y26*Y27))</f>
        <v>0</v>
      </c>
      <c r="Z28" s="3345"/>
      <c r="AA28" s="3345"/>
      <c r="AB28" s="3345"/>
      <c r="AC28" s="3345"/>
      <c r="AD28" s="3344">
        <f>IF(ISERROR((AD26*AD27)),0,(AD26*AD27))</f>
        <v>313677</v>
      </c>
      <c r="AE28" s="3345"/>
      <c r="AF28" s="3345"/>
      <c r="AG28" s="3345"/>
      <c r="AH28" s="3345"/>
      <c r="AI28" s="3344">
        <f>IF(ISERROR((AI26*AI27)),0,(AI26*AI27))</f>
        <v>0</v>
      </c>
      <c r="AJ28" s="3345"/>
      <c r="AK28" s="3345"/>
      <c r="AL28" s="3345"/>
      <c r="AM28" s="3345"/>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315" t="s">
        <v>555</v>
      </c>
      <c r="C29" s="3316"/>
      <c r="D29" s="3316"/>
      <c r="E29" s="3316"/>
      <c r="F29" s="3316"/>
      <c r="G29" s="3316"/>
      <c r="H29" s="3316"/>
      <c r="I29" s="3316"/>
      <c r="J29" s="3316"/>
      <c r="K29" s="3316"/>
      <c r="L29" s="3316"/>
      <c r="M29" s="3316"/>
      <c r="N29" s="3316"/>
      <c r="O29" s="3316"/>
      <c r="P29" s="3316"/>
      <c r="Q29" s="3316"/>
      <c r="R29" s="3316"/>
      <c r="S29" s="3317"/>
      <c r="T29" s="3330">
        <f>T28+Y28+AD28+AI28</f>
        <v>52987877.800000004</v>
      </c>
      <c r="U29" s="3331"/>
      <c r="V29" s="3331"/>
      <c r="W29" s="3331"/>
      <c r="X29" s="3331"/>
      <c r="Y29" s="3331"/>
      <c r="Z29" s="3331"/>
      <c r="AA29" s="3331"/>
      <c r="AB29" s="3331"/>
      <c r="AC29" s="3331"/>
      <c r="AD29" s="3331"/>
      <c r="AE29" s="3331"/>
      <c r="AF29" s="3331"/>
      <c r="AG29" s="3331"/>
      <c r="AH29" s="3331"/>
      <c r="AI29" s="3331"/>
      <c r="AJ29" s="3331"/>
      <c r="AK29" s="3331"/>
      <c r="AL29" s="3331"/>
      <c r="AM29" s="3332"/>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37" t="s">
        <v>1497</v>
      </c>
      <c r="C30" s="3337"/>
      <c r="D30" s="3337"/>
      <c r="E30" s="3337"/>
      <c r="F30" s="3337"/>
      <c r="G30" s="3337"/>
      <c r="H30" s="3337"/>
      <c r="I30" s="3337"/>
      <c r="J30" s="3337"/>
      <c r="K30" s="3337"/>
      <c r="L30" s="3337"/>
      <c r="M30" s="3337"/>
      <c r="N30" s="3337"/>
      <c r="O30" s="3337"/>
      <c r="P30" s="3337"/>
      <c r="Q30" s="3337"/>
      <c r="R30" s="3337"/>
      <c r="S30" s="3337"/>
      <c r="T30" s="3337"/>
      <c r="U30" s="3337"/>
      <c r="V30" s="3337"/>
      <c r="W30" s="3337"/>
      <c r="X30" s="3337"/>
      <c r="Y30" s="3337"/>
      <c r="Z30" s="3337"/>
      <c r="AA30" s="3337"/>
      <c r="AB30" s="3337"/>
      <c r="AC30" s="3337"/>
      <c r="AD30" s="3337"/>
      <c r="AE30" s="3337"/>
      <c r="AF30" s="3337"/>
      <c r="AG30" s="3337"/>
      <c r="AH30" s="3337"/>
      <c r="AI30" s="3337"/>
      <c r="AJ30" s="3337"/>
      <c r="AK30" s="3337"/>
      <c r="AL30" s="3337"/>
      <c r="AM30" s="3337"/>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37" t="s">
        <v>1496</v>
      </c>
      <c r="C31" s="3337"/>
      <c r="D31" s="3337"/>
      <c r="E31" s="3337"/>
      <c r="F31" s="3337"/>
      <c r="G31" s="3337"/>
      <c r="H31" s="3337"/>
      <c r="I31" s="3337"/>
      <c r="J31" s="3337"/>
      <c r="K31" s="3337"/>
      <c r="L31" s="3337"/>
      <c r="M31" s="3337"/>
      <c r="N31" s="3337"/>
      <c r="O31" s="3337"/>
      <c r="P31" s="3337"/>
      <c r="Q31" s="3337"/>
      <c r="R31" s="3337"/>
      <c r="S31" s="3337"/>
      <c r="T31" s="3337"/>
      <c r="U31" s="3337"/>
      <c r="V31" s="3337"/>
      <c r="W31" s="3337"/>
      <c r="X31" s="3337"/>
      <c r="Y31" s="3337"/>
      <c r="Z31" s="3337"/>
      <c r="AA31" s="3337"/>
      <c r="AB31" s="3337"/>
      <c r="AC31" s="3337"/>
      <c r="AD31" s="3337"/>
      <c r="AE31" s="3337"/>
      <c r="AF31" s="3337"/>
      <c r="AG31" s="3337"/>
      <c r="AH31" s="3337"/>
      <c r="AI31" s="3337"/>
      <c r="AJ31" s="3337"/>
      <c r="AK31" s="3337"/>
      <c r="AL31" s="3337"/>
      <c r="AM31" s="3337"/>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33" t="s">
        <v>1345</v>
      </c>
      <c r="Z35" s="3333"/>
      <c r="AA35" s="3333"/>
      <c r="AB35" s="3333"/>
      <c r="AC35" s="3333"/>
      <c r="AD35" s="3334" t="s">
        <v>379</v>
      </c>
      <c r="AE35" s="3334"/>
      <c r="AF35" s="3334"/>
      <c r="AG35" s="3334"/>
      <c r="AH35" s="3334"/>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33"/>
      <c r="Z36" s="3333"/>
      <c r="AA36" s="3333"/>
      <c r="AB36" s="3333"/>
      <c r="AC36" s="3333"/>
      <c r="AD36" s="3334"/>
      <c r="AE36" s="3334"/>
      <c r="AF36" s="3334"/>
      <c r="AG36" s="3334"/>
      <c r="AH36" s="3334"/>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33"/>
      <c r="Z37" s="3333"/>
      <c r="AA37" s="3333"/>
      <c r="AB37" s="3333"/>
      <c r="AC37" s="3333"/>
      <c r="AD37" s="3334"/>
      <c r="AE37" s="3334"/>
      <c r="AF37" s="3334"/>
      <c r="AG37" s="3334"/>
      <c r="AH37" s="3334"/>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315" t="s">
        <v>538</v>
      </c>
      <c r="C38" s="3316"/>
      <c r="D38" s="3316"/>
      <c r="E38" s="3316"/>
      <c r="F38" s="3316"/>
      <c r="G38" s="3316"/>
      <c r="H38" s="3316"/>
      <c r="I38" s="3316"/>
      <c r="J38" s="3316"/>
      <c r="K38" s="3316"/>
      <c r="L38" s="3316"/>
      <c r="M38" s="3316"/>
      <c r="N38" s="3316"/>
      <c r="O38" s="3316"/>
      <c r="P38" s="3316"/>
      <c r="Q38" s="3316"/>
      <c r="R38" s="3316"/>
      <c r="S38" s="3316"/>
      <c r="T38" s="3316"/>
      <c r="U38" s="3316"/>
      <c r="V38" s="3316"/>
      <c r="W38" s="3316"/>
      <c r="X38" s="3317"/>
      <c r="Y38" s="3335">
        <f>IF(T24&gt;=(T23+Y23+AD23+AI23),T28+Y28,0)</f>
        <v>52674200.800000004</v>
      </c>
      <c r="Z38" s="3335"/>
      <c r="AA38" s="3335"/>
      <c r="AB38" s="3335"/>
      <c r="AC38" s="3335"/>
      <c r="AD38" s="3335">
        <f>IF(T24&gt;=(T23+Y23+AD23+AI23),AD28+AI28,0)</f>
        <v>313677</v>
      </c>
      <c r="AE38" s="3335"/>
      <c r="AF38" s="3335"/>
      <c r="AG38" s="3335"/>
      <c r="AH38" s="3335"/>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315" t="s">
        <v>2179</v>
      </c>
      <c r="C39" s="3316"/>
      <c r="D39" s="3316"/>
      <c r="E39" s="3316"/>
      <c r="F39" s="3316"/>
      <c r="G39" s="3316"/>
      <c r="H39" s="3316"/>
      <c r="I39" s="3316"/>
      <c r="J39" s="3316"/>
      <c r="K39" s="3316"/>
      <c r="L39" s="3316"/>
      <c r="M39" s="3316"/>
      <c r="N39" s="3316"/>
      <c r="O39" s="3316"/>
      <c r="P39" s="3316"/>
      <c r="Q39" s="3316"/>
      <c r="R39" s="3316"/>
      <c r="S39" s="3316"/>
      <c r="T39" s="3316"/>
      <c r="U39" s="3316"/>
      <c r="V39" s="3316"/>
      <c r="W39" s="3316"/>
      <c r="X39" s="3317"/>
      <c r="Y39" s="3336">
        <v>0.04</v>
      </c>
      <c r="Z39" s="3336"/>
      <c r="AA39" s="3336"/>
      <c r="AB39" s="3336"/>
      <c r="AC39" s="3336"/>
      <c r="AD39" s="3336">
        <v>0.04</v>
      </c>
      <c r="AE39" s="3336"/>
      <c r="AF39" s="3336"/>
      <c r="AG39" s="3336"/>
      <c r="AH39" s="3336"/>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315" t="s">
        <v>676</v>
      </c>
      <c r="C40" s="3316"/>
      <c r="D40" s="3316"/>
      <c r="E40" s="3316"/>
      <c r="F40" s="3316"/>
      <c r="G40" s="3316"/>
      <c r="H40" s="3316"/>
      <c r="I40" s="3316"/>
      <c r="J40" s="3316"/>
      <c r="K40" s="3316"/>
      <c r="L40" s="3316"/>
      <c r="M40" s="3316"/>
      <c r="N40" s="3316"/>
      <c r="O40" s="3316"/>
      <c r="P40" s="3316"/>
      <c r="Q40" s="3316"/>
      <c r="R40" s="3316"/>
      <c r="S40" s="3316"/>
      <c r="T40" s="3316"/>
      <c r="U40" s="3316"/>
      <c r="V40" s="3316"/>
      <c r="W40" s="3316"/>
      <c r="X40" s="3317"/>
      <c r="Y40" s="3335">
        <f>ROUND(Y38*Y39,0)</f>
        <v>2106968</v>
      </c>
      <c r="Z40" s="3335"/>
      <c r="AA40" s="3335"/>
      <c r="AB40" s="3335"/>
      <c r="AC40" s="3335"/>
      <c r="AD40" s="3332">
        <f>ROUND(AD38*AD39,0)</f>
        <v>12547</v>
      </c>
      <c r="AE40" s="3335"/>
      <c r="AF40" s="3335"/>
      <c r="AG40" s="3335"/>
      <c r="AH40" s="3335"/>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315" t="s">
        <v>677</v>
      </c>
      <c r="C41" s="3316"/>
      <c r="D41" s="3316"/>
      <c r="E41" s="3316"/>
      <c r="F41" s="3316"/>
      <c r="G41" s="3316"/>
      <c r="H41" s="3316"/>
      <c r="I41" s="3316"/>
      <c r="J41" s="3316"/>
      <c r="K41" s="3316"/>
      <c r="L41" s="3316"/>
      <c r="M41" s="3316"/>
      <c r="N41" s="3316"/>
      <c r="O41" s="3316"/>
      <c r="P41" s="3316"/>
      <c r="Q41" s="3316"/>
      <c r="R41" s="3316"/>
      <c r="S41" s="3316"/>
      <c r="T41" s="3316"/>
      <c r="U41" s="3316"/>
      <c r="V41" s="3316"/>
      <c r="W41" s="3316"/>
      <c r="X41" s="3317"/>
      <c r="Y41" s="3380">
        <f>Y40+AD40</f>
        <v>2119515</v>
      </c>
      <c r="Z41" s="3381"/>
      <c r="AA41" s="3381"/>
      <c r="AB41" s="3381"/>
      <c r="AC41" s="3381"/>
      <c r="AD41" s="3381"/>
      <c r="AE41" s="3381"/>
      <c r="AF41" s="3381"/>
      <c r="AG41" s="3381"/>
      <c r="AH41" s="3382"/>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329" t="s">
        <v>1511</v>
      </c>
      <c r="B44" s="3329"/>
      <c r="C44" s="3329"/>
      <c r="D44" s="3329"/>
      <c r="E44" s="3329"/>
      <c r="F44" s="3329"/>
      <c r="G44" s="3329"/>
      <c r="H44" s="3329"/>
      <c r="I44" s="3329"/>
      <c r="J44" s="3329"/>
      <c r="K44" s="3329"/>
      <c r="L44" s="3329"/>
      <c r="M44" s="3329"/>
      <c r="N44" s="3329"/>
      <c r="O44" s="3329"/>
      <c r="P44" s="3329"/>
      <c r="Q44" s="3329"/>
      <c r="R44" s="3329"/>
      <c r="S44" s="3329"/>
      <c r="T44" s="3329"/>
      <c r="U44" s="3329"/>
      <c r="V44" s="3329"/>
      <c r="W44" s="3329"/>
      <c r="X44" s="3329"/>
      <c r="Y44" s="3329"/>
      <c r="Z44" s="3329"/>
      <c r="AA44" s="3329"/>
      <c r="AB44" s="3329"/>
      <c r="AC44" s="3329"/>
      <c r="AD44" s="3329"/>
      <c r="AE44" s="3329"/>
      <c r="AF44" s="3329"/>
      <c r="AG44" s="3329"/>
      <c r="AH44" s="3329"/>
      <c r="AI44" s="3329"/>
      <c r="AJ44" s="3329"/>
      <c r="AK44" s="3329"/>
      <c r="AL44" s="3329"/>
      <c r="AM44" s="3329"/>
      <c r="AN44" s="3329"/>
      <c r="AO44" s="3329"/>
      <c r="AP44" s="3329"/>
      <c r="AQ44" s="3329"/>
      <c r="AR44" s="3329"/>
      <c r="AS44" s="3329"/>
      <c r="AT44" s="3329"/>
      <c r="AU44" s="3329"/>
      <c r="AV44" s="3329"/>
      <c r="AW44" s="3329"/>
      <c r="AX44" s="3329"/>
      <c r="AY44" s="3329"/>
      <c r="AZ44" s="3329"/>
      <c r="BA44" s="3329"/>
      <c r="BB44" s="3329"/>
      <c r="BC44" s="3329"/>
      <c r="BD44" s="3329"/>
      <c r="BE44" s="3329"/>
      <c r="BF44" s="3329"/>
      <c r="BG44" s="3329"/>
      <c r="BH44" s="3329"/>
      <c r="BI44" s="3329"/>
      <c r="BJ44" s="3329"/>
      <c r="BK44" s="3329"/>
      <c r="BL44" s="3329"/>
      <c r="BM44" s="3329"/>
      <c r="BN44" s="3329"/>
      <c r="BO44" s="3329"/>
      <c r="BP44" s="3329"/>
      <c r="BQ44" s="3329"/>
      <c r="BR44" s="3329"/>
      <c r="BS44" s="3329"/>
      <c r="BT44" s="3329"/>
      <c r="BU44" s="3329"/>
      <c r="BV44" s="3329"/>
      <c r="BW44" s="3329"/>
      <c r="BX44" s="3329"/>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23">
        <f>'Sources and Uses Budget'!B105-'Sources and Uses Budget'!B15</f>
        <v>54049758</v>
      </c>
      <c r="AC47" s="3324"/>
      <c r="AD47" s="3324"/>
      <c r="AE47" s="3324"/>
      <c r="AF47" s="3325"/>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23">
        <f>Application!AO649-MIN('Sources and Uses Budget'!B15,Application!AG394)</f>
        <v>25141004</v>
      </c>
      <c r="AC48" s="3324"/>
      <c r="AD48" s="3324"/>
      <c r="AE48" s="3324"/>
      <c r="AF48" s="3325"/>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23">
        <f>AB47-AB48</f>
        <v>28908754</v>
      </c>
      <c r="AC49" s="3324"/>
      <c r="AD49" s="3324"/>
      <c r="AE49" s="3324"/>
      <c r="AF49" s="3325"/>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11">
        <v>0.905105979</v>
      </c>
      <c r="AC50" s="3312"/>
      <c r="AD50" s="3312"/>
      <c r="AE50" s="3312"/>
      <c r="AF50" s="3313"/>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22" t="s">
        <v>2375</v>
      </c>
      <c r="F51" s="3322"/>
      <c r="G51" s="3322"/>
      <c r="H51" s="3322"/>
      <c r="I51" s="3322"/>
      <c r="J51" s="3322"/>
      <c r="K51" s="3322"/>
      <c r="L51" s="3322"/>
      <c r="M51" s="3322"/>
      <c r="N51" s="3322"/>
      <c r="O51" s="3322"/>
      <c r="P51" s="3322"/>
      <c r="Q51" s="3322"/>
      <c r="R51" s="3322"/>
      <c r="S51" s="3322"/>
      <c r="T51" s="3322"/>
      <c r="U51" s="3322"/>
      <c r="V51" s="3322"/>
      <c r="W51" s="3322"/>
      <c r="X51" s="3322"/>
      <c r="Y51" s="3322"/>
      <c r="Z51" s="3322"/>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22"/>
      <c r="F52" s="3322"/>
      <c r="G52" s="3322"/>
      <c r="H52" s="3322"/>
      <c r="I52" s="3322"/>
      <c r="J52" s="3322"/>
      <c r="K52" s="3322"/>
      <c r="L52" s="3322"/>
      <c r="M52" s="3322"/>
      <c r="N52" s="3322"/>
      <c r="O52" s="3322"/>
      <c r="P52" s="3322"/>
      <c r="Q52" s="3322"/>
      <c r="R52" s="3322"/>
      <c r="S52" s="3322"/>
      <c r="T52" s="3322"/>
      <c r="U52" s="3322"/>
      <c r="V52" s="3322"/>
      <c r="W52" s="3322"/>
      <c r="X52" s="3322"/>
      <c r="Y52" s="3322"/>
      <c r="Z52" s="3322"/>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23">
        <f>ROUND(IF(ISERROR((AB49/AB50)),0,(AB49/AB50)),0)</f>
        <v>31939634</v>
      </c>
      <c r="AC54" s="3324"/>
      <c r="AD54" s="3324"/>
      <c r="AE54" s="3324"/>
      <c r="AF54" s="3325"/>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23">
        <f>(AB54/10)</f>
        <v>3193963.4</v>
      </c>
      <c r="AC55" s="3324"/>
      <c r="AD55" s="3324"/>
      <c r="AE55" s="3324"/>
      <c r="AF55" s="3325"/>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26">
        <f>(IF((Y41&lt;AB55),Y41,AB55))</f>
        <v>2119515</v>
      </c>
      <c r="AC56" s="3327"/>
      <c r="AD56" s="3327"/>
      <c r="AE56" s="3327"/>
      <c r="AF56" s="3328"/>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23">
        <f>ROUND((10*AB56*AB50),0)</f>
        <v>19183857</v>
      </c>
      <c r="AC57" s="3324"/>
      <c r="AD57" s="3324"/>
      <c r="AE57" s="3324"/>
      <c r="AF57" s="3325"/>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07">
        <f>AB49-AB57</f>
        <v>9724897</v>
      </c>
      <c r="AC59" s="3307"/>
      <c r="AD59" s="3307"/>
      <c r="AE59" s="3307"/>
      <c r="AF59" s="3307"/>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329" t="str">
        <f>IF(Application!AP204="yes","Farmworker State Credit", "State Credit" )</f>
        <v>State Credit</v>
      </c>
      <c r="B61" s="3329"/>
      <c r="C61" s="3329"/>
      <c r="D61" s="3329"/>
      <c r="E61" s="3329"/>
      <c r="F61" s="3329"/>
      <c r="G61" s="3329"/>
      <c r="H61" s="3329"/>
      <c r="I61" s="3329"/>
      <c r="J61" s="3329"/>
      <c r="K61" s="3329"/>
      <c r="L61" s="3329"/>
      <c r="M61" s="3329"/>
      <c r="N61" s="3329"/>
      <c r="O61" s="3329"/>
      <c r="P61" s="3329"/>
      <c r="Q61" s="3329"/>
      <c r="R61" s="3329"/>
      <c r="S61" s="3329"/>
      <c r="T61" s="3329"/>
      <c r="U61" s="3329"/>
      <c r="V61" s="3329"/>
      <c r="W61" s="3329"/>
      <c r="X61" s="3329"/>
      <c r="Y61" s="3329"/>
      <c r="Z61" s="3329"/>
      <c r="AA61" s="3329"/>
      <c r="AB61" s="3329"/>
      <c r="AC61" s="3329"/>
      <c r="AD61" s="3329"/>
      <c r="AE61" s="3329"/>
      <c r="AF61" s="3329"/>
      <c r="AG61" s="3329"/>
      <c r="AH61" s="3329"/>
      <c r="AI61" s="3329"/>
      <c r="AJ61" s="3329"/>
      <c r="AK61" s="3329"/>
      <c r="AL61" s="3329"/>
      <c r="AM61" s="3329"/>
      <c r="AN61" s="3329"/>
      <c r="AO61" s="3329"/>
      <c r="AP61" s="3329"/>
      <c r="AQ61" s="3329"/>
      <c r="AR61" s="3329"/>
      <c r="AS61" s="3329"/>
      <c r="AT61" s="3329"/>
      <c r="AU61" s="3329"/>
      <c r="AV61" s="3329"/>
      <c r="AW61" s="3329"/>
      <c r="AX61" s="3329"/>
      <c r="AY61" s="3329"/>
      <c r="AZ61" s="3329"/>
      <c r="BA61" s="3329"/>
      <c r="BB61" s="3329"/>
      <c r="BC61" s="3329"/>
      <c r="BD61" s="3329"/>
      <c r="BE61" s="3329"/>
      <c r="BF61" s="3329"/>
      <c r="BG61" s="3329"/>
      <c r="BH61" s="3329"/>
      <c r="BI61" s="3329"/>
      <c r="BJ61" s="3329"/>
      <c r="BK61" s="3329"/>
      <c r="BL61" s="3329"/>
      <c r="BM61" s="3329"/>
      <c r="BN61" s="3329"/>
      <c r="BO61" s="3329"/>
      <c r="BP61" s="3329"/>
      <c r="BQ61" s="3329"/>
      <c r="BR61" s="3329"/>
      <c r="BS61" s="3329"/>
      <c r="BT61" s="3329"/>
      <c r="BU61" s="3329"/>
      <c r="BV61" s="3329"/>
      <c r="BW61" s="3329"/>
      <c r="BX61" s="3329"/>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318" t="s">
        <v>1067</v>
      </c>
      <c r="Z63" s="3318"/>
      <c r="AA63" s="3318"/>
      <c r="AB63" s="3318"/>
      <c r="AC63" s="3318"/>
      <c r="AD63" s="3318" t="s">
        <v>379</v>
      </c>
      <c r="AE63" s="3318"/>
      <c r="AF63" s="3318"/>
      <c r="AG63" s="3318"/>
      <c r="AH63" s="3318"/>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319">
        <f>IF(Application!Z204="(select)",0,((T23*T27)+Y28))</f>
        <v>40518616</v>
      </c>
      <c r="Z64" s="3320"/>
      <c r="AA64" s="3320"/>
      <c r="AB64" s="3320"/>
      <c r="AC64" s="3321"/>
      <c r="AD64" s="3319">
        <f>IF(AND(Application!AP204="yes",Application!M357="yes"),AD28+AI28,0)</f>
        <v>0</v>
      </c>
      <c r="AE64" s="3320"/>
      <c r="AF64" s="3320"/>
      <c r="AG64" s="3320"/>
      <c r="AH64" s="3321"/>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3" t="s">
        <v>2371</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3" t="s">
        <v>2372</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08">
        <f>IF(Application!AP204="yes",0.75,IF(Application!Z203="15% set-aside",0.13,IF(Application!Z203="15% set-aside with qualifying low value rehab",0.95,0.3)))</f>
        <v>0.3</v>
      </c>
      <c r="Z67" s="3308"/>
      <c r="AA67" s="3308"/>
      <c r="AB67" s="3308"/>
      <c r="AC67" s="3308"/>
      <c r="AD67" s="3308">
        <f>IF(Application!AP204="yes",0.75,IF(Application!Z203="15% set-aside with qualifying low value rehab", 0.95,0.13))</f>
        <v>0.13</v>
      </c>
      <c r="AE67" s="3308"/>
      <c r="AF67" s="3308"/>
      <c r="AG67" s="3308"/>
      <c r="AH67" s="3308"/>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309">
        <f>ROUND(Y64*Y67,0)</f>
        <v>12155585</v>
      </c>
      <c r="Z68" s="3310"/>
      <c r="AA68" s="3310"/>
      <c r="AB68" s="3310"/>
      <c r="AC68" s="3310"/>
      <c r="AD68" s="3309" t="str">
        <f>IF(Application!D210="At-Risk",AD64*AD67,"$0")</f>
        <v>$0</v>
      </c>
      <c r="AE68" s="3310"/>
      <c r="AF68" s="3310"/>
      <c r="AG68" s="3310"/>
      <c r="AH68" s="3310"/>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11">
        <v>0.88</v>
      </c>
      <c r="AC71" s="3312"/>
      <c r="AD71" s="3312"/>
      <c r="AE71" s="3312"/>
      <c r="AF71" s="3313"/>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14" t="s">
        <v>1482</v>
      </c>
      <c r="F72" s="3314"/>
      <c r="G72" s="3314"/>
      <c r="H72" s="3314"/>
      <c r="I72" s="3314"/>
      <c r="J72" s="3314"/>
      <c r="K72" s="3314"/>
      <c r="L72" s="3314"/>
      <c r="M72" s="3314"/>
      <c r="N72" s="3314"/>
      <c r="O72" s="3314"/>
      <c r="P72" s="3314"/>
      <c r="Q72" s="3314"/>
      <c r="R72" s="3314"/>
      <c r="S72" s="3314"/>
      <c r="T72" s="3314"/>
      <c r="U72" s="3314"/>
      <c r="V72" s="3314"/>
      <c r="W72" s="3314"/>
      <c r="X72" s="3314"/>
      <c r="Y72" s="3314"/>
      <c r="Z72" s="3314"/>
      <c r="AA72" s="3314"/>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14"/>
      <c r="F73" s="3314"/>
      <c r="G73" s="3314"/>
      <c r="H73" s="3314"/>
      <c r="I73" s="3314"/>
      <c r="J73" s="3314"/>
      <c r="K73" s="3314"/>
      <c r="L73" s="3314"/>
      <c r="M73" s="3314"/>
      <c r="N73" s="3314"/>
      <c r="O73" s="3314"/>
      <c r="P73" s="3314"/>
      <c r="Q73" s="3314"/>
      <c r="R73" s="3314"/>
      <c r="S73" s="3314"/>
      <c r="T73" s="3314"/>
      <c r="U73" s="3314"/>
      <c r="V73" s="3314"/>
      <c r="W73" s="3314"/>
      <c r="X73" s="3314"/>
      <c r="Y73" s="3314"/>
      <c r="Z73" s="3314"/>
      <c r="AA73" s="3314"/>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14"/>
      <c r="F74" s="3314"/>
      <c r="G74" s="3314"/>
      <c r="H74" s="3314"/>
      <c r="I74" s="3314"/>
      <c r="J74" s="3314"/>
      <c r="K74" s="3314"/>
      <c r="L74" s="3314"/>
      <c r="M74" s="3314"/>
      <c r="N74" s="3314"/>
      <c r="O74" s="3314"/>
      <c r="P74" s="3314"/>
      <c r="Q74" s="3314"/>
      <c r="R74" s="3314"/>
      <c r="S74" s="3314"/>
      <c r="T74" s="3314"/>
      <c r="U74" s="3314"/>
      <c r="V74" s="3314"/>
      <c r="W74" s="3314"/>
      <c r="X74" s="3314"/>
      <c r="Y74" s="3314"/>
      <c r="Z74" s="3314"/>
      <c r="AA74" s="3314"/>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02">
        <f>ROUND(IF(ISERROR((AB59/AB71)),0,(AB59/AB71)),0)</f>
        <v>11051019</v>
      </c>
      <c r="AC76" s="3302"/>
      <c r="AD76" s="3302"/>
      <c r="AE76" s="3302"/>
      <c r="AF76" s="3302"/>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03">
        <f>IF((Y68+AD68&lt;AB76),Y68+AD68,AB76)</f>
        <v>11051019</v>
      </c>
      <c r="AC77" s="3304"/>
      <c r="AD77" s="3304"/>
      <c r="AE77" s="3304"/>
      <c r="AF77" s="3305"/>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06">
        <f>AB77*AB71</f>
        <v>9724896.7200000007</v>
      </c>
      <c r="AC78" s="3306"/>
      <c r="AD78" s="3306"/>
      <c r="AE78" s="3306"/>
      <c r="AF78" s="3306"/>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07">
        <f>AB49-(AB57+AB78)</f>
        <v>0.2800000011920929</v>
      </c>
      <c r="AC80" s="3307"/>
      <c r="AD80" s="3307"/>
      <c r="AE80" s="3307"/>
      <c r="AF80" s="3307"/>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329"/>
      <c r="B83" s="3329"/>
      <c r="C83" s="3329"/>
      <c r="D83" s="3329"/>
      <c r="E83" s="3329"/>
      <c r="F83" s="3329"/>
      <c r="G83" s="3329"/>
      <c r="H83" s="3329"/>
      <c r="I83" s="3329"/>
      <c r="J83" s="3329"/>
      <c r="K83" s="3329"/>
      <c r="L83" s="3329"/>
      <c r="M83" s="3329"/>
      <c r="N83" s="3329"/>
      <c r="O83" s="3329"/>
      <c r="P83" s="3329"/>
      <c r="Q83" s="3329"/>
      <c r="R83" s="3329"/>
      <c r="S83" s="3329"/>
      <c r="T83" s="3329"/>
      <c r="U83" s="3329"/>
      <c r="V83" s="3329"/>
      <c r="W83" s="3329"/>
      <c r="X83" s="3329"/>
      <c r="Y83" s="3329"/>
      <c r="Z83" s="3329"/>
      <c r="AA83" s="3329"/>
      <c r="AB83" s="3329"/>
      <c r="AC83" s="3329"/>
      <c r="AD83" s="3329"/>
      <c r="AE83" s="3329"/>
      <c r="AF83" s="3329"/>
      <c r="AG83" s="3329"/>
      <c r="AH83" s="3329"/>
      <c r="AI83" s="3329"/>
      <c r="AJ83" s="3329"/>
      <c r="AK83" s="3329"/>
      <c r="AL83" s="3329"/>
      <c r="AM83" s="3329"/>
      <c r="AN83" s="3329"/>
      <c r="AO83" s="3329"/>
      <c r="AP83" s="3329"/>
      <c r="AQ83" s="3329"/>
      <c r="AR83" s="3329"/>
      <c r="AS83" s="3329"/>
      <c r="AT83" s="3329"/>
      <c r="AU83" s="3329"/>
      <c r="AV83" s="3329"/>
      <c r="AW83" s="3329"/>
      <c r="AX83" s="3329"/>
      <c r="AY83" s="3329"/>
      <c r="AZ83" s="3329"/>
      <c r="BA83" s="3329"/>
      <c r="BB83" s="3329"/>
      <c r="BC83" s="3329"/>
      <c r="BD83" s="3329"/>
      <c r="BE83" s="3329"/>
      <c r="BF83" s="3329"/>
      <c r="BG83" s="3329"/>
      <c r="BH83" s="3329"/>
      <c r="BI83" s="3329"/>
      <c r="BJ83" s="3329"/>
      <c r="BK83" s="3329"/>
      <c r="BL83" s="3329"/>
      <c r="BM83" s="3329"/>
      <c r="BN83" s="3329"/>
      <c r="BO83" s="3329"/>
      <c r="BP83" s="3329"/>
      <c r="BQ83" s="3329"/>
      <c r="BR83" s="3329"/>
      <c r="BS83" s="3329"/>
      <c r="BT83" s="3329"/>
      <c r="BU83" s="3329"/>
      <c r="BV83" s="3329"/>
      <c r="BW83" s="3329"/>
      <c r="BX83" s="3329"/>
    </row>
    <row r="84" spans="1:98" ht="13.5" thickTop="1"/>
    <row r="85" spans="1:98" ht="12.75">
      <c r="A85" s="794"/>
      <c r="C85" s="334"/>
      <c r="Z85" s="619"/>
      <c r="AA85" s="619"/>
      <c r="AB85" s="619"/>
      <c r="AC85" s="619"/>
      <c r="AD85" s="619"/>
      <c r="AE85" s="619"/>
      <c r="AF85" s="619"/>
      <c r="AG85" s="619"/>
      <c r="AH85" s="619"/>
    </row>
    <row r="86" spans="1:98" ht="12.75">
      <c r="D86" s="334"/>
      <c r="Z86" s="619"/>
      <c r="AA86" s="619"/>
      <c r="AB86" s="3370"/>
      <c r="AC86" s="3370"/>
      <c r="AD86" s="3370"/>
      <c r="AE86" s="3370"/>
      <c r="AF86" s="3370"/>
      <c r="AG86" s="619"/>
      <c r="AH86" s="619"/>
    </row>
    <row r="87" spans="1:98" ht="13.5" thickBot="1">
      <c r="D87" s="334"/>
      <c r="Z87" s="619"/>
      <c r="AA87" s="619"/>
      <c r="AB87" s="3369"/>
      <c r="AC87" s="3369"/>
      <c r="AD87" s="3369"/>
      <c r="AE87" s="3369"/>
      <c r="AF87" s="3369"/>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3" zoomScaleNormal="100" zoomScaleSheetLayoutView="80" workbookViewId="0">
      <selection activeCell="I18" sqref="I18"/>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7" width="15.5703125" style="1424" customWidth="1"/>
    <col min="8" max="8" width="20.285156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86" t="s">
        <v>1935</v>
      </c>
      <c r="B1" s="3386"/>
      <c r="C1" s="3386"/>
      <c r="D1" s="3386"/>
      <c r="E1" s="3386"/>
      <c r="F1" s="3386"/>
      <c r="G1" s="3386"/>
      <c r="H1" s="3386"/>
      <c r="I1" s="3386"/>
      <c r="J1" s="3386"/>
      <c r="K1" s="3386"/>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86"/>
      <c r="B2" s="3386"/>
      <c r="C2" s="3386"/>
      <c r="D2" s="3386"/>
      <c r="E2" s="3386"/>
      <c r="F2" s="3386"/>
      <c r="G2" s="3386"/>
      <c r="H2" s="3386"/>
      <c r="I2" s="3386"/>
      <c r="J2" s="3386"/>
      <c r="K2" s="3386"/>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87" t="s">
        <v>1936</v>
      </c>
      <c r="D4" s="3387"/>
      <c r="E4" s="3387"/>
      <c r="F4" s="3387"/>
      <c r="G4" s="3387"/>
      <c r="H4" s="3387"/>
      <c r="I4" s="3387"/>
      <c r="J4" s="3387"/>
    </row>
    <row r="5" spans="1:33">
      <c r="C5" s="3387"/>
      <c r="D5" s="3387"/>
      <c r="E5" s="3387"/>
      <c r="F5" s="3387"/>
      <c r="G5" s="3387"/>
      <c r="H5" s="3387"/>
      <c r="I5" s="3387"/>
      <c r="J5" s="3387"/>
    </row>
    <row r="6" spans="1:33">
      <c r="C6" s="1426"/>
      <c r="D6" s="1426"/>
      <c r="E6" s="1426"/>
      <c r="F6" s="1426"/>
      <c r="G6" s="1426"/>
      <c r="H6" s="1426"/>
      <c r="I6" s="1426"/>
      <c r="J6" s="1426"/>
    </row>
    <row r="7" spans="1:33">
      <c r="C7" s="1427" t="s">
        <v>1937</v>
      </c>
      <c r="D7" s="1426"/>
      <c r="E7" s="3388" t="str">
        <f>Application!H16</f>
        <v>Harding Street Neighbors, LP</v>
      </c>
      <c r="F7" s="3388"/>
      <c r="G7" s="3388"/>
      <c r="H7" s="1426"/>
      <c r="I7" s="1427" t="s">
        <v>1938</v>
      </c>
      <c r="J7" s="1428">
        <f>Application!AG437+Application!AG439</f>
        <v>88</v>
      </c>
    </row>
    <row r="8" spans="1:33">
      <c r="C8" s="1427" t="s">
        <v>1939</v>
      </c>
      <c r="D8" s="1426"/>
      <c r="E8" s="3388" t="str">
        <f>Application!H18</f>
        <v>Pacific Wind Apartments</v>
      </c>
      <c r="F8" s="3388"/>
      <c r="G8" s="3388"/>
      <c r="H8" s="1426"/>
      <c r="I8" s="1427" t="s">
        <v>1940</v>
      </c>
      <c r="J8" s="1429">
        <f>Application!CS663</f>
        <v>200</v>
      </c>
    </row>
    <row r="9" spans="1:33" ht="14.25" customHeight="1">
      <c r="C9" s="1427" t="s">
        <v>1941</v>
      </c>
      <c r="D9" s="1426"/>
      <c r="E9" s="3389" t="str">
        <f>Application!D210</f>
        <v>Large Family</v>
      </c>
      <c r="F9" s="3389"/>
      <c r="G9" s="3389"/>
      <c r="H9" s="1426"/>
      <c r="I9" s="1427" t="s">
        <v>1942</v>
      </c>
      <c r="J9" s="1430"/>
      <c r="N9" s="1431"/>
    </row>
    <row r="10" spans="1:33" ht="26.85" customHeight="1">
      <c r="C10" s="3387" t="s">
        <v>1943</v>
      </c>
      <c r="D10" s="3387"/>
      <c r="E10" s="3390" t="str">
        <f>Application!D213</f>
        <v>N/A</v>
      </c>
      <c r="F10" s="3390"/>
      <c r="G10" s="3390"/>
      <c r="H10" s="1426"/>
      <c r="I10" s="1432" t="s">
        <v>1944</v>
      </c>
      <c r="J10" s="1433">
        <f>IF(J9&gt;0,J8-J9,J8)</f>
        <v>200</v>
      </c>
      <c r="N10" s="1431"/>
    </row>
    <row r="11" spans="1:33">
      <c r="C11" s="1434"/>
      <c r="N11" s="1431"/>
    </row>
    <row r="12" spans="1:33" ht="15" customHeight="1">
      <c r="C12" s="3391" t="s">
        <v>1945</v>
      </c>
      <c r="D12" s="3392"/>
      <c r="E12" s="3393"/>
      <c r="F12" s="3384" t="s">
        <v>1946</v>
      </c>
      <c r="G12" s="3384" t="s">
        <v>1947</v>
      </c>
      <c r="H12" s="3397" t="s">
        <v>2161</v>
      </c>
      <c r="I12" s="3384" t="s">
        <v>2160</v>
      </c>
      <c r="J12" s="3384" t="s">
        <v>1948</v>
      </c>
      <c r="N12" s="1431"/>
    </row>
    <row r="13" spans="1:33" ht="68.25" customHeight="1">
      <c r="C13" s="3394"/>
      <c r="D13" s="3395"/>
      <c r="E13" s="3396"/>
      <c r="F13" s="3385"/>
      <c r="G13" s="3385"/>
      <c r="H13" s="3398"/>
      <c r="I13" s="3385"/>
      <c r="J13" s="3385"/>
    </row>
    <row r="14" spans="1:33" ht="1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440">
        <v>84</v>
      </c>
      <c r="G17" s="1443">
        <v>30000</v>
      </c>
      <c r="H17" s="1442" t="s">
        <v>2647</v>
      </c>
      <c r="I17" s="1442" t="s">
        <v>2648</v>
      </c>
      <c r="J17" s="1442" t="s">
        <v>2649</v>
      </c>
    </row>
    <row r="18" spans="3:10">
      <c r="C18" s="1439" t="s">
        <v>1955</v>
      </c>
      <c r="D18" s="1425" t="s">
        <v>1956</v>
      </c>
      <c r="E18" s="1425"/>
      <c r="F18" s="1440"/>
      <c r="G18" s="1443"/>
      <c r="H18" s="1442"/>
      <c r="I18" s="1442"/>
      <c r="J18" s="1442"/>
    </row>
    <row r="19" spans="3:10">
      <c r="C19" s="1439" t="s">
        <v>1957</v>
      </c>
      <c r="D19" s="1425" t="s">
        <v>1958</v>
      </c>
      <c r="E19" s="1425"/>
      <c r="F19" s="1440"/>
      <c r="G19" s="1443"/>
      <c r="H19" s="1442"/>
      <c r="I19" s="1442"/>
      <c r="J19" s="1442"/>
    </row>
    <row r="20" spans="3:10">
      <c r="C20" s="1439" t="s">
        <v>1959</v>
      </c>
      <c r="D20" s="1425" t="s">
        <v>1960</v>
      </c>
      <c r="E20" s="1444"/>
      <c r="F20" s="3383" t="s">
        <v>2646</v>
      </c>
      <c r="G20" s="1443">
        <v>30000</v>
      </c>
      <c r="H20" s="1442" t="s">
        <v>2647</v>
      </c>
      <c r="I20" s="1442" t="s">
        <v>2648</v>
      </c>
      <c r="J20" s="1442" t="s">
        <v>2649</v>
      </c>
    </row>
    <row r="21" spans="3:10">
      <c r="C21" s="1445"/>
      <c r="D21" s="1446"/>
      <c r="E21" s="1447"/>
      <c r="F21" s="3383"/>
      <c r="G21" s="1443"/>
      <c r="H21" s="1442"/>
      <c r="I21" s="1442"/>
      <c r="J21" s="1442"/>
    </row>
    <row r="22" spans="3:10">
      <c r="C22" s="1448" t="s">
        <v>1961</v>
      </c>
      <c r="D22" s="1449"/>
      <c r="E22" s="1449"/>
      <c r="F22" s="1450"/>
      <c r="G22" s="1451"/>
      <c r="H22" s="1452"/>
      <c r="I22" s="1452"/>
      <c r="J22" s="1452"/>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3"/>
      <c r="D29" s="1434"/>
      <c r="E29" s="1434"/>
      <c r="F29" s="1440"/>
      <c r="G29" s="1443"/>
      <c r="H29" s="1442"/>
      <c r="I29" s="1442"/>
      <c r="J29" s="1442"/>
    </row>
    <row r="30" spans="3:10" ht="15">
      <c r="C30" s="1454" t="s">
        <v>1971</v>
      </c>
      <c r="D30" s="1449"/>
      <c r="E30" s="1449"/>
      <c r="F30" s="1455"/>
      <c r="G30" s="1456"/>
      <c r="H30" s="1457"/>
      <c r="I30" s="1457"/>
      <c r="J30" s="1457"/>
    </row>
    <row r="31" spans="3:10">
      <c r="C31" s="1439"/>
      <c r="D31" s="1458"/>
      <c r="E31" s="1458"/>
      <c r="F31" s="1440"/>
      <c r="G31" s="1443"/>
      <c r="H31" s="1442"/>
      <c r="I31" s="1442"/>
      <c r="J31" s="1442"/>
    </row>
    <row r="32" spans="3:10">
      <c r="C32" s="1439"/>
      <c r="D32" s="1458"/>
      <c r="E32" s="1458"/>
      <c r="F32" s="1440"/>
      <c r="G32" s="1443"/>
      <c r="H32" s="1442"/>
      <c r="I32" s="1442"/>
      <c r="J32" s="1442"/>
    </row>
    <row r="33" spans="3:10">
      <c r="C33" s="1439"/>
      <c r="D33" s="1459"/>
      <c r="E33" s="1458"/>
      <c r="F33" s="1440"/>
      <c r="G33" s="1443"/>
      <c r="H33" s="1442"/>
      <c r="I33" s="1442"/>
      <c r="J33" s="1442"/>
    </row>
    <row r="34" spans="3:10">
      <c r="C34" s="1439"/>
      <c r="F34" s="1460"/>
      <c r="G34" s="1460"/>
      <c r="H34" s="1460"/>
      <c r="I34" s="1460"/>
      <c r="J34" s="1460"/>
    </row>
    <row r="35" spans="3:10" ht="15">
      <c r="C35" s="1461" t="s">
        <v>967</v>
      </c>
      <c r="D35" s="1462"/>
      <c r="E35" s="1462"/>
      <c r="F35" s="1463"/>
      <c r="G35" s="1464">
        <f>SUM(G15:G33)</f>
        <v>60000</v>
      </c>
      <c r="H35" s="1465"/>
      <c r="I35" s="1465"/>
      <c r="J35" s="1465"/>
    </row>
    <row r="36" spans="3:10"/>
    <row r="37" spans="3:10" ht="16.5">
      <c r="C37" s="1466" t="s">
        <v>1972</v>
      </c>
    </row>
    <row r="38" spans="3:10" s="1468" customFormat="1" ht="17.25" customHeight="1">
      <c r="C38" s="1467" t="s">
        <v>1973</v>
      </c>
    </row>
    <row r="39" spans="3:10" s="1468" customFormat="1" ht="15">
      <c r="C39" s="1468" t="s">
        <v>1974</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4">
    <mergeCell ref="F20:F21"/>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0" zoomScale="70" zoomScaleNormal="70" zoomScaleSheetLayoutView="100" workbookViewId="0">
      <selection activeCell="G44" sqref="G44"/>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1481748</v>
      </c>
      <c r="G4" s="354">
        <f>E4*$C$4</f>
        <v>1518791.7</v>
      </c>
      <c r="I4" s="354">
        <f>G4*$C$4</f>
        <v>1556761.4924999997</v>
      </c>
      <c r="K4" s="354">
        <f>I4*$C$4</f>
        <v>1595680.5298124996</v>
      </c>
      <c r="M4" s="354">
        <f>K4*$C$4</f>
        <v>1635572.5430578119</v>
      </c>
      <c r="O4" s="354">
        <f>M4*$C$4</f>
        <v>1676461.8566342571</v>
      </c>
      <c r="Q4" s="354">
        <f>O4*$C$4</f>
        <v>1718373.4030501135</v>
      </c>
      <c r="S4" s="354">
        <f>Q4*$C$4</f>
        <v>1761332.7381263662</v>
      </c>
      <c r="U4" s="354">
        <f>S4*$C$4</f>
        <v>1805366.0565795251</v>
      </c>
      <c r="W4" s="354">
        <f>U4*$C$4</f>
        <v>1850500.2079940131</v>
      </c>
      <c r="Y4" s="354">
        <f>W4*$C$4</f>
        <v>1896762.7131938632</v>
      </c>
      <c r="AA4" s="354">
        <f>Y4*$C$4</f>
        <v>1944181.7810237096</v>
      </c>
      <c r="AC4" s="354">
        <f>AA4*$C$4</f>
        <v>1992786.3255493022</v>
      </c>
      <c r="AE4" s="354">
        <f>AC4*$C$4</f>
        <v>2042605.9836880346</v>
      </c>
      <c r="AG4" s="354">
        <f>AE4*$C$4</f>
        <v>2093671.1332802353</v>
      </c>
    </row>
    <row r="5" spans="1:34" s="339" customFormat="1" ht="14.25">
      <c r="B5" s="339" t="s">
        <v>900</v>
      </c>
      <c r="C5" s="375">
        <f>IF(Application!$D$210="Special Needs",0.1,0.05)</f>
        <v>0.05</v>
      </c>
      <c r="E5" s="356">
        <f>-E4*$C$5</f>
        <v>-74087.400000000009</v>
      </c>
      <c r="F5" s="356"/>
      <c r="G5" s="356">
        <f>-G4*$C$5</f>
        <v>-75939.585000000006</v>
      </c>
      <c r="H5" s="356"/>
      <c r="I5" s="356">
        <f>-I4*$C$5</f>
        <v>-77838.074624999994</v>
      </c>
      <c r="J5" s="356"/>
      <c r="K5" s="356">
        <f>-K4*$C$5</f>
        <v>-79784.026490624994</v>
      </c>
      <c r="L5" s="356"/>
      <c r="M5" s="356">
        <f>-M4*$C$5</f>
        <v>-81778.627152890607</v>
      </c>
      <c r="N5" s="356"/>
      <c r="O5" s="356">
        <f>-O4*$C$5</f>
        <v>-83823.092831712856</v>
      </c>
      <c r="P5" s="356"/>
      <c r="Q5" s="356">
        <f>-Q4*$C$5</f>
        <v>-85918.670152505685</v>
      </c>
      <c r="R5" s="356"/>
      <c r="S5" s="356">
        <f>-S4*$C$5</f>
        <v>-88066.636906318308</v>
      </c>
      <c r="T5" s="356"/>
      <c r="U5" s="356">
        <f>-U4*$C$5</f>
        <v>-90268.302828976259</v>
      </c>
      <c r="V5" s="356"/>
      <c r="W5" s="356">
        <f>-W4*$C$5</f>
        <v>-92525.010399700666</v>
      </c>
      <c r="X5" s="356"/>
      <c r="Y5" s="356">
        <f>-Y4*$C$5</f>
        <v>-94838.135659693158</v>
      </c>
      <c r="Z5" s="356"/>
      <c r="AA5" s="356">
        <f>-AA4*$C$5</f>
        <v>-97209.089051185481</v>
      </c>
      <c r="AB5" s="356"/>
      <c r="AC5" s="356">
        <f>-AC4*$C$5</f>
        <v>-99639.316277465114</v>
      </c>
      <c r="AD5" s="356"/>
      <c r="AE5" s="356">
        <f>-AE4*$C$5</f>
        <v>-102130.29918440174</v>
      </c>
      <c r="AF5" s="356"/>
      <c r="AG5" s="356">
        <f>-AG4*$C$5</f>
        <v>-104683.55666401178</v>
      </c>
    </row>
    <row r="6" spans="1:34" s="339" customFormat="1" ht="14.25">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6408</v>
      </c>
      <c r="F8" s="357"/>
      <c r="G8" s="357">
        <f>E8*$C$8</f>
        <v>6568.2</v>
      </c>
      <c r="H8" s="357"/>
      <c r="I8" s="357">
        <f>G8*$C$8</f>
        <v>6732.4049999999988</v>
      </c>
      <c r="J8" s="357"/>
      <c r="K8" s="357">
        <f>I8*$C$8</f>
        <v>6900.7151249999979</v>
      </c>
      <c r="L8" s="357"/>
      <c r="M8" s="357">
        <f>K8*$C$8</f>
        <v>7073.2330031249976</v>
      </c>
      <c r="N8" s="357"/>
      <c r="O8" s="357">
        <f>M8*$C$8</f>
        <v>7250.0638282031223</v>
      </c>
      <c r="P8" s="357"/>
      <c r="Q8" s="357">
        <f>O8*$C$8</f>
        <v>7431.3154239081996</v>
      </c>
      <c r="R8" s="357"/>
      <c r="S8" s="357">
        <f>Q8*$C$8</f>
        <v>7617.0983095059037</v>
      </c>
      <c r="T8" s="357"/>
      <c r="U8" s="357">
        <f>S8*$C$8</f>
        <v>7807.5257672435509</v>
      </c>
      <c r="V8" s="357"/>
      <c r="W8" s="357">
        <f>U8*$C$8</f>
        <v>8002.7139114246393</v>
      </c>
      <c r="X8" s="357"/>
      <c r="Y8" s="357">
        <f>W8*$C$8</f>
        <v>8202.7817592102547</v>
      </c>
      <c r="Z8" s="357"/>
      <c r="AA8" s="357">
        <f>Y8*$C$8</f>
        <v>8407.8513031905095</v>
      </c>
      <c r="AB8" s="357"/>
      <c r="AC8" s="357">
        <f>AA8*$C$8</f>
        <v>8618.0475857702713</v>
      </c>
      <c r="AD8" s="357"/>
      <c r="AE8" s="357">
        <f>AC8*$C$8</f>
        <v>8833.4987754145277</v>
      </c>
      <c r="AF8" s="357"/>
      <c r="AG8" s="357">
        <f>AE8*$C$8</f>
        <v>9054.3362447998898</v>
      </c>
    </row>
    <row r="9" spans="1:34" s="339" customFormat="1" ht="14.25">
      <c r="B9" s="339" t="s">
        <v>900</v>
      </c>
      <c r="C9" s="375">
        <f>IF(Application!$D$210="Special Needs",0.1,0.05)</f>
        <v>0.05</v>
      </c>
      <c r="E9" s="373">
        <f>-E8*$C$9</f>
        <v>-320.40000000000003</v>
      </c>
      <c r="F9" s="356"/>
      <c r="G9" s="373">
        <f>-G8*$C$9</f>
        <v>-328.41</v>
      </c>
      <c r="H9" s="356"/>
      <c r="I9" s="373">
        <f>-I8*$C$9</f>
        <v>-336.62024999999994</v>
      </c>
      <c r="J9" s="356"/>
      <c r="K9" s="373">
        <f>-K8*$C$9</f>
        <v>-345.03575624999991</v>
      </c>
      <c r="L9" s="356"/>
      <c r="M9" s="373">
        <f>-M8*$C$9</f>
        <v>-353.66165015624989</v>
      </c>
      <c r="N9" s="356"/>
      <c r="O9" s="373">
        <f>-O8*$C$9</f>
        <v>-362.50319141015615</v>
      </c>
      <c r="P9" s="356"/>
      <c r="Q9" s="373">
        <f>-Q8*$C$9</f>
        <v>-371.56577119540998</v>
      </c>
      <c r="R9" s="356"/>
      <c r="S9" s="373">
        <f>-S8*$C$9</f>
        <v>-380.85491547529523</v>
      </c>
      <c r="T9" s="356"/>
      <c r="U9" s="373">
        <f>-U8*$C$9</f>
        <v>-390.37628836217755</v>
      </c>
      <c r="V9" s="356"/>
      <c r="W9" s="373">
        <f>-W8*$C$9</f>
        <v>-400.13569557123196</v>
      </c>
      <c r="X9" s="356"/>
      <c r="Y9" s="373">
        <f>-Y8*$C$9</f>
        <v>-410.13908796051277</v>
      </c>
      <c r="Z9" s="356"/>
      <c r="AA9" s="373">
        <f>-AA8*$C$9</f>
        <v>-420.39256515952547</v>
      </c>
      <c r="AB9" s="356"/>
      <c r="AC9" s="373">
        <f>-AC8*$C$9</f>
        <v>-430.9023792885136</v>
      </c>
      <c r="AD9" s="356"/>
      <c r="AE9" s="373">
        <f>-AE8*$C$9</f>
        <v>-441.67493877072638</v>
      </c>
      <c r="AF9" s="356"/>
      <c r="AG9" s="373">
        <f>-AG8*$C$9</f>
        <v>-452.71681223999451</v>
      </c>
    </row>
    <row r="10" spans="1:34" s="358" customFormat="1" ht="15">
      <c r="A10" s="358" t="s">
        <v>921</v>
      </c>
      <c r="C10" s="349"/>
      <c r="E10" s="358">
        <f>SUM(E4:E9)</f>
        <v>1413748.2000000002</v>
      </c>
      <c r="G10" s="358">
        <f>SUM(G4:G9)</f>
        <v>1449091.905</v>
      </c>
      <c r="I10" s="358">
        <f>SUM(I4:I9)</f>
        <v>1485319.2026249999</v>
      </c>
      <c r="K10" s="358">
        <f>SUM(K4:K9)</f>
        <v>1522452.1826906248</v>
      </c>
      <c r="M10" s="358">
        <f>SUM(M4:M9)</f>
        <v>1560513.4872578902</v>
      </c>
      <c r="O10" s="358">
        <f>SUM(O4:O9)</f>
        <v>1599526.3244393372</v>
      </c>
      <c r="Q10" s="358">
        <f>SUM(Q4:Q9)</f>
        <v>1639514.4825503207</v>
      </c>
      <c r="S10" s="358">
        <f>SUM(S4:S9)</f>
        <v>1680502.3446140785</v>
      </c>
      <c r="U10" s="358">
        <f>SUM(U4:U9)</f>
        <v>1722514.9032294303</v>
      </c>
      <c r="W10" s="358">
        <f>SUM(W4:W9)</f>
        <v>1765577.7758101658</v>
      </c>
      <c r="Y10" s="358">
        <f>SUM(Y4:Y9)</f>
        <v>1809717.2202054195</v>
      </c>
      <c r="AA10" s="358">
        <f>SUM(AA4:AA9)</f>
        <v>1854960.150710555</v>
      </c>
      <c r="AC10" s="358">
        <f>SUM(AC4:AC9)</f>
        <v>1901334.1544783188</v>
      </c>
      <c r="AE10" s="358">
        <f>SUM(AE4:AE9)</f>
        <v>1948867.5083402765</v>
      </c>
      <c r="AG10" s="358">
        <f>SUM(AG4:AG9)</f>
        <v>1997589.1960487836</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47940</v>
      </c>
      <c r="G14" s="354">
        <f>E14*$C$13</f>
        <v>49617.899999999994</v>
      </c>
      <c r="I14" s="354">
        <f>G14*$C$13</f>
        <v>51354.526499999993</v>
      </c>
      <c r="K14" s="354">
        <f>I14*$C$13</f>
        <v>53151.934927499991</v>
      </c>
      <c r="M14" s="354">
        <f>K14*$C$13</f>
        <v>55012.252649962487</v>
      </c>
      <c r="O14" s="354">
        <f>M14*$C$13</f>
        <v>56937.68149271117</v>
      </c>
      <c r="Q14" s="354">
        <f>O14*$C$13</f>
        <v>58930.500344956054</v>
      </c>
      <c r="S14" s="354">
        <f>Q14*$C$13</f>
        <v>60993.067857029513</v>
      </c>
      <c r="U14" s="354">
        <f>S14*$C$13</f>
        <v>63127.825232025541</v>
      </c>
      <c r="W14" s="354">
        <f>U14*$C$13</f>
        <v>65337.29911514643</v>
      </c>
      <c r="Y14" s="354">
        <f>W14*$C$13</f>
        <v>67624.104584176544</v>
      </c>
      <c r="AA14" s="354">
        <f>Y14*$C$13</f>
        <v>69990.948244622719</v>
      </c>
      <c r="AC14" s="354">
        <f>AA14*$C$13</f>
        <v>72440.631433184506</v>
      </c>
      <c r="AE14" s="354">
        <f>AC14*$C$13</f>
        <v>74976.053533345956</v>
      </c>
      <c r="AG14" s="354">
        <f>AE14*$C$13</f>
        <v>77600.215407013064</v>
      </c>
    </row>
    <row r="15" spans="1:34" s="339" customFormat="1" ht="14.25">
      <c r="A15" s="339" t="s">
        <v>353</v>
      </c>
      <c r="C15" s="368"/>
      <c r="E15" s="357">
        <f>Application!W847</f>
        <v>113100</v>
      </c>
      <c r="F15" s="357"/>
      <c r="G15" s="357">
        <f t="shared" ref="G15:AG20" si="0">E15*$C$13</f>
        <v>117058.49999999999</v>
      </c>
      <c r="H15" s="357"/>
      <c r="I15" s="357">
        <f t="shared" si="0"/>
        <v>121155.54749999997</v>
      </c>
      <c r="J15" s="357"/>
      <c r="K15" s="357">
        <f t="shared" si="0"/>
        <v>125395.99166249996</v>
      </c>
      <c r="L15" s="357"/>
      <c r="M15" s="357">
        <f t="shared" si="0"/>
        <v>129784.85137068745</v>
      </c>
      <c r="N15" s="357"/>
      <c r="O15" s="357">
        <f t="shared" si="0"/>
        <v>134327.3211686615</v>
      </c>
      <c r="P15" s="357"/>
      <c r="Q15" s="357">
        <f t="shared" si="0"/>
        <v>139028.77740956465</v>
      </c>
      <c r="R15" s="357"/>
      <c r="S15" s="357">
        <f t="shared" si="0"/>
        <v>143894.7846188994</v>
      </c>
      <c r="T15" s="357"/>
      <c r="U15" s="357">
        <f t="shared" si="0"/>
        <v>148931.10208056087</v>
      </c>
      <c r="V15" s="357"/>
      <c r="W15" s="357">
        <f t="shared" si="0"/>
        <v>154143.6906533805</v>
      </c>
      <c r="X15" s="357"/>
      <c r="Y15" s="357">
        <f t="shared" si="0"/>
        <v>159538.71982624879</v>
      </c>
      <c r="Z15" s="357"/>
      <c r="AA15" s="357">
        <f t="shared" si="0"/>
        <v>165122.57502016748</v>
      </c>
      <c r="AB15" s="357"/>
      <c r="AC15" s="357">
        <f t="shared" si="0"/>
        <v>170901.86514587334</v>
      </c>
      <c r="AD15" s="357"/>
      <c r="AE15" s="357">
        <f t="shared" si="0"/>
        <v>176883.43042597888</v>
      </c>
      <c r="AF15" s="357"/>
      <c r="AG15" s="357">
        <f t="shared" si="0"/>
        <v>183074.35049088812</v>
      </c>
    </row>
    <row r="16" spans="1:34" s="339" customFormat="1" ht="14.25">
      <c r="A16" s="339" t="s">
        <v>593</v>
      </c>
      <c r="C16" s="368"/>
      <c r="E16" s="357">
        <f>Application!W853</f>
        <v>114140</v>
      </c>
      <c r="F16" s="357"/>
      <c r="G16" s="357">
        <f t="shared" si="0"/>
        <v>118134.9</v>
      </c>
      <c r="H16" s="357"/>
      <c r="I16" s="357">
        <f t="shared" si="0"/>
        <v>122269.62149999998</v>
      </c>
      <c r="J16" s="357"/>
      <c r="K16" s="357">
        <f t="shared" si="0"/>
        <v>126549.05825249996</v>
      </c>
      <c r="L16" s="357"/>
      <c r="M16" s="357">
        <f t="shared" si="0"/>
        <v>130978.27529133746</v>
      </c>
      <c r="N16" s="357"/>
      <c r="O16" s="357">
        <f t="shared" si="0"/>
        <v>135562.51492653426</v>
      </c>
      <c r="P16" s="357"/>
      <c r="Q16" s="357">
        <f t="shared" si="0"/>
        <v>140307.20294896295</v>
      </c>
      <c r="R16" s="357"/>
      <c r="S16" s="357">
        <f t="shared" si="0"/>
        <v>145217.95505217664</v>
      </c>
      <c r="T16" s="357"/>
      <c r="U16" s="357">
        <f t="shared" si="0"/>
        <v>150300.58347900282</v>
      </c>
      <c r="V16" s="357"/>
      <c r="W16" s="357">
        <f t="shared" si="0"/>
        <v>155561.10390076789</v>
      </c>
      <c r="X16" s="357"/>
      <c r="Y16" s="357">
        <f t="shared" si="0"/>
        <v>161005.74253729475</v>
      </c>
      <c r="Z16" s="357"/>
      <c r="AA16" s="357">
        <f t="shared" si="0"/>
        <v>166640.94352610005</v>
      </c>
      <c r="AB16" s="357"/>
      <c r="AC16" s="357">
        <f t="shared" si="0"/>
        <v>172473.37654951354</v>
      </c>
      <c r="AD16" s="357"/>
      <c r="AE16" s="357">
        <f t="shared" si="0"/>
        <v>178509.94472874652</v>
      </c>
      <c r="AF16" s="357"/>
      <c r="AG16" s="357">
        <f t="shared" si="0"/>
        <v>184757.79279425263</v>
      </c>
    </row>
    <row r="17" spans="1:33" s="339" customFormat="1" ht="14.25">
      <c r="A17" s="339" t="s">
        <v>904</v>
      </c>
      <c r="C17" s="368"/>
      <c r="E17" s="357">
        <f>Application!W860</f>
        <v>91350</v>
      </c>
      <c r="F17" s="357"/>
      <c r="G17" s="357">
        <f t="shared" si="0"/>
        <v>94547.249999999985</v>
      </c>
      <c r="H17" s="357"/>
      <c r="I17" s="357">
        <f t="shared" si="0"/>
        <v>97856.403749999983</v>
      </c>
      <c r="J17" s="357"/>
      <c r="K17" s="357">
        <f t="shared" si="0"/>
        <v>101281.37788124998</v>
      </c>
      <c r="L17" s="357"/>
      <c r="M17" s="357">
        <f t="shared" si="0"/>
        <v>104826.22610709372</v>
      </c>
      <c r="N17" s="357"/>
      <c r="O17" s="357">
        <f t="shared" si="0"/>
        <v>108495.144020842</v>
      </c>
      <c r="P17" s="357"/>
      <c r="Q17" s="357">
        <f t="shared" si="0"/>
        <v>112292.47406157145</v>
      </c>
      <c r="R17" s="357"/>
      <c r="S17" s="357">
        <f t="shared" si="0"/>
        <v>116222.71065372645</v>
      </c>
      <c r="T17" s="357"/>
      <c r="U17" s="357">
        <f t="shared" si="0"/>
        <v>120290.50552660687</v>
      </c>
      <c r="V17" s="357"/>
      <c r="W17" s="357">
        <f t="shared" si="0"/>
        <v>124500.67322003809</v>
      </c>
      <c r="X17" s="357"/>
      <c r="Y17" s="357">
        <f t="shared" si="0"/>
        <v>128858.19678273941</v>
      </c>
      <c r="Z17" s="357"/>
      <c r="AA17" s="357">
        <f t="shared" si="0"/>
        <v>133368.23367013529</v>
      </c>
      <c r="AB17" s="357"/>
      <c r="AC17" s="357">
        <f t="shared" si="0"/>
        <v>138036.12184859</v>
      </c>
      <c r="AD17" s="357"/>
      <c r="AE17" s="357">
        <f t="shared" si="0"/>
        <v>142867.38611329065</v>
      </c>
      <c r="AF17" s="357"/>
      <c r="AG17" s="357">
        <f t="shared" si="0"/>
        <v>147867.7446272558</v>
      </c>
    </row>
    <row r="18" spans="1:33" s="339" customFormat="1" ht="14.25">
      <c r="A18" s="339" t="s">
        <v>160</v>
      </c>
      <c r="C18" s="368"/>
      <c r="E18" s="357">
        <f>Application!W861</f>
        <v>20000</v>
      </c>
      <c r="F18" s="357"/>
      <c r="G18" s="357">
        <f t="shared" si="0"/>
        <v>20700</v>
      </c>
      <c r="H18" s="357"/>
      <c r="I18" s="357">
        <f t="shared" si="0"/>
        <v>21424.5</v>
      </c>
      <c r="J18" s="357"/>
      <c r="K18" s="357">
        <f t="shared" si="0"/>
        <v>22174.357499999998</v>
      </c>
      <c r="L18" s="357"/>
      <c r="M18" s="357">
        <f t="shared" si="0"/>
        <v>22950.460012499996</v>
      </c>
      <c r="N18" s="357"/>
      <c r="O18" s="357">
        <f t="shared" si="0"/>
        <v>23753.726112937493</v>
      </c>
      <c r="P18" s="357"/>
      <c r="Q18" s="357">
        <f t="shared" si="0"/>
        <v>24585.106526890304</v>
      </c>
      <c r="R18" s="357"/>
      <c r="S18" s="357">
        <f t="shared" si="0"/>
        <v>25445.585255331462</v>
      </c>
      <c r="T18" s="357"/>
      <c r="U18" s="357">
        <f t="shared" si="0"/>
        <v>26336.18073926806</v>
      </c>
      <c r="V18" s="357"/>
      <c r="W18" s="357">
        <f t="shared" si="0"/>
        <v>27257.947065142442</v>
      </c>
      <c r="X18" s="357"/>
      <c r="Y18" s="357">
        <f t="shared" si="0"/>
        <v>28211.975212422425</v>
      </c>
      <c r="Z18" s="357"/>
      <c r="AA18" s="357">
        <f t="shared" si="0"/>
        <v>29199.394344857206</v>
      </c>
      <c r="AB18" s="357"/>
      <c r="AC18" s="357">
        <f t="shared" si="0"/>
        <v>30221.373146927206</v>
      </c>
      <c r="AD18" s="357"/>
      <c r="AE18" s="357">
        <f t="shared" si="0"/>
        <v>31279.121207069657</v>
      </c>
      <c r="AF18" s="357"/>
      <c r="AG18" s="357">
        <f t="shared" si="0"/>
        <v>32373.890449317092</v>
      </c>
    </row>
    <row r="19" spans="1:33" s="339" customFormat="1" ht="14.25">
      <c r="A19" s="339" t="s">
        <v>408</v>
      </c>
      <c r="C19" s="368"/>
      <c r="E19" s="357">
        <f>Application!W870</f>
        <v>107700</v>
      </c>
      <c r="F19" s="357"/>
      <c r="G19" s="357">
        <f t="shared" si="0"/>
        <v>111469.49999999999</v>
      </c>
      <c r="H19" s="357"/>
      <c r="I19" s="357">
        <f t="shared" si="0"/>
        <v>115370.93249999998</v>
      </c>
      <c r="J19" s="357"/>
      <c r="K19" s="357">
        <f t="shared" si="0"/>
        <v>119408.91513749996</v>
      </c>
      <c r="L19" s="357"/>
      <c r="M19" s="357">
        <f t="shared" si="0"/>
        <v>123588.22716731245</v>
      </c>
      <c r="N19" s="357"/>
      <c r="O19" s="357">
        <f t="shared" si="0"/>
        <v>127913.81511816838</v>
      </c>
      <c r="P19" s="357"/>
      <c r="Q19" s="357">
        <f t="shared" si="0"/>
        <v>132390.79864730427</v>
      </c>
      <c r="R19" s="357"/>
      <c r="S19" s="357">
        <f t="shared" si="0"/>
        <v>137024.47659995992</v>
      </c>
      <c r="T19" s="357"/>
      <c r="U19" s="357">
        <f t="shared" si="0"/>
        <v>141820.3332809585</v>
      </c>
      <c r="V19" s="357"/>
      <c r="W19" s="357">
        <f t="shared" si="0"/>
        <v>146784.04494579203</v>
      </c>
      <c r="X19" s="357"/>
      <c r="Y19" s="357">
        <f t="shared" si="0"/>
        <v>151921.48651889473</v>
      </c>
      <c r="Z19" s="357"/>
      <c r="AA19" s="357">
        <f t="shared" si="0"/>
        <v>157238.73854705604</v>
      </c>
      <c r="AB19" s="357"/>
      <c r="AC19" s="357">
        <f t="shared" si="0"/>
        <v>162742.094396203</v>
      </c>
      <c r="AD19" s="357"/>
      <c r="AE19" s="357">
        <f t="shared" si="0"/>
        <v>168438.0677000701</v>
      </c>
      <c r="AF19" s="357"/>
      <c r="AG19" s="357">
        <f t="shared" si="0"/>
        <v>174333.40006957253</v>
      </c>
    </row>
    <row r="20" spans="1:33" s="339" customFormat="1" ht="14.25">
      <c r="A20" s="361" t="s">
        <v>1040</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905</v>
      </c>
      <c r="C21" s="368"/>
      <c r="E21" s="358">
        <f>SUM(E14:E20)</f>
        <v>494230</v>
      </c>
      <c r="G21" s="358">
        <f>SUM(G14:G20)</f>
        <v>511528.04999999993</v>
      </c>
      <c r="I21" s="358">
        <f>SUM(I14:I20)</f>
        <v>529431.53174999985</v>
      </c>
      <c r="K21" s="358">
        <f>SUM(K14:K20)</f>
        <v>547961.63536124991</v>
      </c>
      <c r="M21" s="358">
        <f>SUM(M14:M20)</f>
        <v>567140.29259889363</v>
      </c>
      <c r="O21" s="358">
        <f>SUM(O14:O20)</f>
        <v>586990.20283985476</v>
      </c>
      <c r="Q21" s="358">
        <f>SUM(Q14:Q20)</f>
        <v>607534.8599392497</v>
      </c>
      <c r="S21" s="358">
        <f>SUM(S14:S20)</f>
        <v>628798.58003712341</v>
      </c>
      <c r="U21" s="358">
        <f>SUM(U14:U20)</f>
        <v>650806.53033842263</v>
      </c>
      <c r="W21" s="358">
        <f>SUM(W14:W20)</f>
        <v>673584.75890026742</v>
      </c>
      <c r="Y21" s="358">
        <f>SUM(Y14:Y20)</f>
        <v>697160.2254617766</v>
      </c>
      <c r="AA21" s="358">
        <f>SUM(AA14:AA20)</f>
        <v>721560.83335293876</v>
      </c>
      <c r="AC21" s="358">
        <f>SUM(AC14:AC20)</f>
        <v>746815.46252029156</v>
      </c>
      <c r="AE21" s="358">
        <f>SUM(AE14:AE20)</f>
        <v>772954.0037085017</v>
      </c>
      <c r="AG21" s="358">
        <f>SUM(AG14:AG20)</f>
        <v>800007.39383829921</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2159</v>
      </c>
      <c r="C23" s="368"/>
      <c r="E23" s="1604"/>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60000</v>
      </c>
      <c r="F26" s="357"/>
      <c r="G26" s="357">
        <f>E26*$C$26</f>
        <v>62099.999999999993</v>
      </c>
      <c r="H26" s="357"/>
      <c r="I26" s="357">
        <f>G26*$C$26</f>
        <v>64273.499999999985</v>
      </c>
      <c r="J26" s="357"/>
      <c r="K26" s="357">
        <f>I26*$C$26</f>
        <v>66523.07249999998</v>
      </c>
      <c r="L26" s="357"/>
      <c r="M26" s="357">
        <f>K26*$C$26</f>
        <v>68851.38003749997</v>
      </c>
      <c r="N26" s="357"/>
      <c r="O26" s="357">
        <f>M26*$C$26</f>
        <v>71261.17833881246</v>
      </c>
      <c r="P26" s="357"/>
      <c r="Q26" s="357">
        <f>O26*$C$26</f>
        <v>73755.319580670897</v>
      </c>
      <c r="R26" s="357"/>
      <c r="S26" s="357">
        <f>Q26*$C$26</f>
        <v>76336.75576599437</v>
      </c>
      <c r="T26" s="357"/>
      <c r="U26" s="357">
        <f>S26*$C$26</f>
        <v>79008.542217804163</v>
      </c>
      <c r="V26" s="357"/>
      <c r="W26" s="357">
        <f>U26*$C$26</f>
        <v>81773.841195427303</v>
      </c>
      <c r="X26" s="357"/>
      <c r="Y26" s="357">
        <f>W26*$C$26</f>
        <v>84635.925637267253</v>
      </c>
      <c r="Z26" s="357"/>
      <c r="AA26" s="357">
        <f>Y26*$C$26</f>
        <v>87598.183034571601</v>
      </c>
      <c r="AB26" s="357"/>
      <c r="AC26" s="357">
        <f>AA26*$C$26</f>
        <v>90664.119440781593</v>
      </c>
      <c r="AD26" s="357"/>
      <c r="AE26" s="357">
        <f>AC26*$C$26</f>
        <v>93837.363621208948</v>
      </c>
      <c r="AF26" s="357"/>
      <c r="AG26" s="357">
        <f>AE26*$C$26</f>
        <v>97121.671347951255</v>
      </c>
    </row>
    <row r="27" spans="1:33" s="339" customFormat="1" ht="14.25">
      <c r="A27" s="339" t="s">
        <v>908</v>
      </c>
      <c r="C27" s="376"/>
      <c r="E27" s="357">
        <f>Application!AC887</f>
        <v>26700</v>
      </c>
      <c r="F27" s="357"/>
      <c r="G27" s="357">
        <f>$E$27</f>
        <v>26700</v>
      </c>
      <c r="H27" s="357"/>
      <c r="I27" s="357">
        <f>$E$27</f>
        <v>26700</v>
      </c>
      <c r="J27" s="357"/>
      <c r="K27" s="357">
        <f>$E$27</f>
        <v>26700</v>
      </c>
      <c r="L27" s="357"/>
      <c r="M27" s="357">
        <f>$E$27</f>
        <v>26700</v>
      </c>
      <c r="N27" s="357"/>
      <c r="O27" s="357">
        <f>$E$27</f>
        <v>26700</v>
      </c>
      <c r="P27" s="357"/>
      <c r="Q27" s="357">
        <f>$E$27</f>
        <v>26700</v>
      </c>
      <c r="R27" s="357"/>
      <c r="S27" s="357">
        <f>$E$27</f>
        <v>26700</v>
      </c>
      <c r="T27" s="357"/>
      <c r="U27" s="357">
        <f>$E$27</f>
        <v>26700</v>
      </c>
      <c r="V27" s="357"/>
      <c r="W27" s="357">
        <f>$E$27</f>
        <v>26700</v>
      </c>
      <c r="X27" s="357"/>
      <c r="Y27" s="357">
        <f>$E$27</f>
        <v>26700</v>
      </c>
      <c r="Z27" s="357"/>
      <c r="AA27" s="357">
        <f>$E$27</f>
        <v>26700</v>
      </c>
      <c r="AB27" s="357"/>
      <c r="AC27" s="357">
        <f>$E$27</f>
        <v>26700</v>
      </c>
      <c r="AD27" s="357"/>
      <c r="AE27" s="357">
        <f>$E$27</f>
        <v>26700</v>
      </c>
      <c r="AF27" s="357"/>
      <c r="AG27" s="357">
        <f>$E$27</f>
        <v>26700</v>
      </c>
    </row>
    <row r="28" spans="1:33" s="339" customFormat="1" ht="14.25">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906</v>
      </c>
      <c r="C29" s="374">
        <v>1.02</v>
      </c>
      <c r="E29" s="357">
        <f>Application!AC889</f>
        <v>20000</v>
      </c>
      <c r="F29" s="357"/>
      <c r="G29" s="357">
        <f>E29*$C$29</f>
        <v>20400</v>
      </c>
      <c r="H29" s="357"/>
      <c r="I29" s="357">
        <f>G29*$C$29</f>
        <v>20808</v>
      </c>
      <c r="J29" s="357"/>
      <c r="K29" s="357">
        <f>I29*$C$29</f>
        <v>21224.16</v>
      </c>
      <c r="L29" s="357"/>
      <c r="M29" s="357">
        <f>K29*$C$29</f>
        <v>21648.643199999999</v>
      </c>
      <c r="N29" s="357"/>
      <c r="O29" s="357">
        <f>M29*$C$29</f>
        <v>22081.616063999998</v>
      </c>
      <c r="P29" s="357"/>
      <c r="Q29" s="357">
        <f>O29*$C$29</f>
        <v>22523.24838528</v>
      </c>
      <c r="R29" s="357"/>
      <c r="S29" s="357">
        <f>Q29*$C$29</f>
        <v>22973.7133529856</v>
      </c>
      <c r="T29" s="357"/>
      <c r="U29" s="357">
        <f>S29*$C$29</f>
        <v>23433.187620045312</v>
      </c>
      <c r="V29" s="357"/>
      <c r="W29" s="357">
        <f>U29*$C$29</f>
        <v>23901.851372446217</v>
      </c>
      <c r="X29" s="357"/>
      <c r="Y29" s="357">
        <f>W29*$C$29</f>
        <v>24379.888399895142</v>
      </c>
      <c r="Z29" s="357"/>
      <c r="AA29" s="357">
        <f>Y29*$C$29</f>
        <v>24867.486167893047</v>
      </c>
      <c r="AB29" s="357"/>
      <c r="AC29" s="357">
        <f>AA29*$C$29</f>
        <v>25364.835891250907</v>
      </c>
      <c r="AD29" s="357"/>
      <c r="AE29" s="357">
        <f>AC29*$C$29</f>
        <v>25872.132609075925</v>
      </c>
      <c r="AF29" s="357"/>
      <c r="AG29" s="357">
        <f>AE29*$C$29</f>
        <v>26389.575261257443</v>
      </c>
    </row>
    <row r="30" spans="1:33" s="339" customFormat="1" ht="14.2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800</v>
      </c>
      <c r="F31" s="357"/>
      <c r="G31" s="357">
        <f>E31*$C$31</f>
        <v>827.99999999999989</v>
      </c>
      <c r="H31" s="357"/>
      <c r="I31" s="357">
        <f>G31*$C$31</f>
        <v>856.97999999999979</v>
      </c>
      <c r="J31" s="357"/>
      <c r="K31" s="357">
        <f>I31*$C$31</f>
        <v>886.97429999999974</v>
      </c>
      <c r="L31" s="357"/>
      <c r="M31" s="357">
        <f>K31*$C$31</f>
        <v>918.01840049999964</v>
      </c>
      <c r="N31" s="357"/>
      <c r="O31" s="357">
        <f>M31*$C$31</f>
        <v>950.14904451749953</v>
      </c>
      <c r="P31" s="357"/>
      <c r="Q31" s="357">
        <f>O31*$C$31</f>
        <v>983.40426107561188</v>
      </c>
      <c r="R31" s="357"/>
      <c r="S31" s="357">
        <f>Q31*$C$31</f>
        <v>1017.8234102132582</v>
      </c>
      <c r="T31" s="357"/>
      <c r="U31" s="357">
        <f>S31*$C$31</f>
        <v>1053.4472295707221</v>
      </c>
      <c r="V31" s="357"/>
      <c r="W31" s="357">
        <f>U31*$C$31</f>
        <v>1090.3178826056974</v>
      </c>
      <c r="X31" s="357"/>
      <c r="Y31" s="357">
        <f>W31*$C$31</f>
        <v>1128.4790084968968</v>
      </c>
      <c r="Z31" s="357"/>
      <c r="AA31" s="357">
        <f>Y31*$C$31</f>
        <v>1167.975773794288</v>
      </c>
      <c r="AB31" s="357"/>
      <c r="AC31" s="357">
        <f>AA31*$C$31</f>
        <v>1208.8549258770879</v>
      </c>
      <c r="AD31" s="357"/>
      <c r="AE31" s="357">
        <f>AC31*$C$31</f>
        <v>1251.1648482827859</v>
      </c>
      <c r="AF31" s="357"/>
      <c r="AG31" s="357">
        <f>AE31*$C$31</f>
        <v>1294.9556179726833</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601730</v>
      </c>
      <c r="G34" s="358">
        <f>SUM(G21:G32)</f>
        <v>621556.04999999993</v>
      </c>
      <c r="I34" s="358">
        <f>SUM(I21:I32)</f>
        <v>642070.01174999983</v>
      </c>
      <c r="K34" s="358">
        <f>SUM(K21:K32)</f>
        <v>663295.84216124995</v>
      </c>
      <c r="M34" s="358">
        <f>SUM(M21:M32)</f>
        <v>685258.33423689357</v>
      </c>
      <c r="O34" s="358">
        <f>SUM(O21:O32)</f>
        <v>707983.14628718467</v>
      </c>
      <c r="Q34" s="358">
        <f>SUM(Q21:Q32)</f>
        <v>731496.83216627629</v>
      </c>
      <c r="S34" s="358">
        <f>SUM(S21:S32)</f>
        <v>755826.87256631663</v>
      </c>
      <c r="U34" s="358">
        <f>SUM(U21:U32)</f>
        <v>781001.70740584272</v>
      </c>
      <c r="W34" s="358">
        <f>SUM(W21:W32)</f>
        <v>807050.76935074665</v>
      </c>
      <c r="Y34" s="358">
        <f>SUM(Y21:Y32)</f>
        <v>834004.51850743592</v>
      </c>
      <c r="AA34" s="358">
        <f>SUM(AA21:AA32)</f>
        <v>861894.47832919774</v>
      </c>
      <c r="AC34" s="358">
        <f>SUM(AC21:AC32)</f>
        <v>890753.27277820115</v>
      </c>
      <c r="AE34" s="358">
        <f>SUM(AE21:AE32)</f>
        <v>920614.66478706931</v>
      </c>
      <c r="AG34" s="358">
        <f>SUM(AG21:AG32)</f>
        <v>951513.59606548061</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812018.20000000019</v>
      </c>
      <c r="G36" s="358">
        <f>G10-G34</f>
        <v>827535.8550000001</v>
      </c>
      <c r="I36" s="358">
        <f>I10-I34</f>
        <v>843249.19087500009</v>
      </c>
      <c r="K36" s="358">
        <f>K10-K34</f>
        <v>859156.34052937489</v>
      </c>
      <c r="M36" s="358">
        <f>M10-M34</f>
        <v>875255.1530209966</v>
      </c>
      <c r="O36" s="358">
        <f>O10-O34</f>
        <v>891543.17815215257</v>
      </c>
      <c r="Q36" s="358">
        <f>Q10-Q34</f>
        <v>908017.65038404439</v>
      </c>
      <c r="S36" s="358">
        <f>S10-S34</f>
        <v>924675.4720477619</v>
      </c>
      <c r="U36" s="358">
        <f>U10-U34</f>
        <v>941513.19582358759</v>
      </c>
      <c r="W36" s="358">
        <f>W10-W34</f>
        <v>958527.00645941915</v>
      </c>
      <c r="Y36" s="358">
        <f>Y10-Y34</f>
        <v>975712.70169798355</v>
      </c>
      <c r="AA36" s="358">
        <f>AA10-AA34</f>
        <v>993065.67238135729</v>
      </c>
      <c r="AC36" s="358">
        <f>AC10-AC34</f>
        <v>1010580.8817001176</v>
      </c>
      <c r="AE36" s="358">
        <f>AE10-AE34</f>
        <v>1028252.8435532072</v>
      </c>
      <c r="AG36" s="358">
        <f>AG10-AG34</f>
        <v>1046075.599983303</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Tax Exempt Perm Loan</v>
      </c>
      <c r="B39" s="361"/>
      <c r="C39" s="355"/>
      <c r="E39" s="357">
        <f>Application!AF637</f>
        <v>699526</v>
      </c>
      <c r="F39" s="357"/>
      <c r="G39" s="357">
        <f>$E$39</f>
        <v>699526</v>
      </c>
      <c r="H39" s="357"/>
      <c r="I39" s="357">
        <f>$E$39</f>
        <v>699526</v>
      </c>
      <c r="J39" s="357"/>
      <c r="K39" s="357">
        <f>$E$39</f>
        <v>699526</v>
      </c>
      <c r="L39" s="357"/>
      <c r="M39" s="357">
        <f>$E$39</f>
        <v>699526</v>
      </c>
      <c r="N39" s="357"/>
      <c r="O39" s="357">
        <f>$E$39</f>
        <v>699526</v>
      </c>
      <c r="P39" s="357"/>
      <c r="Q39" s="357">
        <f>$E$39</f>
        <v>699526</v>
      </c>
      <c r="R39" s="357"/>
      <c r="S39" s="357">
        <f>$E$39</f>
        <v>699526</v>
      </c>
      <c r="T39" s="357"/>
      <c r="U39" s="357">
        <f>$E$39</f>
        <v>699526</v>
      </c>
      <c r="V39" s="357"/>
      <c r="W39" s="357">
        <f>$E$39</f>
        <v>699526</v>
      </c>
      <c r="X39" s="357"/>
      <c r="Y39" s="357">
        <f>$E$39</f>
        <v>699526</v>
      </c>
      <c r="Z39" s="357"/>
      <c r="AA39" s="357">
        <f>$E$39</f>
        <v>699526</v>
      </c>
      <c r="AB39" s="357"/>
      <c r="AC39" s="357">
        <f>$E$39</f>
        <v>699526</v>
      </c>
      <c r="AD39" s="357"/>
      <c r="AE39" s="357">
        <f>$E$39</f>
        <v>699526</v>
      </c>
      <c r="AF39" s="357"/>
      <c r="AG39" s="357">
        <f>$E$39</f>
        <v>699526</v>
      </c>
    </row>
    <row r="40" spans="1:33" s="339" customFormat="1" ht="14.25">
      <c r="A40" s="360" t="s">
        <v>2614</v>
      </c>
      <c r="B40" s="361"/>
      <c r="C40" s="355"/>
      <c r="E40" s="357">
        <v>6577</v>
      </c>
      <c r="F40" s="357"/>
      <c r="G40" s="357">
        <f>$E$40</f>
        <v>6577</v>
      </c>
      <c r="H40" s="357"/>
      <c r="I40" s="357">
        <f>$E$40</f>
        <v>6577</v>
      </c>
      <c r="J40" s="357"/>
      <c r="K40" s="357">
        <f>$E$40</f>
        <v>6577</v>
      </c>
      <c r="L40" s="357"/>
      <c r="M40" s="357">
        <f>$E$40</f>
        <v>6577</v>
      </c>
      <c r="N40" s="357"/>
      <c r="O40" s="357">
        <f>$E$40</f>
        <v>6577</v>
      </c>
      <c r="P40" s="357"/>
      <c r="Q40" s="357">
        <f>$E$40</f>
        <v>6577</v>
      </c>
      <c r="R40" s="357"/>
      <c r="S40" s="357">
        <f>$E$40</f>
        <v>6577</v>
      </c>
      <c r="T40" s="357"/>
      <c r="U40" s="357">
        <f>$E$40</f>
        <v>6577</v>
      </c>
      <c r="V40" s="357"/>
      <c r="W40" s="357">
        <f>$E$40</f>
        <v>6577</v>
      </c>
      <c r="X40" s="357"/>
      <c r="Y40" s="357">
        <f>$E$40</f>
        <v>6577</v>
      </c>
      <c r="Z40" s="357"/>
      <c r="AA40" s="357">
        <f>$E$40</f>
        <v>6577</v>
      </c>
      <c r="AB40" s="357"/>
      <c r="AC40" s="357">
        <f>$E$40</f>
        <v>6577</v>
      </c>
      <c r="AD40" s="357"/>
      <c r="AE40" s="357">
        <f>$E$40</f>
        <v>6577</v>
      </c>
      <c r="AF40" s="357"/>
      <c r="AG40" s="357">
        <f>$E$40</f>
        <v>6577</v>
      </c>
    </row>
    <row r="41" spans="1:33" s="339" customFormat="1" ht="14.25">
      <c r="A41" s="360"/>
      <c r="B41" s="361"/>
      <c r="C41" s="355"/>
      <c r="E41" s="367">
        <v>0</v>
      </c>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706103</v>
      </c>
      <c r="G42" s="358">
        <f>SUM(G39:G41)</f>
        <v>706103</v>
      </c>
      <c r="I42" s="358">
        <f>SUM(I39:I41)</f>
        <v>706103</v>
      </c>
      <c r="K42" s="358">
        <f>SUM(K39:K41)</f>
        <v>706103</v>
      </c>
      <c r="M42" s="358">
        <f>SUM(M39:M41)</f>
        <v>706103</v>
      </c>
      <c r="O42" s="358">
        <f>SUM(O39:O41)</f>
        <v>706103</v>
      </c>
      <c r="Q42" s="358">
        <f>SUM(Q39:Q41)</f>
        <v>706103</v>
      </c>
      <c r="S42" s="358">
        <f>SUM(S39:S41)</f>
        <v>706103</v>
      </c>
      <c r="U42" s="358">
        <f>SUM(U39:U41)</f>
        <v>706103</v>
      </c>
      <c r="W42" s="358">
        <f>SUM(W39:W41)</f>
        <v>706103</v>
      </c>
      <c r="Y42" s="358">
        <f>SUM(Y39:Y41)</f>
        <v>706103</v>
      </c>
      <c r="AA42" s="358">
        <f>SUM(AA39:AA41)</f>
        <v>706103</v>
      </c>
      <c r="AC42" s="358">
        <f>SUM(AC39:AC41)</f>
        <v>706103</v>
      </c>
      <c r="AE42" s="358">
        <f>SUM(AE39:AE41)</f>
        <v>706103</v>
      </c>
      <c r="AG42" s="358">
        <f>SUM(AG39:AG41)</f>
        <v>706103</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105915.20000000019</v>
      </c>
      <c r="G44" s="358">
        <f>G36-G42</f>
        <v>121432.8550000001</v>
      </c>
      <c r="I44" s="358">
        <f>I36-I42</f>
        <v>137146.19087500009</v>
      </c>
      <c r="K44" s="358">
        <f>K36-K42</f>
        <v>153053.34052937489</v>
      </c>
      <c r="M44" s="358">
        <f>M36-M42</f>
        <v>169152.1530209966</v>
      </c>
      <c r="O44" s="358">
        <f>O36-O42</f>
        <v>185440.17815215257</v>
      </c>
      <c r="Q44" s="358">
        <f>Q36-Q42</f>
        <v>201914.65038404439</v>
      </c>
      <c r="S44" s="358">
        <f>S36-S42</f>
        <v>218572.4720477619</v>
      </c>
      <c r="U44" s="358">
        <f>U36-U42</f>
        <v>235410.19582358759</v>
      </c>
      <c r="W44" s="358">
        <f>W36-W42</f>
        <v>252424.00645941915</v>
      </c>
      <c r="Y44" s="358">
        <f>Y36-Y42</f>
        <v>269609.70169798355</v>
      </c>
      <c r="AA44" s="358">
        <f>AA36-AA42</f>
        <v>286962.67238135729</v>
      </c>
      <c r="AC44" s="358">
        <f>AC36-AC42</f>
        <v>304477.88170011761</v>
      </c>
      <c r="AE44" s="358">
        <f>AE36-AE42</f>
        <v>322149.84355320723</v>
      </c>
      <c r="AG44" s="358">
        <f>AG36-AG42</f>
        <v>339972.59998330299</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7.1172108300474005E-2</v>
      </c>
      <c r="G46" s="362">
        <f>G44/(G4+G6+G8)</f>
        <v>7.9609313841277785E-2</v>
      </c>
      <c r="I46" s="362">
        <f>I44/(I4+I6+I8)</f>
        <v>8.7717765380660923E-2</v>
      </c>
      <c r="K46" s="362">
        <f>K44/(K4+K6+K8)</f>
        <v>9.5504262896414921E-2</v>
      </c>
      <c r="M46" s="362">
        <f>M44/(M4+M6+M8)</f>
        <v>0.10297542871757982</v>
      </c>
      <c r="O46" s="362">
        <f>O44/(O4+O6+O8)</f>
        <v>0.11013771174181522</v>
      </c>
      <c r="Q46" s="362">
        <f>Q44/(Q4+Q6+Q8)</f>
        <v>0.11699739154878419</v>
      </c>
      <c r="S46" s="362">
        <f>S44/(S4+S6+S8)</f>
        <v>0.12356058241207542</v>
      </c>
      <c r="U46" s="362">
        <f>U44/(U4+U6+U8)</f>
        <v>0.12983323721212561</v>
      </c>
      <c r="W46" s="362">
        <f>W44/(W4+W6+W8)</f>
        <v>0.13582115125254707</v>
      </c>
      <c r="Y46" s="362">
        <f>Y44/(Y4+Y6+Y8)</f>
        <v>0.14152996598220541</v>
      </c>
      <c r="AA46" s="362">
        <f>AA44/(AA4+AA6+AA8)</f>
        <v>0.14696517262533246</v>
      </c>
      <c r="AC46" s="362">
        <f>AC44/(AC4+AC6+AC8)</f>
        <v>0.15213211572190802</v>
      </c>
      <c r="AE46" s="362">
        <f>AE44/(AE4+AE6+AE8)</f>
        <v>0.1570359965804875</v>
      </c>
      <c r="AG46" s="362">
        <f>AG44/(AG4+AG6+AG8)</f>
        <v>0.16168187664559761</v>
      </c>
    </row>
    <row r="47" spans="1:33" s="362" customFormat="1" ht="14.25">
      <c r="A47" s="362" t="s">
        <v>914</v>
      </c>
      <c r="C47" s="355"/>
      <c r="E47" s="362">
        <f>E44/E42</f>
        <v>0.14999964594400561</v>
      </c>
      <c r="G47" s="362">
        <f>G44/G42</f>
        <v>0.17197612104749604</v>
      </c>
      <c r="I47" s="362">
        <f>I44/I42</f>
        <v>0.19422972409832573</v>
      </c>
      <c r="K47" s="362">
        <f>K44/K42</f>
        <v>0.21675781087089971</v>
      </c>
      <c r="M47" s="362">
        <f>M44/M42</f>
        <v>0.23955733514939972</v>
      </c>
      <c r="O47" s="362">
        <f>O44/O42</f>
        <v>0.26262482690507272</v>
      </c>
      <c r="Q47" s="362">
        <f>Q44/Q42</f>
        <v>0.28595636951555847</v>
      </c>
      <c r="S47" s="362">
        <f>S44/S42</f>
        <v>0.30954757598786847</v>
      </c>
      <c r="U47" s="362">
        <f>U44/U42</f>
        <v>0.3333935641451567</v>
      </c>
      <c r="W47" s="362">
        <f>W44/W42</f>
        <v>0.35748893073591126</v>
      </c>
      <c r="Y47" s="362">
        <f>Y44/Y42</f>
        <v>0.38182772442261759</v>
      </c>
      <c r="AA47" s="362">
        <f>AA44/AA42</f>
        <v>0.40640341760530302</v>
      </c>
      <c r="AC47" s="362">
        <f>AC44/AC42</f>
        <v>0.43120887703368715</v>
      </c>
      <c r="AE47" s="362">
        <f>AE44/AE42</f>
        <v>0.45623633315990336</v>
      </c>
      <c r="AG47" s="362">
        <f>AG44/AG42</f>
        <v>0.48147734818192672</v>
      </c>
    </row>
    <row r="48" spans="1:33" s="363" customFormat="1" ht="14.25">
      <c r="A48" s="363" t="s">
        <v>912</v>
      </c>
      <c r="C48" s="364"/>
      <c r="E48" s="363">
        <f>E36/E42</f>
        <v>1.1499996459440056</v>
      </c>
      <c r="G48" s="363">
        <f>G36/G42</f>
        <v>1.1719761210474959</v>
      </c>
      <c r="I48" s="363">
        <f>I36/I42</f>
        <v>1.1942297240983257</v>
      </c>
      <c r="K48" s="363">
        <f>K36/K42</f>
        <v>1.2167578108708996</v>
      </c>
      <c r="M48" s="363">
        <f>M36/M42</f>
        <v>1.2395573351493998</v>
      </c>
      <c r="O48" s="363">
        <f>O36/O42</f>
        <v>1.2626248269050728</v>
      </c>
      <c r="Q48" s="363">
        <f>Q36/Q42</f>
        <v>1.2859563695155585</v>
      </c>
      <c r="S48" s="363">
        <f>S36/S42</f>
        <v>1.3095475759878685</v>
      </c>
      <c r="U48" s="363">
        <f>U36/U42</f>
        <v>1.3333935641451566</v>
      </c>
      <c r="W48" s="363">
        <f>W36/W42</f>
        <v>1.3574889307359113</v>
      </c>
      <c r="Y48" s="363">
        <f>Y36/Y42</f>
        <v>1.3818277244226176</v>
      </c>
      <c r="AA48" s="363">
        <f>AA36/AA42</f>
        <v>1.4064034176053031</v>
      </c>
      <c r="AC48" s="363">
        <f>AC36/AC42</f>
        <v>1.4312088770336873</v>
      </c>
      <c r="AE48" s="363">
        <f>AE36/AE42</f>
        <v>1.4562363331599033</v>
      </c>
      <c r="AG48" s="363">
        <f>AG36/AG42</f>
        <v>1.4814773481819268</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401" t="s">
        <v>1383</v>
      </c>
      <c r="B51" s="3401"/>
      <c r="C51" s="3401"/>
      <c r="D51" s="1673"/>
      <c r="E51" s="1862"/>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row>
    <row r="52" spans="1:35" s="1675" customFormat="1">
      <c r="A52" s="1675" t="s">
        <v>917</v>
      </c>
      <c r="C52" s="1676"/>
      <c r="E52" s="1677">
        <v>0</v>
      </c>
      <c r="G52" s="1673">
        <f>E52*(1+3%)</f>
        <v>0</v>
      </c>
      <c r="I52" s="1859">
        <f>G52*(1+3%)</f>
        <v>0</v>
      </c>
      <c r="K52" s="1859">
        <f>I52*(1+3%)</f>
        <v>0</v>
      </c>
      <c r="M52" s="1859">
        <f>K52*(1+3%)</f>
        <v>0</v>
      </c>
      <c r="O52" s="1859">
        <f>M52*(1+3%)</f>
        <v>0</v>
      </c>
      <c r="Q52" s="1859">
        <f>O52*(1+3%)</f>
        <v>0</v>
      </c>
      <c r="S52" s="1859">
        <f>Q52*(1+3%)</f>
        <v>0</v>
      </c>
      <c r="U52" s="1859">
        <f>S52*(1+3%)</f>
        <v>0</v>
      </c>
      <c r="W52" s="1859">
        <f>U52*(1+3%)</f>
        <v>0</v>
      </c>
      <c r="Y52" s="1859">
        <f>W52*(1+3%)</f>
        <v>0</v>
      </c>
      <c r="AA52" s="1859">
        <f>Y52*(1+3%)</f>
        <v>0</v>
      </c>
      <c r="AC52" s="1859">
        <f>AA52*(1+3%)</f>
        <v>0</v>
      </c>
      <c r="AE52" s="1859">
        <f>AC52*(1+3%)</f>
        <v>0</v>
      </c>
      <c r="AG52" s="1859">
        <f>AE52*(1+3%)</f>
        <v>0</v>
      </c>
    </row>
    <row r="53" spans="1:35" s="6" customFormat="1">
      <c r="A53" s="6" t="s">
        <v>916</v>
      </c>
      <c r="C53" s="1671"/>
      <c r="E53" s="1678"/>
      <c r="F53" s="1673"/>
      <c r="G53" s="1673">
        <f t="shared" ref="G53:AG56" si="1">E53*$C$52</f>
        <v>0</v>
      </c>
      <c r="H53" s="1673"/>
      <c r="I53" s="1673">
        <f t="shared" si="1"/>
        <v>0</v>
      </c>
      <c r="J53" s="1673"/>
      <c r="K53" s="1673">
        <f t="shared" si="1"/>
        <v>0</v>
      </c>
      <c r="L53" s="1673"/>
      <c r="M53" s="1673">
        <f t="shared" si="1"/>
        <v>0</v>
      </c>
      <c r="N53" s="1673"/>
      <c r="O53" s="1673">
        <f t="shared" si="1"/>
        <v>0</v>
      </c>
      <c r="P53" s="1673"/>
      <c r="Q53" s="1673">
        <f t="shared" si="1"/>
        <v>0</v>
      </c>
      <c r="R53" s="1673"/>
      <c r="S53" s="1673">
        <f t="shared" si="1"/>
        <v>0</v>
      </c>
      <c r="T53" s="1673"/>
      <c r="U53" s="1673">
        <f t="shared" si="1"/>
        <v>0</v>
      </c>
      <c r="V53" s="1673"/>
      <c r="W53" s="1673">
        <f t="shared" si="1"/>
        <v>0</v>
      </c>
      <c r="X53" s="1673"/>
      <c r="Y53" s="1673">
        <f t="shared" si="1"/>
        <v>0</v>
      </c>
      <c r="Z53" s="1673"/>
      <c r="AA53" s="1673">
        <f t="shared" si="1"/>
        <v>0</v>
      </c>
      <c r="AB53" s="1673"/>
      <c r="AC53" s="1673">
        <f t="shared" si="1"/>
        <v>0</v>
      </c>
      <c r="AD53" s="1673"/>
      <c r="AE53" s="1673">
        <v>0</v>
      </c>
      <c r="AF53" s="1673"/>
      <c r="AG53" s="1673">
        <v>0</v>
      </c>
      <c r="AH53" s="1673"/>
      <c r="AI53" s="1673"/>
    </row>
    <row r="54" spans="1:35" s="6" customFormat="1">
      <c r="A54" s="6" t="s">
        <v>918</v>
      </c>
      <c r="C54" s="1671"/>
      <c r="E54" s="1678"/>
      <c r="F54" s="1673"/>
      <c r="G54" s="1673">
        <f t="shared" si="1"/>
        <v>0</v>
      </c>
      <c r="H54" s="1673"/>
      <c r="I54" s="1673">
        <f t="shared" si="1"/>
        <v>0</v>
      </c>
      <c r="J54" s="1673"/>
      <c r="K54" s="1673">
        <f t="shared" si="1"/>
        <v>0</v>
      </c>
      <c r="L54" s="1673"/>
      <c r="M54" s="1673">
        <f t="shared" si="1"/>
        <v>0</v>
      </c>
      <c r="N54" s="1673"/>
      <c r="O54" s="1673">
        <f t="shared" si="1"/>
        <v>0</v>
      </c>
      <c r="P54" s="1673"/>
      <c r="Q54" s="1673">
        <f t="shared" si="1"/>
        <v>0</v>
      </c>
      <c r="R54" s="1673"/>
      <c r="S54" s="1673">
        <f t="shared" si="1"/>
        <v>0</v>
      </c>
      <c r="T54" s="1673"/>
      <c r="U54" s="1673">
        <f t="shared" si="1"/>
        <v>0</v>
      </c>
      <c r="V54" s="1673"/>
      <c r="W54" s="1673">
        <f t="shared" si="1"/>
        <v>0</v>
      </c>
      <c r="X54" s="1673"/>
      <c r="Y54" s="1673">
        <f t="shared" si="1"/>
        <v>0</v>
      </c>
      <c r="Z54" s="1673"/>
      <c r="AA54" s="1673">
        <f t="shared" si="1"/>
        <v>0</v>
      </c>
      <c r="AB54" s="1673"/>
      <c r="AC54" s="1673">
        <f t="shared" si="1"/>
        <v>0</v>
      </c>
      <c r="AD54" s="1673"/>
      <c r="AE54" s="1673">
        <f t="shared" si="1"/>
        <v>0</v>
      </c>
      <c r="AF54" s="1673"/>
      <c r="AG54" s="1673">
        <f t="shared" si="1"/>
        <v>0</v>
      </c>
      <c r="AH54" s="1673"/>
      <c r="AI54" s="1673"/>
    </row>
    <row r="55" spans="1:35" s="6" customFormat="1">
      <c r="A55" s="1679"/>
      <c r="B55" s="1679"/>
      <c r="C55" s="1671"/>
      <c r="E55" s="1678"/>
      <c r="F55" s="1673"/>
      <c r="G55" s="1673">
        <f t="shared" si="1"/>
        <v>0</v>
      </c>
      <c r="H55" s="1673"/>
      <c r="I55" s="1673">
        <f t="shared" si="1"/>
        <v>0</v>
      </c>
      <c r="J55" s="1673"/>
      <c r="K55" s="1673">
        <f t="shared" si="1"/>
        <v>0</v>
      </c>
      <c r="L55" s="1673"/>
      <c r="M55" s="1673">
        <f t="shared" si="1"/>
        <v>0</v>
      </c>
      <c r="N55" s="1673"/>
      <c r="O55" s="1673">
        <f t="shared" si="1"/>
        <v>0</v>
      </c>
      <c r="P55" s="1673"/>
      <c r="Q55" s="1673">
        <f t="shared" si="1"/>
        <v>0</v>
      </c>
      <c r="R55" s="1673"/>
      <c r="S55" s="1673">
        <f t="shared" si="1"/>
        <v>0</v>
      </c>
      <c r="T55" s="1673"/>
      <c r="U55" s="1673">
        <f t="shared" si="1"/>
        <v>0</v>
      </c>
      <c r="V55" s="1673"/>
      <c r="W55" s="1673">
        <f t="shared" si="1"/>
        <v>0</v>
      </c>
      <c r="X55" s="1673"/>
      <c r="Y55" s="1673">
        <f t="shared" si="1"/>
        <v>0</v>
      </c>
      <c r="Z55" s="1673"/>
      <c r="AA55" s="1673">
        <f t="shared" si="1"/>
        <v>0</v>
      </c>
      <c r="AB55" s="1673"/>
      <c r="AC55" s="1673">
        <f t="shared" si="1"/>
        <v>0</v>
      </c>
      <c r="AD55" s="1673"/>
      <c r="AE55" s="1673">
        <f t="shared" si="1"/>
        <v>0</v>
      </c>
      <c r="AF55" s="1673"/>
      <c r="AG55" s="1673">
        <f t="shared" si="1"/>
        <v>0</v>
      </c>
      <c r="AH55" s="1673"/>
      <c r="AI55" s="1673"/>
    </row>
    <row r="56" spans="1:35" s="6" customFormat="1">
      <c r="A56" s="1679"/>
      <c r="B56" s="1679"/>
      <c r="C56" s="1671"/>
      <c r="E56" s="1680"/>
      <c r="F56" s="1673"/>
      <c r="G56" s="1681">
        <f t="shared" si="1"/>
        <v>0</v>
      </c>
      <c r="H56" s="1673"/>
      <c r="I56" s="1681">
        <f t="shared" si="1"/>
        <v>0</v>
      </c>
      <c r="J56" s="1673"/>
      <c r="K56" s="1681">
        <f t="shared" si="1"/>
        <v>0</v>
      </c>
      <c r="L56" s="1673"/>
      <c r="M56" s="1681">
        <f t="shared" si="1"/>
        <v>0</v>
      </c>
      <c r="N56" s="1673"/>
      <c r="O56" s="1681">
        <f t="shared" si="1"/>
        <v>0</v>
      </c>
      <c r="P56" s="1673"/>
      <c r="Q56" s="1681">
        <f t="shared" si="1"/>
        <v>0</v>
      </c>
      <c r="R56" s="1673"/>
      <c r="S56" s="1681">
        <f t="shared" si="1"/>
        <v>0</v>
      </c>
      <c r="T56" s="1673"/>
      <c r="U56" s="1681">
        <f t="shared" si="1"/>
        <v>0</v>
      </c>
      <c r="V56" s="1673"/>
      <c r="W56" s="1681">
        <f t="shared" si="1"/>
        <v>0</v>
      </c>
      <c r="X56" s="1673"/>
      <c r="Y56" s="1681">
        <f t="shared" si="1"/>
        <v>0</v>
      </c>
      <c r="Z56" s="1673"/>
      <c r="AA56" s="1681">
        <f t="shared" si="1"/>
        <v>0</v>
      </c>
      <c r="AB56" s="1673"/>
      <c r="AC56" s="1681">
        <f t="shared" si="1"/>
        <v>0</v>
      </c>
      <c r="AD56" s="1673"/>
      <c r="AE56" s="1681">
        <f t="shared" si="1"/>
        <v>0</v>
      </c>
      <c r="AF56" s="1673"/>
      <c r="AG56" s="1681">
        <f t="shared" si="1"/>
        <v>0</v>
      </c>
      <c r="AH56" s="1673"/>
      <c r="AI56" s="1673"/>
    </row>
    <row r="57" spans="1:35" s="6" customFormat="1">
      <c r="A57" s="1675" t="s">
        <v>915</v>
      </c>
      <c r="C57" s="1674"/>
      <c r="E57" s="1673">
        <f>SUM(E52:E56)</f>
        <v>0</v>
      </c>
      <c r="F57" s="1673"/>
      <c r="G57" s="1673">
        <f>SUM(G52:G56)</f>
        <v>0</v>
      </c>
      <c r="H57" s="1673"/>
      <c r="I57" s="1673">
        <f>SUM(I52:I56)</f>
        <v>0</v>
      </c>
      <c r="J57" s="1673"/>
      <c r="K57" s="1673">
        <f>SUM(K52:K56)</f>
        <v>0</v>
      </c>
      <c r="L57" s="1673"/>
      <c r="M57" s="1673">
        <f>SUM(M52:M56)</f>
        <v>0</v>
      </c>
      <c r="N57" s="1673"/>
      <c r="O57" s="1673">
        <f>SUM(O52:O56)</f>
        <v>0</v>
      </c>
      <c r="P57" s="1673"/>
      <c r="Q57" s="1673">
        <f>SUM(Q52:Q56)</f>
        <v>0</v>
      </c>
      <c r="R57" s="1673"/>
      <c r="S57" s="1673">
        <f>SUM(S52:S56)</f>
        <v>0</v>
      </c>
      <c r="T57" s="1673"/>
      <c r="U57" s="1673">
        <f>SUM(U52:U56)</f>
        <v>0</v>
      </c>
      <c r="V57" s="1673"/>
      <c r="W57" s="1673">
        <f>SUM(W52:W56)</f>
        <v>0</v>
      </c>
      <c r="X57" s="1673"/>
      <c r="Y57" s="1673">
        <f>SUM(Y52:Y56)</f>
        <v>0</v>
      </c>
      <c r="Z57" s="1673"/>
      <c r="AA57" s="1673">
        <f>SUM(AA52:AA56)</f>
        <v>0</v>
      </c>
      <c r="AB57" s="1673"/>
      <c r="AC57" s="1673">
        <f>SUM(AC52:AC56)</f>
        <v>0</v>
      </c>
      <c r="AD57" s="1673"/>
      <c r="AE57" s="1673">
        <f>SUM(AE52:AE56)</f>
        <v>0</v>
      </c>
      <c r="AF57" s="1673"/>
      <c r="AG57" s="1673">
        <f>SUM(AG52:AG56)</f>
        <v>0</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920</v>
      </c>
      <c r="C59" s="1682"/>
      <c r="E59" s="1675">
        <v>0</v>
      </c>
      <c r="G59" s="1675">
        <v>0</v>
      </c>
      <c r="I59" s="1675">
        <v>0</v>
      </c>
      <c r="K59" s="1675">
        <v>0</v>
      </c>
      <c r="M59" s="1675">
        <v>0</v>
      </c>
      <c r="O59" s="1675">
        <v>0</v>
      </c>
      <c r="Q59" s="1675">
        <v>0</v>
      </c>
      <c r="S59" s="1675">
        <v>0</v>
      </c>
      <c r="U59" s="1675">
        <v>0</v>
      </c>
      <c r="W59" s="1675">
        <v>0</v>
      </c>
      <c r="Y59" s="1675">
        <v>0</v>
      </c>
      <c r="AA59" s="1675">
        <v>0</v>
      </c>
      <c r="AC59" s="1675">
        <v>0</v>
      </c>
      <c r="AE59" s="1675">
        <v>0</v>
      </c>
      <c r="AG59" s="1675">
        <v>0</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919</v>
      </c>
      <c r="C61" s="1672">
        <v>1</v>
      </c>
      <c r="E61" s="1677">
        <f>E59*$C$61</f>
        <v>0</v>
      </c>
      <c r="G61" s="1683">
        <f>G59*$C$61</f>
        <v>0</v>
      </c>
      <c r="H61" s="1683"/>
      <c r="I61" s="1683">
        <f>I59*$C$61</f>
        <v>0</v>
      </c>
      <c r="J61" s="1683"/>
      <c r="K61" s="1683">
        <f>K59*$C$61</f>
        <v>0</v>
      </c>
      <c r="L61" s="1683"/>
      <c r="M61" s="1683">
        <f>M59*$C$61</f>
        <v>0</v>
      </c>
      <c r="N61" s="1683"/>
      <c r="O61" s="1683">
        <f>O59*$C$61</f>
        <v>0</v>
      </c>
      <c r="P61" s="1683"/>
      <c r="Q61" s="1683">
        <f>Q59*$C$61</f>
        <v>0</v>
      </c>
      <c r="R61" s="1683"/>
      <c r="S61" s="1683">
        <f>S59*$C$61</f>
        <v>0</v>
      </c>
      <c r="T61" s="1683"/>
      <c r="U61" s="1683">
        <f>U59*$C$61</f>
        <v>0</v>
      </c>
      <c r="V61" s="1683"/>
      <c r="W61" s="1683">
        <f>W59*$C$61</f>
        <v>0</v>
      </c>
      <c r="Y61" s="1683">
        <f>Y59*$C$61</f>
        <v>0</v>
      </c>
      <c r="AA61" s="1683">
        <f>AA59*$C$61</f>
        <v>0</v>
      </c>
      <c r="AC61" s="1683">
        <f>AC59*$C$61</f>
        <v>0</v>
      </c>
      <c r="AE61" s="1683">
        <v>0</v>
      </c>
      <c r="AG61" s="1683">
        <f>AG59*$C$61</f>
        <v>0</v>
      </c>
    </row>
    <row r="62" spans="1:35" s="1683" customFormat="1">
      <c r="A62" s="3401" t="s">
        <v>1383</v>
      </c>
      <c r="B62" s="3401"/>
      <c r="C62" s="3401"/>
    </row>
    <row r="63" spans="1:35" s="6" customFormat="1" ht="8.2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923</v>
      </c>
      <c r="C64" s="1672">
        <v>0.5</v>
      </c>
      <c r="E64" s="1862">
        <f>E59-E61</f>
        <v>0</v>
      </c>
      <c r="F64" s="1862"/>
      <c r="G64" s="1862">
        <f>G59-G61</f>
        <v>0</v>
      </c>
      <c r="H64" s="1862"/>
      <c r="I64" s="1862">
        <f>I59-I61</f>
        <v>0</v>
      </c>
      <c r="J64" s="1862"/>
      <c r="K64" s="1862">
        <f>K59-K61</f>
        <v>0</v>
      </c>
      <c r="L64" s="1862"/>
      <c r="M64" s="1862">
        <f>M59-M61</f>
        <v>0</v>
      </c>
      <c r="N64" s="1862"/>
      <c r="O64" s="1862">
        <f>O59-O61</f>
        <v>0</v>
      </c>
      <c r="P64" s="1862"/>
      <c r="Q64" s="1862">
        <f>Q59-Q61</f>
        <v>0</v>
      </c>
      <c r="R64" s="1862"/>
      <c r="S64" s="1862">
        <f>S59-S61</f>
        <v>0</v>
      </c>
      <c r="T64" s="1862"/>
      <c r="U64" s="1862">
        <f>U59-U61</f>
        <v>0</v>
      </c>
      <c r="V64" s="1862"/>
      <c r="W64" s="1862">
        <f>W59-W61</f>
        <v>0</v>
      </c>
      <c r="X64" s="1862"/>
      <c r="Y64" s="1862">
        <f>Y59-Y61</f>
        <v>0</v>
      </c>
      <c r="Z64" s="1862"/>
      <c r="AA64" s="1862">
        <f>AA59-AA61</f>
        <v>0</v>
      </c>
      <c r="AB64" s="1862"/>
      <c r="AC64" s="1862">
        <f>AC59-AC61</f>
        <v>0</v>
      </c>
      <c r="AD64" s="1862"/>
      <c r="AE64" s="1862">
        <f>AE59-AE61</f>
        <v>0</v>
      </c>
      <c r="AF64" s="1862"/>
      <c r="AG64" s="1862">
        <f>AG59-AG61</f>
        <v>0</v>
      </c>
      <c r="AH64" s="1673"/>
      <c r="AI64" s="1673"/>
    </row>
    <row r="65" spans="1:33" s="1675" customFormat="1">
      <c r="A65" s="1677"/>
      <c r="B65" s="1677"/>
      <c r="C65" s="1856"/>
      <c r="E65" s="1677">
        <f>E64*$C$65</f>
        <v>0</v>
      </c>
      <c r="G65" s="1673">
        <f>G64*$C$65</f>
        <v>0</v>
      </c>
      <c r="I65" s="1859">
        <f>I64*$C$65</f>
        <v>0</v>
      </c>
      <c r="K65" s="1859">
        <f>K64*$C$65</f>
        <v>0</v>
      </c>
      <c r="M65" s="1859">
        <f>M64*$C$65</f>
        <v>0</v>
      </c>
      <c r="O65" s="1859">
        <f>O64*$C$65</f>
        <v>0</v>
      </c>
      <c r="Q65" s="1859">
        <f>Q64*$C$65</f>
        <v>0</v>
      </c>
      <c r="S65" s="1859">
        <f>S64*$C$65</f>
        <v>0</v>
      </c>
      <c r="U65" s="1859">
        <f>U64*$C$65</f>
        <v>0</v>
      </c>
      <c r="W65" s="1859">
        <f>W64*$C$65</f>
        <v>0</v>
      </c>
      <c r="Y65" s="1859">
        <f>Y64*$C$65</f>
        <v>0</v>
      </c>
      <c r="AA65" s="1859">
        <f>AA64*$C$65</f>
        <v>0</v>
      </c>
      <c r="AC65" s="1859">
        <f>AC64*$C$65</f>
        <v>0</v>
      </c>
      <c r="AE65" s="1859">
        <f>AE64*$C$65</f>
        <v>0</v>
      </c>
      <c r="AG65" s="1859">
        <f>AG64*$C$65</f>
        <v>0</v>
      </c>
    </row>
    <row r="66" spans="1:33" s="1673" customFormat="1">
      <c r="A66" s="1678"/>
      <c r="B66" s="1678"/>
      <c r="C66" s="1684"/>
      <c r="E66" s="1678"/>
      <c r="G66" s="1673">
        <f t="shared" ref="G66:AG67" si="2">E66*$C$65</f>
        <v>0</v>
      </c>
      <c r="I66" s="1673">
        <f t="shared" si="2"/>
        <v>0</v>
      </c>
      <c r="K66" s="1673">
        <f t="shared" si="2"/>
        <v>0</v>
      </c>
      <c r="M66" s="1673">
        <f t="shared" si="2"/>
        <v>0</v>
      </c>
      <c r="O66" s="1673">
        <f t="shared" si="2"/>
        <v>0</v>
      </c>
      <c r="Q66" s="1673">
        <f t="shared" si="2"/>
        <v>0</v>
      </c>
      <c r="S66" s="1673">
        <f t="shared" si="2"/>
        <v>0</v>
      </c>
      <c r="U66" s="1673">
        <f t="shared" si="2"/>
        <v>0</v>
      </c>
      <c r="W66" s="1673">
        <f t="shared" si="2"/>
        <v>0</v>
      </c>
      <c r="Y66" s="1673">
        <f t="shared" si="2"/>
        <v>0</v>
      </c>
      <c r="AA66" s="1673">
        <f t="shared" si="2"/>
        <v>0</v>
      </c>
      <c r="AC66" s="1673">
        <f t="shared" si="2"/>
        <v>0</v>
      </c>
      <c r="AE66" s="1673">
        <f t="shared" si="2"/>
        <v>0</v>
      </c>
      <c r="AG66" s="1673">
        <f t="shared" si="2"/>
        <v>0</v>
      </c>
    </row>
    <row r="67" spans="1:33" s="1673" customFormat="1">
      <c r="A67" s="1678"/>
      <c r="B67" s="1678"/>
      <c r="C67" s="1684"/>
      <c r="E67" s="1680"/>
      <c r="G67" s="1681">
        <f t="shared" si="2"/>
        <v>0</v>
      </c>
      <c r="I67" s="1681">
        <f t="shared" si="2"/>
        <v>0</v>
      </c>
      <c r="K67" s="1681">
        <f t="shared" si="2"/>
        <v>0</v>
      </c>
      <c r="M67" s="1681">
        <f t="shared" si="2"/>
        <v>0</v>
      </c>
      <c r="O67" s="1681">
        <f t="shared" si="2"/>
        <v>0</v>
      </c>
      <c r="Q67" s="1681">
        <f t="shared" si="2"/>
        <v>0</v>
      </c>
      <c r="S67" s="1681">
        <f t="shared" si="2"/>
        <v>0</v>
      </c>
      <c r="U67" s="1681">
        <f t="shared" si="2"/>
        <v>0</v>
      </c>
      <c r="W67" s="1681">
        <f t="shared" si="2"/>
        <v>0</v>
      </c>
      <c r="Y67" s="1681">
        <f t="shared" si="2"/>
        <v>0</v>
      </c>
      <c r="AA67" s="1681">
        <f t="shared" si="2"/>
        <v>0</v>
      </c>
      <c r="AC67" s="1681">
        <f t="shared" si="2"/>
        <v>0</v>
      </c>
      <c r="AE67" s="1681">
        <f t="shared" si="2"/>
        <v>0</v>
      </c>
      <c r="AG67" s="1681">
        <f t="shared" si="2"/>
        <v>0</v>
      </c>
    </row>
    <row r="68" spans="1:33" s="1685" customFormat="1">
      <c r="A68" s="1675" t="s">
        <v>915</v>
      </c>
      <c r="C68" s="1684"/>
      <c r="E68" s="1685">
        <f>SUM(E65:E67)</f>
        <v>0</v>
      </c>
      <c r="G68" s="1685">
        <f>SUM(G65:G67)</f>
        <v>0</v>
      </c>
      <c r="I68" s="1685">
        <f>SUM(I65:I67)</f>
        <v>0</v>
      </c>
      <c r="K68" s="1685">
        <f>SUM(K65:K67)</f>
        <v>0</v>
      </c>
      <c r="M68" s="1685">
        <f>SUM(M65:M67)</f>
        <v>0</v>
      </c>
      <c r="O68" s="1685">
        <f>SUM(O65:O67)</f>
        <v>0</v>
      </c>
      <c r="Q68" s="1685">
        <f>SUM(Q65:Q67)</f>
        <v>0</v>
      </c>
      <c r="S68" s="1685">
        <f>SUM(S65:S67)</f>
        <v>0</v>
      </c>
      <c r="U68" s="1685">
        <f>SUM(U65:U67)</f>
        <v>0</v>
      </c>
      <c r="W68" s="1685">
        <f>SUM(W65:W67)</f>
        <v>0</v>
      </c>
      <c r="Y68" s="1685">
        <f>SUM(Y65:Y67)</f>
        <v>0</v>
      </c>
      <c r="AA68" s="1685">
        <f>SUM(AA65:AA67)</f>
        <v>0</v>
      </c>
      <c r="AC68" s="1685">
        <f>SUM(AC65:AC67)</f>
        <v>0</v>
      </c>
      <c r="AE68" s="1685">
        <f>SUM(AE65:AE67)</f>
        <v>0</v>
      </c>
      <c r="AG68" s="1685">
        <f>SUM(AG65:AG67)</f>
        <v>0</v>
      </c>
    </row>
    <row r="69" spans="1:33" s="1685" customFormat="1">
      <c r="A69" s="1675"/>
      <c r="C69" s="1684"/>
      <c r="E69" s="1685">
        <f>E68*0.1</f>
        <v>0</v>
      </c>
      <c r="G69" s="1861">
        <f>G68*0.1</f>
        <v>0</v>
      </c>
      <c r="I69" s="1861">
        <f>I68*0.1</f>
        <v>0</v>
      </c>
      <c r="K69" s="1861">
        <f>K68*0.1</f>
        <v>0</v>
      </c>
      <c r="M69" s="1861">
        <f>M68*0.1</f>
        <v>0</v>
      </c>
      <c r="O69" s="1861">
        <f>O68*0.1</f>
        <v>0</v>
      </c>
      <c r="Q69" s="1861">
        <f>Q68*0.1</f>
        <v>0</v>
      </c>
      <c r="S69" s="1861">
        <f>S68*0.1</f>
        <v>0</v>
      </c>
      <c r="U69" s="1861">
        <f>U68*0.1</f>
        <v>0</v>
      </c>
      <c r="W69" s="1861">
        <f>W68*0.1</f>
        <v>0</v>
      </c>
      <c r="Y69" s="1861">
        <f>Y68*0.1</f>
        <v>0</v>
      </c>
      <c r="AA69" s="1861">
        <f>AA68*0.1</f>
        <v>0</v>
      </c>
      <c r="AC69" s="1861">
        <f>AC68*0.1</f>
        <v>0</v>
      </c>
      <c r="AE69" s="1861">
        <f>AE68*0.1</f>
        <v>0</v>
      </c>
      <c r="AG69" s="1861">
        <f>AG68*0.1</f>
        <v>0</v>
      </c>
    </row>
    <row r="70" spans="1:33" s="1685" customFormat="1">
      <c r="A70" s="1675" t="s">
        <v>2221</v>
      </c>
      <c r="C70" s="1684"/>
      <c r="E70" s="1675">
        <f>E68*0.9</f>
        <v>0</v>
      </c>
      <c r="G70" s="1860">
        <f>G68*0.9</f>
        <v>0</v>
      </c>
      <c r="I70" s="1860">
        <f>I68*0.9</f>
        <v>0</v>
      </c>
      <c r="K70" s="1860">
        <f>K68*0.9</f>
        <v>0</v>
      </c>
      <c r="M70" s="1860">
        <f>M68*0.9</f>
        <v>0</v>
      </c>
      <c r="O70" s="1860">
        <f>O68*0.9</f>
        <v>0</v>
      </c>
      <c r="Q70" s="1860">
        <f>Q68*0.9</f>
        <v>0</v>
      </c>
      <c r="S70" s="1860">
        <f>S68*0.9</f>
        <v>0</v>
      </c>
      <c r="U70" s="1860">
        <f>U68*0.9</f>
        <v>0</v>
      </c>
      <c r="W70" s="1860">
        <f>W68*0.9</f>
        <v>0</v>
      </c>
      <c r="Y70" s="1860">
        <f>Y68*0.9</f>
        <v>0</v>
      </c>
      <c r="AA70" s="1860">
        <f>AA68*0.9</f>
        <v>0</v>
      </c>
      <c r="AC70" s="1860">
        <f>AC68*0.9</f>
        <v>0</v>
      </c>
      <c r="AE70" s="1860">
        <f>AE68*0.9</f>
        <v>0</v>
      </c>
      <c r="AG70" s="1860">
        <f>AG68*0.9</f>
        <v>0</v>
      </c>
    </row>
    <row r="71" spans="1:33" s="1673" customFormat="1">
      <c r="A71" s="915"/>
      <c r="C71" s="1686"/>
    </row>
    <row r="72" spans="1:33" s="351" customFormat="1">
      <c r="A72" s="915"/>
      <c r="C72" s="352"/>
    </row>
    <row r="73" spans="1:33" s="351" customFormat="1">
      <c r="A73" s="1673" t="s">
        <v>2220</v>
      </c>
      <c r="C73" s="352"/>
    </row>
    <row r="74" spans="1:33" s="351" customFormat="1">
      <c r="C74" s="352"/>
    </row>
    <row r="75" spans="1:33" s="370" customFormat="1" ht="30" customHeight="1">
      <c r="A75" s="3399" t="s">
        <v>2219</v>
      </c>
      <c r="B75" s="3400"/>
      <c r="C75" s="3400"/>
      <c r="D75" s="3400"/>
      <c r="E75" s="3400"/>
      <c r="F75" s="3400"/>
      <c r="G75" s="3400"/>
      <c r="H75" s="3400"/>
      <c r="I75" s="3400"/>
      <c r="J75" s="3400"/>
      <c r="K75" s="3400"/>
      <c r="L75" s="3400"/>
      <c r="M75" s="3400"/>
      <c r="N75" s="3400"/>
      <c r="O75" s="3400"/>
      <c r="P75" s="3400"/>
      <c r="Q75" s="3400"/>
      <c r="R75" s="3400"/>
      <c r="S75" s="3400"/>
      <c r="T75" s="3400"/>
      <c r="U75" s="3400"/>
      <c r="V75" s="3400"/>
      <c r="W75" s="3400"/>
      <c r="X75" s="3400"/>
      <c r="Y75" s="3400"/>
      <c r="Z75" s="3400"/>
      <c r="AA75" s="3400"/>
      <c r="AB75" s="3400"/>
      <c r="AC75" s="3400"/>
      <c r="AD75" s="3400"/>
      <c r="AE75" s="3400"/>
      <c r="AF75" s="3400"/>
      <c r="AG75" s="3400"/>
    </row>
    <row r="76" spans="1:33" s="348" customFormat="1" hidden="1">
      <c r="C76" s="35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5:AG75"/>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C17" zoomScaleNormal="100" zoomScaleSheetLayoutView="100" workbookViewId="0">
      <selection activeCell="C30" sqref="C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402" t="s">
        <v>978</v>
      </c>
      <c r="B1" s="3402"/>
      <c r="C1" s="3402"/>
      <c r="D1" s="3402"/>
      <c r="E1" s="3402"/>
      <c r="F1" s="3402"/>
      <c r="G1" s="3402"/>
      <c r="H1" s="3402"/>
      <c r="I1" s="3402"/>
      <c r="J1" s="325"/>
      <c r="K1" s="325"/>
    </row>
    <row r="2" spans="1:11">
      <c r="A2" s="655"/>
      <c r="B2" s="655"/>
      <c r="C2" s="655"/>
      <c r="D2" s="655"/>
      <c r="E2" s="655"/>
      <c r="F2" s="655"/>
      <c r="G2" s="655"/>
      <c r="H2" s="655"/>
      <c r="I2" s="655"/>
    </row>
    <row r="3" spans="1:11" ht="99.75">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2</v>
      </c>
      <c r="C4" s="658">
        <f>Application!O728</f>
        <v>668</v>
      </c>
      <c r="D4" s="659"/>
      <c r="E4" s="476"/>
      <c r="F4" s="660">
        <f>E4*B4</f>
        <v>0</v>
      </c>
      <c r="G4" s="661"/>
      <c r="H4" s="658" t="str">
        <f>IF(E4=0," ",(E4-C4))</f>
        <v xml:space="preserve"> </v>
      </c>
      <c r="I4" s="660" t="str">
        <f>IF(E4=0," ",(H4*B4))</f>
        <v xml:space="preserve"> </v>
      </c>
      <c r="J4" s="325"/>
      <c r="K4" s="473"/>
    </row>
    <row r="5" spans="1:11">
      <c r="A5" s="658" t="str">
        <f>Application!B729</f>
        <v>2 Bedrooms</v>
      </c>
      <c r="B5" s="667">
        <f>Application!G729</f>
        <v>2</v>
      </c>
      <c r="C5" s="658">
        <f>Application!O729</f>
        <v>799</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3 Bedrooms</v>
      </c>
      <c r="B6" s="667">
        <f>Application!G730</f>
        <v>5</v>
      </c>
      <c r="C6" s="658">
        <f>Application!O730</f>
        <v>924</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12</v>
      </c>
      <c r="C7" s="658">
        <f>Application!O731</f>
        <v>895</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4</v>
      </c>
      <c r="C8" s="658">
        <f>Application!O732</f>
        <v>1072</v>
      </c>
      <c r="D8" s="659"/>
      <c r="E8" s="476"/>
      <c r="F8" s="660">
        <f t="shared" si="0"/>
        <v>0</v>
      </c>
      <c r="G8" s="661"/>
      <c r="H8" s="658" t="str">
        <f t="shared" si="1"/>
        <v xml:space="preserve"> </v>
      </c>
      <c r="I8" s="660" t="str">
        <f t="shared" si="2"/>
        <v xml:space="preserve"> </v>
      </c>
      <c r="J8" s="325"/>
      <c r="K8" s="473"/>
    </row>
    <row r="9" spans="1:11">
      <c r="A9" s="658" t="str">
        <f>Application!B733</f>
        <v>3 Bedrooms</v>
      </c>
      <c r="B9" s="667">
        <f>Application!G733</f>
        <v>10</v>
      </c>
      <c r="C9" s="658">
        <f>Application!O733</f>
        <v>1239</v>
      </c>
      <c r="D9" s="659"/>
      <c r="E9" s="476"/>
      <c r="F9" s="660">
        <f t="shared" si="0"/>
        <v>0</v>
      </c>
      <c r="G9" s="661"/>
      <c r="H9" s="658" t="str">
        <f t="shared" si="1"/>
        <v xml:space="preserve"> </v>
      </c>
      <c r="I9" s="660" t="str">
        <f t="shared" si="2"/>
        <v xml:space="preserve"> </v>
      </c>
      <c r="J9" s="325"/>
      <c r="K9" s="473"/>
    </row>
    <row r="10" spans="1:11">
      <c r="A10" s="658" t="str">
        <f>Application!B734</f>
        <v>1 Bedroom</v>
      </c>
      <c r="B10" s="667">
        <f>Application!G734</f>
        <v>3</v>
      </c>
      <c r="C10" s="658">
        <f>Application!O734</f>
        <v>1122</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2</v>
      </c>
      <c r="C11" s="658">
        <f>Application!O735</f>
        <v>1344</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5</v>
      </c>
      <c r="C12" s="658">
        <f>Application!O736</f>
        <v>1554</v>
      </c>
      <c r="D12" s="659"/>
      <c r="E12" s="476"/>
      <c r="F12" s="660">
        <f t="shared" si="0"/>
        <v>0</v>
      </c>
      <c r="G12" s="661"/>
      <c r="H12" s="658" t="str">
        <f t="shared" si="1"/>
        <v xml:space="preserve"> </v>
      </c>
      <c r="I12" s="660" t="str">
        <f t="shared" si="2"/>
        <v xml:space="preserve"> </v>
      </c>
      <c r="J12" s="325"/>
      <c r="K12" s="473"/>
    </row>
    <row r="13" spans="1:11">
      <c r="A13" s="658" t="str">
        <f>Application!B737</f>
        <v>1 Bedroom</v>
      </c>
      <c r="B13" s="667">
        <f>Application!G737</f>
        <v>6</v>
      </c>
      <c r="C13" s="658">
        <f>Application!O737</f>
        <v>1350</v>
      </c>
      <c r="D13" s="659"/>
      <c r="E13" s="476"/>
      <c r="F13" s="660">
        <f t="shared" si="0"/>
        <v>0</v>
      </c>
      <c r="G13" s="661"/>
      <c r="H13" s="658" t="str">
        <f t="shared" si="1"/>
        <v xml:space="preserve"> </v>
      </c>
      <c r="I13" s="660" t="str">
        <f t="shared" si="2"/>
        <v xml:space="preserve"> </v>
      </c>
      <c r="J13" s="325"/>
      <c r="K13" s="473"/>
    </row>
    <row r="14" spans="1:11">
      <c r="A14" s="658" t="str">
        <f>Application!B738</f>
        <v>2 Bedrooms</v>
      </c>
      <c r="B14" s="667">
        <f>Application!G738</f>
        <v>8</v>
      </c>
      <c r="C14" s="658">
        <f>Application!O738</f>
        <v>1617</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27</v>
      </c>
      <c r="C15" s="658">
        <f>Application!O739</f>
        <v>1869</v>
      </c>
      <c r="D15" s="659"/>
      <c r="E15" s="476"/>
      <c r="F15" s="660">
        <f t="shared" si="0"/>
        <v>0</v>
      </c>
      <c r="G15" s="661"/>
      <c r="H15" s="658" t="str">
        <f t="shared" si="1"/>
        <v xml:space="preserve"> </v>
      </c>
      <c r="I15" s="660" t="str">
        <f t="shared" si="2"/>
        <v xml:space="preserve"> </v>
      </c>
      <c r="J15" s="325"/>
      <c r="K15" s="473"/>
    </row>
    <row r="16" spans="1:11">
      <c r="A16" s="658" t="str">
        <f>Application!B740</f>
        <v>2 Bedrooms</v>
      </c>
      <c r="B16" s="667">
        <f>Application!G740</f>
        <v>2</v>
      </c>
      <c r="C16" s="658">
        <f>Application!O740</f>
        <v>1592</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986</v>
      </c>
      <c r="B30" s="663"/>
      <c r="C30" s="664">
        <f>Application!T753</f>
        <v>123479</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9322237</v>
      </c>
      <c r="C5" s="421">
        <f>'Sources and Uses Budget'!$C4</f>
        <v>9322237</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500000</v>
      </c>
      <c r="C6" s="421">
        <f>'Sources and Uses Budget'!$C5</f>
        <v>500000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20000</v>
      </c>
      <c r="C7" s="421">
        <f>'Sources and Uses Budget'!$C6</f>
        <v>20000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9842237</v>
      </c>
      <c r="C9" s="425">
        <f>SUM(C5:C8)</f>
        <v>9842237</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272763</v>
      </c>
      <c r="C10" s="421">
        <f>'Sources and Uses Budget'!$C9</f>
        <v>272763</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250000</v>
      </c>
      <c r="C11" s="421">
        <f>'Sources and Uses Budget'!$C10</f>
        <v>250000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522763</v>
      </c>
      <c r="C12" s="425">
        <f>SUM(C10:C11)</f>
        <v>522763</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10365000</v>
      </c>
      <c r="C13" s="425">
        <f>SUM(C9+C12)</f>
        <v>10365000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150000</v>
      </c>
      <c r="C19" s="421">
        <f>'Sources and Uses Budget'!$C18</f>
        <v>150000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9000</v>
      </c>
      <c r="C20" s="421">
        <f>'Sources and Uses Budget'!$C19</f>
        <v>9000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3000</v>
      </c>
      <c r="C21" s="421">
        <f>'Sources and Uses Budget'!$C20</f>
        <v>3000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9000</v>
      </c>
      <c r="C22" s="421">
        <f>'Sources and Uses Budget'!$C21</f>
        <v>9000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4" t="s">
        <v>138</v>
      </c>
      <c r="B27" s="425">
        <f>SUM(B18:B26)</f>
        <v>171000</v>
      </c>
      <c r="C27" s="425">
        <f>SUM(C18:C26)</f>
        <v>171000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3241000</v>
      </c>
      <c r="C30" s="421">
        <f>'Sources and Uses Budget'!$C29</f>
        <v>3241000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19366405</v>
      </c>
      <c r="C31" s="421">
        <f>'Sources and Uses Budget'!$C30</f>
        <v>19366405</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1377984</v>
      </c>
      <c r="C32" s="421">
        <f>'Sources and Uses Budget'!$C31</f>
        <v>1377984</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478948</v>
      </c>
      <c r="C33" s="421">
        <f>'Sources and Uses Budget'!$C32</f>
        <v>478948</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1463843</v>
      </c>
      <c r="C34" s="421">
        <f>'Sources and Uses Budget'!$C33</f>
        <v>1463843</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60000</v>
      </c>
      <c r="C36" s="421">
        <f>'Sources and Uses Budget'!$C35</f>
        <v>60000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8"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25988180</v>
      </c>
      <c r="C39" s="425">
        <f>SUM(C30:C38)</f>
        <v>25988180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746812</v>
      </c>
      <c r="C41" s="421">
        <f>'Sources and Uses Budget'!$C40</f>
        <v>746812</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82979</v>
      </c>
      <c r="C42" s="421">
        <f>'Sources and Uses Budget'!$C41</f>
        <v>82979</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829791</v>
      </c>
      <c r="C43" s="425">
        <f>SUM(C41:C42)</f>
        <v>829791</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568146</v>
      </c>
      <c r="C44" s="421">
        <f>'Sources and Uses Budget'!$C43</f>
        <v>568146</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1731244</v>
      </c>
      <c r="C46" s="421">
        <f>'Sources and Uses Budget'!$C45</f>
        <v>1731244</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311936</v>
      </c>
      <c r="C47" s="421">
        <f>'Sources and Uses Budget'!$C46</f>
        <v>311936</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171077</v>
      </c>
      <c r="C50" s="421">
        <f>'Sources and Uses Budget'!$C49</f>
        <v>171077</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55000</v>
      </c>
      <c r="C51" s="421">
        <f>'Sources and Uses Budget'!$C50</f>
        <v>55000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160317</v>
      </c>
      <c r="C52" s="421">
        <f>'Sources and Uses Budget'!$C51</f>
        <v>160317</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0</v>
      </c>
      <c r="C53" s="421">
        <f>'Sources and Uses Budget'!$C52</f>
        <v>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ht="24">
      <c r="A54" s="226" t="str">
        <f>'Sources and Uses Budget'!A53</f>
        <v>Lender Construction Inspection &amp; Lender Fees</v>
      </c>
      <c r="B54" s="421">
        <f>'Sources and Uses Budget'!$C53</f>
        <v>263217</v>
      </c>
      <c r="C54" s="421">
        <f>'Sources and Uses Budget'!$C53</f>
        <v>263217</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2692791</v>
      </c>
      <c r="C55" s="428">
        <f>SUM(C46:C54)</f>
        <v>2692791</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131543</v>
      </c>
      <c r="C57" s="421">
        <f>'Sources and Uses Budget'!$C56</f>
        <v>131543</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20000</v>
      </c>
      <c r="C59" s="421">
        <f>'Sources and Uses Budget'!$C58</f>
        <v>20000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59683</v>
      </c>
      <c r="C60" s="421">
        <f>'Sources and Uses Budget'!$C59</f>
        <v>59683</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5" t="str">
        <f>'Sources and Uses Budget'!A61</f>
        <v>Permanent Conversion Fee</v>
      </c>
      <c r="B62" s="421">
        <f>'Sources and Uses Budget'!$C61</f>
        <v>10000</v>
      </c>
      <c r="C62" s="421">
        <f>'Sources and Uses Budget'!$C61</f>
        <v>10000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221226</v>
      </c>
      <c r="C63" s="425">
        <f>SUM(C57:C62)</f>
        <v>221226</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40665134</v>
      </c>
      <c r="C64" s="425">
        <f>SUM(C9+C12+C14+C15+C17+C26+C28+C39+C43+C44+C55+C63)</f>
        <v>40665134</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100000</v>
      </c>
      <c r="C66" s="421">
        <f>'Sources and Uses Budget'!$C65</f>
        <v>100000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Borrower's Legal</v>
      </c>
      <c r="B70" s="421">
        <f>'Sources and Uses Budget'!$C69</f>
        <v>590566</v>
      </c>
      <c r="C70" s="421">
        <f>'Sources and Uses Budget'!$C69</f>
        <v>590566</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690566</v>
      </c>
      <c r="C71" s="425">
        <f>SUM(C66:C70)</f>
        <v>690566</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639</v>
      </c>
      <c r="B76" s="421">
        <f>'Sources and Uses Budget'!$C75</f>
        <v>327000</v>
      </c>
      <c r="C76" s="421">
        <f>'Sources and Uses Budget'!$C75</f>
        <v>327000</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640</v>
      </c>
      <c r="B78" s="425">
        <f>SUM(B73:B77)</f>
        <v>327000</v>
      </c>
      <c r="C78" s="425">
        <f>SUM(C73:C77)</f>
        <v>327000</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1150820</v>
      </c>
      <c r="C80" s="421">
        <f>'Sources and Uses Budget'!$C79</f>
        <v>1150820</v>
      </c>
      <c r="D80" s="425">
        <f t="shared" si="1"/>
        <v>0</v>
      </c>
      <c r="E80" s="423"/>
      <c r="F80" s="422"/>
      <c r="G80" s="553"/>
    </row>
    <row r="81" spans="1:7" s="547" customFormat="1">
      <c r="A81" s="861" t="s">
        <v>61</v>
      </c>
      <c r="B81" s="421">
        <f>'Sources and Uses Budget'!$C80</f>
        <v>400000</v>
      </c>
      <c r="C81" s="421">
        <f>'Sources and Uses Budget'!$C80</f>
        <v>400000</v>
      </c>
      <c r="D81" s="425">
        <f>C81-B81</f>
        <v>0</v>
      </c>
      <c r="E81" s="423"/>
      <c r="F81" s="422"/>
      <c r="G81" s="553"/>
    </row>
    <row r="82" spans="1:7" s="547" customFormat="1">
      <c r="A82" s="426" t="s">
        <v>1418</v>
      </c>
      <c r="B82" s="425">
        <f>SUM(B80:B81)</f>
        <v>1550820</v>
      </c>
      <c r="C82" s="425">
        <f>SUM(C80:C81)</f>
        <v>1550820</v>
      </c>
      <c r="D82" s="425">
        <f t="shared" si="1"/>
        <v>0</v>
      </c>
      <c r="E82" s="423"/>
      <c r="F82" s="422"/>
      <c r="G82" s="553"/>
    </row>
    <row r="83" spans="1:7" s="547" customFormat="1">
      <c r="A83" s="419" t="s">
        <v>822</v>
      </c>
      <c r="B83" s="419"/>
      <c r="C83" s="419"/>
      <c r="D83" s="419"/>
      <c r="E83" s="439"/>
      <c r="F83" s="419"/>
      <c r="G83" s="553"/>
    </row>
    <row r="84" spans="1:7" s="547" customFormat="1" ht="13.7" customHeight="1">
      <c r="A84" s="424" t="s">
        <v>823</v>
      </c>
      <c r="B84" s="421">
        <f>'Sources and Uses Budget'!$C83</f>
        <v>58275</v>
      </c>
      <c r="C84" s="421">
        <f>'Sources and Uses Budget'!$C83</f>
        <v>58275</v>
      </c>
      <c r="D84" s="425">
        <f t="shared" si="1"/>
        <v>0</v>
      </c>
      <c r="E84" s="423"/>
      <c r="F84" s="422"/>
      <c r="G84" s="553"/>
    </row>
    <row r="85" spans="1:7" s="547" customFormat="1">
      <c r="A85" s="424" t="s">
        <v>824</v>
      </c>
      <c r="B85" s="421">
        <f>'Sources and Uses Budget'!$C84</f>
        <v>120000</v>
      </c>
      <c r="C85" s="421">
        <f>'Sources and Uses Budget'!$C84</f>
        <v>120000</v>
      </c>
      <c r="D85" s="425">
        <f t="shared" si="1"/>
        <v>0</v>
      </c>
      <c r="E85" s="423"/>
      <c r="F85" s="422"/>
      <c r="G85" s="553"/>
    </row>
    <row r="86" spans="1:7" s="547" customFormat="1">
      <c r="A86" s="424" t="s">
        <v>825</v>
      </c>
      <c r="B86" s="421">
        <f>'Sources and Uses Budget'!$C85</f>
        <v>2578824</v>
      </c>
      <c r="C86" s="421">
        <f>'Sources and Uses Budget'!$C85</f>
        <v>2578824</v>
      </c>
      <c r="D86" s="425">
        <f t="shared" si="1"/>
        <v>0</v>
      </c>
      <c r="E86" s="423"/>
      <c r="F86" s="422"/>
      <c r="G86" s="553"/>
    </row>
    <row r="87" spans="1:7" s="547" customFormat="1">
      <c r="A87" s="424" t="s">
        <v>826</v>
      </c>
      <c r="B87" s="421">
        <f>'Sources and Uses Budget'!$C86</f>
        <v>300362</v>
      </c>
      <c r="C87" s="421">
        <f>'Sources and Uses Budget'!$C86</f>
        <v>300362</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50000</v>
      </c>
      <c r="C89" s="421">
        <f>'Sources and Uses Budget'!$C88</f>
        <v>50000</v>
      </c>
      <c r="D89" s="425">
        <f t="shared" si="1"/>
        <v>0</v>
      </c>
      <c r="E89" s="423"/>
      <c r="F89" s="422"/>
      <c r="G89" s="553"/>
    </row>
    <row r="90" spans="1:7" s="547" customFormat="1">
      <c r="A90" s="424" t="s">
        <v>829</v>
      </c>
      <c r="B90" s="421">
        <f>'Sources and Uses Budget'!$C89</f>
        <v>0</v>
      </c>
      <c r="C90" s="421">
        <f>'Sources and Uses Budget'!$C89</f>
        <v>0</v>
      </c>
      <c r="D90" s="425">
        <f t="shared" si="1"/>
        <v>0</v>
      </c>
      <c r="E90" s="423"/>
      <c r="F90" s="422"/>
      <c r="G90" s="553"/>
    </row>
    <row r="91" spans="1:7" s="547" customFormat="1">
      <c r="A91" s="424" t="s">
        <v>830</v>
      </c>
      <c r="B91" s="421">
        <f>'Sources and Uses Budget'!$C90</f>
        <v>21300</v>
      </c>
      <c r="C91" s="421">
        <f>'Sources and Uses Budget'!$C90</f>
        <v>21300</v>
      </c>
      <c r="D91" s="425">
        <f t="shared" si="1"/>
        <v>0</v>
      </c>
      <c r="E91" s="423"/>
      <c r="F91" s="422"/>
      <c r="G91" s="553"/>
    </row>
    <row r="92" spans="1:7" s="547" customFormat="1">
      <c r="A92" s="430" t="s">
        <v>389</v>
      </c>
      <c r="B92" s="421">
        <f>'Sources and Uses Budget'!$C91</f>
        <v>30000</v>
      </c>
      <c r="C92" s="421">
        <f>'Sources and Uses Budget'!$C91</f>
        <v>30000</v>
      </c>
      <c r="D92" s="425">
        <f t="shared" si="1"/>
        <v>0</v>
      </c>
      <c r="E92" s="423"/>
      <c r="F92" s="422"/>
      <c r="G92" s="553"/>
    </row>
    <row r="93" spans="1:7" s="547" customFormat="1">
      <c r="A93" s="860" t="s">
        <v>1420</v>
      </c>
      <c r="B93" s="421">
        <f>'Sources and Uses Budget'!$C92</f>
        <v>51125</v>
      </c>
      <c r="C93" s="421">
        <f>'Sources and Uses Budget'!$C92</f>
        <v>51125</v>
      </c>
      <c r="D93" s="425">
        <f t="shared" si="1"/>
        <v>0</v>
      </c>
      <c r="E93" s="423"/>
      <c r="F93" s="422"/>
      <c r="G93" s="553"/>
    </row>
    <row r="94" spans="1:7" s="547" customFormat="1">
      <c r="A94" s="427" t="s">
        <v>35</v>
      </c>
      <c r="B94" s="421">
        <f>'Sources and Uses Budget'!$C93</f>
        <v>2000000</v>
      </c>
      <c r="C94" s="421">
        <f>'Sources and Uses Budget'!$C93</f>
        <v>2000000</v>
      </c>
      <c r="D94" s="425">
        <f t="shared" si="1"/>
        <v>0</v>
      </c>
      <c r="E94" s="423"/>
      <c r="F94" s="422"/>
      <c r="G94" s="553"/>
    </row>
    <row r="95" spans="1:7" s="547" customFormat="1">
      <c r="A95" s="427" t="s">
        <v>35</v>
      </c>
      <c r="B95" s="421">
        <f>'Sources and Uses Budget'!$C94</f>
        <v>109401</v>
      </c>
      <c r="C95" s="421">
        <f>'Sources and Uses Budget'!$C94</f>
        <v>109401</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831</v>
      </c>
      <c r="B97" s="425">
        <f>SUM(B84:B96)</f>
        <v>5319287</v>
      </c>
      <c r="C97" s="425">
        <f>SUM(C84:C96)</f>
        <v>5319287</v>
      </c>
      <c r="D97" s="425">
        <f t="shared" si="1"/>
        <v>0</v>
      </c>
      <c r="E97" s="423"/>
      <c r="F97" s="422"/>
      <c r="G97" s="553"/>
    </row>
    <row r="98" spans="1:7" s="547" customFormat="1">
      <c r="A98" s="426" t="s">
        <v>832</v>
      </c>
      <c r="B98" s="425">
        <f>SUM(B64+B71+B78+B82+B97)</f>
        <v>48552807</v>
      </c>
      <c r="C98" s="425">
        <f>SUM(C64+C71+C78+C82+C97)</f>
        <v>48552807</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5325951</v>
      </c>
      <c r="C100" s="421">
        <f>'Sources and Uses Budget'!$C99</f>
        <v>5325951</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5"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5325951</v>
      </c>
      <c r="C105" s="425">
        <f>SUM(C100:C104)</f>
        <v>5325951</v>
      </c>
      <c r="D105" s="425">
        <f t="shared" si="1"/>
        <v>0</v>
      </c>
      <c r="E105" s="423"/>
      <c r="F105" s="422"/>
      <c r="G105" s="551"/>
    </row>
    <row r="106" spans="1:7" s="546" customFormat="1">
      <c r="A106" s="426" t="s">
        <v>837</v>
      </c>
      <c r="B106" s="428">
        <f>SUM(B98+B105)</f>
        <v>53878758</v>
      </c>
      <c r="C106" s="428">
        <f>SUM(C98+C105)</f>
        <v>53878758</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DD7FA-6284-4443-B340-461E96D81D29}">
  <dimension ref="A1:S41"/>
  <sheetViews>
    <sheetView topLeftCell="A5" zoomScale="77" zoomScaleNormal="77" workbookViewId="0">
      <selection activeCell="F31" sqref="F31"/>
    </sheetView>
  </sheetViews>
  <sheetFormatPr defaultRowHeight="12.75"/>
  <cols>
    <col min="1" max="1" width="24" customWidth="1"/>
    <col min="2" max="2" width="10.42578125" bestFit="1" customWidth="1"/>
    <col min="3" max="4" width="13.7109375" bestFit="1" customWidth="1"/>
    <col min="5" max="5" width="46.42578125" bestFit="1" customWidth="1"/>
    <col min="6" max="6" width="21" bestFit="1" customWidth="1"/>
    <col min="7" max="7" width="16.28515625" bestFit="1" customWidth="1"/>
    <col min="8" max="8" width="13.7109375" bestFit="1" customWidth="1"/>
    <col min="9" max="9" width="9.140625" bestFit="1" customWidth="1"/>
    <col min="10" max="10" width="11.5703125" bestFit="1" customWidth="1"/>
    <col min="11" max="11" width="10.28515625" bestFit="1" customWidth="1"/>
    <col min="12" max="13" width="9.28515625" bestFit="1" customWidth="1"/>
    <col min="14" max="14" width="9.5703125" bestFit="1" customWidth="1"/>
    <col min="15" max="16" width="9.28515625" bestFit="1" customWidth="1"/>
    <col min="17" max="17" width="9.85546875" bestFit="1" customWidth="1"/>
  </cols>
  <sheetData>
    <row r="1" spans="1:19" ht="15">
      <c r="A1" s="1866"/>
      <c r="B1" s="1866"/>
      <c r="C1" s="1866"/>
      <c r="D1" s="1866"/>
      <c r="E1" s="1866"/>
      <c r="F1" s="1866"/>
      <c r="G1" s="1866"/>
      <c r="H1" s="1866"/>
      <c r="I1" s="1867" t="s">
        <v>2684</v>
      </c>
      <c r="J1" s="1866"/>
      <c r="K1" s="1866"/>
      <c r="L1" s="1866"/>
      <c r="M1" s="1866"/>
      <c r="N1" s="1866"/>
      <c r="O1" s="1867" t="s">
        <v>1880</v>
      </c>
      <c r="P1" s="1868" t="s">
        <v>2685</v>
      </c>
      <c r="Q1" s="1867" t="s">
        <v>2725</v>
      </c>
    </row>
    <row r="2" spans="1:19" ht="15">
      <c r="A2" s="1866"/>
      <c r="B2" s="1867" t="s">
        <v>2718</v>
      </c>
      <c r="C2" s="1867"/>
      <c r="D2" s="1866"/>
      <c r="E2" s="1867"/>
      <c r="F2" s="1867"/>
      <c r="G2" s="1867" t="s">
        <v>2686</v>
      </c>
      <c r="H2" s="1866"/>
      <c r="I2" s="1867" t="s">
        <v>2687</v>
      </c>
      <c r="J2" s="1866"/>
      <c r="K2" s="1868" t="s">
        <v>2688</v>
      </c>
      <c r="L2" s="1867" t="s">
        <v>2689</v>
      </c>
      <c r="M2" s="1868" t="s">
        <v>2690</v>
      </c>
      <c r="N2" s="1867" t="s">
        <v>2691</v>
      </c>
      <c r="O2" s="1867" t="s">
        <v>2692</v>
      </c>
      <c r="P2" s="1867" t="s">
        <v>2693</v>
      </c>
      <c r="Q2" s="1867" t="s">
        <v>2726</v>
      </c>
    </row>
    <row r="3" spans="1:19" ht="15">
      <c r="A3" s="1866"/>
      <c r="B3" s="346" t="s">
        <v>2719</v>
      </c>
      <c r="C3" s="1867"/>
      <c r="D3" s="1867" t="s">
        <v>2694</v>
      </c>
      <c r="E3" s="1867"/>
      <c r="F3" s="1867"/>
      <c r="G3" s="1867" t="s">
        <v>2685</v>
      </c>
      <c r="H3" s="1867" t="s">
        <v>2695</v>
      </c>
      <c r="I3" s="1867" t="s">
        <v>2696</v>
      </c>
      <c r="J3" s="1867" t="s">
        <v>2685</v>
      </c>
      <c r="K3" s="1867" t="s">
        <v>2697</v>
      </c>
      <c r="L3" s="1867" t="s">
        <v>2698</v>
      </c>
      <c r="M3" s="1867" t="s">
        <v>2699</v>
      </c>
      <c r="N3" s="1867" t="s">
        <v>2700</v>
      </c>
      <c r="O3" s="1867" t="s">
        <v>2691</v>
      </c>
      <c r="P3" s="1867" t="s">
        <v>2701</v>
      </c>
      <c r="Q3" s="1867" t="s">
        <v>2727</v>
      </c>
    </row>
    <row r="4" spans="1:19">
      <c r="A4" s="1876" t="s">
        <v>2702</v>
      </c>
      <c r="B4" s="1874" t="s">
        <v>2703</v>
      </c>
      <c r="C4" s="1874" t="s">
        <v>2704</v>
      </c>
      <c r="D4" s="1874" t="s">
        <v>2645</v>
      </c>
      <c r="E4" s="1874" t="s">
        <v>2705</v>
      </c>
      <c r="F4" s="1874" t="s">
        <v>2706</v>
      </c>
      <c r="G4" s="1874" t="s">
        <v>2707</v>
      </c>
      <c r="H4" s="1874" t="s">
        <v>2708</v>
      </c>
      <c r="I4" s="1874" t="s">
        <v>1103</v>
      </c>
      <c r="J4" s="1874" t="s">
        <v>2693</v>
      </c>
      <c r="K4" s="1874" t="s">
        <v>2709</v>
      </c>
      <c r="L4" s="1874" t="s">
        <v>2710</v>
      </c>
      <c r="M4" s="1874" t="s">
        <v>2711</v>
      </c>
      <c r="N4" s="1874" t="s">
        <v>422</v>
      </c>
      <c r="O4" s="1875" t="s">
        <v>2712</v>
      </c>
      <c r="P4" s="1874" t="s">
        <v>2713</v>
      </c>
      <c r="Q4" s="1874" t="s">
        <v>409</v>
      </c>
      <c r="S4" s="717"/>
    </row>
    <row r="5" spans="1:19" ht="15">
      <c r="A5" s="1869" t="s">
        <v>2717</v>
      </c>
      <c r="B5" s="1870" t="s">
        <v>2534</v>
      </c>
      <c r="C5" s="1870" t="s">
        <v>2714</v>
      </c>
      <c r="D5" s="1870" t="s">
        <v>2534</v>
      </c>
      <c r="E5" s="1870" t="s">
        <v>2720</v>
      </c>
      <c r="F5" s="1870" t="s">
        <v>2715</v>
      </c>
      <c r="G5" s="1871">
        <v>41348</v>
      </c>
      <c r="H5" s="1870" t="s">
        <v>2615</v>
      </c>
      <c r="I5" s="1872">
        <v>41348</v>
      </c>
      <c r="J5" s="1873">
        <v>9595000</v>
      </c>
      <c r="K5" s="1870" t="s">
        <v>705</v>
      </c>
      <c r="L5" s="1893">
        <v>1.09993E-2</v>
      </c>
      <c r="M5" s="1870" t="s">
        <v>705</v>
      </c>
      <c r="N5" s="1870" t="s">
        <v>625</v>
      </c>
      <c r="O5" s="1870" t="s">
        <v>625</v>
      </c>
      <c r="P5" s="1863" t="s">
        <v>625</v>
      </c>
      <c r="Q5" s="1892" t="s">
        <v>625</v>
      </c>
      <c r="S5" s="717"/>
    </row>
    <row r="6" spans="1:19">
      <c r="Q6" s="717"/>
      <c r="S6" s="717"/>
    </row>
    <row r="7" spans="1:19">
      <c r="S7" s="717"/>
    </row>
    <row r="8" spans="1:19" ht="15">
      <c r="A8" s="1868"/>
      <c r="B8" s="1866"/>
      <c r="C8" s="1866"/>
      <c r="D8" s="1866"/>
      <c r="E8" s="1866"/>
      <c r="F8" s="1866"/>
      <c r="G8" s="1866"/>
      <c r="H8" s="1866"/>
      <c r="I8" s="1866"/>
      <c r="J8" s="1866"/>
      <c r="K8" s="1866"/>
      <c r="L8" s="1866"/>
      <c r="M8" s="1866"/>
      <c r="N8" s="1866"/>
      <c r="O8" s="1866"/>
      <c r="P8" s="1866"/>
    </row>
    <row r="10" spans="1:19" ht="15">
      <c r="A10" s="1868" t="s">
        <v>2723</v>
      </c>
      <c r="B10" s="1866"/>
      <c r="C10" s="1866"/>
      <c r="D10" s="1866"/>
      <c r="E10" s="1866"/>
      <c r="F10" s="1866"/>
      <c r="G10" s="1866"/>
      <c r="H10" s="1866"/>
      <c r="I10" s="1866"/>
      <c r="J10" s="1866"/>
      <c r="K10" s="1866"/>
      <c r="L10" s="1866"/>
      <c r="M10" s="1866"/>
      <c r="N10" s="1866"/>
      <c r="O10" s="1866"/>
      <c r="P10" s="1866"/>
    </row>
    <row r="11" spans="1:19" s="717" customFormat="1" ht="15">
      <c r="A11" s="1868"/>
      <c r="B11" s="1866"/>
      <c r="C11" s="1866"/>
      <c r="D11" s="1866"/>
      <c r="E11" s="1866"/>
      <c r="F11" s="1866"/>
      <c r="G11" s="1866"/>
      <c r="H11" s="1866"/>
      <c r="I11" s="1866"/>
      <c r="J11" s="1866"/>
      <c r="K11" s="1866"/>
      <c r="L11" s="1866"/>
      <c r="M11" s="1866"/>
      <c r="N11" s="1866"/>
      <c r="O11" s="1866"/>
      <c r="P11" s="1866"/>
    </row>
    <row r="12" spans="1:19">
      <c r="A12" s="5"/>
      <c r="B12" s="5" t="s">
        <v>2681</v>
      </c>
      <c r="C12" s="5"/>
      <c r="D12" s="346" t="s">
        <v>2685</v>
      </c>
      <c r="E12" s="346" t="s">
        <v>2721</v>
      </c>
    </row>
    <row r="13" spans="1:19" ht="15">
      <c r="A13" s="1884" t="s">
        <v>2673</v>
      </c>
      <c r="B13" s="1884" t="s">
        <v>1910</v>
      </c>
      <c r="C13" s="1885" t="s">
        <v>2682</v>
      </c>
      <c r="D13" s="1886" t="s">
        <v>2693</v>
      </c>
      <c r="E13" s="1886" t="s">
        <v>2719</v>
      </c>
      <c r="F13" s="1866"/>
      <c r="G13" s="1866"/>
      <c r="H13" s="1866"/>
      <c r="I13" s="1866"/>
      <c r="J13" s="1866"/>
      <c r="K13" s="1866"/>
      <c r="L13" s="1866"/>
      <c r="M13" s="1866"/>
      <c r="N13" s="1866"/>
      <c r="O13" s="1866"/>
      <c r="P13" s="1866"/>
    </row>
    <row r="14" spans="1:19" ht="15">
      <c r="A14" s="6" t="s">
        <v>2730</v>
      </c>
      <c r="B14" s="717" t="s">
        <v>2683</v>
      </c>
      <c r="C14" s="1865">
        <v>41348</v>
      </c>
      <c r="D14" s="1864">
        <v>389660.76516486442</v>
      </c>
      <c r="E14" s="1879" t="s">
        <v>2632</v>
      </c>
      <c r="F14" s="1866"/>
      <c r="G14" s="1866"/>
      <c r="H14" s="1866"/>
      <c r="I14" s="1866"/>
      <c r="J14" s="1866"/>
      <c r="K14" s="1866"/>
      <c r="L14" s="1866"/>
      <c r="M14" s="1866"/>
      <c r="N14" s="1866"/>
      <c r="O14" s="1866"/>
      <c r="P14" s="1866"/>
    </row>
    <row r="15" spans="1:19" ht="15">
      <c r="A15" s="717" t="s">
        <v>2621</v>
      </c>
      <c r="B15" s="717" t="s">
        <v>2650</v>
      </c>
      <c r="C15" s="1865">
        <v>41348</v>
      </c>
      <c r="D15" s="1864">
        <v>389660.76516486442</v>
      </c>
      <c r="E15" s="1879" t="s">
        <v>2632</v>
      </c>
      <c r="F15" s="1866"/>
      <c r="G15" s="1866"/>
      <c r="H15" s="1866"/>
      <c r="I15" s="1866"/>
      <c r="J15" s="1866"/>
      <c r="K15" s="1866"/>
      <c r="L15" s="1866"/>
      <c r="M15" s="1866"/>
      <c r="N15" s="1866"/>
      <c r="O15" s="1866"/>
      <c r="P15" s="1866"/>
    </row>
    <row r="16" spans="1:19">
      <c r="A16" s="717" t="s">
        <v>2622</v>
      </c>
      <c r="B16" s="717" t="s">
        <v>2651</v>
      </c>
      <c r="C16" s="1865">
        <v>41348</v>
      </c>
      <c r="D16" s="1864">
        <v>389660.76516486442</v>
      </c>
      <c r="E16" s="1879" t="s">
        <v>2632</v>
      </c>
    </row>
    <row r="17" spans="1:5">
      <c r="A17" s="717" t="s">
        <v>2623</v>
      </c>
      <c r="B17" s="717" t="s">
        <v>2652</v>
      </c>
      <c r="C17" s="1865">
        <v>41348</v>
      </c>
      <c r="D17" s="1864">
        <v>389660.76516486442</v>
      </c>
      <c r="E17" s="1879" t="s">
        <v>2632</v>
      </c>
    </row>
    <row r="18" spans="1:5">
      <c r="A18" s="717" t="s">
        <v>2624</v>
      </c>
      <c r="B18" s="717" t="s">
        <v>2653</v>
      </c>
      <c r="C18" s="1865">
        <v>41348</v>
      </c>
      <c r="D18" s="1864">
        <v>389660.76516486442</v>
      </c>
      <c r="E18" s="1879" t="s">
        <v>2632</v>
      </c>
    </row>
    <row r="19" spans="1:5">
      <c r="A19" s="717" t="s">
        <v>2625</v>
      </c>
      <c r="B19" s="717" t="s">
        <v>2654</v>
      </c>
      <c r="C19" s="1865">
        <v>41348</v>
      </c>
      <c r="D19" s="1864">
        <v>389660.76516486442</v>
      </c>
      <c r="E19" s="1879" t="s">
        <v>2632</v>
      </c>
    </row>
    <row r="20" spans="1:5">
      <c r="A20" s="717" t="s">
        <v>2626</v>
      </c>
      <c r="B20" s="717" t="s">
        <v>2655</v>
      </c>
      <c r="C20" s="1865">
        <v>41348</v>
      </c>
      <c r="D20" s="1864">
        <v>389660.76516486442</v>
      </c>
      <c r="E20" s="1879" t="s">
        <v>2632</v>
      </c>
    </row>
    <row r="21" spans="1:5">
      <c r="A21" s="717" t="s">
        <v>2627</v>
      </c>
      <c r="B21" s="717" t="s">
        <v>2656</v>
      </c>
      <c r="C21" s="1865">
        <v>41348</v>
      </c>
      <c r="D21" s="1864">
        <v>389660.76516486442</v>
      </c>
      <c r="E21" s="1879" t="s">
        <v>2632</v>
      </c>
    </row>
    <row r="22" spans="1:5">
      <c r="A22" s="717" t="s">
        <v>2628</v>
      </c>
      <c r="B22" s="717" t="s">
        <v>2657</v>
      </c>
      <c r="C22" s="1865">
        <v>41348</v>
      </c>
      <c r="D22" s="1864">
        <v>389660.76516486442</v>
      </c>
      <c r="E22" s="1879" t="s">
        <v>2632</v>
      </c>
    </row>
    <row r="23" spans="1:5">
      <c r="A23" s="717" t="s">
        <v>2629</v>
      </c>
      <c r="B23" s="717" t="s">
        <v>2658</v>
      </c>
      <c r="C23" s="1865">
        <v>41348</v>
      </c>
      <c r="D23" s="1864">
        <v>389660.76516486442</v>
      </c>
      <c r="E23" s="1879" t="s">
        <v>2632</v>
      </c>
    </row>
    <row r="24" spans="1:5">
      <c r="A24" s="717" t="s">
        <v>2630</v>
      </c>
      <c r="B24" s="717" t="s">
        <v>2659</v>
      </c>
      <c r="C24" s="1865">
        <v>41348</v>
      </c>
      <c r="D24" s="1864">
        <v>389660.76516486442</v>
      </c>
      <c r="E24" s="1879" t="s">
        <v>2632</v>
      </c>
    </row>
    <row r="25" spans="1:5">
      <c r="A25" s="717" t="s">
        <v>2631</v>
      </c>
      <c r="B25" s="717" t="s">
        <v>2660</v>
      </c>
      <c r="C25" s="1865">
        <v>41348</v>
      </c>
      <c r="D25" s="1864">
        <v>389660.76516486442</v>
      </c>
      <c r="E25" s="1879" t="s">
        <v>2632</v>
      </c>
    </row>
    <row r="26" spans="1:5">
      <c r="A26" s="717" t="s">
        <v>2633</v>
      </c>
      <c r="B26" s="717" t="s">
        <v>2661</v>
      </c>
      <c r="C26" s="1865">
        <v>41348</v>
      </c>
      <c r="D26" s="1864">
        <v>389660.76516486442</v>
      </c>
      <c r="E26" s="1879" t="s">
        <v>2632</v>
      </c>
    </row>
    <row r="27" spans="1:5">
      <c r="A27" s="717" t="s">
        <v>2634</v>
      </c>
      <c r="B27" s="717" t="s">
        <v>2662</v>
      </c>
      <c r="C27" s="1865">
        <v>41348</v>
      </c>
      <c r="D27" s="1864">
        <v>389660.76516486442</v>
      </c>
      <c r="E27" s="1879" t="s">
        <v>2632</v>
      </c>
    </row>
    <row r="28" spans="1:5">
      <c r="A28" s="717" t="s">
        <v>2635</v>
      </c>
      <c r="B28" s="717" t="s">
        <v>2663</v>
      </c>
      <c r="C28" s="1865">
        <v>41348</v>
      </c>
      <c r="D28" s="1864">
        <v>389660.76516486442</v>
      </c>
      <c r="E28" s="1879" t="s">
        <v>2632</v>
      </c>
    </row>
    <row r="29" spans="1:5">
      <c r="A29" s="717" t="s">
        <v>2636</v>
      </c>
      <c r="B29" s="717" t="s">
        <v>2664</v>
      </c>
      <c r="C29" s="1865">
        <v>41348</v>
      </c>
      <c r="D29" s="1864">
        <v>389660.76516486442</v>
      </c>
      <c r="E29" s="1879" t="s">
        <v>2632</v>
      </c>
    </row>
    <row r="30" spans="1:5">
      <c r="A30" s="717" t="s">
        <v>2637</v>
      </c>
      <c r="B30" s="717" t="s">
        <v>2665</v>
      </c>
      <c r="C30" s="1865">
        <v>41348</v>
      </c>
      <c r="D30" s="1864">
        <v>389660.76516486442</v>
      </c>
      <c r="E30" s="1879" t="s">
        <v>2632</v>
      </c>
    </row>
    <row r="31" spans="1:5">
      <c r="A31" s="717" t="s">
        <v>2638</v>
      </c>
      <c r="B31" s="717" t="s">
        <v>2666</v>
      </c>
      <c r="C31" s="1865">
        <v>41348</v>
      </c>
      <c r="D31" s="1864">
        <v>389660.76516486442</v>
      </c>
      <c r="E31" s="1879" t="s">
        <v>2632</v>
      </c>
    </row>
    <row r="32" spans="1:5">
      <c r="A32" s="717" t="s">
        <v>2639</v>
      </c>
      <c r="B32" s="717" t="s">
        <v>2667</v>
      </c>
      <c r="C32" s="1865">
        <v>41348</v>
      </c>
      <c r="D32" s="1864">
        <v>389660.76516486442</v>
      </c>
      <c r="E32" s="1879" t="s">
        <v>2632</v>
      </c>
    </row>
    <row r="33" spans="1:5">
      <c r="A33" s="717" t="s">
        <v>2640</v>
      </c>
      <c r="B33" s="717" t="s">
        <v>2668</v>
      </c>
      <c r="C33" s="1865">
        <v>41348</v>
      </c>
      <c r="D33" s="1864">
        <v>389660.76516486442</v>
      </c>
      <c r="E33" s="1879" t="s">
        <v>2632</v>
      </c>
    </row>
    <row r="34" spans="1:5">
      <c r="A34" s="717" t="s">
        <v>2641</v>
      </c>
      <c r="B34" s="717" t="s">
        <v>2669</v>
      </c>
      <c r="C34" s="1865">
        <v>41348</v>
      </c>
      <c r="D34" s="1864">
        <v>389660.76516486442</v>
      </c>
      <c r="E34" s="1879" t="s">
        <v>2632</v>
      </c>
    </row>
    <row r="35" spans="1:5" ht="25.5">
      <c r="A35" s="1877" t="s">
        <v>2642</v>
      </c>
      <c r="B35" s="1877" t="s">
        <v>2670</v>
      </c>
      <c r="C35" s="1881">
        <v>41348</v>
      </c>
      <c r="D35" s="1883">
        <v>267123.93153784692</v>
      </c>
      <c r="E35" s="1880" t="s">
        <v>2643</v>
      </c>
    </row>
    <row r="36" spans="1:5" ht="25.5">
      <c r="A36" s="884" t="s">
        <v>2731</v>
      </c>
      <c r="B36" s="1877" t="s">
        <v>2671</v>
      </c>
      <c r="C36" s="1882">
        <v>41348</v>
      </c>
      <c r="D36" s="1883">
        <v>400000</v>
      </c>
      <c r="E36" s="1880" t="s">
        <v>2644</v>
      </c>
    </row>
    <row r="37" spans="1:5" ht="38.25">
      <c r="A37" s="1894" t="s">
        <v>2732</v>
      </c>
      <c r="B37" s="1889" t="s">
        <v>2672</v>
      </c>
      <c r="C37" s="1890">
        <v>41752</v>
      </c>
      <c r="D37" s="1887">
        <v>745000</v>
      </c>
      <c r="E37" s="1891" t="s">
        <v>2744</v>
      </c>
    </row>
    <row r="38" spans="1:5">
      <c r="A38" s="1878" t="s">
        <v>1880</v>
      </c>
      <c r="D38" s="1888">
        <f>SUM(D14:D37)</f>
        <v>9594999.9999999963</v>
      </c>
    </row>
    <row r="40" spans="1:5">
      <c r="A40" s="1878" t="s">
        <v>2722</v>
      </c>
    </row>
    <row r="41" spans="1:5">
      <c r="A41" s="884"/>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49" t="s">
        <v>1157</v>
      </c>
      <c r="B2" s="1949"/>
      <c r="C2" s="1950"/>
      <c r="D2" s="1950"/>
      <c r="E2" s="1950"/>
      <c r="F2" s="1950"/>
      <c r="G2" s="1950"/>
    </row>
    <row r="3" spans="1:9" s="256" customFormat="1">
      <c r="A3" s="1949" t="s">
        <v>1087</v>
      </c>
      <c r="B3" s="1949"/>
      <c r="C3" s="1950"/>
      <c r="D3" s="1950"/>
      <c r="E3" s="1950"/>
      <c r="F3" s="1950"/>
      <c r="G3" s="1950"/>
      <c r="I3" s="677" t="s">
        <v>316</v>
      </c>
    </row>
    <row r="4" spans="1:9">
      <c r="I4" s="678" t="s">
        <v>1158</v>
      </c>
    </row>
    <row r="5" spans="1:9" s="39" customFormat="1">
      <c r="A5" s="1953" t="s">
        <v>1088</v>
      </c>
      <c r="B5" s="1953"/>
      <c r="C5" s="1954"/>
      <c r="D5" s="1954"/>
      <c r="E5" s="1954"/>
      <c r="F5" s="1954"/>
      <c r="G5" s="1954"/>
      <c r="I5" s="678" t="s">
        <v>1159</v>
      </c>
    </row>
    <row r="6" spans="1:9" s="39" customFormat="1">
      <c r="A6" s="1953" t="s">
        <v>879</v>
      </c>
      <c r="B6" s="1953"/>
      <c r="C6" s="1954"/>
      <c r="D6" s="1954"/>
      <c r="E6" s="1954"/>
      <c r="F6" s="1954"/>
      <c r="G6" s="1954"/>
      <c r="I6" s="677" t="s">
        <v>625</v>
      </c>
    </row>
    <row r="7" spans="1:9" ht="11.85" customHeight="1"/>
    <row r="8" spans="1:9" s="39" customFormat="1">
      <c r="A8" s="1951" t="s">
        <v>1254</v>
      </c>
      <c r="B8" s="1951"/>
      <c r="C8" s="1952"/>
      <c r="D8" s="1952"/>
      <c r="E8" s="1952"/>
      <c r="F8" s="1952"/>
      <c r="G8" s="1952"/>
    </row>
    <row r="9" spans="1:9" s="39" customFormat="1">
      <c r="A9" s="1951" t="s">
        <v>1255</v>
      </c>
      <c r="B9" s="1951"/>
      <c r="C9" s="1952"/>
      <c r="D9" s="1952"/>
      <c r="E9" s="1952"/>
      <c r="F9" s="1952"/>
      <c r="G9" s="1952"/>
    </row>
    <row r="10" spans="1:9">
      <c r="A10" s="258"/>
      <c r="B10" s="258"/>
      <c r="C10" s="255"/>
      <c r="D10" s="255"/>
      <c r="E10" s="255"/>
      <c r="F10" s="255"/>
    </row>
    <row r="11" spans="1:9">
      <c r="A11" s="1955" t="s">
        <v>1257</v>
      </c>
      <c r="B11" s="1955"/>
      <c r="C11" s="1955"/>
      <c r="D11" s="1955"/>
      <c r="E11" s="1955"/>
      <c r="F11" s="1955"/>
      <c r="G11" s="1955"/>
    </row>
    <row r="12" spans="1:9">
      <c r="A12" s="255"/>
      <c r="B12" s="673"/>
      <c r="E12" s="50"/>
    </row>
    <row r="13" spans="1:9" ht="13.15" customHeight="1">
      <c r="C13" s="255"/>
      <c r="D13" s="1973" t="s">
        <v>1256</v>
      </c>
      <c r="E13" s="1973"/>
      <c r="F13" s="1973"/>
    </row>
    <row r="14" spans="1:9">
      <c r="C14" s="255"/>
      <c r="D14" s="1973"/>
      <c r="E14" s="1973"/>
      <c r="F14" s="1973"/>
    </row>
    <row r="15" spans="1:9">
      <c r="A15" s="260"/>
      <c r="B15" s="260"/>
      <c r="C15" s="260"/>
      <c r="D15" s="1912" t="s">
        <v>1239</v>
      </c>
      <c r="E15" s="1912"/>
      <c r="F15" s="1912"/>
    </row>
    <row r="16" spans="1:9">
      <c r="A16" s="260"/>
      <c r="B16" s="260"/>
      <c r="C16" s="260"/>
      <c r="D16" s="327"/>
    </row>
    <row r="17" spans="1:7" ht="14.25">
      <c r="A17" s="261"/>
      <c r="B17" s="679" t="s">
        <v>316</v>
      </c>
      <c r="C17" s="313"/>
      <c r="D17" s="1899" t="s">
        <v>1240</v>
      </c>
      <c r="E17" s="1899"/>
      <c r="F17" s="1899"/>
    </row>
    <row r="18" spans="1:7">
      <c r="A18" s="260"/>
      <c r="B18" s="260"/>
      <c r="C18" s="313"/>
      <c r="D18" s="1899"/>
      <c r="E18" s="1899"/>
      <c r="F18" s="1899"/>
    </row>
    <row r="19" spans="1:7">
      <c r="A19" s="260"/>
      <c r="B19" s="260"/>
      <c r="C19" s="313"/>
      <c r="D19" s="1899"/>
      <c r="E19" s="1899"/>
      <c r="F19" s="1899"/>
    </row>
    <row r="20" spans="1:7">
      <c r="A20" s="260"/>
      <c r="B20" s="260"/>
      <c r="C20" s="260"/>
    </row>
    <row r="21" spans="1:7" ht="14.25">
      <c r="A21" s="261"/>
      <c r="B21" s="679" t="s">
        <v>316</v>
      </c>
      <c r="D21" s="1965" t="s">
        <v>1241</v>
      </c>
      <c r="E21" s="1965"/>
      <c r="F21" s="1965"/>
    </row>
    <row r="22" spans="1:7" ht="14.25">
      <c r="A22" s="261"/>
      <c r="B22" s="261"/>
      <c r="D22" s="135"/>
    </row>
    <row r="23" spans="1:7" ht="14.25">
      <c r="A23" s="261"/>
      <c r="B23" s="679" t="s">
        <v>316</v>
      </c>
      <c r="D23" s="1899" t="s">
        <v>1242</v>
      </c>
      <c r="E23" s="1899"/>
      <c r="F23" s="1899"/>
    </row>
    <row r="24" spans="1:7" ht="14.25">
      <c r="A24" s="261"/>
      <c r="B24" s="261"/>
      <c r="D24" s="1899"/>
      <c r="E24" s="1899"/>
      <c r="F24" s="1899"/>
    </row>
    <row r="25" spans="1:7"/>
    <row r="26" spans="1:7" ht="14.25">
      <c r="A26" s="261"/>
      <c r="B26" s="679" t="s">
        <v>316</v>
      </c>
      <c r="D26" s="1934" t="s">
        <v>1243</v>
      </c>
      <c r="E26" s="1934"/>
      <c r="F26" s="1934"/>
    </row>
    <row r="27" spans="1:7">
      <c r="D27" s="1934"/>
      <c r="E27" s="1934"/>
      <c r="F27" s="1934"/>
    </row>
    <row r="28" spans="1:7">
      <c r="D28" s="1934"/>
      <c r="E28" s="1934"/>
      <c r="F28" s="1934"/>
    </row>
    <row r="29" spans="1:7">
      <c r="A29" s="558"/>
      <c r="C29" s="558"/>
      <c r="D29" s="1934"/>
      <c r="E29" s="1934"/>
      <c r="F29" s="1934"/>
    </row>
    <row r="30" spans="1:7">
      <c r="A30" s="558"/>
      <c r="C30" s="558"/>
      <c r="D30" s="1934"/>
      <c r="E30" s="1934"/>
      <c r="F30" s="1934"/>
    </row>
    <row r="31" spans="1:7" s="39" customFormat="1">
      <c r="A31" s="273"/>
      <c r="B31" s="273"/>
      <c r="C31" s="273"/>
      <c r="D31" s="443"/>
      <c r="E31" s="130"/>
      <c r="F31" s="130"/>
      <c r="G31" s="130"/>
    </row>
    <row r="32" spans="1:7" s="39" customFormat="1">
      <c r="A32" s="273"/>
      <c r="B32" s="679" t="s">
        <v>316</v>
      </c>
      <c r="C32" s="273"/>
      <c r="D32" s="1900" t="s">
        <v>1244</v>
      </c>
      <c r="E32" s="1900"/>
      <c r="F32" s="1900"/>
      <c r="G32" s="130"/>
    </row>
    <row r="33" spans="1:7" s="39" customFormat="1">
      <c r="A33" s="273"/>
      <c r="B33" s="273"/>
      <c r="C33" s="273"/>
      <c r="D33" s="1900"/>
      <c r="E33" s="1900"/>
      <c r="F33" s="1900"/>
      <c r="G33" s="130"/>
    </row>
    <row r="34" spans="1:7" ht="14.25">
      <c r="A34" s="261"/>
      <c r="B34" s="261"/>
      <c r="D34" s="404"/>
    </row>
    <row r="35" spans="1:7" ht="14.45" customHeight="1">
      <c r="A35" s="261"/>
      <c r="B35" s="679" t="s">
        <v>316</v>
      </c>
      <c r="C35" s="554"/>
      <c r="D35" s="1900" t="s">
        <v>1245</v>
      </c>
      <c r="E35" s="1900"/>
      <c r="F35" s="1900"/>
    </row>
    <row r="36" spans="1:7" ht="14.25">
      <c r="A36" s="261"/>
      <c r="B36" s="261"/>
      <c r="C36" s="554"/>
      <c r="D36" s="1900"/>
      <c r="E36" s="1900"/>
      <c r="F36" s="1900"/>
    </row>
    <row r="37" spans="1:7" ht="14.25">
      <c r="A37" s="261"/>
      <c r="B37" s="261"/>
      <c r="C37" s="554"/>
      <c r="D37" s="1900"/>
      <c r="E37" s="1900"/>
      <c r="F37" s="1900"/>
    </row>
    <row r="38" spans="1:7" ht="14.25">
      <c r="A38" s="261"/>
      <c r="B38" s="261"/>
      <c r="C38" s="554"/>
      <c r="D38" s="12"/>
    </row>
    <row r="39" spans="1:7" s="682" customFormat="1" ht="14.25">
      <c r="A39" s="261"/>
      <c r="B39" s="679" t="s">
        <v>316</v>
      </c>
      <c r="C39" s="699"/>
      <c r="D39" s="1900" t="s">
        <v>1246</v>
      </c>
      <c r="E39" s="1900"/>
      <c r="F39" s="1900"/>
      <c r="G39" s="7"/>
    </row>
    <row r="40" spans="1:7" s="682" customFormat="1" ht="14.25">
      <c r="A40" s="261"/>
      <c r="B40" s="261"/>
      <c r="C40" s="699"/>
      <c r="D40" s="1900"/>
      <c r="E40" s="1900"/>
      <c r="F40" s="1900"/>
      <c r="G40" s="7"/>
    </row>
    <row r="41" spans="1:7" s="682" customFormat="1" ht="14.25">
      <c r="A41" s="261"/>
      <c r="B41" s="261"/>
      <c r="C41" s="699"/>
      <c r="D41" s="1900"/>
      <c r="E41" s="1900"/>
      <c r="F41" s="1900"/>
      <c r="G41" s="7"/>
    </row>
    <row r="42" spans="1:7" s="682" customFormat="1" ht="14.25">
      <c r="A42" s="261"/>
      <c r="B42" s="261"/>
      <c r="C42" s="699"/>
      <c r="D42" s="1900"/>
      <c r="E42" s="1900"/>
      <c r="F42" s="1900"/>
      <c r="G42" s="7"/>
    </row>
    <row r="43" spans="1:7" s="682" customFormat="1" ht="14.25">
      <c r="A43" s="261"/>
      <c r="B43" s="261"/>
      <c r="C43" s="699"/>
      <c r="D43" s="1900"/>
      <c r="E43" s="1900"/>
      <c r="F43" s="1900"/>
      <c r="G43" s="7"/>
    </row>
    <row r="44" spans="1:7" s="682" customFormat="1" ht="14.25">
      <c r="A44" s="261"/>
      <c r="B44" s="261"/>
      <c r="C44" s="699"/>
      <c r="D44" s="698"/>
      <c r="E44" s="698"/>
      <c r="F44" s="698"/>
      <c r="G44" s="7"/>
    </row>
    <row r="45" spans="1:7" ht="14.25">
      <c r="A45" s="261"/>
      <c r="B45" s="679" t="s">
        <v>316</v>
      </c>
      <c r="C45" s="554"/>
      <c r="D45" s="1900" t="s">
        <v>1247</v>
      </c>
      <c r="E45" s="1900"/>
      <c r="F45" s="1900"/>
    </row>
    <row r="46" spans="1:7" ht="14.25">
      <c r="A46" s="261"/>
      <c r="B46" s="261"/>
      <c r="C46" s="554"/>
      <c r="D46" s="1900"/>
      <c r="E46" s="1900"/>
      <c r="F46" s="1900"/>
    </row>
    <row r="47" spans="1:7" ht="14.25">
      <c r="A47" s="261"/>
      <c r="B47" s="261"/>
      <c r="C47" s="554"/>
      <c r="D47" s="1900"/>
      <c r="E47" s="1900"/>
      <c r="F47" s="1900"/>
    </row>
    <row r="48" spans="1:7" ht="23.25" customHeight="1">
      <c r="A48" s="261"/>
      <c r="B48" s="261"/>
      <c r="C48" s="554"/>
      <c r="D48" s="1900"/>
      <c r="E48" s="1900"/>
      <c r="F48" s="1900"/>
    </row>
    <row r="49" spans="1:7" ht="14.25">
      <c r="A49" s="261"/>
      <c r="B49" s="261"/>
      <c r="D49" s="151"/>
    </row>
    <row r="50" spans="1:7" ht="14.45" customHeight="1">
      <c r="A50" s="261"/>
      <c r="B50" s="679" t="s">
        <v>316</v>
      </c>
      <c r="D50" s="1900" t="s">
        <v>1248</v>
      </c>
      <c r="E50" s="1900"/>
      <c r="F50" s="1900"/>
    </row>
    <row r="51" spans="1:7" ht="14.25">
      <c r="A51" s="261"/>
      <c r="B51" s="261"/>
      <c r="D51" s="1900"/>
      <c r="E51" s="1900"/>
      <c r="F51" s="1900"/>
    </row>
    <row r="52" spans="1:7" ht="14.25">
      <c r="A52" s="261"/>
      <c r="B52" s="261"/>
      <c r="D52" s="1900"/>
      <c r="E52" s="1900"/>
      <c r="F52" s="1900"/>
    </row>
    <row r="53" spans="1:7" s="2" customFormat="1" ht="14.25">
      <c r="A53" s="261"/>
      <c r="B53" s="261"/>
      <c r="C53" s="556"/>
      <c r="D53" s="239"/>
      <c r="E53" s="22"/>
      <c r="F53" s="22"/>
      <c r="G53" s="22"/>
    </row>
    <row r="54" spans="1:7" s="2" customFormat="1" ht="14.25">
      <c r="A54" s="403"/>
      <c r="B54" s="679" t="s">
        <v>316</v>
      </c>
      <c r="C54" s="557"/>
      <c r="D54" s="1900" t="s">
        <v>1249</v>
      </c>
      <c r="E54" s="1900"/>
      <c r="F54" s="1900"/>
      <c r="G54" s="22"/>
    </row>
    <row r="55" spans="1:7" s="2" customFormat="1" ht="14.25">
      <c r="A55" s="403"/>
      <c r="B55" s="403"/>
      <c r="C55" s="557"/>
      <c r="D55" s="1900"/>
      <c r="E55" s="1900"/>
      <c r="F55" s="1900"/>
      <c r="G55" s="22"/>
    </row>
    <row r="56" spans="1:7" s="39" customFormat="1">
      <c r="A56" s="273"/>
      <c r="B56" s="273"/>
      <c r="C56" s="273"/>
      <c r="D56" s="443"/>
      <c r="E56" s="130"/>
      <c r="F56" s="130"/>
      <c r="G56" s="130"/>
    </row>
    <row r="57" spans="1:7" ht="14.25">
      <c r="A57" s="261"/>
      <c r="B57" s="679" t="s">
        <v>316</v>
      </c>
      <c r="D57" s="1900" t="s">
        <v>1250</v>
      </c>
      <c r="E57" s="1900"/>
      <c r="F57" s="1900"/>
    </row>
    <row r="58" spans="1:7">
      <c r="D58" s="1900"/>
      <c r="E58" s="1900"/>
      <c r="F58" s="1900"/>
    </row>
    <row r="59" spans="1:7">
      <c r="D59" s="1900"/>
      <c r="E59" s="1900"/>
      <c r="F59" s="1900"/>
    </row>
    <row r="60" spans="1:7" s="682" customFormat="1">
      <c r="A60" s="699"/>
      <c r="B60" s="699"/>
      <c r="C60" s="699"/>
      <c r="D60" s="678"/>
      <c r="E60" s="7"/>
      <c r="F60" s="7"/>
      <c r="G60" s="7"/>
    </row>
    <row r="61" spans="1:7" ht="14.25">
      <c r="A61" s="261"/>
      <c r="B61" s="679" t="s">
        <v>316</v>
      </c>
      <c r="D61" s="1900" t="s">
        <v>1251</v>
      </c>
      <c r="E61" s="1900"/>
      <c r="F61" s="1900"/>
    </row>
    <row r="62" spans="1:7">
      <c r="D62" s="1900"/>
      <c r="E62" s="1900"/>
      <c r="F62" s="1900"/>
    </row>
    <row r="63" spans="1:7"/>
    <row r="64" spans="1:7" ht="14.25">
      <c r="A64" s="261"/>
      <c r="B64" s="679" t="s">
        <v>316</v>
      </c>
      <c r="D64" s="1900" t="s">
        <v>1252</v>
      </c>
      <c r="E64" s="1900"/>
      <c r="F64" s="1900"/>
    </row>
    <row r="65" spans="1:7">
      <c r="D65" s="1900"/>
      <c r="E65" s="1900"/>
      <c r="F65" s="1900"/>
    </row>
    <row r="66" spans="1:7">
      <c r="A66" s="555"/>
      <c r="C66" s="555"/>
      <c r="D66" s="1900"/>
      <c r="E66" s="1900"/>
      <c r="F66" s="1900"/>
    </row>
    <row r="67" spans="1:7">
      <c r="D67" s="12"/>
    </row>
    <row r="68" spans="1:7" ht="14.25">
      <c r="A68" s="261"/>
      <c r="B68" s="679" t="s">
        <v>316</v>
      </c>
      <c r="D68" s="1899" t="s">
        <v>1253</v>
      </c>
      <c r="E68" s="1899"/>
      <c r="F68" s="1899"/>
    </row>
    <row r="69" spans="1:7">
      <c r="D69" s="1899"/>
      <c r="E69" s="1899"/>
      <c r="F69" s="1899"/>
    </row>
    <row r="70" spans="1:7" ht="14.25">
      <c r="A70" s="261"/>
      <c r="B70" s="261"/>
      <c r="D70" s="135"/>
    </row>
    <row r="71" spans="1:7">
      <c r="A71" s="1919" t="s">
        <v>1160</v>
      </c>
      <c r="B71" s="1919"/>
      <c r="C71" s="1919"/>
      <c r="D71" s="1919"/>
      <c r="E71" s="1919"/>
      <c r="F71" s="1919"/>
      <c r="G71" s="1919"/>
    </row>
    <row r="72" spans="1:7"/>
    <row r="73" spans="1:7">
      <c r="C73" s="262"/>
      <c r="D73" s="1948" t="s">
        <v>1258</v>
      </c>
      <c r="E73" s="1948"/>
      <c r="F73" s="1948"/>
    </row>
    <row r="74" spans="1:7">
      <c r="A74" s="135"/>
      <c r="B74" s="135"/>
      <c r="D74" s="1899" t="s">
        <v>1285</v>
      </c>
      <c r="E74" s="1899"/>
      <c r="F74" s="1899"/>
    </row>
    <row r="75" spans="1:7">
      <c r="A75" s="135"/>
      <c r="B75" s="135"/>
    </row>
    <row r="76" spans="1:7" ht="14.25">
      <c r="A76" s="261"/>
      <c r="B76" s="679" t="s">
        <v>316</v>
      </c>
      <c r="D76" s="1899" t="s">
        <v>1259</v>
      </c>
      <c r="E76" s="1899"/>
      <c r="F76" s="1899"/>
    </row>
    <row r="77" spans="1:7" ht="14.25">
      <c r="A77" s="261"/>
      <c r="B77" s="261"/>
      <c r="D77" s="1899"/>
      <c r="E77" s="1899"/>
      <c r="F77" s="1899"/>
    </row>
    <row r="78" spans="1:7" ht="14.25">
      <c r="A78" s="261"/>
      <c r="B78" s="261"/>
      <c r="D78" s="1899"/>
      <c r="E78" s="1899"/>
      <c r="F78" s="1899"/>
    </row>
    <row r="79" spans="1:7" ht="14.25">
      <c r="A79" s="261"/>
      <c r="B79" s="261"/>
      <c r="D79" s="1899"/>
      <c r="E79" s="1899"/>
      <c r="F79" s="1899"/>
    </row>
    <row r="80" spans="1:7" ht="14.25">
      <c r="A80" s="261"/>
      <c r="B80" s="261"/>
      <c r="D80" s="1899"/>
      <c r="E80" s="1899"/>
      <c r="F80" s="1899"/>
    </row>
    <row r="81" spans="1:7" ht="14.25">
      <c r="A81" s="261"/>
      <c r="B81" s="261"/>
      <c r="D81" s="1899"/>
      <c r="E81" s="1899"/>
      <c r="F81" s="1899"/>
    </row>
    <row r="82" spans="1:7" s="706" customFormat="1" ht="14.25">
      <c r="A82" s="707"/>
      <c r="B82" s="707"/>
      <c r="C82" s="705"/>
      <c r="D82" s="709"/>
      <c r="E82" s="709"/>
      <c r="F82" s="709"/>
      <c r="G82" s="7"/>
    </row>
    <row r="83" spans="1:7" s="706" customFormat="1" ht="14.45" customHeight="1">
      <c r="A83" s="707"/>
      <c r="B83" s="712" t="s">
        <v>316</v>
      </c>
      <c r="C83" s="705"/>
      <c r="D83" s="1928" t="s">
        <v>1358</v>
      </c>
      <c r="E83" s="1928"/>
      <c r="F83" s="1928"/>
      <c r="G83" s="7"/>
    </row>
    <row r="84" spans="1:7" s="706" customFormat="1" ht="14.25">
      <c r="A84" s="707"/>
      <c r="B84" s="707"/>
      <c r="C84" s="705"/>
      <c r="D84" s="1928"/>
      <c r="E84" s="1928"/>
      <c r="F84" s="1928"/>
      <c r="G84" s="7"/>
    </row>
    <row r="85" spans="1:7" s="706" customFormat="1" ht="14.25">
      <c r="A85" s="707"/>
      <c r="B85" s="707"/>
      <c r="C85" s="705"/>
      <c r="D85" s="1928"/>
      <c r="E85" s="1928"/>
      <c r="F85" s="1928"/>
      <c r="G85" s="7"/>
    </row>
    <row r="86" spans="1:7" s="706" customFormat="1" ht="14.25">
      <c r="A86" s="707"/>
      <c r="B86" s="707"/>
      <c r="C86" s="705"/>
      <c r="D86" s="1928"/>
      <c r="E86" s="1928"/>
      <c r="F86" s="1928"/>
      <c r="G86" s="7"/>
    </row>
    <row r="87" spans="1:7" s="706" customFormat="1" ht="14.25">
      <c r="A87" s="707"/>
      <c r="B87" s="707"/>
      <c r="C87" s="705"/>
      <c r="D87" s="1928"/>
      <c r="E87" s="1928"/>
      <c r="F87" s="1928"/>
      <c r="G87" s="7"/>
    </row>
    <row r="88" spans="1:7" s="719" customFormat="1" ht="14.25">
      <c r="A88" s="714"/>
      <c r="B88" s="714"/>
      <c r="C88" s="745"/>
      <c r="D88" s="1928"/>
      <c r="E88" s="1928"/>
      <c r="F88" s="1928"/>
      <c r="G88" s="7"/>
    </row>
    <row r="89" spans="1:7" s="719" customFormat="1" ht="14.25">
      <c r="A89" s="714"/>
      <c r="B89" s="714"/>
      <c r="C89" s="745"/>
      <c r="D89" s="1928"/>
      <c r="E89" s="1928"/>
      <c r="F89" s="1928"/>
      <c r="G89" s="7"/>
    </row>
    <row r="90" spans="1:7" s="719" customFormat="1" ht="14.25">
      <c r="A90" s="714"/>
      <c r="B90" s="714"/>
      <c r="C90" s="745"/>
      <c r="D90" s="1928"/>
      <c r="E90" s="1928"/>
      <c r="F90" s="1928"/>
      <c r="G90" s="7"/>
    </row>
    <row r="91" spans="1:7" ht="14.25">
      <c r="A91" s="261"/>
      <c r="B91" s="261"/>
      <c r="D91" s="1928"/>
      <c r="E91" s="1928"/>
      <c r="F91" s="1928"/>
    </row>
    <row r="92" spans="1:7" ht="14.25">
      <c r="A92" s="261"/>
      <c r="B92" s="261"/>
      <c r="D92" s="1928"/>
      <c r="E92" s="1928"/>
      <c r="F92" s="1928"/>
    </row>
    <row r="93" spans="1:7" ht="14.25">
      <c r="A93" s="261"/>
      <c r="B93" s="261"/>
      <c r="D93" s="1928"/>
      <c r="E93" s="1928"/>
      <c r="F93" s="1928"/>
    </row>
    <row r="94" spans="1:7" ht="14.25">
      <c r="A94" s="261"/>
      <c r="B94" s="261"/>
      <c r="D94" s="1928"/>
      <c r="E94" s="1928"/>
      <c r="F94" s="1928"/>
    </row>
    <row r="95" spans="1:7" ht="14.25">
      <c r="A95" s="261"/>
      <c r="B95" s="261"/>
      <c r="D95" s="1928"/>
      <c r="E95" s="1928"/>
      <c r="F95" s="1928"/>
    </row>
    <row r="96" spans="1:7" ht="14.25">
      <c r="A96" s="261"/>
      <c r="B96" s="261"/>
      <c r="D96" s="1928"/>
      <c r="E96" s="1928"/>
      <c r="F96" s="1928"/>
    </row>
    <row r="97" spans="1:11" s="710" customFormat="1" ht="14.25">
      <c r="A97" s="711"/>
      <c r="B97" s="715" t="s">
        <v>316</v>
      </c>
      <c r="C97" s="705"/>
      <c r="D97" s="1899" t="s">
        <v>1260</v>
      </c>
      <c r="E97" s="1899"/>
      <c r="F97" s="1899"/>
      <c r="G97" s="7"/>
    </row>
    <row r="98" spans="1:11" s="710" customFormat="1" ht="14.25">
      <c r="A98" s="711"/>
      <c r="B98" s="711"/>
      <c r="C98" s="705"/>
      <c r="D98" s="1899"/>
      <c r="E98" s="1899"/>
      <c r="F98" s="1899"/>
      <c r="G98" s="7"/>
    </row>
    <row r="99" spans="1:11" s="710" customFormat="1" ht="14.25">
      <c r="A99" s="711"/>
      <c r="B99" s="711"/>
      <c r="C99" s="705"/>
      <c r="D99" s="1899"/>
      <c r="E99" s="1899"/>
      <c r="F99" s="1899"/>
      <c r="G99" s="7"/>
    </row>
    <row r="100" spans="1:11" s="710" customFormat="1" ht="14.25">
      <c r="A100" s="711"/>
      <c r="B100" s="711"/>
      <c r="C100" s="705"/>
      <c r="D100" s="1899"/>
      <c r="E100" s="1899"/>
      <c r="F100" s="1899"/>
      <c r="G100" s="7"/>
    </row>
    <row r="101" spans="1:11" s="710" customFormat="1" ht="14.25">
      <c r="A101" s="711"/>
      <c r="B101" s="711"/>
      <c r="C101" s="705"/>
      <c r="D101" s="1899"/>
      <c r="E101" s="1899"/>
      <c r="F101" s="1899"/>
      <c r="G101" s="7"/>
    </row>
    <row r="102" spans="1:11" s="710" customFormat="1" ht="14.25">
      <c r="A102" s="711"/>
      <c r="B102" s="711"/>
      <c r="C102" s="705"/>
      <c r="D102" s="1899"/>
      <c r="E102" s="1899"/>
      <c r="F102" s="1899"/>
      <c r="G102" s="7"/>
    </row>
    <row r="103" spans="1:11" s="710" customFormat="1" ht="14.25">
      <c r="A103" s="711"/>
      <c r="B103" s="711"/>
      <c r="C103" s="705"/>
      <c r="D103" s="1899"/>
      <c r="E103" s="1899"/>
      <c r="F103" s="1899"/>
      <c r="G103" s="7"/>
    </row>
    <row r="104" spans="1:11" s="710" customFormat="1" ht="14.25">
      <c r="A104" s="711"/>
      <c r="B104" s="711"/>
      <c r="C104" s="705"/>
      <c r="D104" s="1899"/>
      <c r="E104" s="1899"/>
      <c r="F104" s="1899"/>
      <c r="G104" s="7"/>
    </row>
    <row r="105" spans="1:11" s="713" customFormat="1" ht="14.25">
      <c r="A105" s="714"/>
      <c r="B105" s="714"/>
      <c r="C105" s="705"/>
      <c r="D105" s="716"/>
      <c r="E105" s="716"/>
      <c r="F105" s="716"/>
      <c r="G105" s="7"/>
    </row>
    <row r="106" spans="1:11" ht="14.25">
      <c r="A106" s="403"/>
      <c r="B106" s="708" t="s">
        <v>316</v>
      </c>
      <c r="C106" s="469"/>
      <c r="D106" s="1956" t="s">
        <v>1261</v>
      </c>
      <c r="E106" s="1956"/>
      <c r="F106" s="1956"/>
      <c r="G106" s="470"/>
      <c r="H106" s="468"/>
      <c r="I106" s="468"/>
      <c r="J106" s="468"/>
      <c r="K106" s="468"/>
    </row>
    <row r="107" spans="1:11" ht="14.25">
      <c r="A107" s="261"/>
      <c r="B107" s="261"/>
      <c r="C107" s="315"/>
      <c r="D107" s="1956"/>
      <c r="E107" s="1956"/>
      <c r="F107" s="1956"/>
      <c r="G107" s="470"/>
      <c r="H107" s="468"/>
      <c r="I107" s="468"/>
      <c r="J107" s="468"/>
      <c r="K107" s="468"/>
    </row>
    <row r="108" spans="1:11" ht="14.25">
      <c r="A108" s="261"/>
      <c r="B108" s="261"/>
      <c r="C108" s="315"/>
      <c r="D108" s="1956"/>
      <c r="E108" s="1956"/>
      <c r="F108" s="1956"/>
      <c r="G108" s="470"/>
      <c r="H108" s="468"/>
      <c r="I108" s="468"/>
      <c r="J108" s="468"/>
      <c r="K108" s="468"/>
    </row>
    <row r="109" spans="1:11" ht="14.25">
      <c r="A109" s="261"/>
      <c r="B109" s="261"/>
      <c r="C109" s="315"/>
      <c r="D109" s="1956"/>
      <c r="E109" s="1956"/>
      <c r="F109" s="1956"/>
      <c r="G109" s="470"/>
      <c r="H109" s="468"/>
      <c r="I109" s="468"/>
      <c r="J109" s="468"/>
      <c r="K109" s="468"/>
    </row>
    <row r="110" spans="1:11" ht="14.25">
      <c r="A110" s="261"/>
      <c r="B110" s="261"/>
      <c r="C110" s="315"/>
      <c r="D110" s="1956"/>
      <c r="E110" s="1956"/>
      <c r="F110" s="1956"/>
      <c r="G110" s="470"/>
      <c r="H110" s="468"/>
      <c r="I110" s="468"/>
      <c r="J110" s="468"/>
      <c r="K110" s="468"/>
    </row>
    <row r="111" spans="1:11">
      <c r="C111"/>
      <c r="D111" s="1956"/>
      <c r="E111" s="1956"/>
      <c r="F111" s="1956"/>
      <c r="G111"/>
      <c r="H111"/>
      <c r="I111"/>
      <c r="J111"/>
      <c r="K111"/>
    </row>
    <row r="112" spans="1:11">
      <c r="C112"/>
      <c r="D112" s="1956"/>
      <c r="E112" s="1956"/>
      <c r="F112" s="1956"/>
      <c r="G112"/>
      <c r="H112"/>
      <c r="I112"/>
      <c r="J112"/>
      <c r="K112"/>
    </row>
    <row r="113" spans="1:11">
      <c r="C113"/>
      <c r="D113" s="477"/>
      <c r="E113"/>
      <c r="F113"/>
      <c r="G113"/>
      <c r="H113"/>
      <c r="I113"/>
      <c r="J113"/>
      <c r="K113"/>
    </row>
    <row r="114" spans="1:11" ht="14.25">
      <c r="A114" s="261"/>
      <c r="B114" s="679" t="s">
        <v>316</v>
      </c>
      <c r="C114"/>
      <c r="D114" s="1957" t="s">
        <v>1262</v>
      </c>
      <c r="E114" s="1957"/>
      <c r="F114" s="1957"/>
      <c r="G114"/>
      <c r="H114"/>
      <c r="I114"/>
      <c r="J114"/>
      <c r="K114"/>
    </row>
    <row r="115" spans="1:11" ht="14.25">
      <c r="A115" s="261"/>
      <c r="B115" s="261"/>
      <c r="C115"/>
      <c r="D115" s="1957"/>
      <c r="E115" s="1957"/>
      <c r="F115" s="1957"/>
      <c r="G115"/>
      <c r="H115"/>
      <c r="I115"/>
      <c r="J115"/>
      <c r="K115"/>
    </row>
    <row r="116" spans="1:11"/>
    <row r="117" spans="1:11" ht="14.25">
      <c r="A117" s="261"/>
      <c r="B117" s="679" t="s">
        <v>316</v>
      </c>
      <c r="C117" s="10"/>
      <c r="D117" s="1899" t="s">
        <v>1263</v>
      </c>
      <c r="E117" s="1899"/>
      <c r="F117" s="1899"/>
    </row>
    <row r="118" spans="1:11">
      <c r="C118" s="10"/>
      <c r="D118" s="1899"/>
      <c r="E118" s="1899"/>
      <c r="F118" s="1899"/>
    </row>
    <row r="119" spans="1:11">
      <c r="C119" s="10"/>
      <c r="D119" s="1899"/>
      <c r="E119" s="1899"/>
      <c r="F119" s="1899"/>
    </row>
    <row r="120" spans="1:11">
      <c r="C120" s="10"/>
      <c r="D120" s="1899"/>
      <c r="E120" s="1899"/>
      <c r="F120" s="1899"/>
    </row>
    <row r="121" spans="1:11">
      <c r="C121" s="10"/>
      <c r="D121" s="1899"/>
      <c r="E121" s="1899"/>
      <c r="F121" s="1899"/>
    </row>
    <row r="122" spans="1:11">
      <c r="C122" s="10"/>
      <c r="D122" s="149"/>
      <c r="E122" s="149"/>
      <c r="F122" s="149"/>
    </row>
    <row r="123" spans="1:11" customFormat="1" ht="14.25">
      <c r="A123" s="261"/>
      <c r="B123" s="679" t="s">
        <v>316</v>
      </c>
      <c r="C123" s="10"/>
      <c r="D123" s="1900" t="s">
        <v>1264</v>
      </c>
      <c r="E123" s="1900"/>
      <c r="F123" s="1900"/>
      <c r="G123" s="149"/>
    </row>
    <row r="124" spans="1:11" s="296" customFormat="1" ht="13.7" customHeight="1">
      <c r="A124" s="293"/>
      <c r="B124" s="293"/>
      <c r="C124" s="294"/>
      <c r="D124" s="1900"/>
      <c r="E124" s="1900"/>
      <c r="F124" s="1900"/>
      <c r="G124" s="295"/>
    </row>
    <row r="125" spans="1:11" customFormat="1" ht="13.7" customHeight="1">
      <c r="A125" s="132"/>
      <c r="B125" s="676"/>
      <c r="C125" s="10"/>
      <c r="D125" s="1900"/>
      <c r="E125" s="1900"/>
      <c r="F125" s="1900"/>
      <c r="G125" s="149"/>
    </row>
    <row r="126" spans="1:11" customFormat="1" ht="13.7" customHeight="1">
      <c r="A126" s="132"/>
      <c r="B126" s="676"/>
      <c r="C126" s="10"/>
      <c r="D126" s="1900"/>
      <c r="E126" s="1900"/>
      <c r="F126" s="1900"/>
      <c r="G126" s="149"/>
    </row>
    <row r="127" spans="1:11" customFormat="1" ht="13.7" customHeight="1">
      <c r="A127" s="132"/>
      <c r="B127" s="676"/>
      <c r="C127" s="10"/>
      <c r="D127" s="1900"/>
      <c r="E127" s="1900"/>
      <c r="F127" s="1900"/>
      <c r="G127" s="149"/>
    </row>
    <row r="128" spans="1:11" customFormat="1" ht="13.7" customHeight="1">
      <c r="A128" s="378"/>
      <c r="B128" s="378"/>
      <c r="C128" s="10"/>
      <c r="D128" s="1900"/>
      <c r="E128" s="1900"/>
      <c r="F128" s="1900"/>
      <c r="G128" s="149"/>
    </row>
    <row r="129" spans="1:7" s="2" customFormat="1" ht="13.7" customHeight="1">
      <c r="A129" s="273"/>
      <c r="B129" s="273"/>
      <c r="C129" s="442"/>
      <c r="D129" s="1900"/>
      <c r="E129" s="1900"/>
      <c r="F129" s="1900"/>
      <c r="G129" s="182"/>
    </row>
    <row r="130" spans="1:7" s="2" customFormat="1" ht="13.7" customHeight="1">
      <c r="A130" s="273"/>
      <c r="B130" s="273"/>
      <c r="C130" s="442"/>
      <c r="D130" s="1900"/>
      <c r="E130" s="1900"/>
      <c r="F130" s="1900"/>
      <c r="G130" s="182"/>
    </row>
    <row r="131" spans="1:7" customFormat="1" ht="13.7" customHeight="1">
      <c r="A131" s="132"/>
      <c r="B131" s="676"/>
      <c r="C131" s="10"/>
      <c r="D131" s="1900"/>
      <c r="E131" s="1900"/>
      <c r="F131" s="1900"/>
      <c r="G131" s="149"/>
    </row>
    <row r="132" spans="1:7" customFormat="1" ht="13.7" customHeight="1">
      <c r="A132" s="132"/>
      <c r="B132" s="676"/>
      <c r="C132" s="10"/>
      <c r="D132" s="1900"/>
      <c r="E132" s="1900"/>
      <c r="F132" s="1900"/>
      <c r="G132" s="149"/>
    </row>
    <row r="133" spans="1:7" customFormat="1" ht="13.7" customHeight="1">
      <c r="A133" s="132"/>
      <c r="B133" s="676"/>
      <c r="C133" s="10"/>
      <c r="D133" s="1900"/>
      <c r="E133" s="1900"/>
      <c r="F133" s="1900"/>
      <c r="G133" s="149"/>
    </row>
    <row r="134" spans="1:7" customFormat="1" ht="13.7" customHeight="1">
      <c r="A134" s="132"/>
      <c r="B134" s="676"/>
      <c r="C134" s="10"/>
      <c r="D134" s="1900"/>
      <c r="E134" s="1900"/>
      <c r="F134" s="1900"/>
      <c r="G134" s="149"/>
    </row>
    <row r="135" spans="1:7" customFormat="1" ht="13.7" customHeight="1">
      <c r="A135" s="132"/>
      <c r="B135" s="676"/>
      <c r="C135" s="10"/>
      <c r="D135" s="327"/>
      <c r="E135" s="151"/>
      <c r="F135" s="151"/>
      <c r="G135" s="149"/>
    </row>
    <row r="136" spans="1:7" s="717" customFormat="1" ht="13.7" customHeight="1">
      <c r="A136" s="705"/>
      <c r="B136" s="718" t="s">
        <v>316</v>
      </c>
      <c r="C136" s="10"/>
      <c r="D136" s="1899" t="s">
        <v>1372</v>
      </c>
      <c r="E136" s="1899"/>
      <c r="F136" s="1899"/>
      <c r="G136" s="149"/>
    </row>
    <row r="137" spans="1:7" s="717" customFormat="1" ht="13.7" customHeight="1">
      <c r="A137" s="705"/>
      <c r="B137" s="705"/>
      <c r="C137" s="10"/>
      <c r="D137" s="1899"/>
      <c r="E137" s="1899"/>
      <c r="F137" s="1899"/>
      <c r="G137" s="149"/>
    </row>
    <row r="138" spans="1:7" s="717" customFormat="1" ht="13.7" customHeight="1">
      <c r="A138" s="705"/>
      <c r="B138" s="705"/>
      <c r="C138" s="10"/>
      <c r="D138" s="1899"/>
      <c r="E138" s="1899"/>
      <c r="F138" s="1899"/>
      <c r="G138" s="149"/>
    </row>
    <row r="139" spans="1:7" s="717" customFormat="1" ht="13.7" customHeight="1">
      <c r="A139" s="705"/>
      <c r="B139" s="705"/>
      <c r="C139" s="10"/>
      <c r="D139" s="1899"/>
      <c r="E139" s="1899"/>
      <c r="F139" s="1899"/>
      <c r="G139" s="149"/>
    </row>
    <row r="140" spans="1:7" s="717" customFormat="1" ht="13.7" customHeight="1">
      <c r="A140" s="705"/>
      <c r="B140" s="705"/>
      <c r="C140" s="10"/>
      <c r="D140" s="1899"/>
      <c r="E140" s="1899"/>
      <c r="F140" s="1899"/>
      <c r="G140" s="149"/>
    </row>
    <row r="141" spans="1:7" s="717" customFormat="1" ht="13.7" customHeight="1">
      <c r="A141" s="705"/>
      <c r="B141" s="705"/>
      <c r="C141" s="10"/>
      <c r="D141" s="1899"/>
      <c r="E141" s="1899"/>
      <c r="F141" s="1899"/>
      <c r="G141" s="149"/>
    </row>
    <row r="142" spans="1:7" s="717" customFormat="1" ht="13.7" customHeight="1">
      <c r="A142" s="705"/>
      <c r="B142" s="705"/>
      <c r="C142" s="10"/>
      <c r="D142" s="1899"/>
      <c r="E142" s="1899"/>
      <c r="F142" s="1899"/>
      <c r="G142" s="149"/>
    </row>
    <row r="143" spans="1:7" s="717" customFormat="1" ht="13.7" customHeight="1">
      <c r="A143" s="705"/>
      <c r="B143" s="705"/>
      <c r="C143" s="10"/>
      <c r="D143" s="1899"/>
      <c r="E143" s="1899"/>
      <c r="F143" s="1899"/>
      <c r="G143" s="149"/>
    </row>
    <row r="144" spans="1:7" s="717" customFormat="1" ht="13.7" customHeight="1">
      <c r="A144" s="705"/>
      <c r="B144" s="705"/>
      <c r="C144" s="10"/>
      <c r="D144" s="1899"/>
      <c r="E144" s="1899"/>
      <c r="F144" s="1899"/>
      <c r="G144" s="149"/>
    </row>
    <row r="145" spans="1:7" s="717" customFormat="1" ht="13.7" customHeight="1">
      <c r="A145" s="705"/>
      <c r="B145" s="705"/>
      <c r="C145" s="10"/>
      <c r="D145" s="1899"/>
      <c r="E145" s="1899"/>
      <c r="F145" s="1899"/>
      <c r="G145" s="149"/>
    </row>
    <row r="146" spans="1:7" s="717" customFormat="1" ht="13.7" customHeight="1">
      <c r="A146" s="747"/>
      <c r="B146" s="747"/>
      <c r="C146" s="10"/>
      <c r="D146" s="1899"/>
      <c r="E146" s="1899"/>
      <c r="F146" s="1899"/>
      <c r="G146" s="149"/>
    </row>
    <row r="147" spans="1:7" s="717" customFormat="1" ht="13.7" customHeight="1">
      <c r="A147" s="747"/>
      <c r="B147" s="747"/>
      <c r="C147" s="10"/>
      <c r="D147" s="1899"/>
      <c r="E147" s="1899"/>
      <c r="F147" s="1899"/>
      <c r="G147" s="149"/>
    </row>
    <row r="148" spans="1:7" s="717" customFormat="1" ht="13.7" customHeight="1">
      <c r="A148" s="705"/>
      <c r="B148" s="705"/>
      <c r="C148" s="10"/>
      <c r="D148" s="1899"/>
      <c r="E148" s="1899"/>
      <c r="F148" s="1899"/>
      <c r="G148" s="149"/>
    </row>
    <row r="149" spans="1:7" s="717" customFormat="1" ht="13.7" customHeight="1">
      <c r="A149" s="705"/>
      <c r="B149" s="705"/>
      <c r="C149" s="10"/>
      <c r="D149" s="1899"/>
      <c r="E149" s="1899"/>
      <c r="F149" s="1899"/>
      <c r="G149" s="149"/>
    </row>
    <row r="150" spans="1:7" s="717" customFormat="1" ht="13.7" customHeight="1">
      <c r="A150" s="705"/>
      <c r="B150" s="705"/>
      <c r="C150" s="10"/>
      <c r="D150" s="1899"/>
      <c r="E150" s="1899"/>
      <c r="F150" s="1899"/>
      <c r="G150" s="149"/>
    </row>
    <row r="151" spans="1:7" s="717" customFormat="1" ht="13.7" customHeight="1">
      <c r="A151" s="705"/>
      <c r="B151" s="705"/>
      <c r="C151" s="10"/>
      <c r="D151" s="1899"/>
      <c r="E151" s="1899"/>
      <c r="F151" s="1899"/>
      <c r="G151" s="149"/>
    </row>
    <row r="152" spans="1:7" s="717" customFormat="1" ht="13.7" customHeight="1">
      <c r="A152" s="705"/>
      <c r="B152" s="705"/>
      <c r="C152" s="10"/>
      <c r="D152" s="1899"/>
      <c r="E152" s="1899"/>
      <c r="F152" s="1899"/>
      <c r="G152" s="149"/>
    </row>
    <row r="153" spans="1:7" s="717" customFormat="1" ht="13.7" customHeight="1">
      <c r="A153" s="705"/>
      <c r="B153" s="705"/>
      <c r="C153" s="10"/>
      <c r="D153" s="1899"/>
      <c r="E153" s="1899"/>
      <c r="F153" s="1899"/>
      <c r="G153" s="149"/>
    </row>
    <row r="154" spans="1:7" s="717" customFormat="1" ht="13.7" customHeight="1">
      <c r="A154" s="705"/>
      <c r="B154" s="705"/>
      <c r="C154" s="10"/>
      <c r="D154" s="1899"/>
      <c r="E154" s="1899"/>
      <c r="F154" s="1899"/>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11" t="s">
        <v>1265</v>
      </c>
      <c r="E156" s="1911"/>
      <c r="F156" s="1911"/>
      <c r="G156" s="444"/>
    </row>
    <row r="157" spans="1:7" customFormat="1" ht="13.7" customHeight="1">
      <c r="A157" s="378"/>
      <c r="B157" s="378"/>
      <c r="C157" s="325"/>
      <c r="D157" s="1911"/>
      <c r="E157" s="1911"/>
      <c r="F157" s="1911"/>
      <c r="G157" s="444"/>
    </row>
    <row r="158" spans="1:7" customFormat="1" ht="13.7" customHeight="1">
      <c r="A158" s="378"/>
      <c r="B158" s="378"/>
      <c r="C158" s="325"/>
      <c r="D158" s="327"/>
      <c r="E158" s="325"/>
      <c r="F158" s="325"/>
      <c r="G158" s="444"/>
    </row>
    <row r="159" spans="1:7" customFormat="1" ht="13.7" customHeight="1">
      <c r="A159" s="378"/>
      <c r="B159" s="679" t="s">
        <v>316</v>
      </c>
      <c r="C159" s="325"/>
      <c r="D159" s="1907" t="s">
        <v>1266</v>
      </c>
      <c r="E159" s="1907"/>
      <c r="F159" s="1907"/>
      <c r="G159" s="444"/>
    </row>
    <row r="160" spans="1:7" customFormat="1" ht="13.7" customHeight="1">
      <c r="A160" s="378"/>
      <c r="B160" s="378"/>
      <c r="C160" s="325"/>
      <c r="D160" s="1907"/>
      <c r="E160" s="1907"/>
      <c r="F160" s="1907"/>
      <c r="G160" s="444"/>
    </row>
    <row r="161" spans="1:7" customFormat="1" ht="13.7" customHeight="1">
      <c r="A161" s="378"/>
      <c r="B161" s="378"/>
      <c r="C161" s="325"/>
      <c r="D161" s="1907"/>
      <c r="E161" s="1907"/>
      <c r="F161" s="1907"/>
      <c r="G161" s="444"/>
    </row>
    <row r="162" spans="1:7" customFormat="1" ht="13.7" customHeight="1">
      <c r="A162" s="378"/>
      <c r="B162" s="378"/>
      <c r="C162" s="325"/>
      <c r="D162" s="1907"/>
      <c r="E162" s="1907"/>
      <c r="F162" s="1907"/>
      <c r="G162" s="444"/>
    </row>
    <row r="163" spans="1:7" customFormat="1" ht="13.7" customHeight="1">
      <c r="A163" s="132"/>
      <c r="B163" s="676"/>
      <c r="C163" s="10"/>
      <c r="D163" s="151"/>
      <c r="E163" s="151"/>
      <c r="F163" s="151"/>
      <c r="G163" s="149"/>
    </row>
    <row r="164" spans="1:7" customFormat="1" ht="13.7" customHeight="1">
      <c r="A164" s="132"/>
      <c r="B164" s="679" t="s">
        <v>316</v>
      </c>
      <c r="C164" s="10"/>
      <c r="D164" s="1942" t="s">
        <v>1267</v>
      </c>
      <c r="E164" s="1942"/>
      <c r="F164" s="1942"/>
      <c r="G164" s="149"/>
    </row>
    <row r="165" spans="1:7" customFormat="1" ht="13.7" customHeight="1">
      <c r="A165" s="132"/>
      <c r="B165" s="676"/>
      <c r="C165" s="10"/>
      <c r="D165" s="1942"/>
      <c r="E165" s="1942"/>
      <c r="F165" s="1942"/>
      <c r="G165" s="149"/>
    </row>
    <row r="166" spans="1:7" customFormat="1" ht="13.7" customHeight="1">
      <c r="A166" s="132"/>
      <c r="B166" s="676"/>
      <c r="C166" s="10"/>
      <c r="D166" s="1942"/>
      <c r="E166" s="1942"/>
      <c r="F166" s="1942"/>
      <c r="G166" s="149"/>
    </row>
    <row r="167" spans="1:7" customFormat="1" ht="13.7" customHeight="1">
      <c r="A167" s="23"/>
      <c r="B167" s="675"/>
      <c r="C167" s="10"/>
      <c r="D167" s="7"/>
      <c r="E167" s="151"/>
      <c r="F167" s="151"/>
      <c r="G167" s="149"/>
    </row>
    <row r="168" spans="1:7">
      <c r="A168" s="1919" t="s">
        <v>1161</v>
      </c>
      <c r="B168" s="1919"/>
      <c r="C168" s="1919"/>
      <c r="D168" s="1919"/>
      <c r="E168" s="1919"/>
      <c r="F168" s="1919"/>
      <c r="G168" s="1919"/>
    </row>
    <row r="169" spans="1:7" ht="12" customHeight="1">
      <c r="D169" s="135"/>
      <c r="E169" s="135"/>
      <c r="F169" s="135"/>
    </row>
    <row r="170" spans="1:7">
      <c r="B170" s="1947" t="s">
        <v>469</v>
      </c>
      <c r="C170" s="1947"/>
      <c r="D170" s="1947"/>
      <c r="E170" s="1947"/>
      <c r="F170" s="1947"/>
    </row>
    <row r="171" spans="1:7" ht="12" customHeight="1">
      <c r="A171" s="255"/>
      <c r="B171" s="673"/>
      <c r="C171" s="255"/>
    </row>
    <row r="172" spans="1:7">
      <c r="A172" s="1919" t="s">
        <v>1162</v>
      </c>
      <c r="B172" s="1919"/>
      <c r="C172" s="1919"/>
      <c r="D172" s="1919"/>
      <c r="E172" s="1919"/>
      <c r="F172" s="1919"/>
      <c r="G172" s="1919"/>
    </row>
    <row r="173" spans="1:7" ht="12" customHeight="1">
      <c r="A173" s="264"/>
      <c r="B173" s="264"/>
      <c r="C173" s="265"/>
      <c r="D173" s="57"/>
      <c r="E173" s="49"/>
      <c r="F173" s="57"/>
      <c r="G173" s="57"/>
    </row>
    <row r="174" spans="1:7" ht="13.15" customHeight="1">
      <c r="A174" s="264"/>
      <c r="B174" s="264"/>
      <c r="C174" s="265"/>
      <c r="D174" s="1943" t="s">
        <v>1270</v>
      </c>
      <c r="E174" s="1943"/>
      <c r="F174" s="1943"/>
      <c r="G174" s="57"/>
    </row>
    <row r="175" spans="1:7">
      <c r="A175" s="264"/>
      <c r="B175" s="264"/>
      <c r="C175" s="265"/>
      <c r="D175" s="1943"/>
      <c r="E175" s="1943"/>
      <c r="F175" s="1943"/>
      <c r="G175" s="57"/>
    </row>
    <row r="176" spans="1:7" s="719" customFormat="1">
      <c r="A176" s="721"/>
      <c r="B176" s="721"/>
      <c r="C176" s="265"/>
      <c r="D176" s="1944" t="s">
        <v>1271</v>
      </c>
      <c r="E176" s="1944"/>
      <c r="F176" s="1944"/>
      <c r="G176" s="57"/>
    </row>
    <row r="177" spans="1:7" ht="12" customHeight="1">
      <c r="A177" s="264"/>
      <c r="B177" s="264"/>
      <c r="C177" s="265"/>
      <c r="D177" s="57"/>
      <c r="E177" s="49"/>
      <c r="F177" s="57"/>
      <c r="G177" s="57"/>
    </row>
    <row r="178" spans="1:7" ht="14.25">
      <c r="A178" s="261"/>
      <c r="B178" s="679" t="s">
        <v>316</v>
      </c>
      <c r="C178" s="265"/>
      <c r="D178" s="1937" t="s">
        <v>1269</v>
      </c>
      <c r="E178" s="1937"/>
      <c r="F178" s="1937"/>
      <c r="G178" s="57"/>
    </row>
    <row r="179" spans="1:7" ht="14.25">
      <c r="A179" s="261"/>
      <c r="B179" s="261"/>
      <c r="C179" s="265"/>
      <c r="D179" s="1937"/>
      <c r="E179" s="1937"/>
      <c r="F179" s="1937"/>
      <c r="G179" s="57"/>
    </row>
    <row r="180" spans="1:7" ht="14.25">
      <c r="A180" s="261"/>
      <c r="B180" s="261"/>
      <c r="C180" s="265"/>
      <c r="D180" s="1937"/>
      <c r="E180" s="1937"/>
      <c r="F180" s="1937"/>
      <c r="G180" s="57"/>
    </row>
    <row r="181" spans="1:7">
      <c r="A181" s="265"/>
      <c r="B181" s="265"/>
      <c r="C181" s="265"/>
      <c r="D181" s="1937"/>
      <c r="E181" s="1937"/>
      <c r="F181" s="1937"/>
    </row>
    <row r="182" spans="1:7">
      <c r="A182" s="265"/>
      <c r="B182" s="265"/>
      <c r="C182" s="265"/>
      <c r="D182" s="404"/>
      <c r="E182" s="57"/>
      <c r="F182" s="57"/>
    </row>
    <row r="183" spans="1:7">
      <c r="A183" s="265"/>
      <c r="B183" s="265"/>
      <c r="C183" s="265"/>
      <c r="D183" s="1946" t="s">
        <v>1178</v>
      </c>
      <c r="E183" s="1946"/>
      <c r="F183" s="1946"/>
    </row>
    <row r="184" spans="1:7">
      <c r="A184" s="265"/>
      <c r="B184" s="265"/>
      <c r="C184" s="265"/>
      <c r="D184" s="1946"/>
      <c r="E184" s="1946"/>
      <c r="F184" s="1946"/>
    </row>
    <row r="185" spans="1:7" s="682" customFormat="1">
      <c r="A185" s="265"/>
      <c r="B185" s="265"/>
      <c r="C185" s="265"/>
      <c r="D185" s="696"/>
      <c r="E185" s="696"/>
      <c r="F185" s="696"/>
      <c r="G185" s="7"/>
    </row>
    <row r="186" spans="1:7" s="677" customFormat="1" ht="14.25">
      <c r="A186" s="261"/>
      <c r="B186" s="679" t="s">
        <v>316</v>
      </c>
      <c r="C186" s="557"/>
      <c r="D186" s="1899" t="s">
        <v>1268</v>
      </c>
      <c r="E186" s="1899"/>
      <c r="F186" s="1899"/>
      <c r="G186" s="678"/>
    </row>
    <row r="187" spans="1:7" s="677" customFormat="1" ht="14.45" customHeight="1">
      <c r="A187" s="261"/>
      <c r="C187" s="557"/>
      <c r="D187" s="1899"/>
      <c r="E187" s="1899"/>
      <c r="F187" s="1899"/>
      <c r="G187" s="678"/>
    </row>
    <row r="188" spans="1:7" s="677" customFormat="1" ht="14.25">
      <c r="A188" s="261"/>
      <c r="B188" s="697"/>
      <c r="C188" s="557"/>
      <c r="D188" s="1899"/>
      <c r="E188" s="1899"/>
      <c r="F188" s="1899"/>
      <c r="G188" s="678"/>
    </row>
    <row r="189" spans="1:7" s="677" customFormat="1" ht="14.25">
      <c r="A189" s="261"/>
      <c r="B189" s="697"/>
      <c r="C189" s="557"/>
      <c r="D189" s="1899"/>
      <c r="E189" s="1899"/>
      <c r="F189" s="1899"/>
      <c r="G189" s="678"/>
    </row>
    <row r="190" spans="1:7" s="682" customFormat="1">
      <c r="A190" s="265"/>
      <c r="B190" s="265"/>
      <c r="C190" s="265"/>
      <c r="D190" s="696"/>
      <c r="E190" s="696"/>
      <c r="F190" s="696"/>
      <c r="G190" s="7"/>
    </row>
    <row r="191" spans="1:7">
      <c r="A191" s="1919" t="s">
        <v>1163</v>
      </c>
      <c r="B191" s="1919"/>
      <c r="C191" s="1919"/>
      <c r="D191" s="1919"/>
      <c r="E191" s="1919"/>
      <c r="F191" s="1919"/>
      <c r="G191" s="1919"/>
    </row>
    <row r="192" spans="1:7" ht="12" customHeight="1">
      <c r="D192" s="135"/>
      <c r="E192" s="135"/>
      <c r="F192" s="135"/>
    </row>
    <row r="193" spans="1:6">
      <c r="C193" s="262"/>
      <c r="D193" s="1945" t="s">
        <v>214</v>
      </c>
      <c r="E193" s="1945"/>
      <c r="F193" s="1945"/>
    </row>
    <row r="194" spans="1:6">
      <c r="A194" s="255"/>
      <c r="B194" s="673"/>
      <c r="C194" s="255"/>
      <c r="D194" s="1914" t="s">
        <v>1292</v>
      </c>
      <c r="E194" s="1924"/>
      <c r="F194" s="1924"/>
    </row>
    <row r="195" spans="1:6" ht="12" customHeight="1">
      <c r="A195" s="23"/>
      <c r="B195" s="675"/>
      <c r="C195" s="23"/>
    </row>
    <row r="196" spans="1:6" ht="13.15" customHeight="1">
      <c r="A196" s="23"/>
      <c r="C196" s="23"/>
      <c r="D196" s="1922" t="s">
        <v>578</v>
      </c>
      <c r="E196" s="1922"/>
      <c r="F196" s="1922"/>
    </row>
    <row r="197" spans="1:6" ht="14.25">
      <c r="A197" s="261"/>
      <c r="B197" s="679" t="s">
        <v>316</v>
      </c>
      <c r="D197" s="1899" t="s">
        <v>1286</v>
      </c>
      <c r="E197" s="1899"/>
      <c r="F197" s="1899"/>
    </row>
    <row r="198" spans="1:6" ht="14.25">
      <c r="A198" s="261"/>
      <c r="B198" s="261"/>
      <c r="D198" s="1899"/>
      <c r="E198" s="1899"/>
      <c r="F198" s="1899"/>
    </row>
    <row r="199" spans="1:6"/>
    <row r="200" spans="1:6" ht="14.25">
      <c r="A200" s="261"/>
      <c r="B200" s="679" t="s">
        <v>316</v>
      </c>
      <c r="D200" s="1899" t="s">
        <v>1287</v>
      </c>
      <c r="E200" s="1899"/>
      <c r="F200" s="1899"/>
    </row>
    <row r="201" spans="1:6" ht="14.25">
      <c r="A201" s="261"/>
      <c r="B201" s="261"/>
      <c r="D201" s="1899"/>
      <c r="E201" s="1899"/>
      <c r="F201" s="1899"/>
    </row>
    <row r="202" spans="1:6" ht="14.25">
      <c r="A202" s="261"/>
      <c r="B202" s="261"/>
      <c r="D202" s="1899"/>
      <c r="E202" s="1899"/>
      <c r="F202" s="1899"/>
    </row>
    <row r="203" spans="1:6" ht="5.0999999999999996" customHeight="1">
      <c r="A203" s="261"/>
      <c r="B203" s="261"/>
      <c r="D203" s="151"/>
      <c r="E203" s="135"/>
      <c r="F203" s="135"/>
    </row>
    <row r="204" spans="1:6" ht="14.25">
      <c r="A204" s="261"/>
      <c r="B204" s="261"/>
      <c r="D204" s="1899" t="s">
        <v>1288</v>
      </c>
      <c r="E204" s="1899"/>
      <c r="F204" s="1899"/>
    </row>
    <row r="205" spans="1:6" ht="14.25">
      <c r="A205" s="261"/>
      <c r="B205" s="261"/>
      <c r="D205" s="1899"/>
      <c r="E205" s="1899"/>
      <c r="F205" s="1899"/>
    </row>
    <row r="206" spans="1:6" ht="14.25">
      <c r="A206" s="261"/>
      <c r="B206" s="261"/>
      <c r="D206" s="1899"/>
      <c r="E206" s="1899"/>
      <c r="F206" s="1899"/>
    </row>
    <row r="207" spans="1:6" ht="14.25">
      <c r="A207" s="261"/>
      <c r="B207" s="261"/>
      <c r="D207" s="1899"/>
      <c r="E207" s="1899"/>
      <c r="F207" s="1899"/>
    </row>
    <row r="208" spans="1:6" ht="14.25">
      <c r="A208" s="261"/>
      <c r="B208" s="261"/>
      <c r="D208" s="1899"/>
      <c r="E208" s="1899"/>
      <c r="F208" s="1899"/>
    </row>
    <row r="209" spans="1:7" ht="14.25">
      <c r="A209" s="261"/>
      <c r="B209" s="261"/>
      <c r="D209" s="135"/>
      <c r="E209" s="135"/>
      <c r="F209" s="135"/>
    </row>
    <row r="210" spans="1:7" ht="14.25">
      <c r="A210" s="261"/>
      <c r="B210" s="679" t="s">
        <v>316</v>
      </c>
      <c r="D210" s="1913" t="s">
        <v>1289</v>
      </c>
      <c r="E210" s="1913"/>
      <c r="F210" s="1913"/>
    </row>
    <row r="211" spans="1:7" ht="14.25">
      <c r="A211" s="261"/>
      <c r="B211" s="261"/>
      <c r="D211" s="1913"/>
      <c r="E211" s="1913"/>
      <c r="F211" s="1913"/>
    </row>
    <row r="212" spans="1:7" ht="14.25">
      <c r="A212" s="261"/>
      <c r="B212" s="261"/>
      <c r="D212" s="1947" t="s">
        <v>962</v>
      </c>
      <c r="E212" s="1947"/>
      <c r="F212" s="1947"/>
    </row>
    <row r="213" spans="1:7" ht="14.25">
      <c r="A213" s="261"/>
      <c r="B213" s="261"/>
      <c r="D213" s="135"/>
      <c r="E213" s="135"/>
      <c r="F213" s="135"/>
    </row>
    <row r="214" spans="1:7" ht="14.45" customHeight="1">
      <c r="A214" s="261"/>
      <c r="B214" s="679" t="s">
        <v>316</v>
      </c>
      <c r="D214" s="1913" t="s">
        <v>1291</v>
      </c>
      <c r="E214" s="1913"/>
      <c r="F214" s="1913"/>
    </row>
    <row r="215" spans="1:7" ht="14.25">
      <c r="A215" s="261"/>
      <c r="B215" s="261"/>
      <c r="D215" s="1913"/>
      <c r="E215" s="1913"/>
      <c r="F215" s="1913"/>
    </row>
    <row r="216" spans="1:7" ht="14.25">
      <c r="A216" s="261"/>
      <c r="B216" s="261"/>
      <c r="D216" s="1913"/>
      <c r="E216" s="1913"/>
      <c r="F216" s="1913"/>
    </row>
    <row r="217" spans="1:7" ht="14.25">
      <c r="A217" s="261"/>
      <c r="B217" s="261"/>
      <c r="D217" s="1913"/>
      <c r="E217" s="1913"/>
      <c r="F217" s="1913"/>
    </row>
    <row r="218" spans="1:7" ht="14.25">
      <c r="A218" s="261"/>
      <c r="B218" s="261"/>
      <c r="D218" s="1913"/>
      <c r="E218" s="1913"/>
      <c r="F218" s="1913"/>
    </row>
    <row r="219" spans="1:7">
      <c r="D219" s="135"/>
      <c r="E219" s="135"/>
      <c r="F219" s="135"/>
    </row>
    <row r="220" spans="1:7" ht="14.25">
      <c r="A220" s="261"/>
      <c r="B220" s="679" t="s">
        <v>316</v>
      </c>
      <c r="D220" s="1899" t="s">
        <v>1290</v>
      </c>
      <c r="E220" s="1899"/>
      <c r="F220" s="1899"/>
    </row>
    <row r="221" spans="1:7" ht="14.25">
      <c r="A221" s="261"/>
      <c r="B221" s="261"/>
      <c r="D221" s="1899"/>
      <c r="E221" s="1899"/>
      <c r="F221" s="1899"/>
    </row>
    <row r="222" spans="1:7">
      <c r="D222" s="29"/>
    </row>
    <row r="223" spans="1:7">
      <c r="A223" s="1919" t="s">
        <v>1164</v>
      </c>
      <c r="B223" s="1919"/>
      <c r="C223" s="1919"/>
      <c r="D223" s="1919"/>
      <c r="E223" s="1919"/>
      <c r="F223" s="1919"/>
      <c r="G223" s="1919"/>
    </row>
    <row r="224" spans="1:7">
      <c r="D224" s="29"/>
    </row>
    <row r="225" spans="1:6">
      <c r="C225" s="262"/>
      <c r="D225" s="1922" t="s">
        <v>1293</v>
      </c>
      <c r="E225" s="1922"/>
      <c r="F225" s="1922"/>
    </row>
    <row r="226" spans="1:6">
      <c r="A226" s="255"/>
      <c r="B226" s="673"/>
      <c r="C226" s="255"/>
      <c r="D226" s="135"/>
      <c r="E226" s="135"/>
      <c r="F226" s="135"/>
    </row>
    <row r="227" spans="1:6">
      <c r="A227" s="260"/>
      <c r="B227" s="260"/>
      <c r="C227" s="260"/>
      <c r="D227" s="1922" t="s">
        <v>275</v>
      </c>
      <c r="E227" s="1922"/>
      <c r="F227" s="1922"/>
    </row>
    <row r="228" spans="1:6" ht="14.25">
      <c r="A228" s="261"/>
      <c r="B228" s="679" t="s">
        <v>316</v>
      </c>
      <c r="D228" s="1923" t="s">
        <v>1294</v>
      </c>
      <c r="E228" s="1923"/>
      <c r="F228" s="1923"/>
    </row>
    <row r="229" spans="1:6" ht="14.25">
      <c r="A229" s="261"/>
      <c r="B229" s="261"/>
      <c r="D229" s="1923"/>
      <c r="E229" s="1923"/>
      <c r="F229" s="1923"/>
    </row>
    <row r="230" spans="1:6">
      <c r="D230" s="135"/>
      <c r="E230" s="135"/>
      <c r="F230" s="135"/>
    </row>
    <row r="231" spans="1:6" ht="14.45" customHeight="1">
      <c r="A231" s="261"/>
      <c r="B231" s="679" t="s">
        <v>316</v>
      </c>
      <c r="D231" s="1913" t="s">
        <v>1295</v>
      </c>
      <c r="E231" s="1913"/>
      <c r="F231" s="1913"/>
    </row>
    <row r="232" spans="1:6">
      <c r="D232" s="1913"/>
      <c r="E232" s="1913"/>
      <c r="F232" s="1913"/>
    </row>
    <row r="233" spans="1:6">
      <c r="D233" s="1924" t="s">
        <v>953</v>
      </c>
      <c r="E233" s="1924"/>
      <c r="F233" s="1924"/>
    </row>
    <row r="234" spans="1:6">
      <c r="D234" s="135"/>
      <c r="E234" s="135"/>
      <c r="F234" s="135"/>
    </row>
    <row r="235" spans="1:6" ht="14.45" customHeight="1">
      <c r="A235" s="261"/>
      <c r="B235" s="679" t="s">
        <v>316</v>
      </c>
      <c r="D235" s="1913" t="s">
        <v>1297</v>
      </c>
      <c r="E235" s="1913"/>
      <c r="F235" s="1913"/>
    </row>
    <row r="236" spans="1:6">
      <c r="D236" s="1913"/>
      <c r="E236" s="1913"/>
      <c r="F236" s="1913"/>
    </row>
    <row r="237" spans="1:6">
      <c r="D237" s="1913"/>
      <c r="E237" s="1913"/>
      <c r="F237" s="1913"/>
    </row>
    <row r="238" spans="1:6">
      <c r="D238" s="1913"/>
      <c r="E238" s="1913"/>
      <c r="F238" s="1913"/>
    </row>
    <row r="239" spans="1:6">
      <c r="D239" s="1913"/>
      <c r="E239" s="1913"/>
      <c r="F239" s="1913"/>
    </row>
    <row r="240" spans="1:6">
      <c r="D240" s="135"/>
      <c r="E240" s="135"/>
      <c r="F240" s="135"/>
    </row>
    <row r="241" spans="1:7" ht="14.25">
      <c r="A241" s="261"/>
      <c r="B241" s="679" t="s">
        <v>316</v>
      </c>
      <c r="D241" s="1899" t="s">
        <v>1296</v>
      </c>
      <c r="E241" s="1899"/>
      <c r="F241" s="1899"/>
    </row>
    <row r="242" spans="1:7">
      <c r="D242" s="1899"/>
      <c r="E242" s="1899"/>
      <c r="F242" s="1899"/>
    </row>
    <row r="243" spans="1:7">
      <c r="D243" s="1899"/>
      <c r="E243" s="1899"/>
      <c r="F243" s="1899"/>
    </row>
    <row r="244" spans="1:7">
      <c r="D244" s="263"/>
      <c r="E244" s="135"/>
      <c r="F244" s="135"/>
    </row>
    <row r="245" spans="1:7">
      <c r="A245" s="1919" t="s">
        <v>1165</v>
      </c>
      <c r="B245" s="1919"/>
      <c r="C245" s="1919"/>
      <c r="D245" s="1919"/>
      <c r="E245" s="1919"/>
      <c r="F245" s="1919"/>
      <c r="G245" s="1919"/>
    </row>
    <row r="246" spans="1:7">
      <c r="D246" s="263"/>
      <c r="E246" s="135"/>
      <c r="F246" s="135"/>
    </row>
    <row r="247" spans="1:7">
      <c r="C247" s="255"/>
      <c r="D247" s="1948" t="s">
        <v>1298</v>
      </c>
      <c r="E247" s="1948"/>
      <c r="F247" s="1948"/>
    </row>
    <row r="248" spans="1:7">
      <c r="C248" s="255"/>
      <c r="D248" s="1948"/>
      <c r="E248" s="1948"/>
      <c r="F248" s="1948"/>
    </row>
    <row r="249" spans="1:7">
      <c r="A249" s="260"/>
      <c r="B249" s="260"/>
      <c r="C249" s="260"/>
      <c r="D249" s="5"/>
      <c r="E249" s="6"/>
      <c r="F249" s="6"/>
    </row>
    <row r="250" spans="1:7">
      <c r="C250" s="260"/>
      <c r="D250" s="1922" t="s">
        <v>215</v>
      </c>
      <c r="E250" s="1922"/>
      <c r="F250" s="1922"/>
    </row>
    <row r="251" spans="1:7" ht="15.75" customHeight="1">
      <c r="A251" s="261"/>
      <c r="B251" s="261"/>
      <c r="D251" s="1930" t="s">
        <v>1299</v>
      </c>
      <c r="E251" s="1930"/>
      <c r="F251" s="1930"/>
    </row>
    <row r="252" spans="1:7">
      <c r="E252" s="135"/>
      <c r="F252" s="135"/>
    </row>
    <row r="253" spans="1:7" ht="14.25">
      <c r="A253" s="261"/>
      <c r="B253" s="679" t="s">
        <v>316</v>
      </c>
      <c r="D253" s="1899" t="s">
        <v>1300</v>
      </c>
      <c r="E253" s="1899"/>
      <c r="F253" s="1899"/>
    </row>
    <row r="254" spans="1:7" ht="14.25">
      <c r="A254" s="261"/>
      <c r="B254" s="261"/>
      <c r="D254" s="1899"/>
      <c r="E254" s="1899"/>
      <c r="F254" s="1899"/>
    </row>
    <row r="255" spans="1:7">
      <c r="D255" s="135"/>
      <c r="E255" s="135"/>
      <c r="F255" s="135"/>
    </row>
    <row r="256" spans="1:7" ht="14.25">
      <c r="A256" s="261"/>
      <c r="B256" s="679" t="s">
        <v>316</v>
      </c>
      <c r="D256" s="1913" t="s">
        <v>1301</v>
      </c>
      <c r="E256" s="1913"/>
      <c r="F256" s="1913"/>
    </row>
    <row r="257" spans="1:7" ht="14.25">
      <c r="A257" s="261"/>
      <c r="B257" s="261"/>
      <c r="D257" s="1913"/>
      <c r="E257" s="1913"/>
      <c r="F257" s="1913"/>
    </row>
    <row r="258" spans="1:7" ht="14.25">
      <c r="A258" s="261"/>
      <c r="B258" s="261"/>
      <c r="D258" s="1913"/>
      <c r="E258" s="1913"/>
      <c r="F258" s="1913"/>
    </row>
    <row r="259" spans="1:7">
      <c r="D259" s="135"/>
      <c r="E259" s="135"/>
      <c r="F259" s="135"/>
    </row>
    <row r="260" spans="1:7" ht="14.25">
      <c r="A260" s="261"/>
      <c r="B260" s="679" t="s">
        <v>316</v>
      </c>
      <c r="D260" s="1899" t="s">
        <v>1302</v>
      </c>
      <c r="E260" s="1899"/>
      <c r="F260" s="1899"/>
    </row>
    <row r="261" spans="1:7" ht="14.25">
      <c r="A261" s="261"/>
      <c r="B261" s="261"/>
      <c r="D261" s="1899"/>
      <c r="E261" s="1899"/>
      <c r="F261" s="1899"/>
    </row>
    <row r="262" spans="1:7">
      <c r="A262" s="23"/>
      <c r="B262" s="675"/>
      <c r="E262" s="135"/>
      <c r="F262" s="135"/>
    </row>
    <row r="263" spans="1:7">
      <c r="A263" s="1919" t="s">
        <v>1166</v>
      </c>
      <c r="B263" s="1919"/>
      <c r="C263" s="1919"/>
      <c r="D263" s="1919"/>
      <c r="E263" s="1919"/>
      <c r="F263" s="1919"/>
      <c r="G263" s="1919"/>
    </row>
    <row r="264" spans="1:7">
      <c r="A264" s="23"/>
      <c r="B264" s="675"/>
      <c r="D264" s="135"/>
      <c r="E264" s="135"/>
      <c r="F264" s="135"/>
    </row>
    <row r="265" spans="1:7">
      <c r="C265" s="23"/>
      <c r="D265" s="1922" t="s">
        <v>718</v>
      </c>
      <c r="E265" s="1922"/>
      <c r="F265" s="1922"/>
    </row>
    <row r="266" spans="1:7">
      <c r="C266" s="23"/>
      <c r="D266" s="1912" t="s">
        <v>1303</v>
      </c>
      <c r="E266" s="1912"/>
      <c r="F266" s="1912"/>
    </row>
    <row r="267" spans="1:7">
      <c r="C267" s="23"/>
      <c r="D267" s="259"/>
    </row>
    <row r="268" spans="1:7">
      <c r="A268" s="273"/>
      <c r="B268" s="679" t="s">
        <v>316</v>
      </c>
      <c r="D268" s="1912" t="s">
        <v>1304</v>
      </c>
      <c r="E268" s="1912"/>
      <c r="F268" s="1912"/>
    </row>
    <row r="269" spans="1:7" s="39" customFormat="1" ht="14.25">
      <c r="A269" s="403"/>
      <c r="B269" s="403"/>
      <c r="C269" s="273"/>
      <c r="D269" s="497"/>
      <c r="E269" s="498"/>
      <c r="F269" s="498"/>
      <c r="G269" s="130"/>
    </row>
    <row r="270" spans="1:7" s="39" customFormat="1" ht="13.15" customHeight="1">
      <c r="A270" s="273"/>
      <c r="B270" s="679" t="s">
        <v>316</v>
      </c>
      <c r="C270" s="273"/>
      <c r="D270" s="1925" t="s">
        <v>1305</v>
      </c>
      <c r="E270" s="1925"/>
      <c r="F270" s="1925"/>
      <c r="G270" s="130"/>
    </row>
    <row r="271" spans="1:7" s="39" customFormat="1" ht="14.25">
      <c r="A271" s="403"/>
      <c r="B271" s="403"/>
      <c r="C271" s="273"/>
      <c r="D271" s="1925"/>
      <c r="E271" s="1925"/>
      <c r="F271" s="1925"/>
      <c r="G271" s="130"/>
    </row>
    <row r="272" spans="1:7" s="39" customFormat="1" ht="14.25">
      <c r="A272" s="403"/>
      <c r="B272" s="403"/>
      <c r="C272" s="273"/>
      <c r="D272" s="1925"/>
      <c r="E272" s="1925"/>
      <c r="F272" s="1925"/>
      <c r="G272" s="130"/>
    </row>
    <row r="273" spans="1:7" s="39" customFormat="1" ht="14.25">
      <c r="A273" s="403"/>
      <c r="B273" s="403"/>
      <c r="C273" s="273"/>
      <c r="D273" s="1925"/>
      <c r="E273" s="1925"/>
      <c r="F273" s="1925"/>
      <c r="G273" s="130"/>
    </row>
    <row r="274" spans="1:7" s="39" customFormat="1" ht="14.25">
      <c r="A274" s="403"/>
      <c r="B274" s="403"/>
      <c r="C274" s="273"/>
      <c r="D274" s="1925"/>
      <c r="E274" s="1925"/>
      <c r="F274" s="1925"/>
      <c r="G274" s="130"/>
    </row>
    <row r="275" spans="1:7" s="39" customFormat="1" ht="14.25">
      <c r="A275" s="403"/>
      <c r="B275" s="403"/>
      <c r="C275" s="273"/>
      <c r="D275" s="497"/>
      <c r="E275" s="498"/>
      <c r="F275" s="498"/>
      <c r="G275" s="130"/>
    </row>
    <row r="276" spans="1:7" s="39" customFormat="1" ht="13.15" customHeight="1">
      <c r="A276" s="273"/>
      <c r="B276" s="679" t="s">
        <v>316</v>
      </c>
      <c r="C276" s="273"/>
      <c r="D276" s="1925" t="s">
        <v>1306</v>
      </c>
      <c r="E276" s="1925"/>
      <c r="F276" s="1925"/>
      <c r="G276" s="130"/>
    </row>
    <row r="277" spans="1:7" s="39" customFormat="1">
      <c r="A277" s="273"/>
      <c r="B277" s="273"/>
      <c r="C277" s="273"/>
      <c r="D277" s="1925"/>
      <c r="E277" s="1925"/>
      <c r="F277" s="1925"/>
      <c r="G277" s="130"/>
    </row>
    <row r="278" spans="1:7" s="39" customFormat="1" ht="14.25">
      <c r="A278" s="403"/>
      <c r="B278" s="403"/>
      <c r="C278" s="273"/>
      <c r="D278" s="497"/>
      <c r="E278" s="498"/>
      <c r="F278" s="498"/>
      <c r="G278" s="130"/>
    </row>
    <row r="279" spans="1:7">
      <c r="A279" s="273"/>
      <c r="B279" s="679" t="s">
        <v>316</v>
      </c>
      <c r="D279" s="1912" t="s">
        <v>1307</v>
      </c>
      <c r="E279" s="1912"/>
      <c r="F279" s="1912"/>
    </row>
    <row r="280" spans="1:7">
      <c r="E280" s="135"/>
      <c r="F280" s="135"/>
    </row>
    <row r="281" spans="1:7" ht="14.25">
      <c r="A281" s="261"/>
      <c r="B281" s="679" t="s">
        <v>316</v>
      </c>
      <c r="D281" s="1913" t="s">
        <v>1308</v>
      </c>
      <c r="E281" s="1913"/>
      <c r="F281" s="1913"/>
    </row>
    <row r="282" spans="1:7" ht="14.25">
      <c r="A282" s="261"/>
      <c r="B282" s="261"/>
      <c r="D282" s="1913"/>
      <c r="E282" s="1913"/>
      <c r="F282" s="1913"/>
    </row>
    <row r="283" spans="1:7" s="719" customFormat="1" ht="14.25">
      <c r="A283" s="714"/>
      <c r="B283" s="714"/>
      <c r="C283" s="731"/>
      <c r="D283" s="1913"/>
      <c r="E283" s="1913"/>
      <c r="F283" s="1913"/>
      <c r="G283" s="7"/>
    </row>
    <row r="284" spans="1:7" s="719" customFormat="1" ht="14.25">
      <c r="A284" s="714"/>
      <c r="B284" s="714"/>
      <c r="C284" s="731"/>
      <c r="D284" s="1913"/>
      <c r="E284" s="1913"/>
      <c r="F284" s="1913"/>
      <c r="G284" s="7"/>
    </row>
    <row r="285" spans="1:7" s="719" customFormat="1" ht="14.25">
      <c r="A285" s="714"/>
      <c r="B285" s="714"/>
      <c r="C285" s="731"/>
      <c r="D285" s="1913"/>
      <c r="E285" s="1913"/>
      <c r="F285" s="1913"/>
      <c r="G285" s="7"/>
    </row>
    <row r="286" spans="1:7" s="719" customFormat="1" ht="14.25">
      <c r="A286" s="714"/>
      <c r="B286" s="714"/>
      <c r="C286" s="731"/>
      <c r="D286" s="1913"/>
      <c r="E286" s="1913"/>
      <c r="F286" s="1913"/>
      <c r="G286" s="7"/>
    </row>
    <row r="287" spans="1:7" s="719" customFormat="1" ht="14.25">
      <c r="A287" s="714"/>
      <c r="B287" s="714"/>
      <c r="C287" s="731"/>
      <c r="D287" s="1913"/>
      <c r="E287" s="1913"/>
      <c r="F287" s="1913"/>
      <c r="G287" s="7"/>
    </row>
    <row r="288" spans="1:7" s="719" customFormat="1" ht="14.25">
      <c r="A288" s="714"/>
      <c r="B288" s="714"/>
      <c r="C288" s="731"/>
      <c r="D288" s="1913"/>
      <c r="E288" s="1913"/>
      <c r="F288" s="1913"/>
      <c r="G288" s="7"/>
    </row>
    <row r="289" spans="1:7" s="719" customFormat="1" ht="14.25">
      <c r="A289" s="714"/>
      <c r="B289" s="714"/>
      <c r="C289" s="731"/>
      <c r="D289" s="1913"/>
      <c r="E289" s="1913"/>
      <c r="F289" s="1913"/>
      <c r="G289" s="7"/>
    </row>
    <row r="290" spans="1:7" s="719" customFormat="1" ht="14.25">
      <c r="A290" s="714"/>
      <c r="B290" s="714"/>
      <c r="C290" s="731"/>
      <c r="D290" s="1913"/>
      <c r="E290" s="1913"/>
      <c r="F290" s="1913"/>
      <c r="G290" s="7"/>
    </row>
    <row r="291" spans="1:7" s="719" customFormat="1" ht="14.25">
      <c r="A291" s="714"/>
      <c r="B291" s="714"/>
      <c r="C291" s="731"/>
      <c r="D291" s="1913"/>
      <c r="E291" s="1913"/>
      <c r="F291" s="1913"/>
      <c r="G291" s="7"/>
    </row>
    <row r="292" spans="1:7" s="719" customFormat="1" ht="14.25">
      <c r="A292" s="714"/>
      <c r="B292" s="714"/>
      <c r="C292" s="731"/>
      <c r="D292" s="1913"/>
      <c r="E292" s="1913"/>
      <c r="F292" s="1913"/>
      <c r="G292" s="7"/>
    </row>
    <row r="293" spans="1:7" ht="14.25">
      <c r="A293" s="261"/>
      <c r="B293" s="261"/>
      <c r="D293" s="1913"/>
      <c r="E293" s="1913"/>
      <c r="F293" s="1913"/>
    </row>
    <row r="294" spans="1:7" ht="14.25">
      <c r="A294" s="261"/>
      <c r="B294" s="261"/>
      <c r="D294" s="1913"/>
      <c r="E294" s="1913"/>
      <c r="F294" s="1913"/>
    </row>
    <row r="295" spans="1:7" ht="14.25">
      <c r="A295" s="261"/>
      <c r="B295" s="261"/>
      <c r="D295" s="1913"/>
      <c r="E295" s="1913"/>
      <c r="F295" s="1913"/>
    </row>
    <row r="296" spans="1:7">
      <c r="D296" s="135"/>
      <c r="E296" s="135"/>
      <c r="F296" s="135"/>
    </row>
    <row r="297" spans="1:7" ht="14.25">
      <c r="A297" s="261"/>
      <c r="B297" s="679" t="s">
        <v>316</v>
      </c>
      <c r="D297" s="1913" t="s">
        <v>1309</v>
      </c>
      <c r="E297" s="1913"/>
      <c r="F297" s="1913"/>
    </row>
    <row r="298" spans="1:7">
      <c r="D298" s="1913"/>
      <c r="E298" s="1913"/>
      <c r="F298" s="1913"/>
    </row>
    <row r="299" spans="1:7">
      <c r="D299" s="1913"/>
      <c r="E299" s="1913"/>
      <c r="F299" s="1913"/>
    </row>
    <row r="300" spans="1:7">
      <c r="D300" s="1913"/>
      <c r="E300" s="1913"/>
      <c r="F300" s="1913"/>
    </row>
    <row r="301" spans="1:7">
      <c r="D301" s="1913"/>
      <c r="E301" s="1913"/>
      <c r="F301" s="1913"/>
    </row>
    <row r="302" spans="1:7">
      <c r="D302" s="1913"/>
      <c r="E302" s="1913"/>
      <c r="F302" s="1913"/>
    </row>
    <row r="303" spans="1:7">
      <c r="D303" s="1913"/>
      <c r="E303" s="1913"/>
      <c r="F303" s="1913"/>
    </row>
    <row r="304" spans="1:7">
      <c r="D304" s="1913"/>
      <c r="E304" s="1913"/>
      <c r="F304" s="1913"/>
    </row>
    <row r="305" spans="1:7">
      <c r="D305" s="1913"/>
      <c r="E305" s="1913"/>
      <c r="F305" s="1913"/>
    </row>
    <row r="306" spans="1:7">
      <c r="D306" s="135"/>
      <c r="E306" s="135"/>
      <c r="F306" s="135"/>
    </row>
    <row r="307" spans="1:7" ht="14.25">
      <c r="A307" s="261"/>
      <c r="B307" s="679" t="s">
        <v>316</v>
      </c>
      <c r="D307" s="1899" t="s">
        <v>1310</v>
      </c>
      <c r="E307" s="1899"/>
      <c r="F307" s="1899"/>
    </row>
    <row r="308" spans="1:7">
      <c r="D308" s="1899"/>
      <c r="E308" s="1899"/>
      <c r="F308" s="1899"/>
      <c r="G308" s="12"/>
    </row>
    <row r="309" spans="1:7">
      <c r="D309" s="1899"/>
      <c r="E309" s="1899"/>
      <c r="F309" s="1899"/>
      <c r="G309" s="12"/>
    </row>
    <row r="310" spans="1:7">
      <c r="D310" s="1899"/>
      <c r="E310" s="1899"/>
      <c r="F310" s="1899"/>
      <c r="G310" s="12"/>
    </row>
    <row r="311" spans="1:7">
      <c r="D311" s="1899"/>
      <c r="E311" s="1899"/>
      <c r="F311" s="1899"/>
      <c r="G311" s="12"/>
    </row>
    <row r="312" spans="1:7">
      <c r="D312" s="1899"/>
      <c r="E312" s="1899"/>
      <c r="F312" s="1899"/>
      <c r="G312" s="12"/>
    </row>
    <row r="313" spans="1:7" s="719" customFormat="1">
      <c r="A313" s="731"/>
      <c r="B313" s="731"/>
      <c r="C313" s="731"/>
      <c r="D313" s="728"/>
      <c r="E313" s="728"/>
      <c r="F313" s="728"/>
    </row>
    <row r="314" spans="1:7" ht="13.5" thickBot="1">
      <c r="D314" s="1931" t="s">
        <v>1059</v>
      </c>
      <c r="E314" s="1931"/>
      <c r="F314" s="1931"/>
      <c r="G314" s="12"/>
    </row>
    <row r="315" spans="1:7" s="719" customFormat="1" ht="13.5" thickTop="1">
      <c r="A315" s="731"/>
      <c r="B315" s="731"/>
      <c r="C315" s="731"/>
      <c r="D315" s="1932" t="s">
        <v>1311</v>
      </c>
      <c r="E315" s="1932"/>
      <c r="F315" s="1932"/>
    </row>
    <row r="316" spans="1:7">
      <c r="A316" s="325"/>
      <c r="B316" s="325"/>
      <c r="C316" s="325"/>
      <c r="D316" s="467"/>
      <c r="E316" s="467"/>
      <c r="F316" s="135"/>
      <c r="G316" s="12"/>
    </row>
    <row r="317" spans="1:7" ht="14.25">
      <c r="A317" s="261"/>
      <c r="B317" s="679" t="s">
        <v>316</v>
      </c>
      <c r="C317" s="325"/>
      <c r="D317" s="1933" t="s">
        <v>1312</v>
      </c>
      <c r="E317" s="1933"/>
      <c r="F317" s="1933"/>
      <c r="G317" s="12"/>
    </row>
    <row r="318" spans="1:7">
      <c r="A318" s="325"/>
      <c r="B318" s="325"/>
      <c r="C318" s="325"/>
      <c r="D318" s="467"/>
      <c r="E318" s="467"/>
      <c r="F318" s="135"/>
      <c r="G318" s="12"/>
    </row>
    <row r="319" spans="1:7">
      <c r="A319" s="325"/>
      <c r="B319" s="679" t="s">
        <v>316</v>
      </c>
      <c r="C319" s="325"/>
      <c r="D319" s="1928" t="s">
        <v>1313</v>
      </c>
      <c r="E319" s="1928"/>
      <c r="F319" s="1928"/>
      <c r="G319" s="12"/>
    </row>
    <row r="320" spans="1:7">
      <c r="A320" s="325"/>
      <c r="B320" s="325"/>
      <c r="C320" s="325"/>
      <c r="D320" s="1928"/>
      <c r="E320" s="1928"/>
      <c r="F320" s="1928"/>
      <c r="G320" s="12"/>
    </row>
    <row r="321" spans="1:7">
      <c r="A321" s="325"/>
      <c r="B321" s="325"/>
      <c r="C321" s="325"/>
      <c r="D321" s="1928"/>
      <c r="E321" s="1928"/>
      <c r="F321" s="1928"/>
      <c r="G321" s="12"/>
    </row>
    <row r="322" spans="1:7">
      <c r="A322" s="325"/>
      <c r="B322" s="325"/>
      <c r="C322" s="325"/>
      <c r="D322" s="1928"/>
      <c r="E322" s="1928"/>
      <c r="F322" s="1928"/>
      <c r="G322" s="12"/>
    </row>
    <row r="323" spans="1:7" s="719" customFormat="1">
      <c r="A323" s="325"/>
      <c r="B323" s="325"/>
      <c r="C323" s="325"/>
      <c r="D323" s="1928"/>
      <c r="E323" s="1928"/>
      <c r="F323" s="1928"/>
    </row>
    <row r="324" spans="1:7" s="719" customFormat="1">
      <c r="A324" s="325"/>
      <c r="B324" s="325"/>
      <c r="C324" s="325"/>
      <c r="D324" s="1928"/>
      <c r="E324" s="1928"/>
      <c r="F324" s="1928"/>
    </row>
    <row r="325" spans="1:7" s="719" customFormat="1">
      <c r="A325" s="325"/>
      <c r="B325" s="325"/>
      <c r="C325" s="325"/>
      <c r="D325" s="1928"/>
      <c r="E325" s="1928"/>
      <c r="F325" s="1928"/>
    </row>
    <row r="326" spans="1:7" s="719" customFormat="1">
      <c r="A326" s="325"/>
      <c r="B326" s="325"/>
      <c r="C326" s="325"/>
      <c r="D326" s="1928"/>
      <c r="E326" s="1928"/>
      <c r="F326" s="1928"/>
    </row>
    <row r="327" spans="1:7">
      <c r="A327" s="325"/>
      <c r="B327" s="325"/>
      <c r="C327" s="325"/>
      <c r="D327" s="1928"/>
      <c r="E327" s="1928"/>
      <c r="F327" s="1928"/>
      <c r="G327" s="12"/>
    </row>
    <row r="328" spans="1:7">
      <c r="A328" s="325"/>
      <c r="B328" s="325"/>
      <c r="C328" s="325"/>
      <c r="D328" s="1928"/>
      <c r="E328" s="1928"/>
      <c r="F328" s="1928"/>
      <c r="G328" s="12"/>
    </row>
    <row r="329" spans="1:7">
      <c r="A329" s="325"/>
      <c r="B329" s="325"/>
      <c r="C329" s="325"/>
      <c r="D329" s="1928"/>
      <c r="E329" s="1928"/>
      <c r="F329" s="1928"/>
      <c r="G329" s="12"/>
    </row>
    <row r="330" spans="1:7">
      <c r="A330" s="325"/>
      <c r="B330" s="325"/>
      <c r="C330" s="325"/>
      <c r="D330" s="12"/>
      <c r="E330" s="467"/>
      <c r="F330" s="135"/>
      <c r="G330" s="12"/>
    </row>
    <row r="331" spans="1:7" ht="14.25">
      <c r="A331" s="261"/>
      <c r="B331" s="679" t="s">
        <v>316</v>
      </c>
      <c r="C331" s="325"/>
      <c r="D331" s="1926" t="s">
        <v>1314</v>
      </c>
      <c r="E331" s="1926"/>
      <c r="F331" s="1926"/>
      <c r="G331" s="12"/>
    </row>
    <row r="332" spans="1:7">
      <c r="A332" s="325"/>
      <c r="B332" s="325"/>
      <c r="C332" s="325"/>
      <c r="D332" s="1926"/>
      <c r="E332" s="1926"/>
      <c r="F332" s="1926"/>
      <c r="G332" s="12"/>
    </row>
    <row r="333" spans="1:7">
      <c r="A333" s="325"/>
      <c r="B333" s="325"/>
      <c r="C333" s="325"/>
      <c r="D333" s="1926"/>
      <c r="E333" s="1926"/>
      <c r="F333" s="1926"/>
      <c r="G333" s="12"/>
    </row>
    <row r="334" spans="1:7">
      <c r="A334" s="325"/>
      <c r="B334" s="325"/>
      <c r="C334" s="325"/>
      <c r="D334" s="1926"/>
      <c r="E334" s="1926"/>
      <c r="F334" s="1926"/>
      <c r="G334" s="12"/>
    </row>
    <row r="335" spans="1:7">
      <c r="A335" s="325"/>
      <c r="B335" s="325"/>
      <c r="C335" s="325"/>
      <c r="D335" s="505"/>
      <c r="E335" s="467"/>
      <c r="F335" s="135"/>
      <c r="G335" s="12"/>
    </row>
    <row r="336" spans="1:7">
      <c r="A336" s="325"/>
      <c r="B336" s="325"/>
      <c r="C336" s="325"/>
      <c r="D336" s="1926" t="s">
        <v>1315</v>
      </c>
      <c r="E336" s="1926"/>
      <c r="F336" s="1926"/>
      <c r="G336" s="12"/>
    </row>
    <row r="337" spans="1:7">
      <c r="A337" s="325"/>
      <c r="B337" s="325"/>
      <c r="C337" s="325"/>
      <c r="D337" s="1926"/>
      <c r="E337" s="1926"/>
      <c r="F337" s="1926"/>
      <c r="G337" s="12"/>
    </row>
    <row r="338" spans="1:7">
      <c r="A338" s="325"/>
      <c r="B338" s="325"/>
      <c r="C338" s="325"/>
      <c r="D338" s="1926"/>
      <c r="E338" s="1926"/>
      <c r="F338" s="1926"/>
      <c r="G338" s="12"/>
    </row>
    <row r="339" spans="1:7">
      <c r="A339" s="325"/>
      <c r="B339" s="325"/>
      <c r="C339" s="325"/>
      <c r="D339" s="1926"/>
      <c r="E339" s="1926"/>
      <c r="F339" s="1926"/>
      <c r="G339" s="12"/>
    </row>
    <row r="340" spans="1:7" ht="18" customHeight="1">
      <c r="A340" s="325"/>
      <c r="B340" s="325"/>
      <c r="C340" s="325"/>
      <c r="D340" s="1926"/>
      <c r="E340" s="1926"/>
      <c r="F340" s="1926"/>
      <c r="G340" s="12"/>
    </row>
    <row r="341" spans="1:7">
      <c r="A341" s="325"/>
      <c r="B341" s="325"/>
      <c r="C341" s="325"/>
      <c r="D341" s="1926"/>
      <c r="E341" s="1926"/>
      <c r="F341" s="1926"/>
      <c r="G341" s="12"/>
    </row>
    <row r="342" spans="1:7">
      <c r="A342" s="325"/>
      <c r="B342" s="325"/>
      <c r="C342" s="325"/>
      <c r="D342" s="1926"/>
      <c r="E342" s="1926"/>
      <c r="F342" s="1926"/>
      <c r="G342" s="12"/>
    </row>
    <row r="343" spans="1:7">
      <c r="A343" s="325"/>
      <c r="B343" s="325"/>
      <c r="C343" s="325"/>
      <c r="D343" s="1926"/>
      <c r="E343" s="1926"/>
      <c r="F343" s="1926"/>
      <c r="G343" s="12"/>
    </row>
    <row r="344" spans="1:7" ht="8.25" customHeight="1">
      <c r="A344" s="325"/>
      <c r="B344" s="325"/>
      <c r="C344" s="325"/>
      <c r="D344" s="1926"/>
      <c r="E344" s="1926"/>
      <c r="F344" s="1926"/>
      <c r="G344" s="12"/>
    </row>
    <row r="345" spans="1:7" ht="13.15" customHeight="1">
      <c r="A345" s="325"/>
      <c r="B345" s="325"/>
      <c r="C345" s="325"/>
      <c r="D345" s="1927" t="s">
        <v>1316</v>
      </c>
      <c r="E345" s="1927"/>
      <c r="F345" s="1927"/>
      <c r="G345" s="12"/>
    </row>
    <row r="346" spans="1:7">
      <c r="A346" s="325"/>
      <c r="B346" s="325"/>
      <c r="C346" s="325"/>
      <c r="D346" s="1927"/>
      <c r="E346" s="1927"/>
      <c r="F346" s="1927"/>
      <c r="G346" s="12"/>
    </row>
    <row r="347" spans="1:7">
      <c r="A347" s="325"/>
      <c r="B347" s="325"/>
      <c r="C347" s="325"/>
      <c r="D347" s="1927"/>
      <c r="E347" s="1927"/>
      <c r="F347" s="1927"/>
      <c r="G347" s="12"/>
    </row>
    <row r="348" spans="1:7" s="719" customFormat="1">
      <c r="A348" s="325"/>
      <c r="B348" s="325"/>
      <c r="C348" s="325"/>
      <c r="D348" s="1927"/>
      <c r="E348" s="1927"/>
      <c r="F348" s="1927"/>
    </row>
    <row r="349" spans="1:7" s="719" customFormat="1">
      <c r="A349" s="325"/>
      <c r="B349" s="325"/>
      <c r="C349" s="325"/>
      <c r="D349" s="1927"/>
      <c r="E349" s="1927"/>
      <c r="F349" s="1927"/>
    </row>
    <row r="350" spans="1:7" s="719" customFormat="1">
      <c r="A350" s="325"/>
      <c r="B350" s="325"/>
      <c r="C350" s="325"/>
      <c r="D350" s="1927"/>
      <c r="E350" s="1927"/>
      <c r="F350" s="1927"/>
    </row>
    <row r="351" spans="1:7" s="719" customFormat="1">
      <c r="A351" s="325"/>
      <c r="B351" s="325"/>
      <c r="C351" s="325"/>
      <c r="D351" s="1927"/>
      <c r="E351" s="1927"/>
      <c r="F351" s="1927"/>
    </row>
    <row r="352" spans="1:7" s="719" customFormat="1">
      <c r="A352" s="325"/>
      <c r="B352" s="325"/>
      <c r="C352" s="325"/>
      <c r="D352" s="1927"/>
      <c r="E352" s="1927"/>
      <c r="F352" s="1927"/>
    </row>
    <row r="353" spans="1:7">
      <c r="A353" s="325"/>
      <c r="B353" s="325"/>
      <c r="C353" s="325"/>
      <c r="D353" s="1927"/>
      <c r="E353" s="1927"/>
      <c r="F353" s="1927"/>
      <c r="G353" s="12"/>
    </row>
    <row r="354" spans="1:7">
      <c r="A354" s="325"/>
      <c r="B354" s="325"/>
      <c r="C354" s="325"/>
      <c r="D354" s="1927"/>
      <c r="E354" s="1927"/>
      <c r="F354" s="1927"/>
      <c r="G354" s="12"/>
    </row>
    <row r="355" spans="1:7">
      <c r="A355" s="325"/>
      <c r="B355" s="325"/>
      <c r="C355" s="325"/>
      <c r="D355" s="1927"/>
      <c r="E355" s="1927"/>
      <c r="F355" s="1927"/>
      <c r="G355" s="12"/>
    </row>
    <row r="356" spans="1:7">
      <c r="A356" s="325"/>
      <c r="B356" s="325"/>
      <c r="C356" s="325"/>
      <c r="D356" s="1927"/>
      <c r="E356" s="1927"/>
      <c r="F356" s="1927"/>
      <c r="G356" s="12"/>
    </row>
    <row r="357" spans="1:7">
      <c r="A357" s="325"/>
      <c r="B357" s="325"/>
      <c r="C357" s="507"/>
      <c r="D357" s="1927"/>
      <c r="E357" s="1927"/>
      <c r="F357" s="1927"/>
      <c r="G357" s="12"/>
    </row>
    <row r="358" spans="1:7">
      <c r="A358" s="325"/>
      <c r="B358" s="325"/>
      <c r="C358" s="507"/>
      <c r="D358" s="1927"/>
      <c r="E358" s="1927"/>
      <c r="F358" s="1927"/>
      <c r="G358" s="12"/>
    </row>
    <row r="359" spans="1:7">
      <c r="A359" s="325"/>
      <c r="B359" s="325"/>
      <c r="C359" s="325"/>
      <c r="D359" s="1927"/>
      <c r="E359" s="1927"/>
      <c r="F359" s="1927"/>
      <c r="G359" s="12"/>
    </row>
    <row r="360" spans="1:7">
      <c r="A360" s="325"/>
      <c r="B360" s="325"/>
      <c r="C360" s="507"/>
      <c r="D360" s="1927"/>
      <c r="E360" s="1927"/>
      <c r="F360" s="1927"/>
      <c r="G360" s="12"/>
    </row>
    <row r="361" spans="1:7">
      <c r="A361" s="325"/>
      <c r="B361" s="325"/>
      <c r="C361" s="507"/>
      <c r="D361" s="1927"/>
      <c r="E361" s="1927"/>
      <c r="F361" s="1927"/>
      <c r="G361" s="12"/>
    </row>
    <row r="362" spans="1:7">
      <c r="A362" s="325"/>
      <c r="B362" s="325"/>
      <c r="C362" s="507"/>
      <c r="D362" s="1927"/>
      <c r="E362" s="1927"/>
      <c r="F362" s="1927"/>
      <c r="G362" s="12"/>
    </row>
    <row r="363" spans="1:7">
      <c r="A363" s="325"/>
      <c r="B363" s="325"/>
      <c r="C363" s="325"/>
      <c r="D363" s="505"/>
      <c r="E363" s="467"/>
      <c r="F363" s="135"/>
      <c r="G363" s="12"/>
    </row>
    <row r="364" spans="1:7">
      <c r="A364" s="325"/>
      <c r="B364" s="679" t="s">
        <v>316</v>
      </c>
      <c r="C364" s="325"/>
      <c r="D364" s="1927" t="s">
        <v>1317</v>
      </c>
      <c r="E364" s="1927"/>
      <c r="F364" s="1927"/>
      <c r="G364" s="12"/>
    </row>
    <row r="365" spans="1:7">
      <c r="A365" s="325"/>
      <c r="B365" s="325"/>
      <c r="C365" s="325"/>
      <c r="D365" s="1927"/>
      <c r="E365" s="1927"/>
      <c r="F365" s="1927"/>
      <c r="G365" s="12"/>
    </row>
    <row r="366" spans="1:7">
      <c r="A366" s="325"/>
      <c r="B366" s="325"/>
      <c r="C366" s="325"/>
      <c r="D366" s="467"/>
      <c r="E366" s="467"/>
      <c r="F366" s="135"/>
      <c r="G366" s="12"/>
    </row>
    <row r="367" spans="1:7" ht="14.25">
      <c r="A367" s="261"/>
      <c r="B367" s="679" t="s">
        <v>316</v>
      </c>
      <c r="C367" s="325"/>
      <c r="D367" s="1928" t="s">
        <v>1318</v>
      </c>
      <c r="E367" s="1928"/>
      <c r="F367" s="1928"/>
      <c r="G367" s="12"/>
    </row>
    <row r="368" spans="1:7" ht="14.25">
      <c r="A368" s="506"/>
      <c r="B368" s="506"/>
      <c r="C368" s="325"/>
      <c r="D368" s="1928"/>
      <c r="E368" s="1928"/>
      <c r="F368" s="1928"/>
      <c r="G368" s="12"/>
    </row>
    <row r="369" spans="1:7" ht="14.25">
      <c r="A369" s="506"/>
      <c r="B369" s="506"/>
      <c r="C369" s="325"/>
      <c r="D369" s="1928"/>
      <c r="E369" s="1928"/>
      <c r="F369" s="1928"/>
      <c r="G369" s="12"/>
    </row>
    <row r="370" spans="1:7" ht="14.25">
      <c r="A370" s="506"/>
      <c r="B370" s="506"/>
      <c r="C370" s="325"/>
      <c r="D370" s="1928"/>
      <c r="E370" s="1928"/>
      <c r="F370" s="1928"/>
      <c r="G370" s="12"/>
    </row>
    <row r="371" spans="1:7" ht="14.25">
      <c r="A371" s="506"/>
      <c r="B371" s="506"/>
      <c r="C371" s="325"/>
      <c r="D371" s="1928"/>
      <c r="E371" s="1928"/>
      <c r="F371" s="1928"/>
      <c r="G371" s="12"/>
    </row>
    <row r="372" spans="1:7">
      <c r="D372" s="135"/>
      <c r="E372" s="135"/>
      <c r="F372" s="135"/>
      <c r="G372" s="12"/>
    </row>
    <row r="373" spans="1:7" ht="14.25">
      <c r="A373" s="261"/>
      <c r="B373" s="679" t="s">
        <v>316</v>
      </c>
      <c r="C373" s="266"/>
      <c r="D373" s="1899" t="s">
        <v>1319</v>
      </c>
      <c r="E373" s="1899"/>
      <c r="F373" s="1899"/>
      <c r="G373" s="12"/>
    </row>
    <row r="374" spans="1:7" ht="14.25">
      <c r="A374" s="261"/>
      <c r="B374" s="261"/>
      <c r="D374" s="1899"/>
      <c r="E374" s="1899"/>
      <c r="F374" s="1899"/>
      <c r="G374" s="12"/>
    </row>
    <row r="375" spans="1:7">
      <c r="D375" s="1899"/>
      <c r="E375" s="1899"/>
      <c r="F375" s="1899"/>
      <c r="G375" s="12"/>
    </row>
    <row r="376" spans="1:7">
      <c r="D376" s="1899"/>
      <c r="E376" s="1899"/>
      <c r="F376" s="1899"/>
      <c r="G376" s="12"/>
    </row>
    <row r="377" spans="1:7">
      <c r="D377" s="1899"/>
      <c r="E377" s="1899"/>
      <c r="F377" s="1899"/>
      <c r="G377" s="12"/>
    </row>
    <row r="378" spans="1:7">
      <c r="D378" s="1899"/>
      <c r="E378" s="1899"/>
      <c r="F378" s="1899"/>
      <c r="G378" s="12"/>
    </row>
    <row r="379" spans="1:7">
      <c r="D379" s="1899"/>
      <c r="E379" s="1899"/>
      <c r="F379" s="1899"/>
      <c r="G379" s="12"/>
    </row>
    <row r="380" spans="1:7">
      <c r="D380" s="1899"/>
      <c r="E380" s="1899"/>
      <c r="F380" s="1899"/>
      <c r="G380" s="12"/>
    </row>
    <row r="381" spans="1:7">
      <c r="D381" s="1899"/>
      <c r="E381" s="1899"/>
      <c r="F381" s="1899"/>
      <c r="G381" s="12"/>
    </row>
    <row r="382" spans="1:7">
      <c r="D382" s="1899"/>
      <c r="E382" s="1899"/>
      <c r="F382" s="1899"/>
      <c r="G382" s="12"/>
    </row>
    <row r="383" spans="1:7">
      <c r="D383" s="1899"/>
      <c r="E383" s="1899"/>
      <c r="F383" s="1899"/>
      <c r="G383" s="12"/>
    </row>
    <row r="384" spans="1:7">
      <c r="D384" s="1899"/>
      <c r="E384" s="1899"/>
      <c r="F384" s="1899"/>
      <c r="G384" s="12"/>
    </row>
    <row r="385" spans="1:7">
      <c r="D385" s="1899"/>
      <c r="E385" s="1899"/>
      <c r="F385" s="1899"/>
      <c r="G385" s="12"/>
    </row>
    <row r="386" spans="1:7">
      <c r="A386" s="12"/>
      <c r="B386" s="12"/>
      <c r="C386" s="12"/>
      <c r="D386" s="1899"/>
      <c r="E386" s="1899"/>
      <c r="F386" s="1899"/>
      <c r="G386" s="12"/>
    </row>
    <row r="387" spans="1:7">
      <c r="A387" s="12"/>
      <c r="B387" s="12"/>
      <c r="C387" s="12"/>
      <c r="D387" s="1899"/>
      <c r="E387" s="1899"/>
      <c r="F387" s="1899"/>
      <c r="G387" s="12"/>
    </row>
    <row r="388" spans="1:7">
      <c r="A388" s="12"/>
      <c r="B388" s="12"/>
      <c r="C388" s="12"/>
      <c r="D388" s="1899"/>
      <c r="E388" s="1899"/>
      <c r="F388" s="1899"/>
      <c r="G388" s="12"/>
    </row>
    <row r="389" spans="1:7">
      <c r="A389" s="12"/>
      <c r="B389" s="12"/>
      <c r="C389" s="12"/>
      <c r="D389" s="1899"/>
      <c r="E389" s="1899"/>
      <c r="F389" s="1899"/>
      <c r="G389" s="12"/>
    </row>
    <row r="390" spans="1:7">
      <c r="A390" s="12"/>
      <c r="B390" s="12"/>
      <c r="C390" s="12"/>
      <c r="D390" s="1899"/>
      <c r="E390" s="1899"/>
      <c r="F390" s="1899"/>
      <c r="G390" s="12"/>
    </row>
    <row r="391" spans="1:7">
      <c r="A391" s="12"/>
      <c r="B391" s="12"/>
      <c r="C391" s="12"/>
      <c r="D391" s="1899"/>
      <c r="E391" s="1899"/>
      <c r="F391" s="1899"/>
      <c r="G391" s="12"/>
    </row>
    <row r="392" spans="1:7">
      <c r="A392" s="12"/>
      <c r="B392" s="12"/>
      <c r="C392" s="12"/>
      <c r="D392" s="1899"/>
      <c r="E392" s="1899"/>
      <c r="F392" s="1899"/>
      <c r="G392" s="12"/>
    </row>
    <row r="393" spans="1:7">
      <c r="A393" s="12"/>
      <c r="B393" s="12"/>
      <c r="C393" s="12"/>
      <c r="D393" s="1899"/>
      <c r="E393" s="1899"/>
      <c r="F393" s="1899"/>
      <c r="G393" s="12"/>
    </row>
    <row r="394" spans="1:7">
      <c r="A394" s="12"/>
      <c r="B394" s="12"/>
      <c r="C394" s="12"/>
      <c r="D394" s="1899"/>
      <c r="E394" s="1899"/>
      <c r="F394" s="1899"/>
      <c r="G394" s="12"/>
    </row>
    <row r="395" spans="1:7">
      <c r="A395" s="12"/>
      <c r="B395" s="12"/>
      <c r="C395" s="12"/>
      <c r="D395" s="1899"/>
      <c r="E395" s="1899"/>
      <c r="F395" s="1899"/>
      <c r="G395" s="12"/>
    </row>
    <row r="396" spans="1:7">
      <c r="A396" s="12"/>
      <c r="B396" s="12"/>
      <c r="C396" s="12"/>
      <c r="D396" s="1899"/>
      <c r="E396" s="1899"/>
      <c r="F396" s="1899"/>
      <c r="G396" s="12"/>
    </row>
    <row r="397" spans="1:7">
      <c r="A397" s="12"/>
      <c r="B397" s="12"/>
      <c r="C397" s="12"/>
      <c r="D397" s="1899"/>
      <c r="E397" s="1899"/>
      <c r="F397" s="1899"/>
      <c r="G397" s="12"/>
    </row>
    <row r="398" spans="1:7">
      <c r="A398" s="12"/>
      <c r="B398" s="12"/>
      <c r="C398" s="12"/>
      <c r="D398" s="1899"/>
      <c r="E398" s="1899"/>
      <c r="F398" s="1899"/>
      <c r="G398" s="12"/>
    </row>
    <row r="399" spans="1:7">
      <c r="A399" s="12"/>
      <c r="B399" s="12"/>
      <c r="C399" s="12"/>
      <c r="D399" s="1899"/>
      <c r="E399" s="1899"/>
      <c r="F399" s="1899"/>
      <c r="G399" s="12"/>
    </row>
    <row r="400" spans="1:7">
      <c r="A400" s="12"/>
      <c r="B400" s="12"/>
      <c r="C400" s="12"/>
      <c r="D400" s="1899"/>
      <c r="E400" s="1899"/>
      <c r="F400" s="1899"/>
      <c r="G400" s="12"/>
    </row>
    <row r="401" spans="1:7">
      <c r="A401" s="12"/>
      <c r="B401" s="12"/>
      <c r="C401" s="12"/>
      <c r="D401" s="1899"/>
      <c r="E401" s="1899"/>
      <c r="F401" s="1899"/>
      <c r="G401" s="12"/>
    </row>
    <row r="402" spans="1:7" s="32" customFormat="1">
      <c r="A402" s="132"/>
      <c r="B402" s="676"/>
      <c r="C402" s="132"/>
      <c r="D402" s="1899"/>
      <c r="E402" s="1899"/>
      <c r="F402" s="1899"/>
      <c r="G402" s="30"/>
    </row>
    <row r="403" spans="1:7" s="32" customFormat="1" ht="40.700000000000003" customHeight="1">
      <c r="A403" s="132"/>
      <c r="B403" s="676"/>
      <c r="C403" s="132"/>
      <c r="D403" s="1899"/>
      <c r="E403" s="1899"/>
      <c r="F403" s="1899"/>
      <c r="G403" s="30"/>
    </row>
    <row r="404" spans="1:7" s="32" customFormat="1">
      <c r="A404" s="132"/>
      <c r="B404" s="676"/>
      <c r="C404" s="132"/>
      <c r="D404" s="135"/>
      <c r="E404" s="135"/>
      <c r="F404" s="135"/>
      <c r="G404" s="30"/>
    </row>
    <row r="405" spans="1:7" ht="14.25">
      <c r="A405" s="261"/>
      <c r="B405" s="679" t="s">
        <v>316</v>
      </c>
      <c r="C405" s="266"/>
      <c r="D405" s="1912" t="s">
        <v>1320</v>
      </c>
      <c r="E405" s="1912"/>
      <c r="F405" s="1912"/>
    </row>
    <row r="406" spans="1:7">
      <c r="D406" s="1929" t="s">
        <v>1084</v>
      </c>
      <c r="E406" s="1929"/>
      <c r="F406" s="1929"/>
    </row>
    <row r="407" spans="1:7">
      <c r="D407" s="1913" t="s">
        <v>1321</v>
      </c>
      <c r="E407" s="1913"/>
      <c r="F407" s="1913"/>
    </row>
    <row r="408" spans="1:7">
      <c r="D408" s="1913"/>
      <c r="E408" s="1913"/>
      <c r="F408" s="1913"/>
    </row>
    <row r="409" spans="1:7">
      <c r="D409" s="1913"/>
      <c r="E409" s="1913"/>
      <c r="F409" s="1913"/>
    </row>
    <row r="410" spans="1:7">
      <c r="D410" s="1913"/>
      <c r="E410" s="1913"/>
      <c r="F410" s="1913"/>
    </row>
    <row r="411" spans="1:7">
      <c r="D411" s="135"/>
      <c r="E411" s="135"/>
      <c r="F411" s="135"/>
      <c r="G411" s="12"/>
    </row>
    <row r="412" spans="1:7" ht="14.25">
      <c r="A412" s="261"/>
      <c r="B412" s="679" t="s">
        <v>316</v>
      </c>
      <c r="C412" s="266"/>
      <c r="D412" s="1899" t="s">
        <v>1322</v>
      </c>
      <c r="E412" s="1899"/>
      <c r="F412" s="1899"/>
      <c r="G412" s="12"/>
    </row>
    <row r="413" spans="1:7">
      <c r="D413" s="1899"/>
      <c r="E413" s="1899"/>
      <c r="F413" s="1899"/>
      <c r="G413" s="12"/>
    </row>
    <row r="414" spans="1:7">
      <c r="D414" s="1899"/>
      <c r="E414" s="1899"/>
      <c r="F414" s="1899"/>
      <c r="G414" s="12"/>
    </row>
    <row r="415" spans="1:7" s="719" customFormat="1">
      <c r="A415" s="731"/>
      <c r="B415" s="731"/>
      <c r="C415" s="731"/>
      <c r="D415" s="728"/>
      <c r="E415" s="728"/>
      <c r="F415" s="728"/>
    </row>
    <row r="416" spans="1:7" ht="14.25">
      <c r="B416" s="679" t="s">
        <v>316</v>
      </c>
      <c r="C416" s="261"/>
      <c r="D416" s="1913" t="s">
        <v>1323</v>
      </c>
      <c r="E416" s="1913"/>
      <c r="F416" s="1913"/>
      <c r="G416" s="12"/>
    </row>
    <row r="417" spans="1:7">
      <c r="D417" s="1913"/>
      <c r="E417" s="1913"/>
      <c r="F417" s="1913"/>
      <c r="G417" s="12"/>
    </row>
    <row r="418" spans="1:7">
      <c r="D418" s="135"/>
      <c r="E418" s="135"/>
      <c r="F418" s="135"/>
      <c r="G418" s="12"/>
    </row>
    <row r="419" spans="1:7" ht="14.25">
      <c r="B419" s="679" t="s">
        <v>316</v>
      </c>
      <c r="C419" s="261"/>
      <c r="D419" s="1913" t="s">
        <v>1324</v>
      </c>
      <c r="E419" s="1913"/>
      <c r="F419" s="1913"/>
      <c r="G419" s="12"/>
    </row>
    <row r="420" spans="1:7">
      <c r="D420" s="1913"/>
      <c r="E420" s="1913"/>
      <c r="F420" s="1913"/>
      <c r="G420" s="12"/>
    </row>
    <row r="421" spans="1:7">
      <c r="D421" s="1913"/>
      <c r="E421" s="1913"/>
      <c r="F421" s="1913"/>
      <c r="G421" s="12"/>
    </row>
    <row r="422" spans="1:7">
      <c r="D422" s="1913"/>
      <c r="E422" s="1913"/>
      <c r="F422" s="1913"/>
      <c r="G422" s="12"/>
    </row>
    <row r="423" spans="1:7">
      <c r="B423" s="679" t="s">
        <v>316</v>
      </c>
      <c r="D423" s="1913"/>
      <c r="E423" s="1913"/>
      <c r="F423" s="1913"/>
      <c r="G423" s="12"/>
    </row>
    <row r="424" spans="1:7">
      <c r="A424" s="12"/>
      <c r="B424" s="12"/>
      <c r="C424" s="12"/>
      <c r="D424" s="1913"/>
      <c r="E424" s="1913"/>
      <c r="F424" s="1913"/>
      <c r="G424" s="12"/>
    </row>
    <row r="425" spans="1:7">
      <c r="A425" s="12"/>
      <c r="C425" s="12"/>
      <c r="D425" s="1913"/>
      <c r="E425" s="1913"/>
      <c r="F425" s="1913"/>
      <c r="G425" s="12"/>
    </row>
    <row r="426" spans="1:7">
      <c r="A426" s="12"/>
      <c r="B426" s="679" t="s">
        <v>316</v>
      </c>
      <c r="C426" s="12"/>
      <c r="D426" s="1913"/>
      <c r="E426" s="1913"/>
      <c r="F426" s="1913"/>
      <c r="G426" s="12"/>
    </row>
    <row r="427" spans="1:7">
      <c r="A427" s="12"/>
      <c r="B427" s="12"/>
      <c r="C427" s="12"/>
      <c r="D427" s="1913"/>
      <c r="E427" s="1913"/>
      <c r="F427" s="1913"/>
      <c r="G427" s="12"/>
    </row>
    <row r="428" spans="1:7">
      <c r="A428" s="12"/>
      <c r="C428" s="12"/>
      <c r="D428" s="1913"/>
      <c r="E428" s="1913"/>
      <c r="F428" s="1913"/>
      <c r="G428" s="12"/>
    </row>
    <row r="429" spans="1:7">
      <c r="A429" s="12"/>
      <c r="C429" s="12"/>
      <c r="D429" s="1913"/>
      <c r="E429" s="1913"/>
      <c r="F429" s="1913"/>
      <c r="G429" s="12"/>
    </row>
    <row r="430" spans="1:7">
      <c r="A430" s="12"/>
      <c r="B430" s="679" t="s">
        <v>316</v>
      </c>
      <c r="C430" s="12"/>
      <c r="D430" s="1913"/>
      <c r="E430" s="1913"/>
      <c r="F430" s="1913"/>
      <c r="G430" s="12"/>
    </row>
    <row r="431" spans="1:7">
      <c r="A431" s="12"/>
      <c r="B431" s="12"/>
      <c r="C431" s="12"/>
      <c r="D431" s="1913"/>
      <c r="E431" s="1913"/>
      <c r="F431" s="1913"/>
      <c r="G431" s="12"/>
    </row>
    <row r="432" spans="1:7">
      <c r="A432" s="12"/>
      <c r="B432" s="679" t="s">
        <v>316</v>
      </c>
      <c r="C432" s="12"/>
      <c r="D432" s="1913"/>
      <c r="E432" s="1913"/>
      <c r="F432" s="1913"/>
      <c r="G432" s="12"/>
    </row>
    <row r="433" spans="1:7" s="719" customFormat="1">
      <c r="D433" s="729"/>
      <c r="E433" s="729"/>
      <c r="F433" s="729"/>
    </row>
    <row r="434" spans="1:7">
      <c r="A434" s="12"/>
      <c r="B434" s="718" t="s">
        <v>316</v>
      </c>
      <c r="C434" s="12"/>
      <c r="D434" s="1913" t="s">
        <v>1325</v>
      </c>
      <c r="E434" s="1913"/>
      <c r="F434" s="1913"/>
      <c r="G434" s="12"/>
    </row>
    <row r="435" spans="1:7">
      <c r="A435" s="12"/>
      <c r="B435" s="12"/>
      <c r="C435" s="12"/>
      <c r="D435" s="1913"/>
      <c r="E435" s="1913"/>
      <c r="F435" s="1913"/>
      <c r="G435" s="12"/>
    </row>
    <row r="436" spans="1:7">
      <c r="A436" s="12"/>
      <c r="B436" s="12"/>
      <c r="C436" s="12"/>
      <c r="D436" s="1913"/>
      <c r="E436" s="1913"/>
      <c r="F436" s="1913"/>
      <c r="G436" s="12"/>
    </row>
    <row r="437" spans="1:7">
      <c r="A437" s="12"/>
      <c r="B437" s="12"/>
      <c r="C437" s="12"/>
      <c r="D437" s="1913"/>
      <c r="E437" s="1913"/>
      <c r="F437" s="1913"/>
      <c r="G437" s="12"/>
    </row>
    <row r="438" spans="1:7">
      <c r="D438" s="1913"/>
      <c r="E438" s="1913"/>
      <c r="F438" s="1913"/>
    </row>
    <row r="439" spans="1:7">
      <c r="D439" s="135"/>
      <c r="E439" s="135"/>
      <c r="F439" s="135"/>
    </row>
    <row r="440" spans="1:7">
      <c r="B440" s="679" t="s">
        <v>316</v>
      </c>
      <c r="D440" s="1914" t="s">
        <v>1326</v>
      </c>
      <c r="E440" s="1914"/>
      <c r="F440" s="1914"/>
    </row>
    <row r="441" spans="1:7">
      <c r="A441" s="135"/>
      <c r="B441" s="135"/>
    </row>
    <row r="442" spans="1:7">
      <c r="A442" s="1919" t="s">
        <v>1167</v>
      </c>
      <c r="B442" s="1919"/>
      <c r="C442" s="1919"/>
      <c r="D442" s="1919"/>
      <c r="E442" s="1919"/>
      <c r="F442" s="1919"/>
      <c r="G442" s="1919"/>
    </row>
    <row r="443" spans="1:7">
      <c r="A443" s="135"/>
      <c r="B443" s="135"/>
    </row>
    <row r="444" spans="1:7">
      <c r="D444" s="1915" t="s">
        <v>947</v>
      </c>
      <c r="E444" s="1915"/>
      <c r="F444" s="1915"/>
    </row>
    <row r="445" spans="1:7" s="39" customFormat="1" ht="14.25">
      <c r="A445" s="403"/>
      <c r="B445" s="403"/>
      <c r="C445" s="273"/>
      <c r="D445" s="1916" t="s">
        <v>1327</v>
      </c>
      <c r="E445" s="1916"/>
      <c r="F445" s="1916"/>
      <c r="G445" s="130"/>
    </row>
    <row r="446" spans="1:7" s="39" customFormat="1" ht="14.25">
      <c r="A446" s="403"/>
      <c r="B446" s="403"/>
      <c r="C446" s="273"/>
      <c r="D446" s="732"/>
      <c r="E446" s="6"/>
      <c r="F446" s="6"/>
      <c r="G446" s="130"/>
    </row>
    <row r="447" spans="1:7" s="39" customFormat="1" ht="14.25">
      <c r="A447" s="261"/>
      <c r="B447" s="679" t="s">
        <v>316</v>
      </c>
      <c r="C447" s="273"/>
      <c r="D447" s="1917" t="s">
        <v>1328</v>
      </c>
      <c r="E447" s="1917"/>
      <c r="F447" s="1917"/>
      <c r="G447" s="130"/>
    </row>
    <row r="448" spans="1:7" s="39" customFormat="1" ht="14.25">
      <c r="A448" s="261"/>
      <c r="B448" s="261"/>
      <c r="C448" s="273"/>
      <c r="D448" s="1917"/>
      <c r="E448" s="1917"/>
      <c r="F448" s="1917"/>
      <c r="G448" s="130"/>
    </row>
    <row r="449" spans="1:7" s="39" customFormat="1" ht="14.25">
      <c r="A449" s="261"/>
      <c r="B449" s="261"/>
      <c r="C449" s="273"/>
      <c r="D449" s="730"/>
      <c r="E449" s="6"/>
      <c r="F449" s="6"/>
      <c r="G449" s="130"/>
    </row>
    <row r="450" spans="1:7">
      <c r="B450" s="679" t="s">
        <v>316</v>
      </c>
      <c r="D450" s="1918" t="s">
        <v>1329</v>
      </c>
      <c r="E450" s="1918"/>
      <c r="F450" s="1918"/>
    </row>
    <row r="451" spans="1:7" ht="14.25">
      <c r="A451" s="261"/>
      <c r="D451" s="1918"/>
      <c r="E451" s="1918"/>
      <c r="F451" s="1918"/>
    </row>
    <row r="452" spans="1:7" ht="14.25">
      <c r="A452" s="261"/>
      <c r="B452" s="261"/>
      <c r="D452" s="1918"/>
      <c r="E452" s="1918"/>
      <c r="F452" s="1918"/>
    </row>
    <row r="453" spans="1:7" ht="14.25">
      <c r="A453" s="261"/>
      <c r="B453" s="261"/>
      <c r="D453" s="1918"/>
      <c r="E453" s="1918"/>
      <c r="F453" s="1918"/>
    </row>
    <row r="454" spans="1:7">
      <c r="D454" s="678"/>
      <c r="E454" s="678"/>
      <c r="F454" s="678"/>
      <c r="G454" s="12"/>
    </row>
    <row r="455" spans="1:7" ht="14.25">
      <c r="A455" s="261"/>
      <c r="B455" s="679" t="s">
        <v>316</v>
      </c>
      <c r="D455" s="1900" t="s">
        <v>1330</v>
      </c>
      <c r="E455" s="1900"/>
      <c r="F455" s="1900"/>
      <c r="G455" s="12"/>
    </row>
    <row r="456" spans="1:7" ht="14.25">
      <c r="A456" s="261"/>
      <c r="B456" s="261"/>
      <c r="D456" s="1900"/>
      <c r="E456" s="1900"/>
      <c r="F456" s="1900"/>
      <c r="G456" s="12"/>
    </row>
    <row r="457" spans="1:7" ht="14.25">
      <c r="A457" s="261"/>
      <c r="D457" s="1900"/>
      <c r="E457" s="1900"/>
      <c r="F457" s="1900"/>
      <c r="G457" s="12"/>
    </row>
    <row r="458" spans="1:7" ht="14.25">
      <c r="A458" s="261"/>
      <c r="B458" s="261"/>
      <c r="D458" s="678"/>
      <c r="E458" s="678"/>
      <c r="F458" s="678"/>
      <c r="G458" s="12"/>
    </row>
    <row r="459" spans="1:7" ht="14.25">
      <c r="A459" s="261"/>
      <c r="B459" s="718" t="s">
        <v>316</v>
      </c>
      <c r="D459" s="1912" t="s">
        <v>1331</v>
      </c>
      <c r="E459" s="1912"/>
      <c r="F459" s="1912"/>
      <c r="G459" s="12"/>
    </row>
    <row r="460" spans="1:7" ht="14.25">
      <c r="A460" s="261"/>
      <c r="B460" s="261"/>
      <c r="D460" s="730"/>
      <c r="E460" s="6"/>
      <c r="F460" s="6"/>
      <c r="G460" s="12"/>
    </row>
    <row r="461" spans="1:7" ht="14.25">
      <c r="A461" s="261"/>
      <c r="B461" s="679" t="s">
        <v>316</v>
      </c>
      <c r="D461" s="1899" t="s">
        <v>1332</v>
      </c>
      <c r="E461" s="1899"/>
      <c r="F461" s="1899"/>
      <c r="G461" s="12"/>
    </row>
    <row r="462" spans="1:7" ht="14.25">
      <c r="A462" s="261"/>
      <c r="D462" s="1899"/>
      <c r="E462" s="1899"/>
      <c r="F462" s="1899"/>
      <c r="G462" s="12"/>
    </row>
    <row r="463" spans="1:7">
      <c r="A463" s="23"/>
      <c r="B463" s="675"/>
      <c r="D463" s="733"/>
      <c r="E463" s="6"/>
      <c r="F463" s="6"/>
      <c r="G463" s="12"/>
    </row>
    <row r="464" spans="1:7">
      <c r="A464" s="23"/>
      <c r="B464" s="718" t="s">
        <v>316</v>
      </c>
      <c r="D464" s="1912" t="s">
        <v>1333</v>
      </c>
      <c r="E464" s="1912"/>
      <c r="F464" s="1912"/>
      <c r="G464" s="12"/>
    </row>
    <row r="465" spans="1:7" ht="14.25">
      <c r="A465" s="261"/>
      <c r="B465" s="261"/>
      <c r="D465" s="135"/>
    </row>
    <row r="466" spans="1:7">
      <c r="A466" s="1919" t="s">
        <v>1168</v>
      </c>
      <c r="B466" s="1919"/>
      <c r="C466" s="1919"/>
      <c r="D466" s="1919"/>
      <c r="E466" s="1919"/>
      <c r="F466" s="1919"/>
      <c r="G466" s="1919"/>
    </row>
    <row r="467" spans="1:7" customFormat="1" ht="12" customHeight="1">
      <c r="A467" s="261"/>
      <c r="B467" s="261"/>
      <c r="C467" s="10"/>
      <c r="D467" s="151"/>
      <c r="E467" s="149"/>
      <c r="F467" s="149"/>
      <c r="G467" s="149"/>
    </row>
    <row r="468" spans="1:7" customFormat="1">
      <c r="A468" s="273"/>
      <c r="B468" s="273"/>
      <c r="C468" s="312"/>
      <c r="D468" s="1920" t="s">
        <v>850</v>
      </c>
      <c r="E468" s="1920"/>
      <c r="F468" s="1920"/>
      <c r="G468" s="182"/>
    </row>
    <row r="469" spans="1:7" customFormat="1" ht="13.15" customHeight="1">
      <c r="A469" s="260"/>
      <c r="B469" s="260"/>
      <c r="C469" s="313"/>
      <c r="D469" s="1921" t="s">
        <v>1211</v>
      </c>
      <c r="E469" s="1921"/>
      <c r="F469" s="1921"/>
      <c r="G469" s="149"/>
    </row>
    <row r="470" spans="1:7" customFormat="1">
      <c r="A470" s="260"/>
      <c r="B470" s="260"/>
      <c r="C470" s="313"/>
      <c r="D470" s="1921"/>
      <c r="E470" s="1921"/>
      <c r="F470" s="1921"/>
      <c r="G470" s="149"/>
    </row>
    <row r="471" spans="1:7" customFormat="1">
      <c r="A471" s="260"/>
      <c r="B471" s="260"/>
      <c r="C471" s="313"/>
      <c r="D471" s="1921"/>
      <c r="E471" s="1921"/>
      <c r="F471" s="1921"/>
      <c r="G471" s="149"/>
    </row>
    <row r="472" spans="1:7" customFormat="1">
      <c r="A472" s="260"/>
      <c r="B472" s="260"/>
      <c r="C472" s="313"/>
      <c r="D472" s="1921"/>
      <c r="E472" s="1921"/>
      <c r="F472" s="1921"/>
      <c r="G472" s="149"/>
    </row>
    <row r="473" spans="1:7" customFormat="1">
      <c r="A473" s="260"/>
      <c r="B473" s="260"/>
      <c r="C473" s="313"/>
      <c r="D473" s="1921"/>
      <c r="E473" s="1921"/>
      <c r="F473" s="1921"/>
      <c r="G473" s="149"/>
    </row>
    <row r="474" spans="1:7" customFormat="1">
      <c r="A474" s="260"/>
      <c r="B474" s="260"/>
      <c r="C474" s="313"/>
      <c r="D474" s="471"/>
      <c r="E474" s="149"/>
      <c r="F474" s="151"/>
      <c r="G474" s="149"/>
    </row>
    <row r="475" spans="1:7" customFormat="1" ht="14.45" customHeight="1">
      <c r="A475" s="261"/>
      <c r="B475" s="679" t="s">
        <v>316</v>
      </c>
      <c r="C475" s="313"/>
      <c r="D475" s="1961" t="s">
        <v>1202</v>
      </c>
      <c r="E475" s="1961"/>
      <c r="F475" s="1961"/>
      <c r="G475" s="149"/>
    </row>
    <row r="476" spans="1:7" customFormat="1">
      <c r="A476" s="260"/>
      <c r="B476" s="260"/>
      <c r="C476" s="313"/>
      <c r="D476" s="1961"/>
      <c r="E476" s="1961"/>
      <c r="F476" s="1961"/>
      <c r="G476" s="149"/>
    </row>
    <row r="477" spans="1:7" s="680" customFormat="1">
      <c r="A477" s="260"/>
      <c r="B477" s="260"/>
      <c r="C477" s="313"/>
      <c r="D477" s="1961"/>
      <c r="E477" s="1961"/>
      <c r="F477" s="1961"/>
      <c r="G477" s="149"/>
    </row>
    <row r="478" spans="1:7" s="680" customFormat="1">
      <c r="A478" s="260"/>
      <c r="B478" s="260"/>
      <c r="C478" s="313"/>
      <c r="D478" s="1961"/>
      <c r="E478" s="1961"/>
      <c r="F478" s="1961"/>
      <c r="G478" s="149"/>
    </row>
    <row r="479" spans="1:7" customFormat="1">
      <c r="A479" s="260"/>
      <c r="B479" s="260"/>
      <c r="C479" s="313"/>
      <c r="D479" s="1961"/>
      <c r="E479" s="1961"/>
      <c r="F479" s="1961"/>
      <c r="G479" s="149"/>
    </row>
    <row r="480" spans="1:7" customFormat="1">
      <c r="A480" s="260"/>
      <c r="B480" s="260"/>
      <c r="C480" s="313"/>
      <c r="D480" s="443"/>
      <c r="E480" s="149"/>
      <c r="F480" s="151"/>
      <c r="G480" s="149"/>
    </row>
    <row r="481" spans="1:7" customFormat="1" ht="14.45" customHeight="1">
      <c r="A481" s="261"/>
      <c r="B481" s="679" t="s">
        <v>316</v>
      </c>
      <c r="C481" s="313"/>
      <c r="D481" s="1961" t="s">
        <v>1205</v>
      </c>
      <c r="E481" s="1961"/>
      <c r="F481" s="1961"/>
      <c r="G481" s="149"/>
    </row>
    <row r="482" spans="1:7" customFormat="1">
      <c r="A482" s="260"/>
      <c r="B482" s="260"/>
      <c r="C482" s="313"/>
      <c r="D482" s="1961"/>
      <c r="E482" s="1961"/>
      <c r="F482" s="1961"/>
      <c r="G482" s="149"/>
    </row>
    <row r="483" spans="1:7" s="680" customFormat="1">
      <c r="A483" s="260"/>
      <c r="B483" s="260"/>
      <c r="C483" s="313"/>
      <c r="D483" s="1961"/>
      <c r="E483" s="1961"/>
      <c r="F483" s="1961"/>
      <c r="G483" s="149"/>
    </row>
    <row r="484" spans="1:7" customFormat="1">
      <c r="A484" s="260"/>
      <c r="B484" s="260"/>
      <c r="C484" s="313"/>
      <c r="D484" s="1961"/>
      <c r="E484" s="1961"/>
      <c r="F484" s="1961"/>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61" t="s">
        <v>1203</v>
      </c>
      <c r="E486" s="1961"/>
      <c r="F486" s="1961"/>
      <c r="G486" s="149"/>
    </row>
    <row r="487" spans="1:7" customFormat="1">
      <c r="A487" s="260"/>
      <c r="B487" s="260"/>
      <c r="C487" s="313"/>
      <c r="D487" s="1961"/>
      <c r="E487" s="1961"/>
      <c r="F487" s="1961"/>
      <c r="G487" s="149"/>
    </row>
    <row r="488" spans="1:7" customFormat="1">
      <c r="A488" s="260"/>
      <c r="B488" s="260"/>
      <c r="C488" s="313"/>
      <c r="D488" s="1961"/>
      <c r="E488" s="1961"/>
      <c r="F488" s="1961"/>
      <c r="G488" s="149"/>
    </row>
    <row r="489" spans="1:7" s="680" customFormat="1">
      <c r="A489" s="260"/>
      <c r="B489" s="260"/>
      <c r="C489" s="313"/>
      <c r="D489" s="700"/>
      <c r="E489" s="700"/>
      <c r="F489" s="700"/>
      <c r="G489" s="149"/>
    </row>
    <row r="490" spans="1:7" customFormat="1" ht="14.45" customHeight="1">
      <c r="A490" s="261"/>
      <c r="B490" s="679" t="s">
        <v>316</v>
      </c>
      <c r="C490" s="313"/>
      <c r="D490" s="1961" t="s">
        <v>1204</v>
      </c>
      <c r="E490" s="1961"/>
      <c r="F490" s="1961"/>
      <c r="G490" s="149"/>
    </row>
    <row r="491" spans="1:7" customFormat="1">
      <c r="A491" s="260"/>
      <c r="B491" s="260"/>
      <c r="C491" s="313"/>
      <c r="D491" s="1961"/>
      <c r="E491" s="1961"/>
      <c r="F491" s="1961"/>
      <c r="G491" s="149"/>
    </row>
    <row r="492" spans="1:7" customFormat="1">
      <c r="A492" s="260"/>
      <c r="B492" s="260"/>
      <c r="C492" s="313"/>
      <c r="D492" s="1961"/>
      <c r="E492" s="1961"/>
      <c r="F492" s="1961"/>
      <c r="G492" s="149"/>
    </row>
    <row r="493" spans="1:7" customFormat="1">
      <c r="A493" s="260"/>
      <c r="B493" s="260"/>
      <c r="C493" s="313"/>
      <c r="D493" s="1961"/>
      <c r="E493" s="1961"/>
      <c r="F493" s="1961"/>
      <c r="G493" s="149"/>
    </row>
    <row r="494" spans="1:7" customFormat="1">
      <c r="A494" s="260"/>
      <c r="B494" s="260"/>
      <c r="C494" s="313"/>
      <c r="D494" s="1961"/>
      <c r="E494" s="1961"/>
      <c r="F494" s="1961"/>
      <c r="G494" s="149"/>
    </row>
    <row r="495" spans="1:7" customFormat="1">
      <c r="A495" s="260"/>
      <c r="B495" s="260"/>
      <c r="C495" s="313"/>
      <c r="D495" s="1961"/>
      <c r="E495" s="1961"/>
      <c r="F495" s="1961"/>
      <c r="G495" s="149"/>
    </row>
    <row r="496" spans="1:7" customFormat="1">
      <c r="A496" s="260"/>
      <c r="B496" s="260"/>
      <c r="C496" s="313"/>
      <c r="D496" s="1961"/>
      <c r="E496" s="1961"/>
      <c r="F496" s="1961"/>
      <c r="G496" s="149"/>
    </row>
    <row r="497" spans="1:7" customFormat="1">
      <c r="A497" s="487"/>
      <c r="B497" s="487"/>
      <c r="C497" s="486"/>
      <c r="D497" s="1961"/>
      <c r="E497" s="1961"/>
      <c r="F497" s="1961"/>
      <c r="G497" s="149"/>
    </row>
    <row r="498" spans="1:7" customFormat="1">
      <c r="A498" s="487"/>
      <c r="B498" s="487"/>
      <c r="C498" s="486"/>
      <c r="D498" s="1961"/>
      <c r="E498" s="1961"/>
      <c r="F498" s="1961"/>
      <c r="G498" s="149"/>
    </row>
    <row r="499" spans="1:7" customFormat="1">
      <c r="A499" s="487"/>
      <c r="B499" s="487"/>
      <c r="C499" s="486"/>
      <c r="D499" s="443"/>
      <c r="E499" s="149"/>
      <c r="F499" s="151"/>
      <c r="G499" s="149"/>
    </row>
    <row r="500" spans="1:7" customFormat="1" ht="13.15" customHeight="1">
      <c r="A500" s="487"/>
      <c r="B500" s="679" t="s">
        <v>316</v>
      </c>
      <c r="C500" s="486"/>
      <c r="D500" s="1911" t="s">
        <v>1348</v>
      </c>
      <c r="E500" s="1911"/>
      <c r="F500" s="1911"/>
      <c r="G500" s="149"/>
    </row>
    <row r="501" spans="1:7" customFormat="1">
      <c r="A501" s="487"/>
      <c r="B501" s="487"/>
      <c r="C501" s="486"/>
      <c r="D501" s="1911"/>
      <c r="E501" s="1911"/>
      <c r="F501" s="1911"/>
      <c r="G501" s="149"/>
    </row>
    <row r="502" spans="1:7" customFormat="1">
      <c r="A502" s="487"/>
      <c r="B502" s="487"/>
      <c r="C502" s="486"/>
      <c r="D502" s="1911"/>
      <c r="E502" s="1911"/>
      <c r="F502" s="1911"/>
      <c r="G502" s="149"/>
    </row>
    <row r="503" spans="1:7" customFormat="1">
      <c r="A503" s="487"/>
      <c r="B503" s="487"/>
      <c r="C503" s="486"/>
      <c r="D503" s="1911"/>
      <c r="E503" s="1911"/>
      <c r="F503" s="1911"/>
      <c r="G503" s="149"/>
    </row>
    <row r="504" spans="1:7" customFormat="1">
      <c r="A504" s="260"/>
      <c r="B504" s="260"/>
      <c r="C504" s="313"/>
      <c r="D504" s="1911"/>
      <c r="E504" s="1911"/>
      <c r="F504" s="1911"/>
      <c r="G504" s="149"/>
    </row>
    <row r="505" spans="1:7" s="717" customFormat="1">
      <c r="A505" s="720"/>
      <c r="B505" s="720"/>
      <c r="C505" s="313"/>
      <c r="D505" s="741"/>
      <c r="E505" s="741"/>
      <c r="F505" s="741"/>
      <c r="G505" s="149"/>
    </row>
    <row r="506" spans="1:7" customFormat="1" ht="14.45" customHeight="1">
      <c r="A506" s="261"/>
      <c r="B506" s="679" t="s">
        <v>316</v>
      </c>
      <c r="C506" s="10"/>
      <c r="D506" s="1961" t="s">
        <v>1206</v>
      </c>
      <c r="E506" s="1961"/>
      <c r="F506" s="1961"/>
      <c r="G506" s="149"/>
    </row>
    <row r="507" spans="1:7" customFormat="1">
      <c r="A507" s="132"/>
      <c r="B507" s="676"/>
      <c r="C507" s="10"/>
      <c r="D507" s="1961"/>
      <c r="E507" s="1961"/>
      <c r="F507" s="1961"/>
      <c r="G507" s="149"/>
    </row>
    <row r="508" spans="1:7" customFormat="1">
      <c r="A508" s="132"/>
      <c r="B508" s="676"/>
      <c r="C508" s="10"/>
      <c r="D508" s="1961"/>
      <c r="E508" s="1961"/>
      <c r="F508" s="1961"/>
      <c r="G508" s="149"/>
    </row>
    <row r="509" spans="1:7" customFormat="1" ht="12" customHeight="1">
      <c r="A509" s="135"/>
      <c r="B509" s="135"/>
      <c r="C509" s="315"/>
      <c r="D509" s="135"/>
      <c r="E509" s="149"/>
      <c r="F509" s="314"/>
      <c r="G509" s="149"/>
    </row>
    <row r="510" spans="1:7">
      <c r="A510" s="1919" t="s">
        <v>1169</v>
      </c>
      <c r="B510" s="1919"/>
      <c r="C510" s="1919"/>
      <c r="D510" s="1919"/>
      <c r="E510" s="1919"/>
      <c r="F510" s="1919"/>
      <c r="G510" s="1919"/>
    </row>
    <row r="511" spans="1:7">
      <c r="A511" s="135"/>
      <c r="B511" s="135"/>
      <c r="C511" s="266"/>
      <c r="F511" s="134"/>
    </row>
    <row r="512" spans="1:7">
      <c r="B512" s="1947" t="s">
        <v>469</v>
      </c>
      <c r="C512" s="1947"/>
      <c r="D512" s="1947"/>
      <c r="E512" s="1947"/>
      <c r="F512" s="1947"/>
    </row>
    <row r="513" spans="1:7">
      <c r="A513" s="135"/>
      <c r="B513" s="135"/>
      <c r="C513" s="266"/>
      <c r="D513" s="135"/>
      <c r="F513" s="135"/>
    </row>
    <row r="514" spans="1:7">
      <c r="A514" s="1969" t="s">
        <v>1170</v>
      </c>
      <c r="B514" s="1969"/>
      <c r="C514" s="1969"/>
      <c r="D514" s="1969"/>
      <c r="E514" s="1969"/>
      <c r="F514" s="1969"/>
      <c r="G514" s="1969"/>
    </row>
    <row r="515" spans="1:7">
      <c r="A515" s="135"/>
      <c r="B515" s="135"/>
      <c r="C515" s="266"/>
      <c r="D515" s="135"/>
      <c r="F515" s="135"/>
    </row>
    <row r="516" spans="1:7">
      <c r="C516" s="266"/>
      <c r="D516" s="1922" t="s">
        <v>719</v>
      </c>
      <c r="E516" s="1922"/>
      <c r="F516" s="1922"/>
    </row>
    <row r="517" spans="1:7" s="682" customFormat="1">
      <c r="A517" s="699"/>
      <c r="B517" s="699"/>
      <c r="C517" s="266"/>
      <c r="D517" s="1912" t="s">
        <v>1227</v>
      </c>
      <c r="E517" s="1912"/>
      <c r="F517" s="1912"/>
      <c r="G517" s="7"/>
    </row>
    <row r="518" spans="1:7" s="682" customFormat="1">
      <c r="A518" s="699"/>
      <c r="B518" s="699"/>
      <c r="C518" s="266"/>
      <c r="D518" s="704"/>
      <c r="E518" s="704"/>
      <c r="F518" s="704"/>
      <c r="G518" s="7"/>
    </row>
    <row r="519" spans="1:7" ht="13.15" customHeight="1">
      <c r="A519" s="261"/>
      <c r="B519" s="679" t="s">
        <v>316</v>
      </c>
      <c r="C519" s="266"/>
      <c r="D519" s="1912" t="s">
        <v>948</v>
      </c>
      <c r="E519" s="1912"/>
      <c r="F519" s="1912"/>
      <c r="G519" s="12"/>
    </row>
    <row r="520" spans="1:7" ht="13.15" customHeight="1">
      <c r="A520" s="266"/>
      <c r="B520" s="266"/>
      <c r="C520" s="266"/>
      <c r="D520" s="704"/>
      <c r="E520" s="677"/>
      <c r="F520" s="677"/>
      <c r="G520" s="12"/>
    </row>
    <row r="521" spans="1:7" ht="14.25">
      <c r="A521" s="261"/>
      <c r="B521" s="679" t="s">
        <v>316</v>
      </c>
      <c r="C521" s="266"/>
      <c r="D521" s="1899" t="s">
        <v>1228</v>
      </c>
      <c r="E521" s="1899"/>
      <c r="F521" s="1899"/>
      <c r="G521" s="12"/>
    </row>
    <row r="522" spans="1:7">
      <c r="A522" s="266"/>
      <c r="B522" s="266"/>
      <c r="C522" s="266"/>
      <c r="D522" s="1899"/>
      <c r="E522" s="1899"/>
      <c r="F522" s="1899"/>
      <c r="G522" s="12"/>
    </row>
    <row r="523" spans="1:7">
      <c r="A523" s="266"/>
      <c r="B523" s="266"/>
      <c r="C523" s="266"/>
      <c r="D523" s="135"/>
      <c r="E523" s="135"/>
      <c r="F523" s="135"/>
      <c r="G523" s="12"/>
    </row>
    <row r="524" spans="1:7" ht="14.25">
      <c r="A524" s="261"/>
      <c r="B524" s="679" t="s">
        <v>316</v>
      </c>
      <c r="C524" s="266"/>
      <c r="D524" s="1899" t="s">
        <v>1229</v>
      </c>
      <c r="E524" s="1899"/>
      <c r="F524" s="1899"/>
      <c r="G524" s="12"/>
    </row>
    <row r="525" spans="1:7">
      <c r="A525" s="266"/>
      <c r="B525" s="266"/>
      <c r="C525" s="266"/>
      <c r="D525" s="1899"/>
      <c r="E525" s="1899"/>
      <c r="F525" s="1899"/>
      <c r="G525" s="12"/>
    </row>
    <row r="526" spans="1:7">
      <c r="A526" s="266"/>
      <c r="B526" s="266"/>
      <c r="C526" s="266"/>
      <c r="D526" s="135"/>
      <c r="E526" s="135"/>
      <c r="F526" s="135"/>
      <c r="G526" s="12"/>
    </row>
    <row r="527" spans="1:7" ht="14.25">
      <c r="A527" s="261"/>
      <c r="B527" s="679" t="s">
        <v>316</v>
      </c>
      <c r="C527" s="266"/>
      <c r="D527" s="1899" t="s">
        <v>1230</v>
      </c>
      <c r="E527" s="1899"/>
      <c r="F527" s="1899"/>
      <c r="G527" s="12"/>
    </row>
    <row r="528" spans="1:7">
      <c r="A528" s="266"/>
      <c r="B528" s="266"/>
      <c r="C528" s="266"/>
      <c r="D528" s="1899"/>
      <c r="E528" s="1899"/>
      <c r="F528" s="1899"/>
      <c r="G528" s="12"/>
    </row>
    <row r="529" spans="1:7">
      <c r="A529" s="266"/>
      <c r="B529" s="266"/>
      <c r="C529" s="266"/>
      <c r="D529" s="135"/>
      <c r="E529" s="135"/>
      <c r="F529" s="135"/>
      <c r="G529" s="12"/>
    </row>
    <row r="530" spans="1:7" ht="14.25">
      <c r="A530" s="261"/>
      <c r="B530" s="679" t="s">
        <v>316</v>
      </c>
      <c r="C530" s="266"/>
      <c r="D530" s="1899" t="s">
        <v>1231</v>
      </c>
      <c r="E530" s="1899"/>
      <c r="F530" s="1899"/>
      <c r="G530" s="12"/>
    </row>
    <row r="531" spans="1:7">
      <c r="A531" s="266"/>
      <c r="B531" s="266"/>
      <c r="C531" s="266"/>
      <c r="D531" s="1899"/>
      <c r="E531" s="1899"/>
      <c r="F531" s="1899"/>
      <c r="G531" s="12"/>
    </row>
    <row r="532" spans="1:7">
      <c r="A532" s="266"/>
      <c r="B532" s="266"/>
      <c r="C532" s="266"/>
      <c r="D532" s="1899"/>
      <c r="E532" s="1899"/>
      <c r="F532" s="1899"/>
      <c r="G532" s="12"/>
    </row>
    <row r="533" spans="1:7">
      <c r="A533" s="266"/>
      <c r="B533" s="266"/>
      <c r="C533" s="266"/>
      <c r="D533" s="135"/>
      <c r="E533" s="135"/>
      <c r="F533" s="135"/>
    </row>
    <row r="534" spans="1:7" ht="14.25">
      <c r="A534" s="261"/>
      <c r="B534" s="679" t="s">
        <v>316</v>
      </c>
      <c r="C534" s="266"/>
      <c r="D534" s="1934" t="s">
        <v>1349</v>
      </c>
      <c r="E534" s="1934"/>
      <c r="F534" s="1934"/>
    </row>
    <row r="535" spans="1:7">
      <c r="A535" s="266"/>
      <c r="B535" s="266"/>
      <c r="C535" s="266"/>
      <c r="D535" s="1934"/>
      <c r="E535" s="1934"/>
      <c r="F535" s="1934"/>
    </row>
    <row r="536" spans="1:7">
      <c r="A536" s="266"/>
      <c r="B536" s="266"/>
      <c r="C536" s="266"/>
      <c r="D536" s="135"/>
      <c r="E536" s="135"/>
      <c r="F536" s="135"/>
    </row>
    <row r="537" spans="1:7" ht="14.25">
      <c r="A537" s="261"/>
      <c r="B537" s="679" t="s">
        <v>316</v>
      </c>
      <c r="C537" s="266"/>
      <c r="D537" s="1934" t="s">
        <v>1232</v>
      </c>
      <c r="E537" s="1934"/>
      <c r="F537" s="1934"/>
    </row>
    <row r="538" spans="1:7">
      <c r="A538" s="266"/>
      <c r="B538" s="266"/>
      <c r="C538" s="266"/>
      <c r="D538" s="1934"/>
      <c r="E538" s="1934"/>
      <c r="F538" s="1934"/>
    </row>
    <row r="539" spans="1:7">
      <c r="A539" s="266"/>
      <c r="B539" s="266"/>
      <c r="C539" s="266"/>
      <c r="D539" s="135"/>
      <c r="E539" s="135"/>
      <c r="F539" s="135"/>
    </row>
    <row r="540" spans="1:7" ht="14.25">
      <c r="A540" s="261"/>
      <c r="B540" s="679" t="s">
        <v>316</v>
      </c>
      <c r="C540" s="266"/>
      <c r="D540" s="1899" t="s">
        <v>1233</v>
      </c>
      <c r="E540" s="1899"/>
      <c r="F540" s="1899"/>
    </row>
    <row r="541" spans="1:7">
      <c r="A541" s="266"/>
      <c r="B541" s="266"/>
      <c r="C541" s="266"/>
      <c r="D541" s="1899"/>
      <c r="E541" s="1899"/>
      <c r="F541" s="1899"/>
      <c r="G541" s="57"/>
    </row>
    <row r="542" spans="1:7">
      <c r="A542" s="266"/>
      <c r="B542" s="266"/>
      <c r="C542" s="266"/>
      <c r="D542" s="135"/>
      <c r="E542" s="135"/>
      <c r="F542" s="135"/>
      <c r="G542" s="57"/>
    </row>
    <row r="543" spans="1:7" ht="14.25">
      <c r="A543" s="261"/>
      <c r="B543" s="679" t="s">
        <v>316</v>
      </c>
      <c r="C543" s="266"/>
      <c r="D543" s="1912" t="s">
        <v>1234</v>
      </c>
      <c r="E543" s="1912"/>
      <c r="F543" s="1912"/>
      <c r="G543" s="57"/>
    </row>
    <row r="544" spans="1:7">
      <c r="A544" s="23"/>
      <c r="B544" s="675"/>
      <c r="C544" s="266"/>
      <c r="D544" s="1912" t="s">
        <v>880</v>
      </c>
      <c r="E544" s="1912"/>
      <c r="F544" s="1912"/>
      <c r="G544" s="57"/>
    </row>
    <row r="545" spans="1:7">
      <c r="A545" s="23"/>
      <c r="B545" s="675"/>
      <c r="C545" s="266"/>
      <c r="D545" s="6"/>
      <c r="E545" s="1930" t="s">
        <v>1235</v>
      </c>
      <c r="F545" s="1930"/>
      <c r="G545" s="57"/>
    </row>
    <row r="546" spans="1:7" ht="14.25">
      <c r="A546" s="261"/>
      <c r="B546" s="261"/>
      <c r="C546" s="266"/>
      <c r="E546" s="135"/>
      <c r="F546" s="135"/>
      <c r="G546" s="57"/>
    </row>
    <row r="547" spans="1:7" ht="14.25">
      <c r="A547" s="261"/>
      <c r="B547" s="679" t="s">
        <v>316</v>
      </c>
      <c r="C547" s="266"/>
      <c r="D547" s="1974" t="s">
        <v>1236</v>
      </c>
      <c r="E547" s="1974"/>
      <c r="F547" s="1974"/>
      <c r="G547" s="57"/>
    </row>
    <row r="548" spans="1:7">
      <c r="C548" s="266"/>
      <c r="D548" s="1899" t="s">
        <v>1237</v>
      </c>
      <c r="E548" s="1899"/>
      <c r="F548" s="1899"/>
      <c r="G548" s="57"/>
    </row>
    <row r="549" spans="1:7">
      <c r="A549" s="266"/>
      <c r="B549" s="266"/>
      <c r="C549" s="266"/>
      <c r="D549" s="1899"/>
      <c r="E549" s="1899"/>
      <c r="F549" s="1899"/>
      <c r="G549" s="57"/>
    </row>
    <row r="550" spans="1:7">
      <c r="A550" s="266"/>
      <c r="B550" s="266"/>
      <c r="C550" s="266"/>
      <c r="D550" s="1899"/>
      <c r="E550" s="1899"/>
      <c r="F550" s="1899"/>
      <c r="G550" s="57"/>
    </row>
    <row r="551" spans="1:7">
      <c r="A551" s="266"/>
      <c r="B551" s="266"/>
      <c r="C551" s="266"/>
      <c r="D551" s="135"/>
      <c r="E551" s="135"/>
      <c r="F551" s="135"/>
      <c r="G551" s="57"/>
    </row>
    <row r="552" spans="1:7" ht="14.25">
      <c r="A552" s="261"/>
      <c r="B552" s="679" t="s">
        <v>316</v>
      </c>
      <c r="C552" s="266"/>
      <c r="D552" s="1899" t="s">
        <v>1238</v>
      </c>
      <c r="E552" s="1899"/>
      <c r="F552" s="1899"/>
      <c r="G552" s="57"/>
    </row>
    <row r="553" spans="1:7" ht="14.25">
      <c r="A553" s="261"/>
      <c r="B553" s="261"/>
      <c r="C553" s="266"/>
      <c r="D553" s="1899"/>
      <c r="E553" s="1899"/>
      <c r="F553" s="1899"/>
      <c r="G553" s="57"/>
    </row>
    <row r="554" spans="1:7" ht="14.25">
      <c r="A554" s="261"/>
      <c r="B554" s="261"/>
      <c r="C554" s="266"/>
      <c r="D554" s="1899"/>
      <c r="E554" s="1899"/>
      <c r="F554" s="1899"/>
      <c r="G554" s="57"/>
    </row>
    <row r="555" spans="1:7" ht="14.25">
      <c r="A555" s="261"/>
      <c r="B555" s="261"/>
      <c r="C555" s="266"/>
      <c r="D555" s="1899"/>
      <c r="E555" s="1899"/>
      <c r="F555" s="1899"/>
      <c r="G555" s="57"/>
    </row>
    <row r="556" spans="1:7" ht="14.25">
      <c r="A556" s="261"/>
      <c r="B556" s="261"/>
      <c r="C556" s="266"/>
      <c r="D556" s="135"/>
      <c r="E556" s="135"/>
      <c r="F556" s="135"/>
      <c r="G556" s="57"/>
    </row>
    <row r="557" spans="1:7">
      <c r="A557" s="1919" t="s">
        <v>1171</v>
      </c>
      <c r="B557" s="1919"/>
      <c r="C557" s="1919"/>
      <c r="D557" s="1919"/>
      <c r="E557" s="1919"/>
      <c r="F557" s="1919"/>
      <c r="G557" s="1919"/>
    </row>
    <row r="558" spans="1:7">
      <c r="A558" s="266"/>
      <c r="B558" s="266"/>
      <c r="C558" s="266"/>
      <c r="E558" s="135"/>
      <c r="F558" s="135"/>
      <c r="G558" s="57"/>
    </row>
    <row r="559" spans="1:7" ht="12.75" customHeight="1">
      <c r="C559" s="255"/>
      <c r="D559" s="1948" t="s">
        <v>216</v>
      </c>
      <c r="E559" s="1948"/>
      <c r="F559" s="1948"/>
      <c r="G559" s="57"/>
    </row>
    <row r="560" spans="1:7">
      <c r="A560" s="260"/>
      <c r="B560" s="260"/>
      <c r="C560" s="260"/>
      <c r="D560" s="1942" t="s">
        <v>1187</v>
      </c>
      <c r="E560" s="1942"/>
      <c r="F560" s="1942"/>
      <c r="G560" s="57"/>
    </row>
    <row r="561" spans="1:7">
      <c r="A561" s="12"/>
      <c r="B561" s="12"/>
      <c r="C561" s="260"/>
      <c r="D561" s="377"/>
      <c r="G561" s="57"/>
    </row>
    <row r="562" spans="1:7">
      <c r="A562" s="260"/>
      <c r="B562" s="679" t="s">
        <v>316</v>
      </c>
      <c r="D562" s="1942" t="s">
        <v>954</v>
      </c>
      <c r="E562" s="1942"/>
      <c r="F562" s="1942"/>
      <c r="G562" s="57"/>
    </row>
    <row r="563" spans="1:7">
      <c r="A563" s="23"/>
      <c r="B563" s="675"/>
      <c r="D563" s="325"/>
    </row>
    <row r="564" spans="1:7">
      <c r="A564" s="23"/>
      <c r="B564" s="679" t="s">
        <v>316</v>
      </c>
      <c r="D564" s="1918" t="s">
        <v>1188</v>
      </c>
      <c r="E564" s="1918"/>
      <c r="F564" s="1918"/>
    </row>
    <row r="565" spans="1:7">
      <c r="A565" s="23"/>
      <c r="B565" s="675"/>
      <c r="D565" s="1918"/>
      <c r="E565" s="1918"/>
      <c r="F565" s="1918"/>
    </row>
    <row r="566" spans="1:7">
      <c r="A566" s="23"/>
      <c r="B566" s="688"/>
      <c r="D566" s="1918"/>
      <c r="E566" s="1918"/>
      <c r="F566" s="1918"/>
    </row>
    <row r="567" spans="1:7">
      <c r="A567" s="23"/>
      <c r="B567" s="675"/>
      <c r="D567" s="478"/>
    </row>
    <row r="568" spans="1:7" s="682" customFormat="1">
      <c r="A568" s="688"/>
      <c r="B568" s="679" t="s">
        <v>316</v>
      </c>
      <c r="C568" s="689"/>
      <c r="D568" s="1918" t="s">
        <v>1189</v>
      </c>
      <c r="E568" s="1918"/>
      <c r="F568" s="1918"/>
      <c r="G568" s="7"/>
    </row>
    <row r="569" spans="1:7" s="682" customFormat="1">
      <c r="A569" s="688"/>
      <c r="B569" s="688"/>
      <c r="C569" s="689"/>
      <c r="D569" s="1918"/>
      <c r="E569" s="1918"/>
      <c r="F569" s="1918"/>
      <c r="G569" s="7"/>
    </row>
    <row r="570" spans="1:7" s="682" customFormat="1">
      <c r="A570" s="688"/>
      <c r="B570" s="688"/>
      <c r="C570" s="689"/>
      <c r="D570" s="1918"/>
      <c r="E570" s="1918"/>
      <c r="F570" s="1918"/>
      <c r="G570" s="7"/>
    </row>
    <row r="571" spans="1:7" s="682" customFormat="1">
      <c r="A571" s="688"/>
      <c r="B571" s="688"/>
      <c r="C571" s="689"/>
      <c r="D571" s="1918"/>
      <c r="E571" s="1918"/>
      <c r="F571" s="1918"/>
      <c r="G571" s="7"/>
    </row>
    <row r="572" spans="1:7" s="682" customFormat="1">
      <c r="A572" s="688"/>
      <c r="B572" s="688"/>
      <c r="C572" s="689"/>
      <c r="D572" s="694"/>
      <c r="E572" s="694"/>
      <c r="F572" s="694"/>
      <c r="G572" s="7"/>
    </row>
    <row r="573" spans="1:7">
      <c r="A573" s="23"/>
      <c r="B573" s="679" t="s">
        <v>316</v>
      </c>
      <c r="D573" s="1918" t="s">
        <v>1190</v>
      </c>
      <c r="E573" s="1918"/>
      <c r="F573" s="1918"/>
    </row>
    <row r="574" spans="1:7">
      <c r="A574" s="23"/>
      <c r="B574" s="675"/>
      <c r="D574" s="1918"/>
      <c r="E574" s="1918"/>
      <c r="F574" s="1918"/>
    </row>
    <row r="575" spans="1:7">
      <c r="A575" s="23"/>
      <c r="B575" s="675"/>
      <c r="D575" s="377"/>
    </row>
    <row r="576" spans="1:7" s="682" customFormat="1">
      <c r="A576" s="688"/>
      <c r="B576" s="679" t="s">
        <v>316</v>
      </c>
      <c r="C576" s="689"/>
      <c r="D576" s="1942" t="s">
        <v>1191</v>
      </c>
      <c r="E576" s="1942"/>
      <c r="F576" s="1942"/>
      <c r="G576" s="7"/>
    </row>
    <row r="577" spans="1:7" s="682" customFormat="1">
      <c r="A577" s="688"/>
      <c r="B577" s="688"/>
      <c r="C577" s="689"/>
      <c r="D577" s="1942"/>
      <c r="E577" s="1942"/>
      <c r="F577" s="1942"/>
      <c r="G577" s="7"/>
    </row>
    <row r="578" spans="1:7" s="682" customFormat="1">
      <c r="A578" s="688"/>
      <c r="B578" s="688"/>
      <c r="C578" s="689"/>
      <c r="D578" s="377"/>
      <c r="E578" s="7"/>
      <c r="F578" s="7"/>
      <c r="G578" s="7"/>
    </row>
    <row r="579" spans="1:7" ht="14.25">
      <c r="A579" s="261"/>
      <c r="B579" s="679" t="s">
        <v>316</v>
      </c>
      <c r="D579" s="1942" t="s">
        <v>949</v>
      </c>
      <c r="E579" s="1942"/>
      <c r="F579" s="1942"/>
    </row>
    <row r="580" spans="1:7" ht="14.25">
      <c r="A580" s="261"/>
      <c r="B580" s="261"/>
      <c r="D580" s="377"/>
    </row>
    <row r="581" spans="1:7" ht="14.25">
      <c r="A581" s="261"/>
      <c r="B581" s="679" t="s">
        <v>316</v>
      </c>
      <c r="D581" s="1942" t="s">
        <v>1192</v>
      </c>
      <c r="E581" s="1942"/>
      <c r="F581" s="1942"/>
    </row>
    <row r="582" spans="1:7" ht="14.25">
      <c r="A582" s="261"/>
      <c r="B582" s="261"/>
      <c r="D582" s="1942"/>
      <c r="E582" s="1942"/>
      <c r="F582" s="1942"/>
    </row>
    <row r="583" spans="1:7">
      <c r="D583" s="1942"/>
      <c r="E583" s="1942"/>
      <c r="F583" s="1942"/>
    </row>
    <row r="584" spans="1:7">
      <c r="D584" s="1942"/>
      <c r="E584" s="1942"/>
      <c r="F584" s="1942"/>
    </row>
    <row r="585" spans="1:7" s="682" customFormat="1">
      <c r="A585" s="689"/>
      <c r="B585" s="689"/>
      <c r="C585" s="689"/>
      <c r="D585" s="1942"/>
      <c r="E585" s="1942"/>
      <c r="F585" s="1942"/>
      <c r="G585" s="7"/>
    </row>
    <row r="586" spans="1:7" s="682" customFormat="1">
      <c r="A586" s="689"/>
      <c r="B586" s="689"/>
      <c r="C586" s="689"/>
      <c r="D586" s="1942"/>
      <c r="E586" s="1942"/>
      <c r="F586" s="1942"/>
      <c r="G586" s="7"/>
    </row>
    <row r="587" spans="1:7"/>
    <row r="588" spans="1:7">
      <c r="A588" s="1919" t="s">
        <v>1172</v>
      </c>
      <c r="B588" s="1919"/>
      <c r="C588" s="1919"/>
      <c r="D588" s="1919"/>
      <c r="E588" s="1919"/>
      <c r="F588" s="1919"/>
      <c r="G588" s="1919"/>
    </row>
    <row r="589" spans="1:7"/>
    <row r="590" spans="1:7">
      <c r="D590" s="1936" t="s">
        <v>1272</v>
      </c>
      <c r="E590" s="1936"/>
      <c r="F590" s="1936"/>
    </row>
    <row r="591" spans="1:7">
      <c r="D591" s="1975" t="s">
        <v>1273</v>
      </c>
      <c r="E591" s="1975"/>
      <c r="F591" s="1975"/>
    </row>
    <row r="592" spans="1:7" s="719" customFormat="1">
      <c r="A592" s="705"/>
      <c r="B592" s="705"/>
      <c r="C592" s="705"/>
      <c r="D592" s="723"/>
      <c r="E592" s="722"/>
      <c r="F592" s="722"/>
      <c r="G592" s="7"/>
    </row>
    <row r="593" spans="1:7" s="39" customFormat="1" ht="14.25">
      <c r="A593" s="403"/>
      <c r="B593" s="679" t="s">
        <v>316</v>
      </c>
      <c r="C593" s="273"/>
      <c r="D593" s="1938" t="s">
        <v>1274</v>
      </c>
      <c r="E593" s="1938"/>
      <c r="F593" s="1938"/>
      <c r="G593" s="130"/>
    </row>
    <row r="594" spans="1:7">
      <c r="D594" s="1938"/>
      <c r="E594" s="1938"/>
      <c r="F594" s="1938"/>
    </row>
    <row r="595" spans="1:7">
      <c r="D595" s="1938"/>
      <c r="E595" s="1938"/>
      <c r="F595" s="1938"/>
    </row>
    <row r="596" spans="1:7"/>
    <row r="597" spans="1:7">
      <c r="A597" s="1919" t="s">
        <v>1173</v>
      </c>
      <c r="B597" s="1919"/>
      <c r="C597" s="1919"/>
      <c r="D597" s="1919"/>
      <c r="E597" s="1919"/>
      <c r="F597" s="1919"/>
      <c r="G597" s="1919"/>
    </row>
    <row r="598" spans="1:7">
      <c r="A598" s="135"/>
      <c r="B598" s="135"/>
      <c r="G598" s="57"/>
    </row>
    <row r="599" spans="1:7">
      <c r="A599" s="257"/>
      <c r="B599" s="674"/>
      <c r="C599" s="255"/>
      <c r="D599" s="1976" t="s">
        <v>1275</v>
      </c>
      <c r="E599" s="1976"/>
      <c r="F599" s="1976"/>
      <c r="G599" s="57"/>
    </row>
    <row r="600" spans="1:7">
      <c r="A600" s="257"/>
      <c r="B600" s="674"/>
      <c r="C600" s="255"/>
      <c r="D600" s="1976"/>
      <c r="E600" s="1976"/>
      <c r="F600" s="1976"/>
      <c r="G600" s="57"/>
    </row>
    <row r="601" spans="1:7">
      <c r="C601" s="260"/>
      <c r="D601" s="1975" t="s">
        <v>1276</v>
      </c>
      <c r="E601" s="1975"/>
      <c r="F601" s="1975"/>
      <c r="G601" s="57"/>
    </row>
    <row r="602" spans="1:7" s="719" customFormat="1">
      <c r="A602" s="705"/>
      <c r="B602" s="705"/>
      <c r="C602" s="720"/>
      <c r="D602" s="724"/>
      <c r="E602" s="724"/>
      <c r="F602" s="724"/>
      <c r="G602" s="57"/>
    </row>
    <row r="603" spans="1:7">
      <c r="A603" s="23"/>
      <c r="B603" s="679" t="s">
        <v>316</v>
      </c>
      <c r="D603" s="1975" t="s">
        <v>452</v>
      </c>
      <c r="E603" s="1975"/>
      <c r="F603" s="1975"/>
      <c r="G603" s="57"/>
    </row>
    <row r="604" spans="1:7">
      <c r="C604" s="268"/>
      <c r="E604" s="12"/>
      <c r="G604" s="57"/>
    </row>
    <row r="605" spans="1:7">
      <c r="A605" s="23"/>
      <c r="B605" s="679" t="s">
        <v>316</v>
      </c>
      <c r="D605" s="1935" t="s">
        <v>1277</v>
      </c>
      <c r="E605" s="1935"/>
      <c r="F605" s="1935"/>
      <c r="G605" s="57"/>
    </row>
    <row r="606" spans="1:7">
      <c r="D606" s="1935"/>
      <c r="E606" s="1935"/>
      <c r="F606" s="1935"/>
      <c r="G606" s="57"/>
    </row>
    <row r="607" spans="1:7">
      <c r="D607" s="12"/>
      <c r="G607" s="57"/>
    </row>
    <row r="608" spans="1:7">
      <c r="B608" s="679" t="s">
        <v>316</v>
      </c>
      <c r="D608" s="1935" t="s">
        <v>1278</v>
      </c>
      <c r="E608" s="1935"/>
      <c r="F608" s="1935"/>
      <c r="G608" s="57"/>
    </row>
    <row r="609" spans="1:7">
      <c r="C609" s="268"/>
      <c r="D609" s="1935"/>
      <c r="E609" s="1935"/>
      <c r="F609" s="1935"/>
      <c r="G609" s="57"/>
    </row>
    <row r="610" spans="1:7">
      <c r="C610" s="268"/>
      <c r="G610" s="57"/>
    </row>
    <row r="611" spans="1:7">
      <c r="B611" s="679" t="s">
        <v>316</v>
      </c>
      <c r="C611" s="268"/>
      <c r="D611" s="1935" t="s">
        <v>1279</v>
      </c>
      <c r="E611" s="1935"/>
      <c r="F611" s="1935"/>
      <c r="G611" s="57"/>
    </row>
    <row r="612" spans="1:7">
      <c r="C612" s="268"/>
      <c r="D612" s="1935"/>
      <c r="E612" s="1935"/>
      <c r="F612" s="1935"/>
      <c r="G612" s="57"/>
    </row>
    <row r="613" spans="1:7">
      <c r="C613" s="268"/>
      <c r="G613" s="57"/>
    </row>
    <row r="614" spans="1:7">
      <c r="A614" s="1919" t="s">
        <v>1174</v>
      </c>
      <c r="B614" s="1919"/>
      <c r="C614" s="1919"/>
      <c r="D614" s="1919"/>
      <c r="E614" s="1919"/>
      <c r="F614" s="1919"/>
      <c r="G614" s="1919"/>
    </row>
    <row r="615" spans="1:7">
      <c r="A615" s="267"/>
      <c r="B615" s="267"/>
      <c r="C615" s="267"/>
      <c r="G615" s="57"/>
    </row>
    <row r="616" spans="1:7">
      <c r="C616" s="23"/>
      <c r="D616" s="1936" t="s">
        <v>1280</v>
      </c>
      <c r="E616" s="1936"/>
      <c r="F616" s="1936"/>
      <c r="G616" s="57"/>
    </row>
    <row r="617" spans="1:7">
      <c r="A617" s="23"/>
      <c r="B617" s="675"/>
      <c r="C617" s="265"/>
      <c r="D617" s="50"/>
      <c r="G617" s="57"/>
    </row>
    <row r="618" spans="1:7" ht="14.25">
      <c r="A618" s="261"/>
      <c r="B618" s="679" t="s">
        <v>316</v>
      </c>
      <c r="C618" s="265"/>
      <c r="D618" s="1937" t="s">
        <v>1281</v>
      </c>
      <c r="E618" s="1937"/>
      <c r="F618" s="1937"/>
      <c r="G618" s="57"/>
    </row>
    <row r="619" spans="1:7">
      <c r="C619" s="265"/>
      <c r="D619" s="1937"/>
      <c r="E619" s="1937"/>
      <c r="F619" s="1937"/>
      <c r="G619" s="57"/>
    </row>
    <row r="620" spans="1:7">
      <c r="C620" s="265"/>
      <c r="D620" s="1937"/>
      <c r="E620" s="1937"/>
      <c r="F620" s="1937"/>
      <c r="G620" s="57"/>
    </row>
    <row r="621" spans="1:7">
      <c r="C621" s="265"/>
      <c r="D621" s="1937"/>
      <c r="E621" s="1937"/>
      <c r="F621" s="1937"/>
      <c r="G621" s="57"/>
    </row>
    <row r="622" spans="1:7">
      <c r="C622" s="265"/>
      <c r="D622" s="1937"/>
      <c r="E622" s="1937"/>
      <c r="F622" s="1937"/>
      <c r="G622" s="57"/>
    </row>
    <row r="623" spans="1:7">
      <c r="C623" s="265"/>
      <c r="D623" s="1937"/>
      <c r="E623" s="1937"/>
      <c r="F623" s="1937"/>
      <c r="G623" s="57"/>
    </row>
    <row r="624" spans="1:7" s="719" customFormat="1">
      <c r="A624" s="705"/>
      <c r="B624" s="705"/>
      <c r="C624" s="265"/>
      <c r="D624" s="725"/>
      <c r="E624" s="725"/>
      <c r="F624" s="725"/>
      <c r="G624" s="57"/>
    </row>
    <row r="625" spans="1:7" ht="14.25">
      <c r="A625" s="261"/>
      <c r="B625" s="679" t="s">
        <v>316</v>
      </c>
      <c r="C625" s="265"/>
      <c r="D625" s="1937" t="s">
        <v>1282</v>
      </c>
      <c r="E625" s="1937"/>
      <c r="F625" s="1937"/>
      <c r="G625" s="57"/>
    </row>
    <row r="626" spans="1:7">
      <c r="A626" s="266"/>
      <c r="B626" s="266"/>
      <c r="C626" s="266"/>
      <c r="D626" s="1937"/>
      <c r="E626" s="1937"/>
      <c r="F626" s="1937"/>
      <c r="G626" s="57"/>
    </row>
    <row r="627" spans="1:7">
      <c r="A627" s="266"/>
      <c r="B627" s="266"/>
      <c r="C627" s="266"/>
      <c r="D627" s="151"/>
      <c r="E627" s="147"/>
      <c r="F627" s="147"/>
      <c r="G627" s="57"/>
    </row>
    <row r="628" spans="1:7" ht="14.25">
      <c r="A628" s="261"/>
      <c r="B628" s="679" t="s">
        <v>316</v>
      </c>
      <c r="C628" s="266"/>
      <c r="D628" s="1938" t="s">
        <v>1283</v>
      </c>
      <c r="E628" s="1938"/>
      <c r="F628" s="1938"/>
      <c r="G628" s="57"/>
    </row>
    <row r="629" spans="1:7" ht="14.25">
      <c r="A629" s="261"/>
      <c r="B629" s="261"/>
      <c r="C629" s="266"/>
      <c r="D629" s="1938"/>
      <c r="E629" s="1938"/>
      <c r="F629" s="1938"/>
      <c r="G629" s="57"/>
    </row>
    <row r="630" spans="1:7" ht="14.25">
      <c r="A630" s="261"/>
      <c r="B630" s="261"/>
      <c r="C630" s="266"/>
      <c r="D630" s="1938"/>
      <c r="E630" s="1938"/>
      <c r="F630" s="1938"/>
      <c r="G630" s="57"/>
    </row>
    <row r="631" spans="1:7">
      <c r="A631" s="266"/>
      <c r="B631" s="266"/>
      <c r="C631" s="266"/>
      <c r="D631" s="1938"/>
      <c r="E631" s="1938"/>
      <c r="F631" s="1938"/>
      <c r="G631" s="57"/>
    </row>
    <row r="632" spans="1:7" s="719" customFormat="1">
      <c r="A632" s="266"/>
      <c r="B632" s="266"/>
      <c r="C632" s="266"/>
      <c r="D632" s="726"/>
      <c r="E632" s="726"/>
      <c r="F632" s="726"/>
      <c r="G632" s="57"/>
    </row>
    <row r="633" spans="1:7">
      <c r="A633" s="266"/>
      <c r="B633" s="679" t="s">
        <v>316</v>
      </c>
      <c r="C633" s="266"/>
      <c r="D633" s="1939" t="s">
        <v>1284</v>
      </c>
      <c r="E633" s="1939"/>
      <c r="F633" s="1939"/>
      <c r="G633" s="57"/>
    </row>
    <row r="634" spans="1:7">
      <c r="A634" s="266"/>
      <c r="B634" s="266"/>
      <c r="C634" s="266"/>
      <c r="D634" s="727"/>
      <c r="E634" s="727"/>
      <c r="F634" s="727"/>
      <c r="G634" s="57"/>
    </row>
    <row r="635" spans="1:7">
      <c r="A635" s="1919" t="s">
        <v>1175</v>
      </c>
      <c r="B635" s="1919"/>
      <c r="C635" s="1919"/>
      <c r="D635" s="1919"/>
      <c r="E635" s="1919"/>
      <c r="F635" s="1919"/>
      <c r="G635" s="1919"/>
    </row>
    <row r="636" spans="1:7">
      <c r="A636" s="135"/>
      <c r="B636" s="135"/>
      <c r="C636" s="266"/>
      <c r="D636" s="147"/>
      <c r="E636" s="147"/>
      <c r="F636" s="147"/>
      <c r="G636" s="57"/>
    </row>
    <row r="637" spans="1:7">
      <c r="C637" s="267"/>
      <c r="D637" s="1940" t="s">
        <v>1334</v>
      </c>
      <c r="E637" s="1940"/>
      <c r="F637" s="1940"/>
      <c r="G637" s="57"/>
    </row>
    <row r="638" spans="1:7">
      <c r="A638" s="260"/>
      <c r="B638" s="260"/>
      <c r="C638" s="260"/>
      <c r="D638" s="1941" t="s">
        <v>1335</v>
      </c>
      <c r="E638" s="1941"/>
      <c r="F638" s="1941"/>
      <c r="G638" s="57"/>
    </row>
    <row r="639" spans="1:7" s="719" customFormat="1">
      <c r="A639" s="720"/>
      <c r="B639" s="720"/>
      <c r="C639" s="720"/>
      <c r="D639" s="734"/>
      <c r="E639" s="734"/>
      <c r="F639" s="734"/>
      <c r="G639" s="57"/>
    </row>
    <row r="640" spans="1:7" ht="14.45" customHeight="1">
      <c r="A640" s="261"/>
      <c r="B640" s="679" t="s">
        <v>316</v>
      </c>
      <c r="C640" s="266"/>
      <c r="D640" s="1897" t="s">
        <v>1336</v>
      </c>
      <c r="E640" s="1897"/>
      <c r="F640" s="1897"/>
      <c r="G640" s="57"/>
    </row>
    <row r="641" spans="1:11" ht="14.25">
      <c r="A641" s="261"/>
      <c r="B641" s="261"/>
      <c r="C641" s="266"/>
      <c r="D641" s="1897"/>
      <c r="E641" s="1897"/>
      <c r="F641" s="1897"/>
      <c r="G641" s="57"/>
    </row>
    <row r="642" spans="1:11" ht="14.25">
      <c r="A642" s="261"/>
      <c r="B642" s="261"/>
      <c r="C642" s="266"/>
      <c r="D642" s="1897"/>
      <c r="E642" s="1897"/>
      <c r="F642" s="1897"/>
      <c r="G642" s="57"/>
    </row>
    <row r="643" spans="1:11" ht="14.25">
      <c r="A643" s="261"/>
      <c r="B643" s="261"/>
      <c r="C643" s="266"/>
      <c r="D643" s="1897"/>
      <c r="E643" s="1897"/>
      <c r="F643" s="1897"/>
      <c r="G643" s="57"/>
    </row>
    <row r="644" spans="1:11" s="682" customFormat="1" ht="14.25">
      <c r="A644" s="261"/>
      <c r="B644" s="261"/>
      <c r="C644" s="266"/>
      <c r="D644" s="1897"/>
      <c r="E644" s="1897"/>
      <c r="F644" s="1897"/>
      <c r="G644" s="57"/>
    </row>
    <row r="645" spans="1:11" s="719" customFormat="1" ht="14.25">
      <c r="A645" s="714"/>
      <c r="B645" s="714"/>
      <c r="C645" s="266"/>
      <c r="D645" s="736"/>
      <c r="E645" s="736"/>
      <c r="F645" s="736"/>
      <c r="G645" s="57"/>
    </row>
    <row r="646" spans="1:11" s="682" customFormat="1" ht="14.25">
      <c r="A646" s="261"/>
      <c r="B646" s="679" t="s">
        <v>316</v>
      </c>
      <c r="C646" s="266"/>
      <c r="D646" s="1958" t="s">
        <v>1186</v>
      </c>
      <c r="E646" s="1958"/>
      <c r="F646" s="1958"/>
      <c r="G646" s="57"/>
    </row>
    <row r="647" spans="1:11" s="682" customFormat="1" ht="14.25">
      <c r="A647" s="261"/>
      <c r="B647" s="261"/>
      <c r="C647" s="266"/>
      <c r="D647" s="1959" t="s">
        <v>1337</v>
      </c>
      <c r="E647" s="1959"/>
      <c r="F647" s="1959"/>
      <c r="G647" s="57"/>
    </row>
    <row r="648" spans="1:11" s="682" customFormat="1" ht="14.25">
      <c r="A648" s="261"/>
      <c r="B648" s="261"/>
      <c r="C648" s="266"/>
      <c r="D648" s="1959"/>
      <c r="E648" s="1959"/>
      <c r="F648" s="1959"/>
      <c r="G648" s="57"/>
    </row>
    <row r="649" spans="1:11" s="682" customFormat="1" ht="14.25">
      <c r="A649" s="261"/>
      <c r="B649" s="261"/>
      <c r="C649" s="266"/>
      <c r="D649" s="1959"/>
      <c r="E649" s="1959"/>
      <c r="F649" s="1959"/>
      <c r="G649" s="57"/>
    </row>
    <row r="650" spans="1:11" s="682" customFormat="1" ht="14.25">
      <c r="A650" s="261"/>
      <c r="B650" s="261"/>
      <c r="C650" s="266"/>
      <c r="D650" s="1959"/>
      <c r="E650" s="1959"/>
      <c r="F650" s="1959"/>
      <c r="G650" s="57"/>
    </row>
    <row r="651" spans="1:11" s="682" customFormat="1" ht="14.25">
      <c r="A651" s="261"/>
      <c r="B651" s="261"/>
      <c r="C651" s="266"/>
      <c r="D651" s="1959"/>
      <c r="E651" s="1959"/>
      <c r="F651" s="1959"/>
      <c r="G651" s="57"/>
    </row>
    <row r="652" spans="1:11" s="682" customFormat="1" ht="14.25">
      <c r="A652" s="261"/>
      <c r="B652" s="261"/>
      <c r="C652" s="266"/>
      <c r="D652" s="1960" t="s">
        <v>1338</v>
      </c>
      <c r="E652" s="1960"/>
      <c r="F652" s="1960"/>
      <c r="G652" s="57"/>
    </row>
    <row r="653" spans="1:11">
      <c r="A653" s="266"/>
      <c r="B653" s="266"/>
      <c r="C653" s="266"/>
      <c r="D653" s="147"/>
      <c r="E653" s="147"/>
      <c r="F653" s="147"/>
      <c r="G653" s="57"/>
    </row>
    <row r="654" spans="1:11">
      <c r="A654" s="1919" t="s">
        <v>1176</v>
      </c>
      <c r="B654" s="1919"/>
      <c r="C654" s="1919"/>
      <c r="D654" s="1919"/>
      <c r="E654" s="1919"/>
      <c r="F654" s="1919"/>
      <c r="G654" s="1919"/>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922" t="s">
        <v>104</v>
      </c>
      <c r="E656" s="1922"/>
      <c r="F656" s="1922"/>
      <c r="G656" s="57"/>
      <c r="H656" s="269"/>
      <c r="I656" s="269"/>
      <c r="J656" s="269"/>
      <c r="K656" s="269"/>
    </row>
    <row r="657" spans="1:11">
      <c r="A657" s="267"/>
      <c r="B657" s="267"/>
      <c r="C657" s="267"/>
      <c r="D657" s="1922" t="s">
        <v>128</v>
      </c>
      <c r="E657" s="1922"/>
      <c r="F657" s="1922"/>
      <c r="G657" s="57"/>
      <c r="H657" s="269"/>
      <c r="I657" s="269"/>
      <c r="J657" s="269"/>
      <c r="K657" s="269"/>
    </row>
    <row r="658" spans="1:11">
      <c r="A658" s="260"/>
      <c r="B658" s="260"/>
      <c r="C658" s="260"/>
      <c r="D658" s="1912" t="s">
        <v>1212</v>
      </c>
      <c r="E658" s="1912"/>
      <c r="F658" s="1912"/>
      <c r="G658" s="57"/>
      <c r="H658" s="269"/>
      <c r="I658" s="269"/>
      <c r="J658" s="269"/>
      <c r="K658" s="269"/>
    </row>
    <row r="659" spans="1:11">
      <c r="A659" s="260"/>
      <c r="B659" s="260"/>
      <c r="C659" s="260"/>
      <c r="G659" s="57"/>
      <c r="H659" s="269"/>
      <c r="I659" s="269"/>
      <c r="J659" s="269"/>
      <c r="K659" s="269"/>
    </row>
    <row r="660" spans="1:11" ht="14.25">
      <c r="A660" s="261"/>
      <c r="B660" s="679" t="s">
        <v>316</v>
      </c>
      <c r="C660" s="260"/>
      <c r="D660" s="1912" t="s">
        <v>950</v>
      </c>
      <c r="E660" s="1912"/>
      <c r="F660" s="1912"/>
      <c r="G660" s="57"/>
      <c r="H660" s="269"/>
      <c r="I660" s="269"/>
      <c r="J660" s="269"/>
      <c r="K660" s="269"/>
    </row>
    <row r="661" spans="1:11">
      <c r="A661" s="260"/>
      <c r="B661" s="260"/>
      <c r="C661" s="260"/>
      <c r="D661" s="1912" t="s">
        <v>961</v>
      </c>
      <c r="E661" s="1912"/>
      <c r="F661" s="1912"/>
      <c r="G661" s="57"/>
      <c r="H661" s="269"/>
      <c r="I661" s="269"/>
      <c r="J661" s="269"/>
      <c r="K661" s="269"/>
    </row>
    <row r="662" spans="1:11">
      <c r="A662" s="260"/>
      <c r="B662" s="260"/>
      <c r="C662" s="260"/>
      <c r="D662" s="6"/>
      <c r="E662" s="1908" t="s">
        <v>1213</v>
      </c>
      <c r="F662" s="1908"/>
      <c r="G662" s="57"/>
      <c r="H662" s="269"/>
      <c r="I662" s="269"/>
      <c r="J662" s="269"/>
      <c r="K662" s="269"/>
    </row>
    <row r="663" spans="1:11">
      <c r="A663" s="260"/>
      <c r="B663" s="260"/>
      <c r="C663" s="260"/>
      <c r="D663" s="6"/>
      <c r="E663" s="1908"/>
      <c r="F663" s="1908"/>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99" t="s">
        <v>1214</v>
      </c>
      <c r="E665" s="1899"/>
      <c r="F665" s="1899"/>
      <c r="G665" s="57"/>
      <c r="H665" s="269"/>
      <c r="I665" s="269"/>
      <c r="J665" s="269"/>
      <c r="K665" s="269"/>
    </row>
    <row r="666" spans="1:11">
      <c r="A666" s="23"/>
      <c r="B666" s="675"/>
      <c r="C666" s="260"/>
      <c r="D666" s="1899"/>
      <c r="E666" s="1899"/>
      <c r="F666" s="1899"/>
      <c r="G666" s="57"/>
      <c r="H666" s="269"/>
      <c r="I666" s="269"/>
      <c r="J666" s="269"/>
      <c r="K666" s="269"/>
    </row>
    <row r="667" spans="1:11">
      <c r="A667" s="260"/>
      <c r="B667" s="260"/>
      <c r="C667" s="260"/>
      <c r="D667" s="1899"/>
      <c r="E667" s="1899"/>
      <c r="F667" s="1899"/>
      <c r="G667" s="57"/>
      <c r="H667" s="269"/>
      <c r="I667" s="269"/>
      <c r="J667" s="269"/>
      <c r="K667" s="269"/>
    </row>
    <row r="668" spans="1:11">
      <c r="A668" s="260"/>
      <c r="B668" s="260"/>
      <c r="C668" s="260"/>
      <c r="G668" s="57"/>
      <c r="H668" s="269"/>
      <c r="I668" s="269"/>
      <c r="J668" s="269"/>
      <c r="K668" s="269"/>
    </row>
    <row r="669" spans="1:11" ht="14.25">
      <c r="A669" s="261"/>
      <c r="B669" s="679" t="s">
        <v>316</v>
      </c>
      <c r="C669" s="260"/>
      <c r="D669" s="1912" t="s">
        <v>990</v>
      </c>
      <c r="E669" s="1912"/>
      <c r="F669" s="1912"/>
      <c r="G669" s="57"/>
      <c r="H669" s="269"/>
      <c r="I669" s="269"/>
      <c r="J669" s="269"/>
      <c r="K669" s="269"/>
    </row>
    <row r="670" spans="1:11" ht="14.25">
      <c r="A670" s="261"/>
      <c r="B670" s="261"/>
      <c r="C670" s="260"/>
      <c r="D670" s="1912" t="s">
        <v>961</v>
      </c>
      <c r="E670" s="1912"/>
      <c r="F670" s="1912"/>
      <c r="G670" s="57"/>
      <c r="H670" s="269"/>
      <c r="I670" s="269"/>
      <c r="J670" s="269"/>
      <c r="K670" s="269"/>
    </row>
    <row r="671" spans="1:11">
      <c r="A671" s="260"/>
      <c r="B671" s="260"/>
      <c r="C671" s="260"/>
      <c r="D671" s="6"/>
      <c r="E671" s="1930" t="s">
        <v>1215</v>
      </c>
      <c r="F671" s="1930"/>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934" t="s">
        <v>1225</v>
      </c>
      <c r="E673" s="1934"/>
      <c r="F673" s="1934"/>
      <c r="G673" s="57"/>
      <c r="H673" s="269"/>
      <c r="I673" s="269"/>
      <c r="J673" s="269"/>
      <c r="K673" s="269"/>
    </row>
    <row r="674" spans="1:11">
      <c r="A674" s="260"/>
      <c r="B674" s="260"/>
      <c r="C674" s="260"/>
      <c r="D674" s="1934"/>
      <c r="E674" s="1934"/>
      <c r="F674" s="1934"/>
      <c r="G674" s="57"/>
      <c r="H674" s="269"/>
      <c r="I674" s="269"/>
      <c r="J674" s="269"/>
      <c r="K674" s="269"/>
    </row>
    <row r="675" spans="1:11">
      <c r="A675" s="260"/>
      <c r="B675" s="260"/>
      <c r="C675" s="260"/>
      <c r="D675" s="1934"/>
      <c r="E675" s="1934"/>
      <c r="F675" s="1934"/>
      <c r="G675" s="57"/>
      <c r="H675" s="269"/>
      <c r="I675" s="269"/>
      <c r="J675" s="269"/>
      <c r="K675" s="269"/>
    </row>
    <row r="676" spans="1:11">
      <c r="A676" s="260"/>
      <c r="B676" s="260"/>
      <c r="C676" s="260"/>
      <c r="D676" s="1934"/>
      <c r="E676" s="1934"/>
      <c r="F676" s="1934"/>
      <c r="G676" s="57"/>
      <c r="H676" s="269"/>
      <c r="I676" s="269"/>
      <c r="J676" s="269"/>
      <c r="K676" s="269"/>
    </row>
    <row r="677" spans="1:11">
      <c r="A677" s="260"/>
      <c r="B677" s="260"/>
      <c r="C677" s="260"/>
      <c r="D677" s="1934"/>
      <c r="E677" s="1934"/>
      <c r="F677" s="1934"/>
      <c r="G677" s="57"/>
      <c r="H677" s="269"/>
      <c r="I677" s="269"/>
      <c r="J677" s="269"/>
      <c r="K677" s="269"/>
    </row>
    <row r="678" spans="1:11" s="39" customFormat="1">
      <c r="A678" s="487"/>
      <c r="B678" s="487"/>
      <c r="C678" s="487"/>
      <c r="D678" s="1934"/>
      <c r="E678" s="1934"/>
      <c r="F678" s="1934"/>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934" t="s">
        <v>1216</v>
      </c>
      <c r="E680" s="1934"/>
      <c r="F680" s="1934"/>
      <c r="G680" s="57"/>
      <c r="H680" s="269"/>
      <c r="I680" s="269"/>
      <c r="J680" s="269"/>
      <c r="K680" s="269"/>
    </row>
    <row r="681" spans="1:11">
      <c r="A681" s="260"/>
      <c r="B681" s="260"/>
      <c r="C681" s="260"/>
      <c r="D681" s="1934"/>
      <c r="E681" s="1934"/>
      <c r="F681" s="1934"/>
      <c r="G681" s="57"/>
      <c r="H681" s="269"/>
      <c r="I681" s="269"/>
      <c r="J681" s="269"/>
      <c r="K681" s="269"/>
    </row>
    <row r="682" spans="1:11">
      <c r="A682" s="260"/>
      <c r="B682" s="260"/>
      <c r="C682" s="260"/>
      <c r="D682" s="1934"/>
      <c r="E682" s="1934"/>
      <c r="F682" s="1934"/>
      <c r="G682" s="57"/>
      <c r="H682" s="269"/>
      <c r="I682" s="269"/>
      <c r="J682" s="269"/>
      <c r="K682" s="269"/>
    </row>
    <row r="683" spans="1:11" ht="15" customHeight="1">
      <c r="A683" s="260"/>
      <c r="B683" s="260"/>
      <c r="C683" s="260"/>
      <c r="D683" s="1934"/>
      <c r="E683" s="1934"/>
      <c r="F683" s="1934"/>
      <c r="G683" s="57"/>
      <c r="H683" s="269"/>
      <c r="I683" s="269"/>
      <c r="J683" s="269"/>
      <c r="K683" s="269"/>
    </row>
    <row r="684" spans="1:11" ht="15" customHeight="1">
      <c r="A684" s="260"/>
      <c r="B684" s="260"/>
      <c r="C684" s="260"/>
      <c r="D684" s="1934"/>
      <c r="E684" s="1934"/>
      <c r="F684" s="1934"/>
      <c r="G684" s="57"/>
      <c r="H684" s="269"/>
      <c r="I684" s="269"/>
      <c r="J684" s="269"/>
      <c r="K684" s="269"/>
    </row>
    <row r="685" spans="1:11">
      <c r="A685" s="260"/>
      <c r="B685" s="260"/>
      <c r="C685" s="260"/>
      <c r="D685" s="1934"/>
      <c r="E685" s="1934"/>
      <c r="F685" s="1934"/>
      <c r="G685" s="57"/>
      <c r="H685" s="269"/>
      <c r="I685" s="269"/>
      <c r="J685" s="269"/>
      <c r="K685" s="269"/>
    </row>
    <row r="686" spans="1:11">
      <c r="A686" s="260"/>
      <c r="B686" s="260"/>
      <c r="C686" s="260"/>
      <c r="D686" s="1934"/>
      <c r="E686" s="1934"/>
      <c r="F686" s="1934"/>
      <c r="G686" s="57"/>
      <c r="H686" s="269"/>
      <c r="I686" s="269"/>
      <c r="J686" s="269"/>
      <c r="K686" s="269"/>
    </row>
    <row r="687" spans="1:11">
      <c r="A687" s="260"/>
      <c r="B687" s="260"/>
      <c r="C687" s="260"/>
      <c r="D687" s="1934"/>
      <c r="E687" s="1934"/>
      <c r="F687" s="1934"/>
      <c r="G687" s="57"/>
      <c r="H687" s="269"/>
      <c r="I687" s="269"/>
      <c r="J687" s="269"/>
      <c r="K687" s="269"/>
    </row>
    <row r="688" spans="1:11" ht="15" customHeight="1">
      <c r="A688" s="260"/>
      <c r="B688" s="260"/>
      <c r="C688" s="260"/>
      <c r="D688" s="1934"/>
      <c r="E688" s="1934"/>
      <c r="F688" s="1934"/>
      <c r="G688" s="57"/>
      <c r="H688" s="269"/>
      <c r="I688" s="269"/>
      <c r="J688" s="269"/>
      <c r="K688" s="269"/>
    </row>
    <row r="689" spans="1:11">
      <c r="A689" s="260"/>
      <c r="B689" s="260"/>
      <c r="C689" s="260"/>
      <c r="D689" s="1934"/>
      <c r="E689" s="1934"/>
      <c r="F689" s="1934"/>
      <c r="G689" s="57"/>
      <c r="H689" s="269"/>
      <c r="I689" s="269"/>
      <c r="J689" s="269"/>
      <c r="K689" s="269"/>
    </row>
    <row r="690" spans="1:11">
      <c r="A690" s="260"/>
      <c r="B690" s="260"/>
      <c r="C690" s="260"/>
      <c r="D690" s="1934"/>
      <c r="E690" s="1934"/>
      <c r="F690" s="1934"/>
      <c r="G690" s="57"/>
      <c r="H690" s="269"/>
      <c r="I690" s="269"/>
      <c r="J690" s="269"/>
      <c r="K690" s="269"/>
    </row>
    <row r="691" spans="1:11">
      <c r="A691" s="260"/>
      <c r="B691" s="260"/>
      <c r="C691" s="260"/>
      <c r="D691" s="1934"/>
      <c r="E691" s="1934"/>
      <c r="F691" s="1934"/>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934" t="s">
        <v>1226</v>
      </c>
      <c r="E693" s="1934"/>
      <c r="F693" s="1934"/>
      <c r="G693" s="57"/>
      <c r="H693" s="269"/>
      <c r="I693" s="269"/>
      <c r="J693" s="269"/>
      <c r="K693" s="269"/>
    </row>
    <row r="694" spans="1:11">
      <c r="A694" s="260"/>
      <c r="B694" s="260"/>
      <c r="C694" s="260"/>
      <c r="D694" s="1934"/>
      <c r="E694" s="1934"/>
      <c r="F694" s="1934"/>
      <c r="G694" s="57"/>
      <c r="H694" s="269"/>
      <c r="I694" s="269"/>
      <c r="J694" s="269"/>
      <c r="K694" s="269"/>
    </row>
    <row r="695" spans="1:11">
      <c r="A695" s="260"/>
      <c r="B695" s="260"/>
      <c r="C695" s="260"/>
      <c r="D695" s="1934"/>
      <c r="E695" s="1934"/>
      <c r="F695" s="1934"/>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934" t="s">
        <v>1223</v>
      </c>
      <c r="E697" s="1934"/>
      <c r="F697" s="1934"/>
      <c r="G697" s="57"/>
      <c r="H697" s="269"/>
      <c r="I697" s="269"/>
      <c r="J697" s="269"/>
      <c r="K697" s="269"/>
    </row>
    <row r="698" spans="1:11" s="682" customFormat="1">
      <c r="A698" s="260"/>
      <c r="B698" s="260"/>
      <c r="C698" s="260"/>
      <c r="D698" s="1934"/>
      <c r="E698" s="1934"/>
      <c r="F698" s="1934"/>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934" t="s">
        <v>1224</v>
      </c>
      <c r="E700" s="1934"/>
      <c r="F700" s="1934"/>
      <c r="G700" s="57"/>
      <c r="H700" s="269"/>
      <c r="I700" s="269"/>
      <c r="J700" s="269"/>
      <c r="K700" s="269"/>
    </row>
    <row r="701" spans="1:11" s="682" customFormat="1">
      <c r="A701" s="260"/>
      <c r="B701" s="260"/>
      <c r="C701" s="260"/>
      <c r="D701" s="1934"/>
      <c r="E701" s="1934"/>
      <c r="F701" s="1934"/>
      <c r="G701" s="57"/>
      <c r="H701" s="269"/>
      <c r="I701" s="269"/>
      <c r="J701" s="269"/>
      <c r="K701" s="269"/>
    </row>
    <row r="702" spans="1:11" s="682" customFormat="1">
      <c r="A702" s="260"/>
      <c r="B702" s="260"/>
      <c r="C702" s="260"/>
      <c r="D702" s="1934"/>
      <c r="E702" s="1934"/>
      <c r="F702" s="1934"/>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934" t="s">
        <v>1217</v>
      </c>
      <c r="E704" s="1934"/>
      <c r="F704" s="1934"/>
      <c r="G704" s="57"/>
      <c r="H704" s="269"/>
      <c r="I704" s="269"/>
      <c r="J704" s="269"/>
      <c r="K704" s="269"/>
    </row>
    <row r="705" spans="1:11">
      <c r="A705" s="260"/>
      <c r="B705" s="260"/>
      <c r="C705" s="260"/>
      <c r="D705" s="1934"/>
      <c r="E705" s="1934"/>
      <c r="F705" s="1934"/>
      <c r="G705" s="57"/>
      <c r="H705" s="269"/>
      <c r="I705" s="269"/>
      <c r="J705" s="269"/>
      <c r="K705" s="269"/>
    </row>
    <row r="706" spans="1:11">
      <c r="A706" s="260"/>
      <c r="B706" s="260"/>
      <c r="C706" s="260"/>
      <c r="D706" s="1934"/>
      <c r="E706" s="1934"/>
      <c r="F706" s="1934"/>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934" t="s">
        <v>1218</v>
      </c>
      <c r="E708" s="1934"/>
      <c r="F708" s="1934"/>
      <c r="G708" s="57"/>
      <c r="H708" s="269"/>
      <c r="I708" s="269"/>
      <c r="J708" s="269"/>
      <c r="K708" s="269"/>
    </row>
    <row r="709" spans="1:11">
      <c r="A709" s="260"/>
      <c r="B709" s="260"/>
      <c r="C709" s="260"/>
      <c r="D709" s="1934"/>
      <c r="E709" s="1934"/>
      <c r="F709" s="1934"/>
      <c r="G709" s="57"/>
      <c r="H709" s="269"/>
      <c r="I709" s="269"/>
      <c r="J709" s="269"/>
      <c r="K709" s="269"/>
    </row>
    <row r="710" spans="1:11">
      <c r="A710" s="260"/>
      <c r="B710" s="260"/>
      <c r="C710" s="260"/>
      <c r="D710" s="1934"/>
      <c r="E710" s="1934"/>
      <c r="F710" s="1934"/>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99" t="s">
        <v>1219</v>
      </c>
      <c r="E712" s="1899"/>
      <c r="F712" s="1899"/>
      <c r="G712" s="57"/>
      <c r="H712" s="269"/>
      <c r="I712" s="269"/>
      <c r="J712" s="269"/>
      <c r="K712" s="269"/>
    </row>
    <row r="713" spans="1:11">
      <c r="A713" s="260"/>
      <c r="B713" s="260"/>
      <c r="C713" s="260"/>
      <c r="D713" s="1899"/>
      <c r="E713" s="1899"/>
      <c r="F713" s="1899"/>
      <c r="G713" s="57"/>
      <c r="H713" s="269"/>
      <c r="I713" s="269"/>
      <c r="J713" s="269"/>
      <c r="K713" s="269"/>
    </row>
    <row r="714" spans="1:11">
      <c r="A714" s="260"/>
      <c r="B714" s="260"/>
      <c r="C714" s="260"/>
      <c r="D714" s="1899"/>
      <c r="E714" s="1899"/>
      <c r="F714" s="1899"/>
      <c r="G714" s="57"/>
      <c r="H714" s="269"/>
      <c r="I714" s="269"/>
      <c r="J714" s="269"/>
      <c r="K714" s="269"/>
    </row>
    <row r="715" spans="1:11">
      <c r="A715" s="260"/>
      <c r="B715" s="260"/>
      <c r="C715" s="260"/>
      <c r="D715" s="1899"/>
      <c r="E715" s="1899"/>
      <c r="F715" s="1899"/>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934" t="s">
        <v>1352</v>
      </c>
      <c r="E717" s="1934"/>
      <c r="F717" s="1934"/>
      <c r="G717" s="57"/>
      <c r="H717" s="269"/>
      <c r="I717" s="269"/>
      <c r="J717" s="269"/>
      <c r="K717" s="269"/>
    </row>
    <row r="718" spans="1:11">
      <c r="A718" s="260"/>
      <c r="B718" s="260"/>
      <c r="C718" s="260"/>
      <c r="D718" s="1934"/>
      <c r="E718" s="1934"/>
      <c r="F718" s="1934"/>
      <c r="G718" s="57"/>
      <c r="H718" s="269"/>
      <c r="I718" s="269"/>
      <c r="J718" s="269"/>
      <c r="K718" s="269"/>
    </row>
    <row r="719" spans="1:11">
      <c r="A719" s="260"/>
      <c r="B719" s="260"/>
      <c r="C719" s="260"/>
      <c r="D719" s="1934"/>
      <c r="E719" s="1934"/>
      <c r="F719" s="1934"/>
      <c r="G719" s="57"/>
      <c r="H719" s="269"/>
      <c r="I719" s="269"/>
      <c r="J719" s="269"/>
      <c r="K719" s="269"/>
    </row>
    <row r="720" spans="1:11">
      <c r="A720" s="260"/>
      <c r="B720" s="260"/>
      <c r="C720" s="260"/>
      <c r="D720" s="1934"/>
      <c r="E720" s="1934"/>
      <c r="F720" s="1934"/>
      <c r="G720" s="57"/>
      <c r="H720" s="269"/>
      <c r="I720" s="269"/>
      <c r="J720" s="269"/>
      <c r="K720" s="269"/>
    </row>
    <row r="721" spans="1:11">
      <c r="A721" s="260"/>
      <c r="B721" s="260"/>
      <c r="C721" s="260"/>
      <c r="D721" s="1934"/>
      <c r="E721" s="1934"/>
      <c r="F721" s="1934"/>
      <c r="G721" s="57"/>
      <c r="H721" s="269"/>
      <c r="I721" s="269"/>
      <c r="J721" s="269"/>
      <c r="K721" s="269"/>
    </row>
    <row r="722" spans="1:11">
      <c r="A722" s="260"/>
      <c r="B722" s="260"/>
      <c r="C722" s="260"/>
      <c r="D722" s="1934"/>
      <c r="E722" s="1934"/>
      <c r="F722" s="1934"/>
      <c r="G722" s="57"/>
      <c r="H722" s="269"/>
      <c r="I722" s="269"/>
      <c r="J722" s="269"/>
      <c r="K722" s="269"/>
    </row>
    <row r="723" spans="1:11">
      <c r="A723" s="260"/>
      <c r="B723" s="260"/>
      <c r="C723" s="260"/>
      <c r="D723" s="1934"/>
      <c r="E723" s="1934"/>
      <c r="F723" s="1934"/>
      <c r="G723" s="57"/>
      <c r="H723" s="269"/>
      <c r="I723" s="269"/>
      <c r="J723" s="269"/>
      <c r="K723" s="269"/>
    </row>
    <row r="724" spans="1:11">
      <c r="A724" s="260"/>
      <c r="B724" s="260"/>
      <c r="C724" s="260"/>
      <c r="D724" s="1967" t="s">
        <v>1220</v>
      </c>
      <c r="E724" s="1967"/>
      <c r="F724" s="1967"/>
      <c r="G724" s="57"/>
      <c r="H724" s="269"/>
      <c r="I724" s="269"/>
      <c r="J724" s="269"/>
      <c r="K724" s="269"/>
    </row>
    <row r="725" spans="1:11" s="682" customFormat="1">
      <c r="A725" s="260"/>
      <c r="B725" s="260"/>
      <c r="C725" s="260"/>
      <c r="D725" s="533"/>
      <c r="E725" s="7"/>
      <c r="F725" s="7"/>
      <c r="G725" s="57"/>
      <c r="H725" s="269"/>
      <c r="I725" s="269"/>
      <c r="J725" s="269"/>
      <c r="K725" s="269"/>
    </row>
    <row r="726" spans="1:11">
      <c r="A726" s="1969" t="s">
        <v>1177</v>
      </c>
      <c r="B726" s="1969"/>
      <c r="C726" s="1969"/>
      <c r="D726" s="1969"/>
      <c r="E726" s="1969"/>
      <c r="F726" s="1969"/>
      <c r="G726" s="1969"/>
      <c r="H726" s="269"/>
      <c r="I726" s="269"/>
      <c r="J726" s="269"/>
      <c r="K726" s="269"/>
    </row>
    <row r="727" spans="1:11">
      <c r="A727" s="260"/>
      <c r="B727" s="260"/>
      <c r="C727" s="260"/>
      <c r="D727" s="263"/>
      <c r="G727" s="271"/>
      <c r="H727" s="269"/>
      <c r="I727" s="269"/>
      <c r="J727" s="269"/>
      <c r="K727" s="269"/>
    </row>
    <row r="728" spans="1:11" ht="13.15" customHeight="1">
      <c r="C728" s="260"/>
      <c r="D728" s="1948" t="s">
        <v>1193</v>
      </c>
      <c r="E728" s="1948"/>
      <c r="F728" s="1948"/>
      <c r="G728" s="271"/>
      <c r="H728" s="269"/>
      <c r="I728" s="269"/>
      <c r="J728" s="269"/>
      <c r="K728" s="269"/>
    </row>
    <row r="729" spans="1:11">
      <c r="A729" s="260"/>
      <c r="B729" s="260"/>
      <c r="C729" s="260"/>
      <c r="D729" s="1965" t="s">
        <v>1194</v>
      </c>
      <c r="E729" s="1965"/>
      <c r="F729" s="1965"/>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99" t="s">
        <v>1195</v>
      </c>
      <c r="E731" s="1899"/>
      <c r="F731" s="1899"/>
      <c r="G731" s="271"/>
      <c r="H731" s="272"/>
      <c r="I731" s="272"/>
      <c r="J731" s="272"/>
      <c r="K731" s="272"/>
    </row>
    <row r="732" spans="1:11" s="39" customFormat="1" ht="10.5" customHeight="1">
      <c r="A732" s="132"/>
      <c r="B732" s="676"/>
      <c r="C732" s="132"/>
      <c r="D732" s="1899"/>
      <c r="E732" s="1899"/>
      <c r="F732" s="1899"/>
      <c r="G732" s="271"/>
      <c r="H732" s="272"/>
      <c r="I732" s="272"/>
      <c r="J732" s="272"/>
      <c r="K732" s="272"/>
    </row>
    <row r="733" spans="1:11" s="39" customFormat="1">
      <c r="A733" s="132"/>
      <c r="B733" s="676"/>
      <c r="C733" s="132"/>
      <c r="D733" s="1899"/>
      <c r="E733" s="1899"/>
      <c r="F733" s="1899"/>
      <c r="G733" s="271"/>
      <c r="H733" s="272"/>
      <c r="I733" s="272"/>
      <c r="J733" s="272"/>
      <c r="K733" s="272"/>
    </row>
    <row r="734" spans="1:11">
      <c r="D734" s="1899"/>
      <c r="E734" s="1899"/>
      <c r="F734" s="1899"/>
      <c r="G734" s="271"/>
      <c r="H734" s="269"/>
      <c r="I734" s="269"/>
      <c r="J734" s="269"/>
      <c r="K734" s="269"/>
    </row>
    <row r="735" spans="1:11">
      <c r="A735" s="273"/>
      <c r="B735" s="273"/>
      <c r="C735" s="273"/>
      <c r="D735" s="1899"/>
      <c r="E735" s="1899"/>
      <c r="F735" s="1899"/>
      <c r="G735" s="275"/>
      <c r="H735" s="269"/>
      <c r="I735" s="269"/>
      <c r="J735" s="269"/>
      <c r="K735" s="269"/>
    </row>
    <row r="736" spans="1:11" ht="15.6" customHeight="1">
      <c r="A736" s="273"/>
      <c r="B736" s="273"/>
      <c r="C736" s="273"/>
      <c r="D736" s="1899"/>
      <c r="E736" s="1899"/>
      <c r="F736" s="1899"/>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900" t="s">
        <v>1196</v>
      </c>
      <c r="E738" s="1900"/>
      <c r="F738" s="1900"/>
      <c r="G738" s="311"/>
    </row>
    <row r="739" spans="1:11" s="409" customFormat="1">
      <c r="A739" s="408"/>
      <c r="B739" s="408"/>
      <c r="C739" s="408"/>
      <c r="D739" s="1900"/>
      <c r="E739" s="1900"/>
      <c r="F739" s="1900"/>
      <c r="G739" s="311"/>
    </row>
    <row r="740" spans="1:11" s="409" customFormat="1">
      <c r="A740" s="408"/>
      <c r="B740" s="408"/>
      <c r="C740" s="408"/>
      <c r="D740" s="1900"/>
      <c r="E740" s="1900"/>
      <c r="F740" s="1900"/>
      <c r="G740" s="311"/>
    </row>
    <row r="741" spans="1:11" s="409" customFormat="1">
      <c r="A741" s="408"/>
      <c r="B741" s="408"/>
      <c r="C741" s="408"/>
      <c r="D741" s="1900"/>
      <c r="E741" s="1900"/>
      <c r="F741" s="1900"/>
      <c r="G741" s="311"/>
    </row>
    <row r="742" spans="1:11" s="409" customFormat="1">
      <c r="A742" s="408"/>
      <c r="B742" s="408"/>
      <c r="C742" s="408"/>
      <c r="D742" s="377"/>
      <c r="E742" s="311"/>
      <c r="F742" s="311"/>
      <c r="G742" s="311"/>
    </row>
    <row r="743" spans="1:11" s="409" customFormat="1" ht="14.25">
      <c r="A743" s="261"/>
      <c r="B743" s="679" t="s">
        <v>316</v>
      </c>
      <c r="C743" s="408"/>
      <c r="D743" s="1966" t="s">
        <v>1197</v>
      </c>
      <c r="E743" s="1966"/>
      <c r="F743" s="1966"/>
      <c r="G743" s="311"/>
    </row>
    <row r="744" spans="1:11" s="409" customFormat="1">
      <c r="A744" s="408"/>
      <c r="B744" s="408"/>
      <c r="C744" s="408"/>
      <c r="D744" s="1966"/>
      <c r="E744" s="1966"/>
      <c r="F744" s="1966"/>
      <c r="G744" s="311"/>
    </row>
    <row r="745" spans="1:11" s="409" customFormat="1">
      <c r="A745" s="408"/>
      <c r="B745" s="408"/>
      <c r="C745" s="408"/>
      <c r="D745" s="1966"/>
      <c r="E745" s="1966"/>
      <c r="F745" s="1966"/>
      <c r="G745" s="311"/>
    </row>
    <row r="746" spans="1:11">
      <c r="A746" s="273"/>
      <c r="B746" s="273"/>
      <c r="C746" s="273"/>
      <c r="D746" s="377"/>
      <c r="E746" s="274"/>
      <c r="F746" s="274"/>
      <c r="G746" s="275"/>
      <c r="H746" s="269"/>
      <c r="I746" s="269"/>
      <c r="J746" s="269"/>
      <c r="K746" s="269"/>
    </row>
    <row r="747" spans="1:11" ht="14.25">
      <c r="A747" s="261"/>
      <c r="B747" s="679" t="s">
        <v>316</v>
      </c>
      <c r="C747" s="273"/>
      <c r="D747" s="1900" t="s">
        <v>1198</v>
      </c>
      <c r="E747" s="1900"/>
      <c r="F747" s="1900"/>
      <c r="G747" s="275"/>
      <c r="H747" s="269"/>
      <c r="I747" s="269"/>
      <c r="J747" s="269"/>
      <c r="K747" s="269"/>
    </row>
    <row r="748" spans="1:11">
      <c r="A748" s="273"/>
      <c r="B748" s="273"/>
      <c r="C748" s="273"/>
      <c r="D748" s="1900"/>
      <c r="E748" s="1900"/>
      <c r="F748" s="1900"/>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900" t="s">
        <v>1199</v>
      </c>
      <c r="E750" s="1900"/>
      <c r="F750" s="1900"/>
      <c r="G750" s="275"/>
      <c r="H750" s="269"/>
      <c r="I750" s="269"/>
      <c r="J750" s="269"/>
      <c r="K750" s="269"/>
    </row>
    <row r="751" spans="1:11" s="682" customFormat="1">
      <c r="A751" s="273"/>
      <c r="B751" s="273"/>
      <c r="C751" s="273"/>
      <c r="D751" s="1900"/>
      <c r="E751" s="1900"/>
      <c r="F751" s="1900"/>
      <c r="G751" s="275"/>
      <c r="H751" s="269"/>
      <c r="I751" s="269"/>
      <c r="J751" s="269"/>
      <c r="K751" s="269"/>
    </row>
    <row r="752" spans="1:11" s="682" customFormat="1">
      <c r="A752" s="273"/>
      <c r="B752" s="273"/>
      <c r="C752" s="273"/>
      <c r="D752" s="1900"/>
      <c r="E752" s="1900"/>
      <c r="F752" s="1900"/>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71" t="s">
        <v>1200</v>
      </c>
      <c r="B754" s="1971"/>
      <c r="C754" s="1971"/>
      <c r="D754" s="1971"/>
      <c r="E754" s="1971"/>
      <c r="F754" s="1971"/>
      <c r="G754" s="1971"/>
    </row>
    <row r="755" spans="1:11">
      <c r="A755" s="260"/>
      <c r="B755" s="260"/>
      <c r="C755" s="260"/>
      <c r="D755" s="276"/>
      <c r="F755" s="147"/>
      <c r="G755" s="271"/>
    </row>
    <row r="756" spans="1:11">
      <c r="A756" s="273"/>
      <c r="B756" s="273"/>
      <c r="C756" s="442"/>
      <c r="D756" s="1972" t="s">
        <v>1184</v>
      </c>
      <c r="E756" s="1972"/>
      <c r="F756" s="1972"/>
      <c r="G756" s="271"/>
    </row>
    <row r="757" spans="1:11">
      <c r="A757" s="503"/>
      <c r="B757" s="503"/>
      <c r="C757" s="502"/>
      <c r="D757" s="1962" t="s">
        <v>1201</v>
      </c>
      <c r="E757" s="1962"/>
      <c r="F757" s="1962"/>
      <c r="G757" s="271"/>
    </row>
    <row r="758" spans="1:11">
      <c r="A758" s="273"/>
      <c r="B758" s="273"/>
      <c r="C758" s="442"/>
      <c r="D758" s="693"/>
      <c r="E758" s="693"/>
      <c r="F758" s="693"/>
      <c r="G758" s="271"/>
    </row>
    <row r="759" spans="1:11" ht="14.25">
      <c r="A759" s="261"/>
      <c r="B759" s="679" t="s">
        <v>316</v>
      </c>
      <c r="C759" s="442"/>
      <c r="D759" s="1963" t="s">
        <v>1069</v>
      </c>
      <c r="E759" s="1963"/>
      <c r="F759" s="1963"/>
      <c r="G759" s="271"/>
    </row>
    <row r="760" spans="1:11">
      <c r="A760" s="273"/>
      <c r="B760" s="273"/>
      <c r="C760" s="442"/>
      <c r="D760" s="692"/>
      <c r="E760" s="1964" t="s">
        <v>1185</v>
      </c>
      <c r="F760" s="1964"/>
      <c r="G760" s="271"/>
    </row>
    <row r="761" spans="1:11">
      <c r="A761" s="267"/>
      <c r="B761" s="267"/>
      <c r="C761" s="267"/>
      <c r="D761" s="135"/>
      <c r="F761" s="57"/>
      <c r="G761" s="271"/>
    </row>
    <row r="762" spans="1:11">
      <c r="A762" s="1968" t="s">
        <v>470</v>
      </c>
      <c r="B762" s="1968"/>
      <c r="C762" s="1968"/>
      <c r="D762" s="1968"/>
      <c r="E762" s="1968"/>
      <c r="F762" s="1968"/>
      <c r="G762" s="1968"/>
    </row>
    <row r="763" spans="1:11">
      <c r="A763" s="255"/>
      <c r="B763" s="673"/>
      <c r="C763" s="266"/>
      <c r="D763" s="271"/>
      <c r="E763" s="271"/>
      <c r="F763" s="271"/>
      <c r="G763" s="271"/>
    </row>
    <row r="764" spans="1:11">
      <c r="A764" s="135"/>
      <c r="B764" s="1970" t="s">
        <v>1068</v>
      </c>
      <c r="C764" s="1970"/>
      <c r="D764" s="1970"/>
      <c r="E764" s="1970"/>
      <c r="F764" s="1970"/>
      <c r="G764" s="271"/>
    </row>
    <row r="765" spans="1:11">
      <c r="A765" s="23"/>
      <c r="B765" s="675"/>
      <c r="G765" s="271"/>
    </row>
    <row r="766" spans="1:11">
      <c r="A766" s="1968" t="s">
        <v>471</v>
      </c>
      <c r="B766" s="1968"/>
      <c r="C766" s="1968"/>
      <c r="D766" s="1968"/>
      <c r="E766" s="1968"/>
      <c r="F766" s="1968"/>
      <c r="G766" s="1968"/>
    </row>
    <row r="767" spans="1:11">
      <c r="A767" s="255"/>
      <c r="B767" s="673"/>
      <c r="C767" s="255"/>
      <c r="D767" s="263"/>
      <c r="G767" s="271"/>
    </row>
    <row r="768" spans="1:11">
      <c r="A768" s="135"/>
      <c r="B768" s="1914" t="s">
        <v>469</v>
      </c>
      <c r="C768" s="1914"/>
      <c r="D768" s="1914"/>
      <c r="E768" s="1914"/>
      <c r="F768" s="1914"/>
      <c r="G768" s="271"/>
    </row>
    <row r="769" spans="1:7" ht="14.25">
      <c r="A769" s="261"/>
      <c r="B769" s="261"/>
      <c r="D769" s="135"/>
      <c r="E769" s="135"/>
      <c r="F769" s="271"/>
      <c r="G769" s="271"/>
    </row>
    <row r="770" spans="1:7">
      <c r="A770" s="1968" t="s">
        <v>472</v>
      </c>
      <c r="B770" s="1968"/>
      <c r="C770" s="1968"/>
      <c r="D770" s="1968"/>
      <c r="E770" s="1968"/>
      <c r="F770" s="1968"/>
      <c r="G770" s="1968"/>
    </row>
    <row r="771" spans="1:7">
      <c r="C771" s="260"/>
      <c r="D771" s="259"/>
      <c r="E771" s="135"/>
      <c r="F771" s="271"/>
      <c r="G771" s="271"/>
    </row>
    <row r="772" spans="1:7">
      <c r="A772" s="135"/>
      <c r="B772" s="1914" t="s">
        <v>469</v>
      </c>
      <c r="C772" s="1914"/>
      <c r="D772" s="1914"/>
      <c r="E772" s="1914"/>
      <c r="F772" s="1914"/>
      <c r="G772" s="271"/>
    </row>
    <row r="773" spans="1:7">
      <c r="A773" s="135"/>
      <c r="B773" s="135"/>
      <c r="C773" s="266"/>
      <c r="D773" s="271"/>
      <c r="E773" s="271"/>
      <c r="F773" s="271"/>
      <c r="G773" s="271"/>
    </row>
    <row r="774" spans="1:7">
      <c r="A774" s="1968" t="s">
        <v>473</v>
      </c>
      <c r="B774" s="1968"/>
      <c r="C774" s="1968"/>
      <c r="D774" s="1968"/>
      <c r="E774" s="1968"/>
      <c r="F774" s="1968"/>
      <c r="G774" s="1968"/>
    </row>
    <row r="775" spans="1:7">
      <c r="A775" s="135"/>
      <c r="B775" s="135"/>
    </row>
    <row r="776" spans="1:7">
      <c r="A776" s="135"/>
      <c r="B776" s="1914" t="s">
        <v>469</v>
      </c>
      <c r="C776" s="1914"/>
      <c r="D776" s="1914"/>
      <c r="E776" s="1914"/>
      <c r="F776" s="1914"/>
    </row>
    <row r="777" spans="1:7">
      <c r="A777" s="266"/>
      <c r="B777" s="266"/>
      <c r="C777" s="266"/>
      <c r="D777" s="258"/>
      <c r="F777" s="271"/>
    </row>
    <row r="778" spans="1:7">
      <c r="A778" s="1968" t="s">
        <v>474</v>
      </c>
      <c r="B778" s="1968"/>
      <c r="C778" s="1968"/>
      <c r="D778" s="1968"/>
      <c r="E778" s="1968"/>
      <c r="F778" s="1968"/>
      <c r="G778" s="1968"/>
    </row>
    <row r="779" spans="1:7">
      <c r="A779" s="135"/>
      <c r="B779" s="135"/>
    </row>
    <row r="780" spans="1:7">
      <c r="A780" s="135"/>
      <c r="B780" s="1914" t="s">
        <v>469</v>
      </c>
      <c r="C780" s="1914"/>
      <c r="D780" s="1914"/>
      <c r="E780" s="1914"/>
      <c r="F780" s="1914"/>
    </row>
    <row r="781" spans="1:7">
      <c r="A781" s="266"/>
      <c r="B781" s="266"/>
      <c r="C781" s="266"/>
      <c r="D781" s="258"/>
      <c r="F781" s="271"/>
    </row>
    <row r="782" spans="1:7">
      <c r="A782" s="1968" t="s">
        <v>475</v>
      </c>
      <c r="B782" s="1968"/>
      <c r="C782" s="1968"/>
      <c r="D782" s="1968"/>
      <c r="E782" s="1968"/>
      <c r="F782" s="1968"/>
      <c r="G782" s="1968"/>
    </row>
    <row r="783" spans="1:7">
      <c r="A783" s="135"/>
      <c r="B783" s="135"/>
    </row>
    <row r="784" spans="1:7">
      <c r="A784" s="135"/>
      <c r="B784" s="1914" t="s">
        <v>469</v>
      </c>
      <c r="C784" s="1914"/>
      <c r="D784" s="1914"/>
      <c r="E784" s="1914"/>
      <c r="F784" s="1914"/>
    </row>
    <row r="785" spans="1:7">
      <c r="A785" s="265"/>
      <c r="B785" s="265"/>
      <c r="C785" s="265"/>
      <c r="D785" s="277"/>
      <c r="E785" s="57"/>
      <c r="F785" s="57"/>
      <c r="G785" s="57"/>
    </row>
    <row r="786" spans="1:7">
      <c r="A786" s="1968" t="s">
        <v>192</v>
      </c>
      <c r="B786" s="1968"/>
      <c r="C786" s="1968"/>
      <c r="D786" s="1968"/>
      <c r="E786" s="1968"/>
      <c r="F786" s="1968"/>
      <c r="G786" s="1968"/>
    </row>
    <row r="787" spans="1:7">
      <c r="A787" s="135"/>
      <c r="B787" s="135"/>
    </row>
    <row r="788" spans="1:7">
      <c r="A788" s="135"/>
      <c r="B788" s="1914" t="s">
        <v>469</v>
      </c>
      <c r="C788" s="1914"/>
      <c r="D788" s="1914"/>
      <c r="E788" s="1914"/>
      <c r="F788" s="1914"/>
    </row>
    <row r="789" spans="1:7">
      <c r="A789" s="135"/>
      <c r="B789" s="135"/>
      <c r="D789" s="258"/>
    </row>
    <row r="790" spans="1:7">
      <c r="A790" s="1968" t="s">
        <v>937</v>
      </c>
      <c r="B790" s="1968"/>
      <c r="C790" s="1968"/>
      <c r="D790" s="1968"/>
      <c r="E790" s="1968"/>
      <c r="F790" s="1968"/>
      <c r="G790" s="1968"/>
    </row>
    <row r="791" spans="1:7">
      <c r="A791" s="135"/>
      <c r="B791" s="135"/>
    </row>
    <row r="792" spans="1:7">
      <c r="A792" s="135"/>
      <c r="B792" s="1914" t="s">
        <v>469</v>
      </c>
      <c r="C792" s="1914"/>
      <c r="D792" s="1914"/>
      <c r="E792" s="1914"/>
      <c r="F792" s="1914"/>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60" zoomScaleNormal="60" zoomScaleSheetLayoutView="100" workbookViewId="0">
      <selection activeCell="M31" sqref="M31"/>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77" t="s">
        <v>2400</v>
      </c>
      <c r="B2" s="1978"/>
      <c r="C2" s="1978"/>
      <c r="D2" s="1978"/>
      <c r="E2" s="1978"/>
      <c r="F2" s="1978"/>
      <c r="G2" s="1978"/>
      <c r="H2" s="1978"/>
      <c r="I2" s="1978"/>
      <c r="J2" s="1978"/>
    </row>
    <row r="3" spans="1:10" ht="15">
      <c r="A3" s="1982" t="s">
        <v>1500</v>
      </c>
      <c r="B3" s="1983"/>
      <c r="C3" s="1983"/>
      <c r="D3" s="1983"/>
      <c r="E3" s="1983"/>
      <c r="F3" s="1983"/>
      <c r="G3" s="1983"/>
      <c r="H3" s="1983"/>
      <c r="I3" s="1983"/>
      <c r="J3" s="1983"/>
    </row>
    <row r="4" spans="1:10" ht="12.75"/>
    <row r="5" spans="1:10" ht="12.75" customHeight="1">
      <c r="A5" s="1979" t="s">
        <v>2403</v>
      </c>
      <c r="B5" s="1979"/>
      <c r="C5" s="1979"/>
      <c r="D5" s="1979"/>
      <c r="E5" s="1979"/>
      <c r="F5" s="1979"/>
      <c r="G5" s="1979"/>
      <c r="H5" s="1979"/>
      <c r="I5" s="1979"/>
      <c r="J5" s="1979"/>
    </row>
    <row r="6" spans="1:10" ht="12.75">
      <c r="A6" s="1979"/>
      <c r="B6" s="1979"/>
      <c r="C6" s="1979"/>
      <c r="D6" s="1979"/>
      <c r="E6" s="1979"/>
      <c r="F6" s="1979"/>
      <c r="G6" s="1979"/>
      <c r="H6" s="1979"/>
      <c r="I6" s="1979"/>
      <c r="J6" s="1979"/>
    </row>
    <row r="7" spans="1:10" ht="30" customHeight="1">
      <c r="A7" s="1979"/>
      <c r="B7" s="1979"/>
      <c r="C7" s="1979"/>
      <c r="D7" s="1979"/>
      <c r="E7" s="1979"/>
      <c r="F7" s="1979"/>
      <c r="G7" s="1979"/>
      <c r="H7" s="1979"/>
      <c r="I7" s="1979"/>
      <c r="J7" s="1979"/>
    </row>
    <row r="8" spans="1:10" ht="12.75">
      <c r="A8" s="772"/>
      <c r="B8" s="772"/>
      <c r="C8" s="772"/>
      <c r="D8" s="772"/>
      <c r="E8" s="772"/>
      <c r="F8" s="772"/>
      <c r="G8" s="772"/>
      <c r="H8" s="772"/>
      <c r="I8" s="772"/>
      <c r="J8" s="772"/>
    </row>
    <row r="9" spans="1:10" ht="12.75" customHeight="1">
      <c r="A9" s="1829" t="s">
        <v>2404</v>
      </c>
      <c r="B9" s="1828"/>
      <c r="C9" s="1828"/>
      <c r="D9" s="1828"/>
      <c r="E9" s="1828"/>
      <c r="F9" s="1828"/>
      <c r="G9" s="1828"/>
      <c r="H9" s="1828"/>
      <c r="I9" s="1828"/>
      <c r="J9" s="1828"/>
    </row>
    <row r="10" spans="1:10" ht="12.75"/>
    <row r="11" spans="1:10" ht="12.75" customHeight="1">
      <c r="A11" s="1984" t="s">
        <v>2406</v>
      </c>
      <c r="B11" s="1984"/>
      <c r="C11" s="1984"/>
      <c r="D11" s="1984"/>
      <c r="E11" s="1984"/>
      <c r="F11" s="1984"/>
      <c r="G11" s="1984"/>
      <c r="H11" s="1984"/>
      <c r="I11" s="1984"/>
      <c r="J11" s="1984"/>
    </row>
    <row r="12" spans="1:10" ht="12.75">
      <c r="A12" s="1984"/>
      <c r="B12" s="1984"/>
      <c r="C12" s="1984"/>
      <c r="D12" s="1984"/>
      <c r="E12" s="1984"/>
      <c r="F12" s="1984"/>
      <c r="G12" s="1984"/>
      <c r="H12" s="1984"/>
      <c r="I12" s="1984"/>
      <c r="J12" s="1984"/>
    </row>
    <row r="13" spans="1:10" s="1768" customFormat="1" ht="12.75">
      <c r="A13" s="1984"/>
      <c r="B13" s="1984"/>
      <c r="C13" s="1984"/>
      <c r="D13" s="1984"/>
      <c r="E13" s="1984"/>
      <c r="F13" s="1984"/>
      <c r="G13" s="1984"/>
      <c r="H13" s="1984"/>
      <c r="I13" s="1984"/>
      <c r="J13" s="1984"/>
    </row>
    <row r="14" spans="1:10" ht="12.75">
      <c r="A14" s="1985"/>
      <c r="B14" s="1985"/>
      <c r="C14" s="1985"/>
      <c r="D14" s="1985"/>
      <c r="E14" s="1985"/>
      <c r="F14" s="1985"/>
      <c r="G14" s="1985"/>
      <c r="H14" s="1985"/>
      <c r="I14" s="1985"/>
      <c r="J14" s="1985"/>
    </row>
    <row r="15" spans="1:10" ht="12.75">
      <c r="A15" s="1985"/>
      <c r="B15" s="1985"/>
      <c r="C15" s="1985"/>
      <c r="D15" s="1985"/>
      <c r="E15" s="1985"/>
      <c r="F15" s="1985"/>
      <c r="G15" s="1985"/>
      <c r="H15" s="1985"/>
      <c r="I15" s="1985"/>
      <c r="J15" s="1985"/>
    </row>
    <row r="16" spans="1:10" ht="12.75">
      <c r="A16" s="1985"/>
      <c r="B16" s="1985"/>
      <c r="C16" s="1985"/>
      <c r="D16" s="1985"/>
      <c r="E16" s="1985"/>
      <c r="F16" s="1985"/>
      <c r="G16" s="1985"/>
      <c r="H16" s="1985"/>
      <c r="I16" s="1985"/>
      <c r="J16" s="1985"/>
    </row>
    <row r="17" spans="1:10" s="1768" customFormat="1" ht="12.75">
      <c r="A17" s="1831"/>
      <c r="B17" s="1831"/>
      <c r="C17" s="1831"/>
      <c r="D17" s="1831"/>
      <c r="E17" s="1831"/>
      <c r="F17" s="1831"/>
      <c r="G17" s="1831"/>
      <c r="H17" s="1831"/>
      <c r="I17" s="1831"/>
      <c r="J17" s="1831"/>
    </row>
    <row r="18" spans="1:10" ht="12.75">
      <c r="A18" s="773" t="s">
        <v>2405</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86" t="s">
        <v>1390</v>
      </c>
      <c r="B20" s="1983"/>
      <c r="C20" s="1983"/>
      <c r="D20" s="1983"/>
      <c r="E20" s="198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79" t="s">
        <v>1391</v>
      </c>
      <c r="B57" s="1980"/>
      <c r="C57" s="1980"/>
      <c r="D57" s="1980"/>
      <c r="E57" s="1980"/>
      <c r="F57" s="1980"/>
      <c r="G57" s="1980"/>
      <c r="H57" s="1980"/>
      <c r="I57" s="1980"/>
      <c r="J57" s="1980"/>
    </row>
    <row r="58" spans="1:10" ht="12.75">
      <c r="A58" s="1980"/>
      <c r="B58" s="1980"/>
      <c r="C58" s="1980"/>
      <c r="D58" s="1980"/>
      <c r="E58" s="1980"/>
      <c r="F58" s="1980"/>
      <c r="G58" s="1980"/>
      <c r="H58" s="1980"/>
      <c r="I58" s="1980"/>
      <c r="J58" s="1980"/>
    </row>
    <row r="59" spans="1:10" ht="12.75">
      <c r="A59" s="1980"/>
      <c r="B59" s="1980"/>
      <c r="C59" s="1980"/>
      <c r="D59" s="1980"/>
      <c r="E59" s="1980"/>
      <c r="F59" s="1980"/>
      <c r="G59" s="1980"/>
      <c r="H59" s="1980"/>
      <c r="I59" s="1980"/>
      <c r="J59" s="1980"/>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81" t="s">
        <v>2401</v>
      </c>
      <c r="B72" s="1981"/>
      <c r="C72" s="1981"/>
      <c r="D72" s="1981"/>
      <c r="E72" s="1981"/>
      <c r="F72" s="1981"/>
      <c r="G72" s="1981"/>
      <c r="H72" s="1981"/>
      <c r="I72" s="1981"/>
    </row>
    <row r="73" spans="1:9" ht="12.75">
      <c r="A73" s="1905" t="s">
        <v>1093</v>
      </c>
      <c r="B73" s="1905"/>
      <c r="C73" s="1905"/>
      <c r="D73" s="1905"/>
      <c r="E73" s="1905"/>
    </row>
    <row r="74" spans="1:9" ht="12.75">
      <c r="A74" s="1905" t="s">
        <v>1392</v>
      </c>
      <c r="B74" s="1905"/>
      <c r="C74" s="1905"/>
      <c r="D74" s="1905"/>
      <c r="E74" s="1905"/>
    </row>
    <row r="75" spans="1:9" ht="12.75">
      <c r="A75" s="1905" t="s">
        <v>2402</v>
      </c>
      <c r="B75" s="1905"/>
      <c r="C75" s="1905"/>
      <c r="D75" s="1905"/>
      <c r="E75" s="1905"/>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K1992"/>
  <sheetViews>
    <sheetView showGridLines="0" tabSelected="1" topLeftCell="A156" zoomScaleNormal="100" zoomScaleSheetLayoutView="100" workbookViewId="0">
      <selection activeCell="B165" sqref="B165"/>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3" customWidth="1"/>
    <col min="10" max="16384" width="8.85546875" style="790"/>
  </cols>
  <sheetData>
    <row r="1" spans="1:9"/>
    <row r="2" spans="1:9">
      <c r="A2" s="2037" t="s">
        <v>2241</v>
      </c>
      <c r="B2" s="2037"/>
      <c r="C2" s="2037"/>
      <c r="D2" s="2037"/>
      <c r="E2" s="2037"/>
      <c r="F2" s="2037"/>
      <c r="G2" s="2037"/>
      <c r="H2" s="2037"/>
      <c r="I2" s="2037"/>
    </row>
    <row r="3" spans="1:9">
      <c r="A3" s="2038" t="s">
        <v>2242</v>
      </c>
      <c r="B3" s="2038"/>
      <c r="C3" s="2038"/>
      <c r="D3" s="2038"/>
      <c r="E3" s="2038"/>
      <c r="F3" s="2038"/>
      <c r="G3" s="2038"/>
      <c r="H3" s="2038"/>
      <c r="I3" s="2038"/>
    </row>
    <row r="4" spans="1:9">
      <c r="A4" s="2018"/>
      <c r="B4" s="2018"/>
      <c r="C4" s="2019"/>
      <c r="D4" s="2019"/>
      <c r="E4" s="2019"/>
      <c r="F4" s="2019"/>
      <c r="G4" s="2019"/>
      <c r="I4" s="642"/>
    </row>
    <row r="5" spans="1:9" s="791" customFormat="1">
      <c r="A5" s="2018"/>
      <c r="B5" s="2018"/>
      <c r="C5" s="2024"/>
      <c r="D5" s="2024"/>
      <c r="E5" s="2024"/>
      <c r="F5" s="2024"/>
      <c r="G5" s="2024"/>
      <c r="I5" s="1836"/>
    </row>
    <row r="6" spans="1:9" s="791" customFormat="1">
      <c r="A6" s="2026" t="s">
        <v>1254</v>
      </c>
      <c r="B6" s="2026"/>
      <c r="C6" s="2027"/>
      <c r="D6" s="2027"/>
      <c r="E6" s="2027"/>
      <c r="F6" s="2027"/>
      <c r="G6" s="2027"/>
      <c r="I6" s="1835" t="s">
        <v>2416</v>
      </c>
    </row>
    <row r="7" spans="1:9" s="791" customFormat="1">
      <c r="A7" s="2026" t="s">
        <v>1255</v>
      </c>
      <c r="B7" s="2026"/>
      <c r="C7" s="2027"/>
      <c r="D7" s="2027"/>
      <c r="E7" s="2027"/>
      <c r="F7" s="2027"/>
      <c r="G7" s="2027"/>
      <c r="I7" s="1835" t="s">
        <v>2417</v>
      </c>
    </row>
    <row r="8" spans="1:9">
      <c r="A8" s="792"/>
      <c r="B8" s="792"/>
      <c r="C8" s="793"/>
      <c r="D8" s="793"/>
      <c r="E8" s="793"/>
      <c r="F8" s="793"/>
    </row>
    <row r="9" spans="1:9">
      <c r="A9" s="1955" t="s">
        <v>1257</v>
      </c>
      <c r="B9" s="1955"/>
      <c r="C9" s="1955"/>
      <c r="D9" s="1955"/>
      <c r="E9" s="1955"/>
      <c r="F9" s="1955"/>
      <c r="G9" s="1955"/>
      <c r="H9" s="1852"/>
      <c r="I9" s="1853"/>
    </row>
    <row r="10" spans="1:9">
      <c r="A10" s="793"/>
      <c r="B10" s="793"/>
      <c r="E10" s="794"/>
    </row>
    <row r="11" spans="1:9" ht="13.7" customHeight="1">
      <c r="C11" s="793"/>
      <c r="D11" s="2028" t="s">
        <v>1256</v>
      </c>
      <c r="E11" s="2028"/>
      <c r="F11" s="2028"/>
    </row>
    <row r="12" spans="1:9">
      <c r="C12" s="793"/>
      <c r="D12" s="2028"/>
      <c r="E12" s="2028"/>
      <c r="F12" s="2028"/>
    </row>
    <row r="13" spans="1:9">
      <c r="A13" s="795"/>
      <c r="B13" s="795"/>
      <c r="C13" s="795"/>
      <c r="D13" s="1939" t="s">
        <v>1239</v>
      </c>
      <c r="E13" s="1939"/>
      <c r="F13" s="1939"/>
    </row>
    <row r="14" spans="1:9">
      <c r="A14" s="795"/>
      <c r="B14" s="795"/>
      <c r="C14" s="795"/>
      <c r="D14" s="796"/>
    </row>
    <row r="15" spans="1:9" ht="14.25">
      <c r="A15" s="797"/>
      <c r="B15" s="798" t="s">
        <v>2733</v>
      </c>
      <c r="C15" s="799"/>
      <c r="D15" s="1937" t="s">
        <v>1240</v>
      </c>
      <c r="E15" s="1937"/>
      <c r="F15" s="1937"/>
      <c r="I15" s="1773" t="s">
        <v>2418</v>
      </c>
    </row>
    <row r="16" spans="1:9">
      <c r="A16" s="795"/>
      <c r="B16" s="795"/>
      <c r="C16" s="799"/>
      <c r="D16" s="1937"/>
      <c r="E16" s="1937"/>
      <c r="F16" s="1937"/>
    </row>
    <row r="17" spans="1:9">
      <c r="A17" s="795"/>
      <c r="B17" s="795"/>
      <c r="C17" s="799"/>
      <c r="D17" s="1937"/>
      <c r="E17" s="1937"/>
      <c r="F17" s="1937"/>
    </row>
    <row r="18" spans="1:9">
      <c r="A18" s="795"/>
      <c r="B18" s="795"/>
      <c r="C18" s="795"/>
    </row>
    <row r="19" spans="1:9" ht="14.25">
      <c r="A19" s="797"/>
      <c r="B19" s="798" t="s">
        <v>2733</v>
      </c>
      <c r="D19" s="1963" t="s">
        <v>1241</v>
      </c>
      <c r="E19" s="1963"/>
      <c r="F19" s="1963"/>
      <c r="I19" s="1773" t="s">
        <v>2419</v>
      </c>
    </row>
    <row r="20" spans="1:9" ht="14.25">
      <c r="A20" s="797"/>
      <c r="B20" s="797"/>
      <c r="D20" s="800"/>
    </row>
    <row r="21" spans="1:9" ht="14.25">
      <c r="A21" s="797"/>
      <c r="B21" s="798" t="s">
        <v>2734</v>
      </c>
      <c r="D21" s="1937" t="s">
        <v>1242</v>
      </c>
      <c r="E21" s="1937"/>
      <c r="F21" s="1937"/>
      <c r="I21" s="1773" t="s">
        <v>2419</v>
      </c>
    </row>
    <row r="22" spans="1:9" ht="14.25">
      <c r="A22" s="797"/>
      <c r="B22" s="797"/>
      <c r="D22" s="1937"/>
      <c r="E22" s="1937"/>
      <c r="F22" s="1937"/>
    </row>
    <row r="23" spans="1:9"/>
    <row r="24" spans="1:9" ht="14.25">
      <c r="A24" s="797"/>
      <c r="B24" s="798" t="s">
        <v>2733</v>
      </c>
      <c r="D24" s="2023" t="s">
        <v>1243</v>
      </c>
      <c r="E24" s="2023"/>
      <c r="F24" s="2023"/>
      <c r="I24" s="1773" t="s">
        <v>2422</v>
      </c>
    </row>
    <row r="25" spans="1:9">
      <c r="D25" s="2023"/>
      <c r="E25" s="2023"/>
      <c r="F25" s="2023"/>
    </row>
    <row r="26" spans="1:9">
      <c r="D26" s="2023"/>
      <c r="E26" s="2023"/>
      <c r="F26" s="2023"/>
    </row>
    <row r="27" spans="1:9">
      <c r="D27" s="2023"/>
      <c r="E27" s="2023"/>
      <c r="F27" s="2023"/>
    </row>
    <row r="28" spans="1:9">
      <c r="D28" s="2023"/>
      <c r="E28" s="2023"/>
      <c r="F28" s="2023"/>
    </row>
    <row r="29" spans="1:9" s="791" customFormat="1">
      <c r="A29" s="801"/>
      <c r="B29" s="801"/>
      <c r="C29" s="801"/>
      <c r="D29" s="733"/>
      <c r="E29" s="802"/>
      <c r="F29" s="802"/>
      <c r="G29" s="802"/>
      <c r="I29" s="1836"/>
    </row>
    <row r="30" spans="1:9" s="791" customFormat="1">
      <c r="A30" s="801"/>
      <c r="B30" s="798" t="s">
        <v>2734</v>
      </c>
      <c r="C30" s="801"/>
      <c r="D30" s="1938" t="s">
        <v>1244</v>
      </c>
      <c r="E30" s="1938"/>
      <c r="F30" s="1938"/>
      <c r="G30" s="802"/>
      <c r="I30" s="1836" t="s">
        <v>2418</v>
      </c>
    </row>
    <row r="31" spans="1:9" s="791" customFormat="1">
      <c r="A31" s="801"/>
      <c r="B31" s="801"/>
      <c r="C31" s="801"/>
      <c r="D31" s="1938"/>
      <c r="E31" s="1938"/>
      <c r="F31" s="1938"/>
      <c r="G31" s="802"/>
      <c r="I31" s="1836"/>
    </row>
    <row r="32" spans="1:9" ht="14.25">
      <c r="A32" s="797"/>
      <c r="B32" s="797"/>
      <c r="D32" s="803"/>
    </row>
    <row r="33" spans="1:9" ht="14.45" customHeight="1">
      <c r="A33" s="797"/>
      <c r="B33" s="798" t="s">
        <v>2733</v>
      </c>
      <c r="D33" s="1938" t="s">
        <v>1423</v>
      </c>
      <c r="E33" s="1938"/>
      <c r="F33" s="1938"/>
      <c r="I33" s="1836" t="s">
        <v>2490</v>
      </c>
    </row>
    <row r="34" spans="1:9" ht="14.25">
      <c r="A34" s="797"/>
      <c r="B34" s="797"/>
      <c r="D34" s="1938"/>
      <c r="E34" s="1938"/>
      <c r="F34" s="1938"/>
    </row>
    <row r="35" spans="1:9" ht="14.25">
      <c r="A35" s="797"/>
      <c r="B35" s="797"/>
      <c r="D35" s="1938"/>
      <c r="E35" s="1938"/>
      <c r="F35" s="1938"/>
    </row>
    <row r="36" spans="1:9" ht="14.25">
      <c r="A36" s="797"/>
      <c r="B36" s="797"/>
      <c r="D36" s="1938"/>
      <c r="E36" s="1938"/>
      <c r="F36" s="1938"/>
    </row>
    <row r="37" spans="1:9" ht="14.25">
      <c r="A37" s="797"/>
      <c r="B37" s="797"/>
      <c r="D37" s="790"/>
    </row>
    <row r="38" spans="1:9" ht="14.25">
      <c r="A38" s="797"/>
      <c r="B38" s="798" t="s">
        <v>2734</v>
      </c>
      <c r="D38" s="1938" t="s">
        <v>1246</v>
      </c>
      <c r="E38" s="1938"/>
      <c r="F38" s="1938"/>
    </row>
    <row r="39" spans="1:9" ht="14.25">
      <c r="A39" s="797"/>
      <c r="B39" s="797"/>
      <c r="D39" s="1938"/>
      <c r="E39" s="1938"/>
      <c r="F39" s="1938"/>
    </row>
    <row r="40" spans="1:9" ht="14.25">
      <c r="A40" s="797"/>
      <c r="B40" s="797"/>
      <c r="D40" s="1938"/>
      <c r="E40" s="1938"/>
      <c r="F40" s="1938"/>
    </row>
    <row r="41" spans="1:9" ht="14.25">
      <c r="A41" s="797"/>
      <c r="B41" s="797"/>
      <c r="D41" s="1938"/>
      <c r="E41" s="1938"/>
      <c r="F41" s="1938"/>
    </row>
    <row r="42" spans="1:9" ht="14.25">
      <c r="A42" s="797"/>
      <c r="B42" s="797"/>
      <c r="D42" s="1938"/>
      <c r="E42" s="1938"/>
      <c r="F42" s="1938"/>
    </row>
    <row r="43" spans="1:9" ht="14.25">
      <c r="A43" s="797"/>
      <c r="B43" s="797"/>
      <c r="D43" s="781"/>
      <c r="E43" s="781"/>
      <c r="F43" s="781"/>
    </row>
    <row r="44" spans="1:9" ht="14.25">
      <c r="A44" s="797"/>
      <c r="B44" s="798" t="s">
        <v>2733</v>
      </c>
      <c r="D44" s="1938" t="s">
        <v>1247</v>
      </c>
      <c r="E44" s="1938"/>
      <c r="F44" s="1938"/>
      <c r="I44" s="1836" t="s">
        <v>2490</v>
      </c>
    </row>
    <row r="45" spans="1:9" ht="14.25">
      <c r="A45" s="797"/>
      <c r="B45" s="797"/>
      <c r="D45" s="1938"/>
      <c r="E45" s="1938"/>
      <c r="F45" s="1938"/>
    </row>
    <row r="46" spans="1:9" ht="14.25">
      <c r="A46" s="797"/>
      <c r="B46" s="797"/>
      <c r="D46" s="1938"/>
      <c r="E46" s="1938"/>
      <c r="F46" s="1938"/>
    </row>
    <row r="47" spans="1:9" ht="23.25" customHeight="1">
      <c r="A47" s="797"/>
      <c r="B47" s="797"/>
      <c r="D47" s="1938"/>
      <c r="E47" s="1938"/>
      <c r="F47" s="1938"/>
    </row>
    <row r="48" spans="1:9" ht="14.25">
      <c r="A48" s="797"/>
      <c r="B48" s="797"/>
      <c r="D48" s="785"/>
    </row>
    <row r="49" spans="1:9" ht="14.45" customHeight="1">
      <c r="A49" s="797"/>
      <c r="B49" s="798" t="s">
        <v>2733</v>
      </c>
      <c r="D49" s="1938" t="s">
        <v>1248</v>
      </c>
      <c r="E49" s="1938"/>
      <c r="F49" s="1938"/>
      <c r="I49" s="1836" t="s">
        <v>2490</v>
      </c>
    </row>
    <row r="50" spans="1:9" ht="14.25">
      <c r="A50" s="797"/>
      <c r="B50" s="797"/>
      <c r="D50" s="1938"/>
      <c r="E50" s="1938"/>
      <c r="F50" s="1938"/>
    </row>
    <row r="51" spans="1:9" ht="14.25">
      <c r="A51" s="797"/>
      <c r="B51" s="797"/>
      <c r="D51" s="1938"/>
      <c r="E51" s="1938"/>
      <c r="F51" s="1938"/>
    </row>
    <row r="52" spans="1:9" s="618" customFormat="1" ht="14.25">
      <c r="A52" s="797"/>
      <c r="B52" s="797"/>
      <c r="C52" s="804"/>
      <c r="D52" s="802"/>
      <c r="E52" s="693"/>
      <c r="F52" s="693"/>
      <c r="G52" s="693"/>
      <c r="I52" s="642"/>
    </row>
    <row r="53" spans="1:9" s="618" customFormat="1" ht="14.25">
      <c r="A53" s="805"/>
      <c r="B53" s="798" t="s">
        <v>2733</v>
      </c>
      <c r="C53" s="806"/>
      <c r="D53" s="1938" t="s">
        <v>1249</v>
      </c>
      <c r="E53" s="1938"/>
      <c r="F53" s="1938"/>
      <c r="G53" s="693"/>
      <c r="I53" s="1773"/>
    </row>
    <row r="54" spans="1:9" s="618" customFormat="1" ht="14.25">
      <c r="A54" s="805"/>
      <c r="B54" s="805"/>
      <c r="C54" s="806"/>
      <c r="D54" s="1938"/>
      <c r="E54" s="1938"/>
      <c r="F54" s="1938"/>
      <c r="G54" s="693"/>
      <c r="I54" s="642"/>
    </row>
    <row r="55" spans="1:9" s="791" customFormat="1">
      <c r="A55" s="801"/>
      <c r="B55" s="801"/>
      <c r="C55" s="801"/>
      <c r="D55" s="733"/>
      <c r="E55" s="802"/>
      <c r="F55" s="802"/>
      <c r="G55" s="802"/>
      <c r="I55" s="1836"/>
    </row>
    <row r="56" spans="1:9" ht="14.25">
      <c r="A56" s="797"/>
      <c r="B56" s="798" t="s">
        <v>2734</v>
      </c>
      <c r="D56" s="1938" t="s">
        <v>1250</v>
      </c>
      <c r="E56" s="1938"/>
      <c r="F56" s="1938"/>
      <c r="I56" s="1773" t="s">
        <v>2420</v>
      </c>
    </row>
    <row r="57" spans="1:9">
      <c r="D57" s="1938"/>
      <c r="E57" s="1938"/>
      <c r="F57" s="1938"/>
    </row>
    <row r="58" spans="1:9">
      <c r="D58" s="1938"/>
      <c r="E58" s="1938"/>
      <c r="F58" s="1938"/>
    </row>
    <row r="59" spans="1:9">
      <c r="D59" s="693"/>
    </row>
    <row r="60" spans="1:9" ht="14.25">
      <c r="A60" s="797"/>
      <c r="B60" s="798" t="s">
        <v>2733</v>
      </c>
      <c r="D60" s="1938" t="s">
        <v>1251</v>
      </c>
      <c r="E60" s="1938"/>
      <c r="F60" s="1938"/>
      <c r="I60" s="1773" t="s">
        <v>2421</v>
      </c>
    </row>
    <row r="61" spans="1:9">
      <c r="D61" s="1938"/>
      <c r="E61" s="1938"/>
      <c r="F61" s="1938"/>
    </row>
    <row r="62" spans="1:9"/>
    <row r="63" spans="1:9" ht="14.25">
      <c r="A63" s="797"/>
      <c r="B63" s="798" t="s">
        <v>2734</v>
      </c>
      <c r="D63" s="1938" t="s">
        <v>1252</v>
      </c>
      <c r="E63" s="1938"/>
      <c r="F63" s="1938"/>
    </row>
    <row r="64" spans="1:9">
      <c r="D64" s="1938"/>
      <c r="E64" s="1938"/>
      <c r="F64" s="1938"/>
      <c r="I64" s="1773" t="s">
        <v>2422</v>
      </c>
    </row>
    <row r="65" spans="1:9">
      <c r="D65" s="1938"/>
      <c r="E65" s="1938"/>
      <c r="F65" s="1938"/>
    </row>
    <row r="66" spans="1:9">
      <c r="D66" s="790"/>
    </row>
    <row r="67" spans="1:9" ht="14.25">
      <c r="A67" s="797"/>
      <c r="B67" s="798" t="s">
        <v>2733</v>
      </c>
      <c r="D67" s="1937" t="s">
        <v>1253</v>
      </c>
      <c r="E67" s="1937"/>
      <c r="F67" s="1937"/>
      <c r="I67" s="1773" t="s">
        <v>2422</v>
      </c>
    </row>
    <row r="68" spans="1:9">
      <c r="D68" s="1937"/>
      <c r="E68" s="1937"/>
      <c r="F68" s="1937"/>
    </row>
    <row r="69" spans="1:9" ht="14.25">
      <c r="A69" s="797"/>
      <c r="B69" s="797"/>
      <c r="D69" s="800"/>
    </row>
    <row r="70" spans="1:9">
      <c r="A70" s="1919" t="s">
        <v>1160</v>
      </c>
      <c r="B70" s="1919"/>
      <c r="C70" s="1919"/>
      <c r="D70" s="1919"/>
      <c r="E70" s="1919"/>
      <c r="F70" s="1919"/>
      <c r="G70" s="1919"/>
      <c r="H70" s="1852"/>
      <c r="I70" s="1853"/>
    </row>
    <row r="71" spans="1:9"/>
    <row r="72" spans="1:9">
      <c r="C72" s="807"/>
      <c r="D72" s="2008" t="s">
        <v>1258</v>
      </c>
      <c r="E72" s="2008"/>
      <c r="F72" s="2008"/>
    </row>
    <row r="73" spans="1:9">
      <c r="A73" s="800"/>
      <c r="B73" s="800"/>
      <c r="D73" s="1937" t="s">
        <v>1285</v>
      </c>
      <c r="E73" s="1937"/>
      <c r="F73" s="1937"/>
    </row>
    <row r="74" spans="1:9">
      <c r="A74" s="800"/>
      <c r="B74" s="800"/>
    </row>
    <row r="75" spans="1:9" ht="13.7" customHeight="1">
      <c r="A75" s="797"/>
      <c r="B75" s="798" t="s">
        <v>2733</v>
      </c>
      <c r="D75" s="1937" t="s">
        <v>1472</v>
      </c>
      <c r="E75" s="1937"/>
      <c r="F75" s="1937"/>
      <c r="I75" s="1773" t="s">
        <v>2423</v>
      </c>
    </row>
    <row r="76" spans="1:9" ht="14.25">
      <c r="A76" s="797"/>
      <c r="B76" s="797"/>
      <c r="D76" s="1937"/>
      <c r="E76" s="1937"/>
      <c r="F76" s="1937"/>
    </row>
    <row r="77" spans="1:9" ht="14.25">
      <c r="A77" s="797"/>
      <c r="B77" s="797"/>
      <c r="D77" s="1937"/>
      <c r="E77" s="1937"/>
      <c r="F77" s="1937"/>
    </row>
    <row r="78" spans="1:9" ht="14.25">
      <c r="A78" s="797"/>
      <c r="B78" s="797"/>
      <c r="D78" s="1937"/>
      <c r="E78" s="1937"/>
      <c r="F78" s="1937"/>
    </row>
    <row r="79" spans="1:9" ht="14.25">
      <c r="A79" s="797"/>
      <c r="B79" s="797"/>
      <c r="D79" s="1937"/>
      <c r="E79" s="1937"/>
      <c r="F79" s="1937"/>
    </row>
    <row r="80" spans="1:9" ht="14.25">
      <c r="A80" s="797"/>
      <c r="B80" s="797"/>
      <c r="D80" s="1937"/>
      <c r="E80" s="1937"/>
      <c r="F80" s="1937"/>
    </row>
    <row r="81" spans="1:9" ht="14.25">
      <c r="A81" s="797"/>
      <c r="B81" s="797"/>
      <c r="D81" s="1937"/>
      <c r="E81" s="1937"/>
      <c r="F81" s="1937"/>
    </row>
    <row r="82" spans="1:9" ht="14.25">
      <c r="A82" s="797"/>
      <c r="B82" s="797"/>
      <c r="D82" s="1937"/>
      <c r="E82" s="1937"/>
      <c r="F82" s="1937"/>
    </row>
    <row r="83" spans="1:9" ht="14.25">
      <c r="A83" s="797"/>
      <c r="B83" s="797"/>
      <c r="D83" s="878"/>
      <c r="E83" s="878"/>
      <c r="F83" s="878"/>
    </row>
    <row r="84" spans="1:9" ht="15" customHeight="1">
      <c r="A84" s="797"/>
      <c r="B84" s="798" t="s">
        <v>2733</v>
      </c>
      <c r="D84" s="1937" t="s">
        <v>2243</v>
      </c>
      <c r="E84" s="1937"/>
      <c r="F84" s="1937"/>
      <c r="I84" s="1773" t="s">
        <v>2424</v>
      </c>
    </row>
    <row r="85" spans="1:9" ht="14.25">
      <c r="A85" s="797"/>
      <c r="B85" s="797"/>
      <c r="D85" s="1937"/>
      <c r="E85" s="1937"/>
      <c r="F85" s="1937"/>
    </row>
    <row r="86" spans="1:9" ht="14.25">
      <c r="A86" s="797"/>
      <c r="B86" s="797"/>
      <c r="D86" s="1711"/>
      <c r="E86" s="1711"/>
      <c r="F86" s="1711"/>
    </row>
    <row r="87" spans="1:9" ht="14.25">
      <c r="A87" s="797"/>
      <c r="B87" s="798" t="s">
        <v>2733</v>
      </c>
      <c r="D87" s="1937" t="s">
        <v>2247</v>
      </c>
      <c r="E87" s="1937"/>
      <c r="F87" s="1937"/>
      <c r="I87" s="1773" t="s">
        <v>2425</v>
      </c>
    </row>
    <row r="88" spans="1:9" ht="14.25">
      <c r="A88" s="797"/>
      <c r="B88" s="797"/>
      <c r="D88" s="1937"/>
      <c r="E88" s="1937"/>
      <c r="F88" s="1937"/>
    </row>
    <row r="89" spans="1:9" ht="14.25">
      <c r="A89" s="797"/>
      <c r="B89" s="797"/>
      <c r="D89" s="1937"/>
      <c r="E89" s="1937"/>
      <c r="F89" s="1937"/>
    </row>
    <row r="90" spans="1:9" ht="14.25">
      <c r="A90" s="797"/>
      <c r="B90" s="797"/>
      <c r="D90" s="1711"/>
      <c r="E90" s="1711"/>
      <c r="F90" s="1711"/>
    </row>
    <row r="91" spans="1:9" ht="14.25">
      <c r="A91" s="797"/>
      <c r="B91" s="798" t="s">
        <v>2733</v>
      </c>
      <c r="D91" s="1937" t="s">
        <v>2245</v>
      </c>
      <c r="E91" s="1937"/>
      <c r="F91" s="1937"/>
      <c r="I91" s="1773" t="s">
        <v>2470</v>
      </c>
    </row>
    <row r="92" spans="1:9" s="1728" customFormat="1" ht="14.25">
      <c r="A92" s="1726"/>
      <c r="B92" s="1726"/>
      <c r="C92" s="1727"/>
      <c r="D92" s="1937"/>
      <c r="E92" s="1937"/>
      <c r="F92" s="1937"/>
      <c r="I92" s="1837"/>
    </row>
    <row r="93" spans="1:9" ht="14.25">
      <c r="A93" s="797"/>
      <c r="B93" s="797"/>
      <c r="D93" s="1717"/>
      <c r="E93" s="1718" t="s">
        <v>2246</v>
      </c>
      <c r="F93" s="1711"/>
    </row>
    <row r="94" spans="1:9" ht="14.25">
      <c r="A94" s="797"/>
      <c r="B94" s="797"/>
      <c r="D94" s="878"/>
      <c r="E94" s="878"/>
      <c r="F94" s="878"/>
    </row>
    <row r="95" spans="1:9" ht="14.25">
      <c r="A95" s="797"/>
      <c r="B95" s="798" t="s">
        <v>2734</v>
      </c>
      <c r="D95" s="1937" t="s">
        <v>2244</v>
      </c>
      <c r="E95" s="1937"/>
      <c r="F95" s="1937"/>
      <c r="I95" s="1773" t="s">
        <v>2426</v>
      </c>
    </row>
    <row r="96" spans="1:9" ht="14.25">
      <c r="A96" s="797"/>
      <c r="B96" s="797"/>
      <c r="D96" s="1937"/>
      <c r="E96" s="1937"/>
      <c r="F96" s="1937"/>
    </row>
    <row r="97" spans="1:9" ht="14.25">
      <c r="A97" s="797"/>
      <c r="B97" s="797"/>
      <c r="D97" s="1711"/>
      <c r="E97" s="1711"/>
      <c r="F97" s="1711"/>
    </row>
    <row r="98" spans="1:9" ht="14.45" customHeight="1">
      <c r="A98" s="797"/>
      <c r="B98" s="798" t="s">
        <v>2734</v>
      </c>
      <c r="D98" s="1937" t="s">
        <v>1398</v>
      </c>
      <c r="E98" s="1937"/>
      <c r="F98" s="1937"/>
      <c r="G98" s="790"/>
      <c r="I98" s="1773" t="s">
        <v>2427</v>
      </c>
    </row>
    <row r="99" spans="1:9" ht="14.25">
      <c r="A99" s="797"/>
      <c r="B99" s="797"/>
      <c r="D99" s="1937"/>
      <c r="E99" s="1937"/>
      <c r="F99" s="1937"/>
      <c r="G99" s="790"/>
    </row>
    <row r="100" spans="1:9" ht="14.25">
      <c r="A100" s="797"/>
      <c r="B100" s="797"/>
      <c r="D100" s="1937"/>
      <c r="E100" s="1937"/>
      <c r="F100" s="1937"/>
      <c r="G100" s="790"/>
    </row>
    <row r="101" spans="1:9" ht="14.25">
      <c r="A101" s="797"/>
      <c r="B101" s="797"/>
      <c r="D101" s="1937"/>
      <c r="E101" s="1937"/>
      <c r="F101" s="1937"/>
      <c r="G101" s="790"/>
    </row>
    <row r="102" spans="1:9" ht="14.25">
      <c r="A102" s="797"/>
      <c r="B102" s="797"/>
      <c r="D102" s="1937"/>
      <c r="E102" s="1937"/>
      <c r="F102" s="1937"/>
      <c r="G102" s="790"/>
    </row>
    <row r="103" spans="1:9" ht="14.25">
      <c r="A103" s="797"/>
      <c r="B103" s="797"/>
      <c r="D103" s="1937"/>
      <c r="E103" s="1937"/>
      <c r="F103" s="1937"/>
      <c r="G103" s="790"/>
    </row>
    <row r="104" spans="1:9" ht="14.25">
      <c r="A104" s="797"/>
      <c r="B104" s="797"/>
      <c r="D104" s="1937"/>
      <c r="E104" s="1937"/>
      <c r="F104" s="1937"/>
      <c r="G104" s="790"/>
    </row>
    <row r="105" spans="1:9" ht="14.25">
      <c r="A105" s="797"/>
      <c r="B105" s="797"/>
      <c r="D105" s="1937"/>
      <c r="E105" s="1937"/>
      <c r="F105" s="1937"/>
      <c r="G105" s="790"/>
    </row>
    <row r="106" spans="1:9" ht="14.25">
      <c r="A106" s="797"/>
      <c r="B106" s="797"/>
      <c r="D106" s="1937"/>
      <c r="E106" s="1937"/>
      <c r="F106" s="1937"/>
      <c r="G106" s="790"/>
    </row>
    <row r="107" spans="1:9" ht="14.25">
      <c r="A107" s="797"/>
      <c r="B107" s="797"/>
      <c r="D107" s="1937"/>
      <c r="E107" s="1937"/>
      <c r="F107" s="1937"/>
      <c r="G107" s="790"/>
    </row>
    <row r="108" spans="1:9" ht="14.25">
      <c r="A108" s="797"/>
      <c r="B108" s="797"/>
      <c r="D108" s="1937"/>
      <c r="E108" s="1937"/>
      <c r="F108" s="1937"/>
      <c r="G108" s="790"/>
    </row>
    <row r="109" spans="1:9" ht="14.25">
      <c r="A109" s="797"/>
      <c r="B109" s="797"/>
      <c r="D109" s="1937"/>
      <c r="E109" s="1937"/>
      <c r="F109" s="1937"/>
      <c r="G109" s="790"/>
    </row>
    <row r="110" spans="1:9" ht="14.25">
      <c r="A110" s="797"/>
      <c r="B110" s="797"/>
      <c r="D110" s="1937"/>
      <c r="E110" s="1937"/>
      <c r="F110" s="1937"/>
      <c r="G110" s="790"/>
    </row>
    <row r="111" spans="1:9" ht="14.25">
      <c r="A111" s="797"/>
      <c r="B111" s="797"/>
      <c r="D111" s="1937"/>
      <c r="E111" s="1937"/>
      <c r="F111" s="1937"/>
    </row>
    <row r="112" spans="1:9" ht="14.25">
      <c r="A112" s="797"/>
      <c r="B112" s="797"/>
      <c r="D112" s="1937"/>
      <c r="E112" s="1937"/>
      <c r="F112" s="1937"/>
    </row>
    <row r="113" spans="1:11" ht="14.25">
      <c r="A113" s="797"/>
      <c r="B113" s="797"/>
      <c r="D113" s="904"/>
      <c r="E113" s="904"/>
      <c r="F113" s="904"/>
    </row>
    <row r="114" spans="1:11" ht="14.25" customHeight="1">
      <c r="A114" s="797"/>
      <c r="B114" s="798" t="s">
        <v>2734</v>
      </c>
      <c r="D114" s="1957" t="s">
        <v>1260</v>
      </c>
      <c r="E114" s="1957"/>
      <c r="F114" s="1957"/>
    </row>
    <row r="115" spans="1:11" ht="14.25">
      <c r="A115" s="797"/>
      <c r="B115" s="797"/>
      <c r="D115" s="1957"/>
      <c r="E115" s="1957"/>
      <c r="F115" s="1957"/>
    </row>
    <row r="116" spans="1:11" ht="14.25">
      <c r="A116" s="797"/>
      <c r="B116" s="797"/>
      <c r="D116" s="1957"/>
      <c r="E116" s="1957"/>
      <c r="F116" s="1957"/>
    </row>
    <row r="117" spans="1:11" ht="14.25">
      <c r="A117" s="797"/>
      <c r="B117" s="797"/>
      <c r="D117" s="1957"/>
      <c r="E117" s="1957"/>
      <c r="F117" s="1957"/>
    </row>
    <row r="118" spans="1:11" ht="14.25">
      <c r="A118" s="797"/>
      <c r="B118" s="797"/>
      <c r="D118" s="1957"/>
      <c r="E118" s="1957"/>
      <c r="F118" s="1957"/>
    </row>
    <row r="119" spans="1:11" ht="14.25">
      <c r="A119" s="797"/>
      <c r="B119" s="797"/>
      <c r="D119" s="1957"/>
      <c r="E119" s="1957"/>
      <c r="F119" s="1957"/>
    </row>
    <row r="120" spans="1:11" ht="14.25">
      <c r="A120" s="797"/>
      <c r="B120" s="797"/>
      <c r="D120" s="1957"/>
      <c r="E120" s="1957"/>
      <c r="F120" s="1957"/>
    </row>
    <row r="121" spans="1:11" ht="14.25">
      <c r="A121" s="797"/>
      <c r="B121" s="797"/>
      <c r="D121" s="1957"/>
      <c r="E121" s="1957"/>
      <c r="F121" s="1957"/>
    </row>
    <row r="122" spans="1:11">
      <c r="C122" s="722"/>
      <c r="D122" s="905"/>
      <c r="E122" s="905"/>
      <c r="F122" s="905"/>
      <c r="G122" s="722"/>
      <c r="H122" s="722"/>
      <c r="I122" s="622"/>
      <c r="J122" s="722"/>
      <c r="K122" s="722"/>
    </row>
    <row r="123" spans="1:11" ht="14.25">
      <c r="A123" s="797"/>
      <c r="B123" s="798" t="s">
        <v>2733</v>
      </c>
      <c r="C123" s="722"/>
      <c r="D123" s="1957" t="s">
        <v>1262</v>
      </c>
      <c r="E123" s="1957"/>
      <c r="F123" s="1957"/>
      <c r="G123" s="722"/>
      <c r="H123" s="722"/>
      <c r="I123" s="622" t="s">
        <v>2428</v>
      </c>
      <c r="J123" s="722"/>
      <c r="K123" s="722"/>
    </row>
    <row r="124" spans="1:11" ht="14.25">
      <c r="A124" s="797"/>
      <c r="B124" s="797"/>
      <c r="C124" s="722"/>
      <c r="D124" s="1957"/>
      <c r="E124" s="1957"/>
      <c r="F124" s="1957"/>
      <c r="G124" s="722"/>
      <c r="H124" s="722"/>
      <c r="I124" s="622"/>
      <c r="J124" s="722"/>
      <c r="K124" s="722"/>
    </row>
    <row r="125" spans="1:11"/>
    <row r="126" spans="1:11" ht="14.25">
      <c r="A126" s="797"/>
      <c r="B126" s="798" t="s">
        <v>2733</v>
      </c>
      <c r="C126" s="804"/>
      <c r="D126" s="1937" t="s">
        <v>1263</v>
      </c>
      <c r="E126" s="1937"/>
      <c r="F126" s="1937"/>
      <c r="I126" s="622" t="s">
        <v>2428</v>
      </c>
    </row>
    <row r="127" spans="1:11">
      <c r="C127" s="804"/>
      <c r="D127" s="1937"/>
      <c r="E127" s="1937"/>
      <c r="F127" s="1937"/>
    </row>
    <row r="128" spans="1:11">
      <c r="C128" s="804"/>
      <c r="D128" s="1937"/>
      <c r="E128" s="1937"/>
      <c r="F128" s="1937"/>
    </row>
    <row r="129" spans="1:9">
      <c r="C129" s="804"/>
      <c r="D129" s="1937"/>
      <c r="E129" s="1937"/>
      <c r="F129" s="1937"/>
    </row>
    <row r="130" spans="1:9">
      <c r="C130" s="804"/>
      <c r="D130" s="1937"/>
      <c r="E130" s="1937"/>
      <c r="F130" s="1937"/>
    </row>
    <row r="131" spans="1:9">
      <c r="C131" s="804"/>
      <c r="D131" s="672"/>
      <c r="E131" s="672"/>
      <c r="F131" s="672"/>
    </row>
    <row r="132" spans="1:9" s="722" customFormat="1" ht="14.25">
      <c r="A132" s="797"/>
      <c r="B132" s="798" t="s">
        <v>2733</v>
      </c>
      <c r="C132" s="804"/>
      <c r="D132" s="1938" t="s">
        <v>1264</v>
      </c>
      <c r="E132" s="1938"/>
      <c r="F132" s="1938"/>
      <c r="G132" s="672"/>
      <c r="I132" s="622" t="s">
        <v>2429</v>
      </c>
    </row>
    <row r="133" spans="1:9" s="812" customFormat="1" ht="13.7" customHeight="1">
      <c r="A133" s="809"/>
      <c r="B133" s="809"/>
      <c r="C133" s="810"/>
      <c r="D133" s="1938"/>
      <c r="E133" s="1938"/>
      <c r="F133" s="1938"/>
      <c r="G133" s="811"/>
      <c r="I133" s="1838"/>
    </row>
    <row r="134" spans="1:9" s="722" customFormat="1" ht="13.7" customHeight="1">
      <c r="A134" s="788"/>
      <c r="B134" s="788"/>
      <c r="C134" s="804"/>
      <c r="D134" s="1938"/>
      <c r="E134" s="1938"/>
      <c r="F134" s="1938"/>
      <c r="G134" s="672"/>
      <c r="I134" s="622"/>
    </row>
    <row r="135" spans="1:9" s="722" customFormat="1" ht="13.7" customHeight="1">
      <c r="A135" s="788"/>
      <c r="B135" s="788"/>
      <c r="C135" s="804"/>
      <c r="D135" s="1938"/>
      <c r="E135" s="1938"/>
      <c r="F135" s="1938"/>
      <c r="G135" s="672"/>
      <c r="I135" s="622"/>
    </row>
    <row r="136" spans="1:9" s="722" customFormat="1" ht="13.7" customHeight="1">
      <c r="A136" s="788"/>
      <c r="B136" s="788"/>
      <c r="C136" s="804"/>
      <c r="D136" s="1938"/>
      <c r="E136" s="1938"/>
      <c r="F136" s="1938"/>
      <c r="G136" s="672"/>
      <c r="I136" s="622"/>
    </row>
    <row r="137" spans="1:9" s="722" customFormat="1" ht="13.7" customHeight="1">
      <c r="A137" s="813"/>
      <c r="B137" s="813"/>
      <c r="C137" s="804"/>
      <c r="D137" s="1938"/>
      <c r="E137" s="1938"/>
      <c r="F137" s="1938"/>
      <c r="G137" s="672"/>
      <c r="I137" s="622"/>
    </row>
    <row r="138" spans="1:9" s="618" customFormat="1" ht="13.7" customHeight="1">
      <c r="A138" s="801"/>
      <c r="B138" s="801"/>
      <c r="C138" s="806"/>
      <c r="D138" s="1938"/>
      <c r="E138" s="1938"/>
      <c r="F138" s="1938"/>
      <c r="G138" s="693"/>
      <c r="I138" s="642"/>
    </row>
    <row r="139" spans="1:9" s="618" customFormat="1" ht="13.7" customHeight="1">
      <c r="A139" s="801"/>
      <c r="B139" s="801"/>
      <c r="C139" s="806"/>
      <c r="D139" s="1938"/>
      <c r="E139" s="1938"/>
      <c r="F139" s="1938"/>
      <c r="G139" s="693"/>
      <c r="I139" s="642"/>
    </row>
    <row r="140" spans="1:9" s="722" customFormat="1" ht="13.7" customHeight="1">
      <c r="A140" s="788"/>
      <c r="B140" s="788"/>
      <c r="C140" s="804"/>
      <c r="D140" s="1938"/>
      <c r="E140" s="1938"/>
      <c r="F140" s="1938"/>
      <c r="G140" s="672"/>
      <c r="I140" s="622"/>
    </row>
    <row r="141" spans="1:9" s="722" customFormat="1" ht="13.7" customHeight="1">
      <c r="A141" s="788"/>
      <c r="B141" s="788"/>
      <c r="C141" s="804"/>
      <c r="D141" s="1938"/>
      <c r="E141" s="1938"/>
      <c r="F141" s="1938"/>
      <c r="G141" s="672"/>
      <c r="I141" s="622"/>
    </row>
    <row r="142" spans="1:9" s="722" customFormat="1" ht="13.7" customHeight="1">
      <c r="A142" s="788"/>
      <c r="B142" s="788"/>
      <c r="C142" s="804"/>
      <c r="D142" s="1938"/>
      <c r="E142" s="1938"/>
      <c r="F142" s="1938"/>
      <c r="G142" s="672"/>
      <c r="I142" s="622"/>
    </row>
    <row r="143" spans="1:9" s="722" customFormat="1" ht="13.7" customHeight="1">
      <c r="A143" s="788"/>
      <c r="B143" s="788"/>
      <c r="C143" s="804"/>
      <c r="D143" s="1938"/>
      <c r="E143" s="1938"/>
      <c r="F143" s="1938"/>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2734</v>
      </c>
      <c r="C145" s="804"/>
      <c r="D145" s="2021" t="s">
        <v>1372</v>
      </c>
      <c r="E145" s="2021"/>
      <c r="F145" s="2021"/>
      <c r="G145" s="672"/>
      <c r="I145" s="622" t="s">
        <v>2430</v>
      </c>
    </row>
    <row r="146" spans="1:9" s="722" customFormat="1" ht="13.7" customHeight="1">
      <c r="A146" s="788"/>
      <c r="B146" s="788"/>
      <c r="C146" s="804"/>
      <c r="D146" s="2021"/>
      <c r="E146" s="2021"/>
      <c r="F146" s="2021"/>
      <c r="G146" s="672"/>
      <c r="I146" s="622"/>
    </row>
    <row r="147" spans="1:9" s="722" customFormat="1" ht="13.7" customHeight="1">
      <c r="A147" s="788"/>
      <c r="B147" s="788"/>
      <c r="C147" s="804"/>
      <c r="D147" s="2021"/>
      <c r="E147" s="2021"/>
      <c r="F147" s="2021"/>
      <c r="G147" s="672"/>
      <c r="I147" s="622"/>
    </row>
    <row r="148" spans="1:9" s="722" customFormat="1" ht="13.7" customHeight="1">
      <c r="A148" s="788"/>
      <c r="B148" s="788"/>
      <c r="C148" s="804"/>
      <c r="D148" s="2021"/>
      <c r="E148" s="2021"/>
      <c r="F148" s="2021"/>
      <c r="G148" s="672"/>
      <c r="I148" s="622"/>
    </row>
    <row r="149" spans="1:9" s="722" customFormat="1" ht="13.7" customHeight="1">
      <c r="A149" s="788"/>
      <c r="B149" s="788"/>
      <c r="C149" s="804"/>
      <c r="D149" s="2021"/>
      <c r="E149" s="2021"/>
      <c r="F149" s="2021"/>
      <c r="G149" s="672"/>
      <c r="I149" s="622"/>
    </row>
    <row r="150" spans="1:9" s="722" customFormat="1" ht="13.7" customHeight="1">
      <c r="A150" s="788"/>
      <c r="B150" s="788"/>
      <c r="C150" s="804"/>
      <c r="D150" s="2021"/>
      <c r="E150" s="2021"/>
      <c r="F150" s="2021"/>
      <c r="G150" s="672"/>
      <c r="I150" s="622"/>
    </row>
    <row r="151" spans="1:9" s="722" customFormat="1" ht="13.7" customHeight="1">
      <c r="A151" s="788"/>
      <c r="B151" s="788"/>
      <c r="C151" s="804"/>
      <c r="D151" s="2021"/>
      <c r="E151" s="2021"/>
      <c r="F151" s="2021"/>
      <c r="G151" s="672"/>
      <c r="I151" s="622"/>
    </row>
    <row r="152" spans="1:9" s="722" customFormat="1" ht="13.7" customHeight="1">
      <c r="A152" s="788"/>
      <c r="B152" s="788"/>
      <c r="C152" s="804"/>
      <c r="D152" s="2021"/>
      <c r="E152" s="2021"/>
      <c r="F152" s="2021"/>
      <c r="G152" s="672"/>
      <c r="I152" s="622"/>
    </row>
    <row r="153" spans="1:9" s="722" customFormat="1" ht="13.7" customHeight="1">
      <c r="A153" s="788"/>
      <c r="B153" s="788"/>
      <c r="C153" s="804"/>
      <c r="D153" s="2021"/>
      <c r="E153" s="2021"/>
      <c r="F153" s="2021"/>
      <c r="G153" s="672"/>
      <c r="I153" s="622"/>
    </row>
    <row r="154" spans="1:9" s="722" customFormat="1" ht="13.7" customHeight="1">
      <c r="A154" s="788"/>
      <c r="B154" s="788"/>
      <c r="C154" s="804"/>
      <c r="D154" s="2021"/>
      <c r="E154" s="2021"/>
      <c r="F154" s="2021"/>
      <c r="G154" s="672"/>
      <c r="I154" s="622"/>
    </row>
    <row r="155" spans="1:9" s="722" customFormat="1" ht="13.7" customHeight="1">
      <c r="A155" s="788"/>
      <c r="B155" s="788"/>
      <c r="C155" s="804"/>
      <c r="D155" s="2021"/>
      <c r="E155" s="2021"/>
      <c r="F155" s="2021"/>
      <c r="G155" s="672"/>
      <c r="I155" s="622"/>
    </row>
    <row r="156" spans="1:9" s="722" customFormat="1" ht="13.7" customHeight="1">
      <c r="A156" s="788"/>
      <c r="B156" s="788"/>
      <c r="C156" s="804"/>
      <c r="D156" s="2021"/>
      <c r="E156" s="2021"/>
      <c r="F156" s="2021"/>
      <c r="G156" s="672"/>
      <c r="I156" s="622"/>
    </row>
    <row r="157" spans="1:9" s="722" customFormat="1" ht="13.7" customHeight="1">
      <c r="A157" s="788"/>
      <c r="B157" s="788"/>
      <c r="C157" s="804"/>
      <c r="D157" s="2021"/>
      <c r="E157" s="2021"/>
      <c r="F157" s="2021"/>
      <c r="G157" s="672"/>
      <c r="I157" s="622"/>
    </row>
    <row r="158" spans="1:9" s="722" customFormat="1" ht="13.7" customHeight="1">
      <c r="A158" s="788"/>
      <c r="B158" s="788"/>
      <c r="C158" s="804"/>
      <c r="D158" s="2021"/>
      <c r="E158" s="2021"/>
      <c r="F158" s="2021"/>
      <c r="G158" s="672"/>
      <c r="I158" s="622"/>
    </row>
    <row r="159" spans="1:9" s="722" customFormat="1" ht="13.7" customHeight="1">
      <c r="A159" s="788"/>
      <c r="B159" s="788"/>
      <c r="C159" s="804"/>
      <c r="D159" s="2021"/>
      <c r="E159" s="2021"/>
      <c r="F159" s="2021"/>
      <c r="G159" s="672"/>
      <c r="I159" s="622"/>
    </row>
    <row r="160" spans="1:9" s="722" customFormat="1" ht="13.7" customHeight="1">
      <c r="A160" s="788"/>
      <c r="B160" s="788"/>
      <c r="C160" s="804"/>
      <c r="D160" s="2021"/>
      <c r="E160" s="2021"/>
      <c r="F160" s="2021"/>
      <c r="G160" s="672"/>
      <c r="I160" s="622"/>
    </row>
    <row r="161" spans="1:9" s="722" customFormat="1" ht="13.7" customHeight="1">
      <c r="A161" s="788"/>
      <c r="B161" s="788"/>
      <c r="C161" s="804"/>
      <c r="D161" s="2021"/>
      <c r="E161" s="2021"/>
      <c r="F161" s="2021"/>
      <c r="G161" s="672"/>
      <c r="I161" s="622"/>
    </row>
    <row r="162" spans="1:9" s="722" customFormat="1" ht="13.7" customHeight="1">
      <c r="A162" s="788"/>
      <c r="B162" s="788"/>
      <c r="C162" s="804"/>
      <c r="D162" s="2021"/>
      <c r="E162" s="2021"/>
      <c r="F162" s="2021"/>
      <c r="G162" s="672"/>
      <c r="I162" s="622"/>
    </row>
    <row r="163" spans="1:9" s="722" customFormat="1" ht="13.7" customHeight="1">
      <c r="A163" s="788"/>
      <c r="B163" s="788"/>
      <c r="C163" s="804"/>
      <c r="D163" s="2022" t="s">
        <v>1406</v>
      </c>
      <c r="E163" s="2022"/>
      <c r="F163" s="2022"/>
      <c r="G163" s="856"/>
      <c r="I163" s="622"/>
    </row>
    <row r="164" spans="1:9" s="722" customFormat="1" ht="13.7" customHeight="1">
      <c r="A164" s="788"/>
      <c r="B164" s="788"/>
      <c r="C164" s="804"/>
      <c r="D164" s="2020"/>
      <c r="E164" s="2020"/>
      <c r="F164" s="2020"/>
      <c r="G164" s="2020"/>
      <c r="I164" s="622"/>
    </row>
    <row r="165" spans="1:9" s="722" customFormat="1" ht="14.45" customHeight="1">
      <c r="A165" s="813"/>
      <c r="B165" s="798" t="s">
        <v>2733</v>
      </c>
      <c r="C165" s="814"/>
      <c r="D165" s="1911" t="s">
        <v>1434</v>
      </c>
      <c r="E165" s="1911"/>
      <c r="F165" s="1911"/>
      <c r="G165" s="815"/>
      <c r="I165" s="622" t="s">
        <v>2425</v>
      </c>
    </row>
    <row r="166" spans="1:9" s="722" customFormat="1" ht="14.45" customHeight="1">
      <c r="A166" s="813"/>
      <c r="B166" s="813"/>
      <c r="C166" s="814"/>
      <c r="D166" s="1911"/>
      <c r="E166" s="1911"/>
      <c r="F166" s="1911"/>
      <c r="G166" s="815"/>
      <c r="I166" s="622"/>
    </row>
    <row r="167" spans="1:9" s="722" customFormat="1" ht="13.7" customHeight="1">
      <c r="A167" s="813"/>
      <c r="B167" s="813"/>
      <c r="C167" s="814"/>
      <c r="D167" s="1911"/>
      <c r="E167" s="1911"/>
      <c r="F167" s="1911"/>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2733</v>
      </c>
      <c r="C169" s="814"/>
      <c r="D169" s="1907" t="s">
        <v>1266</v>
      </c>
      <c r="E169" s="1907"/>
      <c r="F169" s="1907"/>
      <c r="G169" s="815"/>
      <c r="I169" s="622" t="s">
        <v>2431</v>
      </c>
    </row>
    <row r="170" spans="1:9" s="722" customFormat="1" ht="13.7" customHeight="1">
      <c r="A170" s="813"/>
      <c r="B170" s="813"/>
      <c r="C170" s="814"/>
      <c r="D170" s="1907"/>
      <c r="E170" s="1907"/>
      <c r="F170" s="1907"/>
      <c r="G170" s="815"/>
      <c r="I170" s="622"/>
    </row>
    <row r="171" spans="1:9" s="722" customFormat="1" ht="13.7" customHeight="1">
      <c r="A171" s="813"/>
      <c r="B171" s="813"/>
      <c r="C171" s="814"/>
      <c r="D171" s="1907"/>
      <c r="E171" s="1907"/>
      <c r="F171" s="1907"/>
      <c r="G171" s="815"/>
      <c r="I171" s="622"/>
    </row>
    <row r="172" spans="1:9" s="722" customFormat="1" ht="13.7" customHeight="1">
      <c r="A172" s="813"/>
      <c r="B172" s="813"/>
      <c r="C172" s="814"/>
      <c r="D172" s="1907"/>
      <c r="E172" s="1907"/>
      <c r="F172" s="1907"/>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2734</v>
      </c>
      <c r="C174" s="804"/>
      <c r="D174" s="1942" t="s">
        <v>1267</v>
      </c>
      <c r="E174" s="1942"/>
      <c r="F174" s="1942"/>
      <c r="G174" s="672"/>
      <c r="I174" s="622" t="s">
        <v>2432</v>
      </c>
    </row>
    <row r="175" spans="1:9" s="722" customFormat="1" ht="13.7" customHeight="1">
      <c r="A175" s="788"/>
      <c r="B175" s="788"/>
      <c r="C175" s="804"/>
      <c r="D175" s="1942"/>
      <c r="E175" s="1942"/>
      <c r="F175" s="1942"/>
      <c r="G175" s="672"/>
      <c r="I175" s="622"/>
    </row>
    <row r="176" spans="1:9" s="722" customFormat="1" ht="13.7" customHeight="1">
      <c r="A176" s="788"/>
      <c r="B176" s="788"/>
      <c r="C176" s="804"/>
      <c r="D176" s="1942"/>
      <c r="E176" s="1942"/>
      <c r="F176" s="1942"/>
      <c r="G176" s="672"/>
      <c r="I176" s="622"/>
    </row>
    <row r="177" spans="1:9" s="722" customFormat="1" ht="13.7" customHeight="1">
      <c r="A177" s="816"/>
      <c r="B177" s="816"/>
      <c r="C177" s="804"/>
      <c r="D177" s="789"/>
      <c r="E177" s="785"/>
      <c r="F177" s="785"/>
      <c r="G177" s="672"/>
      <c r="I177" s="622"/>
    </row>
    <row r="178" spans="1:9">
      <c r="A178" s="1919" t="s">
        <v>2407</v>
      </c>
      <c r="B178" s="1919"/>
      <c r="C178" s="1919"/>
      <c r="D178" s="1919"/>
      <c r="E178" s="1919"/>
      <c r="F178" s="1919"/>
      <c r="G178" s="1919"/>
      <c r="H178" s="1852"/>
      <c r="I178" s="1853"/>
    </row>
    <row r="179" spans="1:9" ht="12" customHeight="1">
      <c r="D179" s="800"/>
      <c r="E179" s="800"/>
      <c r="F179" s="800"/>
    </row>
    <row r="180" spans="1:9">
      <c r="B180" s="2009" t="s">
        <v>469</v>
      </c>
      <c r="C180" s="2009"/>
      <c r="D180" s="2009"/>
      <c r="E180" s="2009"/>
      <c r="F180" s="2009"/>
    </row>
    <row r="181" spans="1:9" s="1771" customFormat="1">
      <c r="A181" s="788"/>
      <c r="B181" s="1830" t="s">
        <v>2408</v>
      </c>
      <c r="C181" s="1830"/>
      <c r="D181" s="1830"/>
      <c r="E181" s="1830"/>
      <c r="F181" s="1830"/>
      <c r="G181" s="1770"/>
      <c r="I181" s="1773"/>
    </row>
    <row r="182" spans="1:9" ht="12" customHeight="1">
      <c r="A182" s="793"/>
      <c r="B182" s="793"/>
      <c r="C182" s="793"/>
    </row>
    <row r="183" spans="1:9">
      <c r="A183" s="1919" t="s">
        <v>1162</v>
      </c>
      <c r="B183" s="1919"/>
      <c r="C183" s="1919"/>
      <c r="D183" s="1919"/>
      <c r="E183" s="1919"/>
      <c r="F183" s="1919"/>
      <c r="G183" s="1919"/>
      <c r="H183" s="1852"/>
      <c r="I183" s="1853"/>
    </row>
    <row r="184" spans="1:9" ht="12" customHeight="1">
      <c r="A184" s="817"/>
      <c r="B184" s="817"/>
      <c r="C184" s="818"/>
      <c r="D184" s="819"/>
      <c r="E184" s="820"/>
      <c r="F184" s="819"/>
      <c r="G184" s="819"/>
    </row>
    <row r="185" spans="1:9" ht="13.7" customHeight="1">
      <c r="A185" s="817"/>
      <c r="B185" s="817"/>
      <c r="C185" s="818"/>
      <c r="D185" s="1943" t="s">
        <v>2248</v>
      </c>
      <c r="E185" s="1943"/>
      <c r="F185" s="1943"/>
      <c r="G185" s="819"/>
    </row>
    <row r="186" spans="1:9">
      <c r="A186" s="817"/>
      <c r="B186" s="817"/>
      <c r="C186" s="818"/>
      <c r="D186" s="1943"/>
      <c r="E186" s="1943"/>
      <c r="F186" s="1943"/>
      <c r="G186" s="819"/>
    </row>
    <row r="187" spans="1:9">
      <c r="A187" s="817"/>
      <c r="B187" s="817"/>
      <c r="C187" s="818"/>
      <c r="D187" s="1944" t="s">
        <v>1399</v>
      </c>
      <c r="E187" s="1944"/>
      <c r="F187" s="1944"/>
      <c r="G187" s="819"/>
    </row>
    <row r="188" spans="1:9">
      <c r="A188" s="817"/>
      <c r="B188" s="817"/>
      <c r="C188" s="818"/>
      <c r="D188" s="1712"/>
      <c r="E188" s="1712"/>
      <c r="F188" s="1712"/>
      <c r="G188" s="819"/>
    </row>
    <row r="189" spans="1:9">
      <c r="A189" s="817"/>
      <c r="B189" s="798" t="s">
        <v>2733</v>
      </c>
      <c r="C189" s="818"/>
      <c r="D189" s="1912" t="s">
        <v>2249</v>
      </c>
      <c r="E189" s="1912"/>
      <c r="F189" s="1912"/>
      <c r="G189" s="819"/>
      <c r="I189" s="1773" t="s">
        <v>2481</v>
      </c>
    </row>
    <row r="190" spans="1:9">
      <c r="A190" s="817"/>
      <c r="B190" s="817"/>
      <c r="C190" s="818"/>
      <c r="D190" s="1965" t="s">
        <v>2250</v>
      </c>
      <c r="E190" s="1965"/>
      <c r="F190" s="1965"/>
      <c r="G190" s="819"/>
    </row>
    <row r="191" spans="1:9">
      <c r="A191" s="817"/>
      <c r="B191" s="817"/>
      <c r="C191" s="818"/>
      <c r="D191" s="1729" t="s">
        <v>2251</v>
      </c>
      <c r="E191" s="1990" t="s">
        <v>2252</v>
      </c>
      <c r="F191" s="1990"/>
      <c r="G191" s="819"/>
    </row>
    <row r="192" spans="1:9">
      <c r="A192" s="817"/>
      <c r="B192" s="817"/>
      <c r="C192" s="818"/>
      <c r="D192" s="155"/>
      <c r="E192" s="155"/>
      <c r="F192" s="155"/>
      <c r="G192" s="819"/>
    </row>
    <row r="193" spans="1:9">
      <c r="A193" s="817"/>
      <c r="B193" s="798" t="s">
        <v>2734</v>
      </c>
      <c r="C193" s="818"/>
      <c r="D193" s="1965" t="s">
        <v>2253</v>
      </c>
      <c r="E193" s="1965"/>
      <c r="F193" s="1965"/>
      <c r="G193" s="819"/>
      <c r="I193" s="1773" t="s">
        <v>2482</v>
      </c>
    </row>
    <row r="194" spans="1:9">
      <c r="A194" s="817"/>
      <c r="B194" s="817"/>
      <c r="C194" s="818"/>
      <c r="D194" s="1912" t="s">
        <v>2250</v>
      </c>
      <c r="E194" s="1912"/>
      <c r="F194" s="1912"/>
      <c r="G194" s="819"/>
    </row>
    <row r="195" spans="1:9">
      <c r="A195" s="817"/>
      <c r="B195" s="817"/>
      <c r="C195" s="818"/>
      <c r="D195" s="1710" t="s">
        <v>2254</v>
      </c>
      <c r="E195" s="2007" t="s">
        <v>2255</v>
      </c>
      <c r="F195" s="2007"/>
      <c r="G195" s="819"/>
    </row>
    <row r="196" spans="1:9">
      <c r="A196" s="817"/>
      <c r="B196" s="817"/>
      <c r="C196" s="818"/>
      <c r="D196" s="155"/>
      <c r="E196" s="155"/>
      <c r="F196" s="155"/>
      <c r="G196" s="819"/>
    </row>
    <row r="197" spans="1:9">
      <c r="A197" s="817"/>
      <c r="B197" s="798" t="s">
        <v>2734</v>
      </c>
      <c r="C197" s="818"/>
      <c r="D197" s="1965" t="s">
        <v>2256</v>
      </c>
      <c r="E197" s="1965"/>
      <c r="F197" s="1965"/>
      <c r="G197" s="819"/>
      <c r="I197" s="1773" t="s">
        <v>2483</v>
      </c>
    </row>
    <row r="198" spans="1:9">
      <c r="A198" s="817"/>
      <c r="B198" s="817"/>
      <c r="C198" s="818"/>
      <c r="D198" s="1707" t="s">
        <v>2250</v>
      </c>
      <c r="E198" s="155"/>
      <c r="F198" s="155"/>
      <c r="G198" s="819"/>
    </row>
    <row r="199" spans="1:9">
      <c r="A199" s="817"/>
      <c r="B199" s="817"/>
      <c r="C199" s="818"/>
      <c r="D199" s="1710" t="s">
        <v>2251</v>
      </c>
      <c r="E199" s="2007" t="s">
        <v>2257</v>
      </c>
      <c r="F199" s="2007"/>
      <c r="G199" s="819"/>
    </row>
    <row r="200" spans="1:9">
      <c r="A200" s="817"/>
      <c r="B200" s="817"/>
      <c r="C200" s="818"/>
      <c r="D200" s="1712"/>
      <c r="E200" s="1712"/>
      <c r="F200" s="1712"/>
      <c r="G200" s="819"/>
    </row>
    <row r="201" spans="1:9" ht="14.25">
      <c r="A201" s="797"/>
      <c r="B201" s="798" t="s">
        <v>2734</v>
      </c>
      <c r="C201" s="818"/>
      <c r="D201" s="1937" t="s">
        <v>2258</v>
      </c>
      <c r="E201" s="1937"/>
      <c r="F201" s="1937"/>
      <c r="G201" s="819"/>
      <c r="I201" s="1773" t="s">
        <v>2484</v>
      </c>
    </row>
    <row r="202" spans="1:9" ht="14.25">
      <c r="A202" s="797"/>
      <c r="B202" s="797"/>
      <c r="C202" s="818"/>
      <c r="D202" s="1937"/>
      <c r="E202" s="1937"/>
      <c r="F202" s="1937"/>
      <c r="G202" s="819"/>
    </row>
    <row r="203" spans="1:9">
      <c r="A203" s="818"/>
      <c r="B203" s="818"/>
      <c r="C203" s="818"/>
      <c r="D203" s="1937"/>
      <c r="E203" s="1937"/>
      <c r="F203" s="1937"/>
    </row>
    <row r="204" spans="1:9">
      <c r="A204" s="818"/>
      <c r="B204" s="818"/>
      <c r="C204" s="818"/>
      <c r="D204" s="803"/>
      <c r="E204" s="819"/>
      <c r="F204" s="819"/>
    </row>
    <row r="205" spans="1:9">
      <c r="A205" s="818"/>
      <c r="B205" s="798" t="s">
        <v>2734</v>
      </c>
      <c r="C205" s="818"/>
      <c r="D205" s="1965" t="s">
        <v>2259</v>
      </c>
      <c r="E205" s="1965"/>
      <c r="F205" s="1965"/>
      <c r="I205" s="1773" t="s">
        <v>2485</v>
      </c>
    </row>
    <row r="206" spans="1:9">
      <c r="A206" s="818"/>
      <c r="B206" s="818"/>
      <c r="C206" s="818"/>
      <c r="D206" s="1965" t="s">
        <v>2250</v>
      </c>
      <c r="E206" s="1965"/>
      <c r="F206" s="1965"/>
    </row>
    <row r="207" spans="1:9">
      <c r="A207" s="818"/>
      <c r="B207" s="818"/>
      <c r="C207" s="818"/>
      <c r="D207" s="1710" t="s">
        <v>2251</v>
      </c>
      <c r="E207" s="2007" t="s">
        <v>2260</v>
      </c>
      <c r="F207" s="2007"/>
    </row>
    <row r="208" spans="1:9">
      <c r="A208" s="818"/>
      <c r="B208" s="818"/>
      <c r="C208" s="818"/>
      <c r="D208" s="779"/>
      <c r="E208" s="779"/>
      <c r="F208" s="779"/>
    </row>
    <row r="209" spans="1:9" s="618" customFormat="1" ht="14.25">
      <c r="A209" s="797"/>
      <c r="B209" s="798" t="s">
        <v>2734</v>
      </c>
      <c r="C209" s="806"/>
      <c r="D209" s="1937" t="s">
        <v>1425</v>
      </c>
      <c r="E209" s="1937"/>
      <c r="F209" s="1937"/>
      <c r="G209" s="693"/>
      <c r="I209" s="642"/>
    </row>
    <row r="210" spans="1:9" s="618" customFormat="1" ht="14.45" customHeight="1">
      <c r="A210" s="797"/>
      <c r="C210" s="806"/>
      <c r="D210" s="1937"/>
      <c r="E210" s="1937"/>
      <c r="F210" s="1937"/>
      <c r="G210" s="693"/>
      <c r="I210" s="642"/>
    </row>
    <row r="211" spans="1:9" s="618" customFormat="1" ht="14.25">
      <c r="A211" s="797"/>
      <c r="B211" s="818"/>
      <c r="C211" s="806"/>
      <c r="D211" s="1937"/>
      <c r="E211" s="1937"/>
      <c r="F211" s="1937"/>
      <c r="G211" s="693"/>
      <c r="I211" s="642"/>
    </row>
    <row r="212" spans="1:9" s="618" customFormat="1" ht="14.25">
      <c r="A212" s="797"/>
      <c r="B212" s="818"/>
      <c r="C212" s="806"/>
      <c r="D212" s="1937"/>
      <c r="E212" s="1937"/>
      <c r="F212" s="1937"/>
      <c r="G212" s="693"/>
      <c r="I212" s="642"/>
    </row>
    <row r="213" spans="1:9">
      <c r="A213" s="818"/>
      <c r="B213" s="818"/>
      <c r="C213" s="818"/>
      <c r="D213" s="779"/>
      <c r="E213" s="779"/>
      <c r="F213" s="779"/>
    </row>
    <row r="214" spans="1:9">
      <c r="A214" s="1919" t="s">
        <v>1163</v>
      </c>
      <c r="B214" s="1919"/>
      <c r="C214" s="1919"/>
      <c r="D214" s="1919"/>
      <c r="E214" s="1919"/>
      <c r="F214" s="1919"/>
      <c r="G214" s="1919"/>
      <c r="H214" s="1852"/>
      <c r="I214" s="1853"/>
    </row>
    <row r="215" spans="1:9" ht="12" customHeight="1">
      <c r="D215" s="800"/>
      <c r="E215" s="800"/>
      <c r="F215" s="800"/>
    </row>
    <row r="216" spans="1:9">
      <c r="C216" s="807"/>
      <c r="D216" s="2025" t="s">
        <v>214</v>
      </c>
      <c r="E216" s="2025"/>
      <c r="F216" s="2025"/>
    </row>
    <row r="217" spans="1:9">
      <c r="A217" s="793"/>
      <c r="B217" s="793"/>
      <c r="C217" s="793"/>
      <c r="D217" s="2011" t="s">
        <v>1292</v>
      </c>
      <c r="E217" s="2011"/>
      <c r="F217" s="2011"/>
    </row>
    <row r="218" spans="1:9" ht="12" customHeight="1">
      <c r="A218" s="816"/>
      <c r="B218" s="816"/>
      <c r="C218" s="816"/>
    </row>
    <row r="219" spans="1:9" ht="13.7" customHeight="1">
      <c r="A219" s="816"/>
      <c r="C219" s="816"/>
      <c r="D219" s="1936" t="s">
        <v>578</v>
      </c>
      <c r="E219" s="1936"/>
      <c r="F219" s="1936"/>
      <c r="I219" s="1773" t="s">
        <v>2433</v>
      </c>
    </row>
    <row r="220" spans="1:9" ht="14.25">
      <c r="A220" s="797"/>
      <c r="B220" s="798" t="s">
        <v>2733</v>
      </c>
      <c r="D220" s="1937" t="s">
        <v>2261</v>
      </c>
      <c r="E220" s="1937"/>
      <c r="F220" s="1937"/>
    </row>
    <row r="221" spans="1:9" ht="14.25" customHeight="1">
      <c r="A221" s="797"/>
      <c r="B221" s="797"/>
      <c r="D221" s="1937"/>
      <c r="E221" s="1937"/>
      <c r="F221" s="1937"/>
    </row>
    <row r="222" spans="1:9" ht="14.25" customHeight="1">
      <c r="A222" s="797"/>
      <c r="B222" s="797"/>
      <c r="D222" s="1937"/>
      <c r="E222" s="1937"/>
      <c r="F222" s="1937"/>
    </row>
    <row r="223" spans="1:9" ht="14.25">
      <c r="A223" s="797"/>
      <c r="B223" s="797"/>
      <c r="D223" s="1937"/>
      <c r="E223" s="1937"/>
      <c r="F223" s="1937"/>
    </row>
    <row r="224" spans="1:9" ht="14.25">
      <c r="A224" s="797"/>
      <c r="B224" s="797"/>
      <c r="D224" s="1711"/>
      <c r="E224" s="1711"/>
      <c r="F224" s="1711"/>
    </row>
    <row r="225" spans="1:9" ht="14.25">
      <c r="A225" s="797"/>
      <c r="B225" s="798" t="s">
        <v>2733</v>
      </c>
      <c r="D225" s="1937" t="s">
        <v>2262</v>
      </c>
      <c r="E225" s="1937"/>
      <c r="F225" s="1937"/>
      <c r="I225" s="1773" t="s">
        <v>2434</v>
      </c>
    </row>
    <row r="226" spans="1:9" ht="14.25">
      <c r="A226" s="797"/>
      <c r="B226" s="797"/>
      <c r="D226" s="1937"/>
      <c r="E226" s="1937"/>
      <c r="F226" s="1937"/>
    </row>
    <row r="227" spans="1:9" ht="14.25">
      <c r="A227" s="797"/>
      <c r="B227" s="797"/>
      <c r="D227" s="1937"/>
      <c r="E227" s="1937"/>
      <c r="F227" s="1937"/>
    </row>
    <row r="228" spans="1:9" ht="14.25">
      <c r="A228" s="797"/>
      <c r="B228" s="797"/>
      <c r="D228" s="1937"/>
      <c r="E228" s="1937"/>
      <c r="F228" s="1937"/>
    </row>
    <row r="229" spans="1:9" ht="14.25" customHeight="1">
      <c r="A229" s="797"/>
      <c r="B229" s="797"/>
      <c r="D229" s="1937"/>
      <c r="E229" s="1937"/>
      <c r="F229" s="1937"/>
    </row>
    <row r="230" spans="1:9" ht="14.25" customHeight="1">
      <c r="A230" s="797"/>
      <c r="B230" s="797"/>
      <c r="D230" s="1711"/>
      <c r="E230" s="1711"/>
      <c r="F230" s="1711"/>
    </row>
    <row r="231" spans="1:9" ht="14.25">
      <c r="A231" s="797"/>
      <c r="B231" s="797"/>
      <c r="D231" s="1937" t="s">
        <v>1288</v>
      </c>
      <c r="E231" s="1937"/>
      <c r="F231" s="1937"/>
      <c r="I231" s="1773" t="s">
        <v>2433</v>
      </c>
    </row>
    <row r="232" spans="1:9" ht="14.25">
      <c r="A232" s="797"/>
      <c r="B232" s="797"/>
      <c r="D232" s="1937"/>
      <c r="E232" s="1937"/>
      <c r="F232" s="1937"/>
    </row>
    <row r="233" spans="1:9" ht="14.25">
      <c r="A233" s="797"/>
      <c r="B233" s="797"/>
      <c r="D233" s="1937"/>
      <c r="E233" s="1937"/>
      <c r="F233" s="1937"/>
    </row>
    <row r="234" spans="1:9" ht="14.25">
      <c r="A234" s="797"/>
      <c r="B234" s="797"/>
      <c r="D234" s="1937"/>
      <c r="E234" s="1937"/>
      <c r="F234" s="1937"/>
    </row>
    <row r="235" spans="1:9" ht="14.25">
      <c r="A235" s="797"/>
      <c r="B235" s="797"/>
      <c r="D235" s="1937"/>
      <c r="E235" s="1937"/>
      <c r="F235" s="1937"/>
    </row>
    <row r="236" spans="1:9" ht="14.25">
      <c r="A236" s="797"/>
      <c r="B236" s="797"/>
      <c r="D236" s="800"/>
      <c r="E236" s="800"/>
      <c r="F236" s="800"/>
    </row>
    <row r="237" spans="1:9" ht="14.25">
      <c r="A237" s="797"/>
      <c r="B237" s="798" t="s">
        <v>2733</v>
      </c>
      <c r="D237" s="2015" t="s">
        <v>2266</v>
      </c>
      <c r="E237" s="2015"/>
      <c r="F237" s="2015"/>
      <c r="I237" s="1773" t="s">
        <v>2472</v>
      </c>
    </row>
    <row r="238" spans="1:9" ht="14.25">
      <c r="A238" s="797"/>
      <c r="B238" s="797"/>
      <c r="D238" s="2015"/>
      <c r="E238" s="2015"/>
      <c r="F238" s="2015"/>
    </row>
    <row r="239" spans="1:9" ht="14.25">
      <c r="A239" s="797"/>
      <c r="B239" s="797"/>
      <c r="D239" s="2015"/>
      <c r="E239" s="2015"/>
      <c r="F239" s="2015"/>
    </row>
    <row r="240" spans="1:9" ht="14.25">
      <c r="A240" s="797"/>
      <c r="B240" s="797"/>
      <c r="D240" s="2009" t="s">
        <v>962</v>
      </c>
      <c r="E240" s="2009"/>
      <c r="F240" s="2009"/>
    </row>
    <row r="241" spans="1:9" ht="14.25">
      <c r="A241" s="797"/>
      <c r="B241" s="797"/>
      <c r="D241" s="800"/>
      <c r="E241" s="800"/>
      <c r="F241" s="800"/>
    </row>
    <row r="242" spans="1:9" ht="14.45" customHeight="1">
      <c r="A242" s="797"/>
      <c r="B242" s="798" t="s">
        <v>2734</v>
      </c>
      <c r="D242" s="2015" t="s">
        <v>1291</v>
      </c>
      <c r="E242" s="2015"/>
      <c r="F242" s="2015"/>
      <c r="I242" s="1773" t="s">
        <v>2492</v>
      </c>
    </row>
    <row r="243" spans="1:9" ht="14.25">
      <c r="A243" s="797"/>
      <c r="B243" s="797"/>
      <c r="D243" s="2015"/>
      <c r="E243" s="2015"/>
      <c r="F243" s="2015"/>
    </row>
    <row r="244" spans="1:9" ht="14.25">
      <c r="A244" s="797"/>
      <c r="B244" s="797"/>
      <c r="D244" s="2015"/>
      <c r="E244" s="2015"/>
      <c r="F244" s="2015"/>
    </row>
    <row r="245" spans="1:9" ht="14.25">
      <c r="A245" s="797"/>
      <c r="B245" s="797"/>
      <c r="D245" s="2015"/>
      <c r="E245" s="2015"/>
      <c r="F245" s="2015"/>
    </row>
    <row r="246" spans="1:9" ht="14.25">
      <c r="A246" s="797"/>
      <c r="B246" s="797"/>
      <c r="D246" s="2015"/>
      <c r="E246" s="2015"/>
      <c r="F246" s="2015"/>
    </row>
    <row r="247" spans="1:9" ht="14.25">
      <c r="A247" s="797"/>
      <c r="B247" s="797"/>
      <c r="D247" s="1723"/>
      <c r="E247" s="1723"/>
      <c r="F247" s="1723"/>
    </row>
    <row r="248" spans="1:9" ht="14.25">
      <c r="A248" s="797"/>
      <c r="B248" s="798" t="s">
        <v>2733</v>
      </c>
      <c r="D248" s="1722" t="s">
        <v>2263</v>
      </c>
      <c r="E248" s="1723"/>
      <c r="F248" s="1723"/>
      <c r="I248" s="1773" t="s">
        <v>2471</v>
      </c>
    </row>
    <row r="249" spans="1:9" ht="14.25">
      <c r="A249" s="797"/>
      <c r="B249" s="797"/>
      <c r="D249" s="1722"/>
      <c r="E249" s="1730" t="s">
        <v>2264</v>
      </c>
      <c r="F249" s="1723"/>
    </row>
    <row r="250" spans="1:9">
      <c r="D250" s="800"/>
      <c r="E250" s="800"/>
      <c r="F250" s="800"/>
    </row>
    <row r="251" spans="1:9" ht="14.25">
      <c r="A251" s="797"/>
      <c r="B251" s="798" t="s">
        <v>2733</v>
      </c>
      <c r="D251" s="1937" t="s">
        <v>1290</v>
      </c>
      <c r="E251" s="1937"/>
      <c r="F251" s="1937"/>
    </row>
    <row r="252" spans="1:9" ht="14.25">
      <c r="A252" s="797"/>
      <c r="B252" s="797"/>
      <c r="D252" s="1937"/>
      <c r="E252" s="1937"/>
      <c r="F252" s="1937"/>
    </row>
    <row r="253" spans="1:9">
      <c r="D253" s="821"/>
    </row>
    <row r="254" spans="1:9">
      <c r="A254" s="1919" t="s">
        <v>1164</v>
      </c>
      <c r="B254" s="1919"/>
      <c r="C254" s="1919"/>
      <c r="D254" s="1919"/>
      <c r="E254" s="1919"/>
      <c r="F254" s="1919"/>
      <c r="G254" s="1919"/>
      <c r="H254" s="1852"/>
      <c r="I254" s="1853"/>
    </row>
    <row r="255" spans="1:9">
      <c r="D255" s="821"/>
    </row>
    <row r="256" spans="1:9">
      <c r="C256" s="807"/>
      <c r="D256" s="1936" t="s">
        <v>1293</v>
      </c>
      <c r="E256" s="1936"/>
      <c r="F256" s="1936"/>
    </row>
    <row r="257" spans="1:9">
      <c r="A257" s="793"/>
      <c r="B257" s="793"/>
      <c r="C257" s="793"/>
      <c r="D257" s="800"/>
      <c r="E257" s="800"/>
      <c r="F257" s="800"/>
    </row>
    <row r="258" spans="1:9">
      <c r="A258" s="795"/>
      <c r="B258" s="795"/>
      <c r="C258" s="795"/>
      <c r="D258" s="1936" t="s">
        <v>275</v>
      </c>
      <c r="E258" s="1936"/>
      <c r="F258" s="1936"/>
      <c r="I258" s="1773" t="s">
        <v>2473</v>
      </c>
    </row>
    <row r="259" spans="1:9" ht="14.45" customHeight="1">
      <c r="A259" s="797"/>
      <c r="B259" s="798" t="s">
        <v>2733</v>
      </c>
      <c r="D259" s="2017" t="s">
        <v>1400</v>
      </c>
      <c r="E259" s="2017"/>
      <c r="F259" s="2017"/>
    </row>
    <row r="260" spans="1:9">
      <c r="D260" s="2017"/>
      <c r="E260" s="2017"/>
      <c r="F260" s="2017"/>
    </row>
    <row r="261" spans="1:9">
      <c r="D261" s="2011" t="s">
        <v>953</v>
      </c>
      <c r="E261" s="2011"/>
      <c r="F261" s="2011"/>
    </row>
    <row r="262" spans="1:9">
      <c r="D262" s="800"/>
      <c r="E262" s="800"/>
      <c r="F262" s="800"/>
    </row>
    <row r="263" spans="1:9" ht="14.45" customHeight="1">
      <c r="A263" s="797"/>
      <c r="B263" s="798" t="s">
        <v>2734</v>
      </c>
      <c r="D263" s="2015" t="s">
        <v>2265</v>
      </c>
      <c r="E263" s="2015"/>
      <c r="F263" s="2015"/>
      <c r="I263" s="1773" t="s">
        <v>2493</v>
      </c>
    </row>
    <row r="264" spans="1:9">
      <c r="D264" s="2015"/>
      <c r="E264" s="2015"/>
      <c r="F264" s="2015"/>
    </row>
    <row r="265" spans="1:9">
      <c r="D265" s="2015"/>
      <c r="E265" s="2015"/>
      <c r="F265" s="2015"/>
    </row>
    <row r="266" spans="1:9">
      <c r="D266" s="2015"/>
      <c r="E266" s="2015"/>
      <c r="F266" s="2015"/>
    </row>
    <row r="267" spans="1:9">
      <c r="D267" s="2015"/>
      <c r="E267" s="2015"/>
      <c r="F267" s="2015"/>
    </row>
    <row r="268" spans="1:9">
      <c r="D268" s="2015"/>
      <c r="E268" s="2015"/>
      <c r="F268" s="2015"/>
    </row>
    <row r="269" spans="1:9">
      <c r="D269" s="800"/>
      <c r="E269" s="800"/>
      <c r="F269" s="800"/>
    </row>
    <row r="270" spans="1:9" ht="14.25">
      <c r="A270" s="797"/>
      <c r="B270" s="798" t="s">
        <v>2734</v>
      </c>
      <c r="D270" s="1937" t="s">
        <v>1296</v>
      </c>
      <c r="E270" s="1937"/>
      <c r="F270" s="1937"/>
    </row>
    <row r="271" spans="1:9">
      <c r="D271" s="1937"/>
      <c r="E271" s="1937"/>
      <c r="F271" s="1937"/>
    </row>
    <row r="272" spans="1:9">
      <c r="D272" s="1937"/>
      <c r="E272" s="1937"/>
      <c r="F272" s="1937"/>
    </row>
    <row r="273" spans="1:9">
      <c r="D273" s="822"/>
      <c r="E273" s="800"/>
      <c r="F273" s="800"/>
    </row>
    <row r="274" spans="1:9">
      <c r="A274" s="1919" t="s">
        <v>1165</v>
      </c>
      <c r="B274" s="1919"/>
      <c r="C274" s="1919"/>
      <c r="D274" s="1919"/>
      <c r="E274" s="1919"/>
      <c r="F274" s="1919"/>
      <c r="G274" s="1919"/>
      <c r="H274" s="1852"/>
      <c r="I274" s="1853"/>
    </row>
    <row r="275" spans="1:9">
      <c r="D275" s="822"/>
      <c r="E275" s="800"/>
      <c r="F275" s="800"/>
    </row>
    <row r="276" spans="1:9">
      <c r="C276" s="793"/>
      <c r="D276" s="2008" t="s">
        <v>1298</v>
      </c>
      <c r="E276" s="2008"/>
      <c r="F276" s="2008"/>
    </row>
    <row r="277" spans="1:9">
      <c r="C277" s="793"/>
      <c r="D277" s="2008"/>
      <c r="E277" s="2008"/>
      <c r="F277" s="2008"/>
    </row>
    <row r="278" spans="1:9">
      <c r="A278" s="795"/>
      <c r="B278" s="795"/>
      <c r="C278" s="795"/>
      <c r="D278" s="622"/>
      <c r="E278" s="672"/>
      <c r="F278" s="672"/>
    </row>
    <row r="279" spans="1:9">
      <c r="C279" s="795"/>
      <c r="D279" s="1936" t="s">
        <v>215</v>
      </c>
      <c r="E279" s="1936"/>
      <c r="F279" s="1936"/>
    </row>
    <row r="280" spans="1:9" ht="15.75" customHeight="1">
      <c r="A280" s="797"/>
      <c r="B280" s="797"/>
      <c r="D280" s="2010" t="s">
        <v>1299</v>
      </c>
      <c r="E280" s="2010"/>
      <c r="F280" s="2010"/>
    </row>
    <row r="281" spans="1:9">
      <c r="E281" s="800"/>
      <c r="F281" s="800"/>
    </row>
    <row r="282" spans="1:9" ht="14.25">
      <c r="A282" s="797"/>
      <c r="B282" s="798" t="s">
        <v>2733</v>
      </c>
      <c r="D282" s="1937" t="s">
        <v>1300</v>
      </c>
      <c r="E282" s="1937"/>
      <c r="F282" s="1937"/>
      <c r="I282" s="1773" t="s">
        <v>2435</v>
      </c>
    </row>
    <row r="283" spans="1:9" ht="14.25">
      <c r="A283" s="797"/>
      <c r="B283" s="797"/>
      <c r="D283" s="1937"/>
      <c r="E283" s="1937"/>
      <c r="F283" s="1937"/>
    </row>
    <row r="284" spans="1:9">
      <c r="D284" s="800"/>
      <c r="E284" s="800"/>
      <c r="F284" s="800"/>
    </row>
    <row r="285" spans="1:9" ht="14.25">
      <c r="A285" s="797"/>
      <c r="B285" s="798" t="s">
        <v>2733</v>
      </c>
      <c r="D285" s="2015" t="s">
        <v>1301</v>
      </c>
      <c r="E285" s="2015"/>
      <c r="F285" s="2015"/>
      <c r="I285" s="1773" t="s">
        <v>2435</v>
      </c>
    </row>
    <row r="286" spans="1:9" ht="14.25">
      <c r="A286" s="797"/>
      <c r="B286" s="797"/>
      <c r="D286" s="2015"/>
      <c r="E286" s="2015"/>
      <c r="F286" s="2015"/>
    </row>
    <row r="287" spans="1:9" ht="14.25">
      <c r="A287" s="797"/>
      <c r="B287" s="797"/>
      <c r="D287" s="2015"/>
      <c r="E287" s="2015"/>
      <c r="F287" s="2015"/>
    </row>
    <row r="288" spans="1:9">
      <c r="D288" s="800"/>
      <c r="E288" s="800"/>
      <c r="F288" s="800"/>
    </row>
    <row r="289" spans="1:9" ht="14.25">
      <c r="A289" s="797"/>
      <c r="B289" s="798" t="s">
        <v>2734</v>
      </c>
      <c r="D289" s="1937" t="s">
        <v>1302</v>
      </c>
      <c r="E289" s="1937"/>
      <c r="F289" s="1937"/>
      <c r="I289" s="1773" t="s">
        <v>2435</v>
      </c>
    </row>
    <row r="290" spans="1:9" ht="14.25">
      <c r="A290" s="797"/>
      <c r="B290" s="797"/>
      <c r="D290" s="1937"/>
      <c r="E290" s="1937"/>
      <c r="F290" s="1937"/>
    </row>
    <row r="291" spans="1:9">
      <c r="A291" s="816"/>
      <c r="B291" s="816"/>
      <c r="E291" s="800"/>
      <c r="F291" s="800"/>
    </row>
    <row r="292" spans="1:9">
      <c r="A292" s="1919" t="s">
        <v>1166</v>
      </c>
      <c r="B292" s="1919"/>
      <c r="C292" s="1919"/>
      <c r="D292" s="1919"/>
      <c r="E292" s="1919"/>
      <c r="F292" s="1919"/>
      <c r="G292" s="1919"/>
      <c r="H292" s="1852"/>
      <c r="I292" s="1853"/>
    </row>
    <row r="293" spans="1:9">
      <c r="A293" s="816"/>
      <c r="B293" s="816"/>
      <c r="D293" s="800"/>
      <c r="E293" s="800"/>
      <c r="F293" s="800"/>
    </row>
    <row r="294" spans="1:9">
      <c r="C294" s="816"/>
      <c r="D294" s="1936" t="s">
        <v>718</v>
      </c>
      <c r="E294" s="1936"/>
      <c r="F294" s="1936"/>
    </row>
    <row r="295" spans="1:9">
      <c r="C295" s="816"/>
      <c r="D295" s="1939" t="s">
        <v>1303</v>
      </c>
      <c r="E295" s="1939"/>
      <c r="F295" s="1939"/>
    </row>
    <row r="296" spans="1:9">
      <c r="C296" s="816"/>
      <c r="D296" s="823"/>
    </row>
    <row r="297" spans="1:9">
      <c r="A297" s="801"/>
      <c r="B297" s="798" t="s">
        <v>2733</v>
      </c>
      <c r="D297" s="1939" t="s">
        <v>1304</v>
      </c>
      <c r="E297" s="1939"/>
      <c r="F297" s="1939"/>
      <c r="I297" s="1773" t="s">
        <v>2436</v>
      </c>
    </row>
    <row r="298" spans="1:9" s="791" customFormat="1" ht="14.25">
      <c r="A298" s="805"/>
      <c r="B298" s="805"/>
      <c r="C298" s="801"/>
      <c r="D298" s="824"/>
      <c r="E298" s="825"/>
      <c r="F298" s="825"/>
      <c r="G298" s="802"/>
      <c r="I298" s="1836"/>
    </row>
    <row r="299" spans="1:9" s="791" customFormat="1" ht="13.7" customHeight="1">
      <c r="A299" s="801"/>
      <c r="B299" s="798" t="s">
        <v>2734</v>
      </c>
      <c r="C299" s="801"/>
      <c r="D299" s="2033" t="s">
        <v>1429</v>
      </c>
      <c r="E299" s="2033"/>
      <c r="F299" s="2033"/>
      <c r="G299" s="802"/>
      <c r="I299" s="1836" t="s">
        <v>2436</v>
      </c>
    </row>
    <row r="300" spans="1:9" s="791" customFormat="1" ht="14.25">
      <c r="A300" s="805"/>
      <c r="B300" s="805"/>
      <c r="C300" s="801"/>
      <c r="D300" s="2033"/>
      <c r="E300" s="2033"/>
      <c r="F300" s="2033"/>
      <c r="G300" s="802"/>
      <c r="I300" s="1836"/>
    </row>
    <row r="301" spans="1:9" s="791" customFormat="1" ht="14.25">
      <c r="A301" s="805"/>
      <c r="B301" s="805"/>
      <c r="C301" s="801"/>
      <c r="D301" s="2033"/>
      <c r="E301" s="2033"/>
      <c r="F301" s="2033"/>
      <c r="G301" s="802"/>
      <c r="I301" s="1836"/>
    </row>
    <row r="302" spans="1:9" s="791" customFormat="1" ht="14.25">
      <c r="A302" s="805"/>
      <c r="B302" s="805"/>
      <c r="C302" s="801"/>
      <c r="D302" s="2033"/>
      <c r="E302" s="2033"/>
      <c r="F302" s="2033"/>
      <c r="G302" s="802"/>
      <c r="I302" s="1836"/>
    </row>
    <row r="303" spans="1:9" s="791" customFormat="1" ht="14.25">
      <c r="A303" s="805"/>
      <c r="B303" s="805"/>
      <c r="C303" s="801"/>
      <c r="D303" s="2033"/>
      <c r="E303" s="2033"/>
      <c r="F303" s="2033"/>
      <c r="G303" s="802"/>
      <c r="I303" s="1836"/>
    </row>
    <row r="304" spans="1:9" s="791" customFormat="1" ht="14.25">
      <c r="A304" s="805"/>
      <c r="B304" s="805"/>
      <c r="C304" s="801"/>
      <c r="D304" s="824"/>
      <c r="E304" s="825"/>
      <c r="F304" s="825"/>
      <c r="G304" s="802"/>
      <c r="I304" s="1836"/>
    </row>
    <row r="305" spans="1:9" s="791" customFormat="1" ht="13.7" customHeight="1">
      <c r="A305" s="801"/>
      <c r="B305" s="798" t="s">
        <v>2734</v>
      </c>
      <c r="C305" s="801"/>
      <c r="D305" s="2033" t="s">
        <v>1306</v>
      </c>
      <c r="E305" s="2033"/>
      <c r="F305" s="2033"/>
      <c r="G305" s="802"/>
      <c r="I305" s="1836" t="s">
        <v>2436</v>
      </c>
    </row>
    <row r="306" spans="1:9" s="791" customFormat="1">
      <c r="A306" s="801"/>
      <c r="B306" s="801"/>
      <c r="C306" s="801"/>
      <c r="D306" s="2033"/>
      <c r="E306" s="2033"/>
      <c r="F306" s="2033"/>
      <c r="G306" s="802"/>
      <c r="I306" s="1836"/>
    </row>
    <row r="307" spans="1:9" s="791" customFormat="1" ht="14.25">
      <c r="A307" s="805"/>
      <c r="B307" s="805"/>
      <c r="C307" s="801"/>
      <c r="D307" s="824"/>
      <c r="E307" s="825"/>
      <c r="F307" s="825"/>
      <c r="G307" s="802"/>
      <c r="I307" s="1836"/>
    </row>
    <row r="308" spans="1:9">
      <c r="A308" s="801"/>
      <c r="B308" s="798" t="s">
        <v>2734</v>
      </c>
      <c r="D308" s="1939" t="s">
        <v>1307</v>
      </c>
      <c r="E308" s="1939"/>
      <c r="F308" s="1939"/>
      <c r="I308" s="1773" t="s">
        <v>2422</v>
      </c>
    </row>
    <row r="309" spans="1:9">
      <c r="E309" s="800"/>
      <c r="F309" s="800"/>
    </row>
    <row r="310" spans="1:9" ht="14.25">
      <c r="A310" s="797"/>
      <c r="B310" s="798" t="s">
        <v>2733</v>
      </c>
      <c r="D310" s="2015" t="s">
        <v>1456</v>
      </c>
      <c r="E310" s="2015"/>
      <c r="F310" s="2015"/>
      <c r="I310" s="1773" t="s">
        <v>2437</v>
      </c>
    </row>
    <row r="311" spans="1:9" ht="14.25">
      <c r="A311" s="797"/>
      <c r="B311" s="797"/>
      <c r="D311" s="2015"/>
      <c r="E311" s="2015"/>
      <c r="F311" s="2015"/>
    </row>
    <row r="312" spans="1:9" ht="14.25">
      <c r="A312" s="797"/>
      <c r="B312" s="797"/>
      <c r="D312" s="2015"/>
      <c r="E312" s="2015"/>
      <c r="F312" s="2015"/>
    </row>
    <row r="313" spans="1:9" ht="14.25">
      <c r="A313" s="797"/>
      <c r="B313" s="797"/>
      <c r="D313" s="2015"/>
      <c r="E313" s="2015"/>
      <c r="F313" s="2015"/>
    </row>
    <row r="314" spans="1:9" ht="14.25">
      <c r="A314" s="797"/>
      <c r="B314" s="797"/>
      <c r="D314" s="2015"/>
      <c r="E314" s="2015"/>
      <c r="F314" s="2015"/>
    </row>
    <row r="315" spans="1:9" ht="14.25">
      <c r="A315" s="797"/>
      <c r="B315" s="797"/>
      <c r="D315" s="2015"/>
      <c r="E315" s="2015"/>
      <c r="F315" s="2015"/>
    </row>
    <row r="316" spans="1:9" ht="14.25">
      <c r="A316" s="797"/>
      <c r="B316" s="797"/>
      <c r="D316" s="2015"/>
      <c r="E316" s="2015"/>
      <c r="F316" s="2015"/>
    </row>
    <row r="317" spans="1:9" ht="14.25">
      <c r="A317" s="797"/>
      <c r="B317" s="797"/>
      <c r="D317" s="2015"/>
      <c r="E317" s="2015"/>
      <c r="F317" s="2015"/>
    </row>
    <row r="318" spans="1:9" ht="14.25">
      <c r="A318" s="797"/>
      <c r="B318" s="797"/>
      <c r="D318" s="2015"/>
      <c r="E318" s="2015"/>
      <c r="F318" s="2015"/>
    </row>
    <row r="319" spans="1:9" ht="14.25">
      <c r="A319" s="797"/>
      <c r="B319" s="797"/>
      <c r="D319" s="2015"/>
      <c r="E319" s="2015"/>
      <c r="F319" s="2015"/>
    </row>
    <row r="320" spans="1:9" ht="14.25">
      <c r="A320" s="797"/>
      <c r="B320" s="797"/>
      <c r="D320" s="2015"/>
      <c r="E320" s="2015"/>
      <c r="F320" s="2015"/>
    </row>
    <row r="321" spans="1:9" ht="14.25">
      <c r="A321" s="797"/>
      <c r="B321" s="797"/>
      <c r="D321" s="2015"/>
      <c r="E321" s="2015"/>
      <c r="F321" s="2015"/>
    </row>
    <row r="322" spans="1:9" ht="14.25">
      <c r="A322" s="797"/>
      <c r="B322" s="797"/>
      <c r="D322" s="2015"/>
      <c r="E322" s="2015"/>
      <c r="F322" s="2015"/>
    </row>
    <row r="323" spans="1:9" ht="14.25">
      <c r="A323" s="797"/>
      <c r="B323" s="797"/>
      <c r="D323" s="2015"/>
      <c r="E323" s="2015"/>
      <c r="F323" s="2015"/>
    </row>
    <row r="324" spans="1:9" ht="14.25">
      <c r="A324" s="797"/>
      <c r="B324" s="797"/>
      <c r="D324" s="2015"/>
      <c r="E324" s="2015"/>
      <c r="F324" s="2015"/>
    </row>
    <row r="325" spans="1:9">
      <c r="D325" s="800"/>
      <c r="E325" s="800"/>
      <c r="F325" s="800"/>
    </row>
    <row r="326" spans="1:9" ht="14.25">
      <c r="A326" s="797"/>
      <c r="B326" s="798" t="s">
        <v>2734</v>
      </c>
      <c r="D326" s="2015" t="s">
        <v>1309</v>
      </c>
      <c r="E326" s="2015"/>
      <c r="F326" s="2015"/>
      <c r="I326" s="1773" t="s">
        <v>2437</v>
      </c>
    </row>
    <row r="327" spans="1:9">
      <c r="D327" s="2015"/>
      <c r="E327" s="2015"/>
      <c r="F327" s="2015"/>
    </row>
    <row r="328" spans="1:9">
      <c r="D328" s="2015"/>
      <c r="E328" s="2015"/>
      <c r="F328" s="2015"/>
    </row>
    <row r="329" spans="1:9">
      <c r="D329" s="2015"/>
      <c r="E329" s="2015"/>
      <c r="F329" s="2015"/>
    </row>
    <row r="330" spans="1:9">
      <c r="D330" s="2015"/>
      <c r="E330" s="2015"/>
      <c r="F330" s="2015"/>
    </row>
    <row r="331" spans="1:9">
      <c r="D331" s="2015"/>
      <c r="E331" s="2015"/>
      <c r="F331" s="2015"/>
    </row>
    <row r="332" spans="1:9">
      <c r="D332" s="2015"/>
      <c r="E332" s="2015"/>
      <c r="F332" s="2015"/>
    </row>
    <row r="333" spans="1:9">
      <c r="D333" s="2015"/>
      <c r="E333" s="2015"/>
      <c r="F333" s="2015"/>
    </row>
    <row r="334" spans="1:9">
      <c r="D334" s="2015"/>
      <c r="E334" s="2015"/>
      <c r="F334" s="2015"/>
    </row>
    <row r="335" spans="1:9">
      <c r="D335" s="800"/>
      <c r="E335" s="800"/>
      <c r="F335" s="800"/>
    </row>
    <row r="336" spans="1:9" ht="14.25">
      <c r="A336" s="797"/>
      <c r="B336" s="798" t="s">
        <v>2733</v>
      </c>
      <c r="D336" s="1937" t="s">
        <v>1506</v>
      </c>
      <c r="E336" s="1937"/>
      <c r="F336" s="1937"/>
      <c r="I336" s="1773" t="s">
        <v>2474</v>
      </c>
    </row>
    <row r="337" spans="1:9">
      <c r="D337" s="1937"/>
      <c r="E337" s="1937"/>
      <c r="F337" s="1937"/>
      <c r="G337" s="790"/>
    </row>
    <row r="338" spans="1:9">
      <c r="D338" s="1937"/>
      <c r="E338" s="1937"/>
      <c r="F338" s="1937"/>
      <c r="G338" s="790"/>
    </row>
    <row r="339" spans="1:9">
      <c r="D339" s="1937"/>
      <c r="E339" s="1937"/>
      <c r="F339" s="1937"/>
      <c r="G339" s="790"/>
    </row>
    <row r="340" spans="1:9">
      <c r="D340" s="1937"/>
      <c r="E340" s="1937"/>
      <c r="F340" s="1937"/>
      <c r="G340" s="790"/>
    </row>
    <row r="341" spans="1:9">
      <c r="D341" s="1937"/>
      <c r="E341" s="1937"/>
      <c r="F341" s="1937"/>
      <c r="G341" s="790"/>
    </row>
    <row r="342" spans="1:9" s="1771" customFormat="1">
      <c r="A342" s="788"/>
      <c r="B342" s="788"/>
      <c r="C342" s="788"/>
      <c r="D342" s="1826"/>
      <c r="E342" s="1826"/>
      <c r="F342" s="1826"/>
      <c r="I342" s="1773"/>
    </row>
    <row r="343" spans="1:9" ht="13.5" thickBot="1">
      <c r="A343" s="1827"/>
      <c r="B343" s="1827"/>
      <c r="C343" s="1827"/>
      <c r="D343" s="2016" t="s">
        <v>1059</v>
      </c>
      <c r="E343" s="2016"/>
      <c r="F343" s="2016"/>
      <c r="G343" s="1850"/>
      <c r="H343" s="1850"/>
      <c r="I343" s="1851"/>
    </row>
    <row r="344" spans="1:9" ht="13.5" thickTop="1">
      <c r="D344" s="2034" t="s">
        <v>1311</v>
      </c>
      <c r="E344" s="2034"/>
      <c r="F344" s="2034"/>
      <c r="G344" s="790"/>
    </row>
    <row r="345" spans="1:9" s="1771" customFormat="1">
      <c r="A345" s="788"/>
      <c r="B345" s="788"/>
      <c r="C345" s="788"/>
      <c r="D345" s="1844"/>
      <c r="E345" s="1844"/>
      <c r="F345" s="1844"/>
      <c r="I345" s="1773"/>
    </row>
    <row r="346" spans="1:9">
      <c r="A346" s="814"/>
      <c r="B346" s="814"/>
      <c r="C346" s="814"/>
      <c r="D346" s="786"/>
      <c r="E346" s="786"/>
      <c r="F346" s="800"/>
      <c r="G346" s="790"/>
      <c r="I346" s="1773" t="s">
        <v>2438</v>
      </c>
    </row>
    <row r="347" spans="1:9" ht="14.25">
      <c r="A347" s="797"/>
      <c r="B347" s="798" t="s">
        <v>2734</v>
      </c>
      <c r="C347" s="829"/>
      <c r="D347" s="1939" t="s">
        <v>1320</v>
      </c>
      <c r="E347" s="1939"/>
      <c r="F347" s="1939"/>
      <c r="I347" s="2039" t="s">
        <v>2489</v>
      </c>
    </row>
    <row r="348" spans="1:9" ht="12.75" customHeight="1">
      <c r="D348" s="1929" t="s">
        <v>1454</v>
      </c>
      <c r="E348" s="1929"/>
      <c r="F348" s="1929"/>
      <c r="I348" s="2040"/>
    </row>
    <row r="349" spans="1:9">
      <c r="D349" s="2015" t="s">
        <v>1453</v>
      </c>
      <c r="E349" s="2015"/>
      <c r="F349" s="2015"/>
      <c r="I349" s="2040"/>
    </row>
    <row r="350" spans="1:9">
      <c r="D350" s="2015"/>
      <c r="E350" s="2015"/>
      <c r="F350" s="2015"/>
      <c r="I350" s="2040"/>
    </row>
    <row r="351" spans="1:9">
      <c r="D351" s="2015"/>
      <c r="E351" s="2015"/>
      <c r="F351" s="2015"/>
      <c r="I351" s="2041"/>
    </row>
    <row r="352" spans="1:9" ht="14.25">
      <c r="A352" s="797"/>
      <c r="B352" s="798" t="s">
        <v>2734</v>
      </c>
      <c r="C352" s="814"/>
      <c r="D352" s="1933" t="s">
        <v>1312</v>
      </c>
      <c r="E352" s="1933"/>
      <c r="F352" s="1933"/>
      <c r="G352" s="790"/>
      <c r="I352" s="619"/>
    </row>
    <row r="353" spans="1:9">
      <c r="A353" s="814"/>
      <c r="B353" s="814"/>
      <c r="C353" s="814"/>
      <c r="D353" s="786"/>
      <c r="E353" s="786"/>
      <c r="F353" s="800"/>
      <c r="G353" s="790"/>
    </row>
    <row r="354" spans="1:9">
      <c r="A354" s="814"/>
      <c r="B354" s="798" t="s">
        <v>2734</v>
      </c>
      <c r="C354" s="814"/>
      <c r="D354" s="1928" t="s">
        <v>1432</v>
      </c>
      <c r="E354" s="1928"/>
      <c r="F354" s="1928"/>
      <c r="G354" s="790"/>
    </row>
    <row r="355" spans="1:9">
      <c r="A355" s="814"/>
      <c r="B355" s="814"/>
      <c r="C355" s="814"/>
      <c r="D355" s="1928"/>
      <c r="E355" s="1928"/>
      <c r="F355" s="1928"/>
      <c r="G355" s="790"/>
    </row>
    <row r="356" spans="1:9">
      <c r="A356" s="814"/>
      <c r="B356" s="814"/>
      <c r="C356" s="814"/>
      <c r="D356" s="1928"/>
      <c r="E356" s="1928"/>
      <c r="F356" s="1928"/>
      <c r="G356" s="790"/>
    </row>
    <row r="357" spans="1:9">
      <c r="A357" s="814"/>
      <c r="B357" s="814"/>
      <c r="C357" s="814"/>
      <c r="D357" s="1928"/>
      <c r="E357" s="1928"/>
      <c r="F357" s="1928"/>
      <c r="G357" s="790"/>
    </row>
    <row r="358" spans="1:9">
      <c r="A358" s="814"/>
      <c r="B358" s="814"/>
      <c r="C358" s="814"/>
      <c r="D358" s="1928"/>
      <c r="E358" s="1928"/>
      <c r="F358" s="1928"/>
      <c r="G358" s="790"/>
    </row>
    <row r="359" spans="1:9">
      <c r="A359" s="814"/>
      <c r="B359" s="814"/>
      <c r="C359" s="814"/>
      <c r="D359" s="1928"/>
      <c r="E359" s="1928"/>
      <c r="F359" s="1928"/>
      <c r="G359" s="790"/>
    </row>
    <row r="360" spans="1:9">
      <c r="A360" s="814"/>
      <c r="B360" s="814"/>
      <c r="C360" s="814"/>
      <c r="D360" s="1928"/>
      <c r="E360" s="1928"/>
      <c r="F360" s="1928"/>
      <c r="G360" s="790"/>
    </row>
    <row r="361" spans="1:9">
      <c r="A361" s="814"/>
      <c r="B361" s="814"/>
      <c r="C361" s="814"/>
      <c r="D361" s="1928"/>
      <c r="E361" s="1928"/>
      <c r="F361" s="1928"/>
      <c r="G361" s="790"/>
    </row>
    <row r="362" spans="1:9">
      <c r="A362" s="814"/>
      <c r="B362" s="814"/>
      <c r="C362" s="814"/>
      <c r="D362" s="1928"/>
      <c r="E362" s="1928"/>
      <c r="F362" s="1928"/>
      <c r="G362" s="790"/>
    </row>
    <row r="363" spans="1:9">
      <c r="A363" s="814"/>
      <c r="B363" s="814"/>
      <c r="C363" s="814"/>
      <c r="D363" s="1928"/>
      <c r="E363" s="1928"/>
      <c r="F363" s="1928"/>
      <c r="G363" s="790"/>
    </row>
    <row r="364" spans="1:9">
      <c r="A364" s="814"/>
      <c r="B364" s="814"/>
      <c r="C364" s="814"/>
      <c r="D364" s="1928"/>
      <c r="E364" s="1928"/>
      <c r="F364" s="1928"/>
      <c r="G364" s="790"/>
    </row>
    <row r="365" spans="1:9">
      <c r="A365" s="814"/>
      <c r="B365" s="814"/>
      <c r="C365" s="814"/>
      <c r="D365" s="1928"/>
      <c r="E365" s="1928"/>
      <c r="F365" s="1928"/>
      <c r="G365" s="790"/>
    </row>
    <row r="366" spans="1:9" s="1771" customFormat="1">
      <c r="A366" s="1776"/>
      <c r="B366" s="1776"/>
      <c r="C366" s="1776"/>
      <c r="D366" s="1778"/>
      <c r="E366" s="1778"/>
      <c r="F366" s="1778"/>
      <c r="I366" s="1773"/>
    </row>
    <row r="367" spans="1:9" ht="12.4" customHeight="1">
      <c r="A367" s="814"/>
      <c r="B367" s="798" t="s">
        <v>2734</v>
      </c>
      <c r="C367" s="814"/>
      <c r="D367" s="2042" t="s">
        <v>1433</v>
      </c>
      <c r="E367" s="2042"/>
      <c r="F367" s="2042"/>
      <c r="G367" s="790"/>
    </row>
    <row r="368" spans="1:9">
      <c r="A368" s="814"/>
      <c r="B368" s="814"/>
      <c r="C368" s="814"/>
      <c r="D368" s="2042"/>
      <c r="E368" s="2042"/>
      <c r="F368" s="2042"/>
      <c r="G368" s="790"/>
    </row>
    <row r="369" spans="1:9">
      <c r="A369" s="814"/>
      <c r="B369" s="814"/>
      <c r="C369" s="814"/>
      <c r="D369" s="2042"/>
      <c r="E369" s="2042"/>
      <c r="F369" s="2042"/>
      <c r="G369" s="790"/>
    </row>
    <row r="370" spans="1:9">
      <c r="A370" s="814"/>
      <c r="B370" s="814"/>
      <c r="C370" s="814"/>
      <c r="D370" s="2042"/>
      <c r="E370" s="2042"/>
      <c r="F370" s="2042"/>
      <c r="G370" s="790"/>
    </row>
    <row r="371" spans="1:9" s="1771" customFormat="1">
      <c r="A371" s="1776"/>
      <c r="B371" s="1776"/>
      <c r="C371" s="1776"/>
      <c r="D371" s="1777"/>
      <c r="E371" s="1777"/>
      <c r="F371" s="1777"/>
      <c r="I371" s="1773"/>
    </row>
    <row r="372" spans="1:9" s="1771" customFormat="1">
      <c r="A372" s="1776"/>
      <c r="B372" s="1774" t="s">
        <v>2734</v>
      </c>
      <c r="C372" s="1776"/>
      <c r="D372" s="1771" t="s">
        <v>2357</v>
      </c>
      <c r="E372" s="1777"/>
      <c r="F372" s="1777"/>
      <c r="I372" s="1773"/>
    </row>
    <row r="373" spans="1:9" s="1771" customFormat="1">
      <c r="A373" s="1776"/>
      <c r="B373" s="1776"/>
      <c r="C373" s="1776"/>
      <c r="D373" s="1771" t="s">
        <v>2358</v>
      </c>
      <c r="E373" s="1777"/>
      <c r="F373" s="1777"/>
      <c r="I373" s="1773"/>
    </row>
    <row r="374" spans="1:9" s="1771" customFormat="1">
      <c r="A374" s="1776"/>
      <c r="B374" s="1776"/>
      <c r="C374" s="1776"/>
      <c r="D374" s="1771" t="s">
        <v>2359</v>
      </c>
      <c r="E374" s="1777"/>
      <c r="F374" s="1777"/>
      <c r="I374" s="1773"/>
    </row>
    <row r="375" spans="1:9" s="1771" customFormat="1">
      <c r="A375" s="1776"/>
      <c r="B375" s="1776"/>
      <c r="C375" s="1776"/>
      <c r="D375" s="1771" t="s">
        <v>2360</v>
      </c>
      <c r="E375" s="1777"/>
      <c r="F375" s="1777"/>
      <c r="I375" s="1773"/>
    </row>
    <row r="376" spans="1:9" s="1771" customFormat="1">
      <c r="A376" s="1776"/>
      <c r="B376" s="1776"/>
      <c r="C376" s="1776"/>
      <c r="D376" s="1771" t="s">
        <v>2361</v>
      </c>
      <c r="E376" s="1777"/>
      <c r="F376" s="1777"/>
      <c r="I376" s="1773"/>
    </row>
    <row r="377" spans="1:9" s="1771" customFormat="1">
      <c r="A377" s="1776"/>
      <c r="B377" s="1776"/>
      <c r="C377" s="1776"/>
      <c r="D377" s="1771" t="s">
        <v>2362</v>
      </c>
      <c r="E377" s="1777"/>
      <c r="F377" s="1777"/>
      <c r="I377" s="1773"/>
    </row>
    <row r="378" spans="1:9">
      <c r="A378" s="814"/>
      <c r="B378" s="814"/>
      <c r="C378" s="814"/>
      <c r="D378" s="790"/>
      <c r="E378" s="786"/>
      <c r="F378" s="800"/>
      <c r="G378" s="790"/>
    </row>
    <row r="379" spans="1:9" ht="14.25">
      <c r="A379" s="797"/>
      <c r="B379" s="798" t="s">
        <v>2734</v>
      </c>
      <c r="C379" s="814"/>
      <c r="D379" s="1926" t="s">
        <v>1314</v>
      </c>
      <c r="E379" s="1926"/>
      <c r="F379" s="1926"/>
      <c r="G379" s="790"/>
    </row>
    <row r="380" spans="1:9">
      <c r="A380" s="814"/>
      <c r="B380" s="814"/>
      <c r="C380" s="814"/>
      <c r="D380" s="1926"/>
      <c r="E380" s="1926"/>
      <c r="F380" s="1926"/>
      <c r="G380" s="790"/>
    </row>
    <row r="381" spans="1:9">
      <c r="A381" s="814"/>
      <c r="B381" s="814"/>
      <c r="C381" s="814"/>
      <c r="D381" s="1926"/>
      <c r="E381" s="1926"/>
      <c r="F381" s="1926"/>
      <c r="G381" s="790"/>
    </row>
    <row r="382" spans="1:9">
      <c r="A382" s="814"/>
      <c r="B382" s="814"/>
      <c r="C382" s="814"/>
      <c r="D382" s="1926"/>
      <c r="E382" s="1926"/>
      <c r="F382" s="1926"/>
      <c r="G382" s="790"/>
    </row>
    <row r="383" spans="1:9">
      <c r="A383" s="814"/>
      <c r="B383" s="814"/>
      <c r="C383" s="814"/>
      <c r="D383" s="826"/>
      <c r="E383" s="786"/>
      <c r="F383" s="800"/>
      <c r="G383" s="790"/>
    </row>
    <row r="384" spans="1:9">
      <c r="A384" s="814"/>
      <c r="B384" s="814"/>
      <c r="C384" s="814"/>
      <c r="D384" s="1926" t="s">
        <v>1315</v>
      </c>
      <c r="E384" s="1926"/>
      <c r="F384" s="1926"/>
      <c r="G384" s="790"/>
    </row>
    <row r="385" spans="1:7">
      <c r="A385" s="814"/>
      <c r="B385" s="814"/>
      <c r="C385" s="814"/>
      <c r="D385" s="1926"/>
      <c r="E385" s="1926"/>
      <c r="F385" s="1926"/>
      <c r="G385" s="790"/>
    </row>
    <row r="386" spans="1:7">
      <c r="A386" s="814"/>
      <c r="B386" s="814"/>
      <c r="C386" s="814"/>
      <c r="D386" s="1926"/>
      <c r="E386" s="1926"/>
      <c r="F386" s="1926"/>
      <c r="G386" s="790"/>
    </row>
    <row r="387" spans="1:7">
      <c r="A387" s="814"/>
      <c r="B387" s="814"/>
      <c r="C387" s="814"/>
      <c r="D387" s="1926"/>
      <c r="E387" s="1926"/>
      <c r="F387" s="1926"/>
      <c r="G387" s="790"/>
    </row>
    <row r="388" spans="1:7" ht="18" customHeight="1">
      <c r="A388" s="814"/>
      <c r="B388" s="814"/>
      <c r="C388" s="814"/>
      <c r="D388" s="1926"/>
      <c r="E388" s="1926"/>
      <c r="F388" s="1926"/>
      <c r="G388" s="790"/>
    </row>
    <row r="389" spans="1:7">
      <c r="A389" s="814"/>
      <c r="B389" s="814"/>
      <c r="C389" s="814"/>
      <c r="D389" s="1926"/>
      <c r="E389" s="1926"/>
      <c r="F389" s="1926"/>
      <c r="G389" s="790"/>
    </row>
    <row r="390" spans="1:7">
      <c r="A390" s="814"/>
      <c r="B390" s="814"/>
      <c r="C390" s="814"/>
      <c r="D390" s="1926"/>
      <c r="E390" s="1926"/>
      <c r="F390" s="1926"/>
      <c r="G390" s="790"/>
    </row>
    <row r="391" spans="1:7">
      <c r="A391" s="814"/>
      <c r="B391" s="814"/>
      <c r="C391" s="814"/>
      <c r="D391" s="1926"/>
      <c r="E391" s="1926"/>
      <c r="F391" s="1926"/>
      <c r="G391" s="790"/>
    </row>
    <row r="392" spans="1:7" ht="8.25" customHeight="1">
      <c r="A392" s="814"/>
      <c r="B392" s="814"/>
      <c r="C392" s="814"/>
      <c r="D392" s="1926"/>
      <c r="E392" s="1926"/>
      <c r="F392" s="1926"/>
      <c r="G392" s="790"/>
    </row>
    <row r="393" spans="1:7" ht="13.7" customHeight="1">
      <c r="A393" s="814"/>
      <c r="B393" s="814"/>
      <c r="C393" s="814"/>
      <c r="D393" s="1927" t="s">
        <v>1316</v>
      </c>
      <c r="E393" s="1927"/>
      <c r="F393" s="1927"/>
      <c r="G393" s="790"/>
    </row>
    <row r="394" spans="1:7">
      <c r="A394" s="814"/>
      <c r="B394" s="814"/>
      <c r="C394" s="814"/>
      <c r="D394" s="1927"/>
      <c r="E394" s="1927"/>
      <c r="F394" s="1927"/>
      <c r="G394" s="790"/>
    </row>
    <row r="395" spans="1:7">
      <c r="A395" s="814"/>
      <c r="B395" s="814"/>
      <c r="C395" s="814"/>
      <c r="D395" s="1927"/>
      <c r="E395" s="1927"/>
      <c r="F395" s="1927"/>
      <c r="G395" s="790"/>
    </row>
    <row r="396" spans="1:7">
      <c r="A396" s="814"/>
      <c r="B396" s="814"/>
      <c r="C396" s="814"/>
      <c r="D396" s="1927"/>
      <c r="E396" s="1927"/>
      <c r="F396" s="1927"/>
      <c r="G396" s="790"/>
    </row>
    <row r="397" spans="1:7">
      <c r="A397" s="814"/>
      <c r="B397" s="814"/>
      <c r="C397" s="814"/>
      <c r="D397" s="1927"/>
      <c r="E397" s="1927"/>
      <c r="F397" s="1927"/>
      <c r="G397" s="790"/>
    </row>
    <row r="398" spans="1:7">
      <c r="A398" s="814"/>
      <c r="B398" s="814"/>
      <c r="C398" s="814"/>
      <c r="D398" s="1927"/>
      <c r="E398" s="1927"/>
      <c r="F398" s="1927"/>
      <c r="G398" s="790"/>
    </row>
    <row r="399" spans="1:7">
      <c r="A399" s="814"/>
      <c r="B399" s="814"/>
      <c r="C399" s="814"/>
      <c r="D399" s="1927"/>
      <c r="E399" s="1927"/>
      <c r="F399" s="1927"/>
      <c r="G399" s="790"/>
    </row>
    <row r="400" spans="1:7">
      <c r="A400" s="814"/>
      <c r="B400" s="814"/>
      <c r="C400" s="814"/>
      <c r="D400" s="1927"/>
      <c r="E400" s="1927"/>
      <c r="F400" s="1927"/>
      <c r="G400" s="790"/>
    </row>
    <row r="401" spans="1:7">
      <c r="A401" s="814"/>
      <c r="B401" s="814"/>
      <c r="C401" s="814"/>
      <c r="D401" s="1927"/>
      <c r="E401" s="1927"/>
      <c r="F401" s="1927"/>
      <c r="G401" s="790"/>
    </row>
    <row r="402" spans="1:7">
      <c r="A402" s="814"/>
      <c r="B402" s="814"/>
      <c r="C402" s="814"/>
      <c r="D402" s="1927"/>
      <c r="E402" s="1927"/>
      <c r="F402" s="1927"/>
      <c r="G402" s="790"/>
    </row>
    <row r="403" spans="1:7">
      <c r="A403" s="814"/>
      <c r="B403" s="814"/>
      <c r="C403" s="814"/>
      <c r="D403" s="1927"/>
      <c r="E403" s="1927"/>
      <c r="F403" s="1927"/>
      <c r="G403" s="790"/>
    </row>
    <row r="404" spans="1:7">
      <c r="A404" s="814"/>
      <c r="B404" s="814"/>
      <c r="C404" s="814"/>
      <c r="D404" s="1927"/>
      <c r="E404" s="1927"/>
      <c r="F404" s="1927"/>
      <c r="G404" s="790"/>
    </row>
    <row r="405" spans="1:7">
      <c r="A405" s="814"/>
      <c r="B405" s="814"/>
      <c r="C405" s="827"/>
      <c r="D405" s="1927"/>
      <c r="E405" s="1927"/>
      <c r="F405" s="1927"/>
      <c r="G405" s="790"/>
    </row>
    <row r="406" spans="1:7">
      <c r="A406" s="814"/>
      <c r="B406" s="814"/>
      <c r="C406" s="827"/>
      <c r="D406" s="1927"/>
      <c r="E406" s="1927"/>
      <c r="F406" s="1927"/>
      <c r="G406" s="790"/>
    </row>
    <row r="407" spans="1:7">
      <c r="A407" s="814"/>
      <c r="B407" s="814"/>
      <c r="C407" s="814"/>
      <c r="D407" s="1927"/>
      <c r="E407" s="1927"/>
      <c r="F407" s="1927"/>
      <c r="G407" s="790"/>
    </row>
    <row r="408" spans="1:7">
      <c r="A408" s="814"/>
      <c r="B408" s="814"/>
      <c r="C408" s="827"/>
      <c r="D408" s="1927"/>
      <c r="E408" s="1927"/>
      <c r="F408" s="1927"/>
      <c r="G408" s="790"/>
    </row>
    <row r="409" spans="1:7">
      <c r="A409" s="814"/>
      <c r="B409" s="814"/>
      <c r="C409" s="827"/>
      <c r="D409" s="1927"/>
      <c r="E409" s="1927"/>
      <c r="F409" s="1927"/>
      <c r="G409" s="790"/>
    </row>
    <row r="410" spans="1:7">
      <c r="A410" s="814"/>
      <c r="B410" s="814"/>
      <c r="C410" s="827"/>
      <c r="D410" s="1927"/>
      <c r="E410" s="1927"/>
      <c r="F410" s="1927"/>
      <c r="G410" s="790"/>
    </row>
    <row r="411" spans="1:7">
      <c r="A411" s="814"/>
      <c r="B411" s="814"/>
      <c r="C411" s="814"/>
      <c r="D411" s="826"/>
      <c r="E411" s="786"/>
      <c r="F411" s="800"/>
      <c r="G411" s="790"/>
    </row>
    <row r="412" spans="1:7">
      <c r="A412" s="814"/>
      <c r="B412" s="798" t="s">
        <v>2734</v>
      </c>
      <c r="C412" s="814"/>
      <c r="D412" s="1927" t="s">
        <v>1317</v>
      </c>
      <c r="E412" s="1927"/>
      <c r="F412" s="1927"/>
      <c r="G412" s="790"/>
    </row>
    <row r="413" spans="1:7">
      <c r="A413" s="814"/>
      <c r="B413" s="814"/>
      <c r="C413" s="814"/>
      <c r="D413" s="1927"/>
      <c r="E413" s="1927"/>
      <c r="F413" s="1927"/>
      <c r="G413" s="790"/>
    </row>
    <row r="414" spans="1:7">
      <c r="A414" s="814"/>
      <c r="B414" s="814"/>
      <c r="C414" s="814"/>
      <c r="D414" s="903"/>
      <c r="E414" s="903"/>
      <c r="F414" s="903"/>
      <c r="G414" s="790"/>
    </row>
    <row r="415" spans="1:7" ht="14.45" customHeight="1">
      <c r="A415" s="797"/>
      <c r="B415" s="798" t="s">
        <v>2734</v>
      </c>
      <c r="D415" s="1927" t="s">
        <v>2475</v>
      </c>
      <c r="E415" s="1927"/>
      <c r="F415" s="1927"/>
    </row>
    <row r="416" spans="1:7" ht="14.45" customHeight="1">
      <c r="A416" s="797"/>
      <c r="D416" s="1927"/>
      <c r="E416" s="1927"/>
      <c r="F416" s="1927"/>
    </row>
    <row r="417" spans="1:7" ht="14.45" customHeight="1">
      <c r="A417" s="797"/>
      <c r="D417" s="1927"/>
      <c r="E417" s="1927"/>
      <c r="F417" s="1927"/>
    </row>
    <row r="418" spans="1:7" ht="14.45" customHeight="1">
      <c r="A418" s="797"/>
      <c r="D418" s="1927"/>
      <c r="E418" s="1927"/>
      <c r="F418" s="1927"/>
    </row>
    <row r="419" spans="1:7" ht="14.45" customHeight="1">
      <c r="A419" s="797"/>
      <c r="D419" s="1927"/>
      <c r="E419" s="1927"/>
      <c r="F419" s="1927"/>
    </row>
    <row r="420" spans="1:7" ht="14.45" customHeight="1">
      <c r="A420" s="797"/>
      <c r="D420" s="878"/>
      <c r="E420" s="878"/>
      <c r="F420" s="878"/>
    </row>
    <row r="421" spans="1:7" ht="13.7" customHeight="1">
      <c r="A421" s="797"/>
      <c r="B421" s="798" t="s">
        <v>2734</v>
      </c>
      <c r="C421" s="814"/>
      <c r="D421" s="1928" t="s">
        <v>1457</v>
      </c>
      <c r="E421" s="1928"/>
      <c r="F421" s="1928"/>
      <c r="G421" s="790"/>
    </row>
    <row r="422" spans="1:7" ht="14.25">
      <c r="A422" s="828"/>
      <c r="B422" s="828"/>
      <c r="C422" s="814"/>
      <c r="D422" s="1928"/>
      <c r="E422" s="1928"/>
      <c r="F422" s="1928"/>
      <c r="G422" s="790"/>
    </row>
    <row r="423" spans="1:7" ht="14.25">
      <c r="A423" s="828"/>
      <c r="B423" s="828"/>
      <c r="C423" s="814"/>
      <c r="D423" s="1928"/>
      <c r="E423" s="1928"/>
      <c r="F423" s="1928"/>
      <c r="G423" s="790"/>
    </row>
    <row r="424" spans="1:7" ht="14.25">
      <c r="A424" s="828"/>
      <c r="B424" s="828"/>
      <c r="C424" s="814"/>
      <c r="D424" s="1928"/>
      <c r="E424" s="1928"/>
      <c r="F424" s="1928"/>
      <c r="G424" s="790"/>
    </row>
    <row r="425" spans="1:7" ht="15.75" customHeight="1">
      <c r="A425" s="828"/>
      <c r="B425" s="828"/>
      <c r="C425" s="814"/>
      <c r="D425" s="2035" t="s">
        <v>1507</v>
      </c>
      <c r="E425" s="1928"/>
      <c r="F425" s="1928"/>
      <c r="G425" s="790"/>
    </row>
    <row r="426" spans="1:7">
      <c r="D426" s="800"/>
      <c r="E426" s="800"/>
      <c r="F426" s="800"/>
      <c r="G426" s="790"/>
    </row>
    <row r="427" spans="1:7" ht="14.25">
      <c r="A427" s="797"/>
      <c r="B427" s="798" t="s">
        <v>2734</v>
      </c>
      <c r="C427" s="829"/>
      <c r="D427" s="1937" t="s">
        <v>1319</v>
      </c>
      <c r="E427" s="1937"/>
      <c r="F427" s="1937"/>
      <c r="G427" s="790"/>
    </row>
    <row r="428" spans="1:7" ht="14.25">
      <c r="A428" s="797"/>
      <c r="B428" s="797"/>
      <c r="D428" s="1937"/>
      <c r="E428" s="1937"/>
      <c r="F428" s="1937"/>
      <c r="G428" s="790"/>
    </row>
    <row r="429" spans="1:7">
      <c r="D429" s="1937"/>
      <c r="E429" s="1937"/>
      <c r="F429" s="1937"/>
      <c r="G429" s="790"/>
    </row>
    <row r="430" spans="1:7">
      <c r="D430" s="1937"/>
      <c r="E430" s="1937"/>
      <c r="F430" s="1937"/>
      <c r="G430" s="790"/>
    </row>
    <row r="431" spans="1:7">
      <c r="D431" s="1937"/>
      <c r="E431" s="1937"/>
      <c r="F431" s="1937"/>
      <c r="G431" s="790"/>
    </row>
    <row r="432" spans="1:7">
      <c r="D432" s="1937"/>
      <c r="E432" s="1937"/>
      <c r="F432" s="1937"/>
      <c r="G432" s="790"/>
    </row>
    <row r="433" spans="1:7">
      <c r="D433" s="1937"/>
      <c r="E433" s="1937"/>
      <c r="F433" s="1937"/>
      <c r="G433" s="790"/>
    </row>
    <row r="434" spans="1:7">
      <c r="D434" s="1937"/>
      <c r="E434" s="1937"/>
      <c r="F434" s="1937"/>
      <c r="G434" s="790"/>
    </row>
    <row r="435" spans="1:7">
      <c r="D435" s="1937"/>
      <c r="E435" s="1937"/>
      <c r="F435" s="1937"/>
      <c r="G435" s="790"/>
    </row>
    <row r="436" spans="1:7">
      <c r="D436" s="1937"/>
      <c r="E436" s="1937"/>
      <c r="F436" s="1937"/>
      <c r="G436" s="790"/>
    </row>
    <row r="437" spans="1:7">
      <c r="D437" s="1937"/>
      <c r="E437" s="1937"/>
      <c r="F437" s="1937"/>
      <c r="G437" s="790"/>
    </row>
    <row r="438" spans="1:7">
      <c r="D438" s="1937"/>
      <c r="E438" s="1937"/>
      <c r="F438" s="1937"/>
      <c r="G438" s="790"/>
    </row>
    <row r="439" spans="1:7">
      <c r="D439" s="1937"/>
      <c r="E439" s="1937"/>
      <c r="F439" s="1937"/>
      <c r="G439" s="790"/>
    </row>
    <row r="440" spans="1:7">
      <c r="A440" s="790"/>
      <c r="B440" s="790"/>
      <c r="C440" s="790"/>
      <c r="D440" s="1937"/>
      <c r="E440" s="1937"/>
      <c r="F440" s="1937"/>
      <c r="G440" s="790"/>
    </row>
    <row r="441" spans="1:7">
      <c r="A441" s="790"/>
      <c r="B441" s="790"/>
      <c r="C441" s="790"/>
      <c r="D441" s="1937"/>
      <c r="E441" s="1937"/>
      <c r="F441" s="1937"/>
      <c r="G441" s="790"/>
    </row>
    <row r="442" spans="1:7">
      <c r="A442" s="790"/>
      <c r="B442" s="790"/>
      <c r="C442" s="790"/>
      <c r="D442" s="1937"/>
      <c r="E442" s="1937"/>
      <c r="F442" s="1937"/>
      <c r="G442" s="790"/>
    </row>
    <row r="443" spans="1:7">
      <c r="A443" s="790"/>
      <c r="B443" s="790"/>
      <c r="C443" s="790"/>
      <c r="D443" s="1937"/>
      <c r="E443" s="1937"/>
      <c r="F443" s="1937"/>
      <c r="G443" s="790"/>
    </row>
    <row r="444" spans="1:7">
      <c r="A444" s="790"/>
      <c r="B444" s="790"/>
      <c r="C444" s="790"/>
      <c r="D444" s="1937"/>
      <c r="E444" s="1937"/>
      <c r="F444" s="1937"/>
      <c r="G444" s="790"/>
    </row>
    <row r="445" spans="1:7">
      <c r="A445" s="790"/>
      <c r="B445" s="790"/>
      <c r="C445" s="790"/>
      <c r="D445" s="1937"/>
      <c r="E445" s="1937"/>
      <c r="F445" s="1937"/>
      <c r="G445" s="790"/>
    </row>
    <row r="446" spans="1:7">
      <c r="A446" s="790"/>
      <c r="B446" s="790"/>
      <c r="C446" s="790"/>
      <c r="D446" s="1937"/>
      <c r="E446" s="1937"/>
      <c r="F446" s="1937"/>
      <c r="G446" s="790"/>
    </row>
    <row r="447" spans="1:7">
      <c r="A447" s="790"/>
      <c r="B447" s="790"/>
      <c r="C447" s="790"/>
      <c r="D447" s="1937"/>
      <c r="E447" s="1937"/>
      <c r="F447" s="1937"/>
      <c r="G447" s="790"/>
    </row>
    <row r="448" spans="1:7">
      <c r="A448" s="790"/>
      <c r="B448" s="790"/>
      <c r="C448" s="790"/>
      <c r="D448" s="1937"/>
      <c r="E448" s="1937"/>
      <c r="F448" s="1937"/>
      <c r="G448" s="790"/>
    </row>
    <row r="449" spans="1:9">
      <c r="A449" s="790"/>
      <c r="B449" s="790"/>
      <c r="C449" s="790"/>
      <c r="D449" s="1937"/>
      <c r="E449" s="1937"/>
      <c r="F449" s="1937"/>
      <c r="G449" s="790"/>
    </row>
    <row r="450" spans="1:9">
      <c r="A450" s="790"/>
      <c r="B450" s="790"/>
      <c r="C450" s="790"/>
      <c r="D450" s="1937"/>
      <c r="E450" s="1937"/>
      <c r="F450" s="1937"/>
      <c r="G450" s="790"/>
    </row>
    <row r="451" spans="1:9">
      <c r="A451" s="790"/>
      <c r="B451" s="790"/>
      <c r="C451" s="790"/>
      <c r="D451" s="1937"/>
      <c r="E451" s="1937"/>
      <c r="F451" s="1937"/>
      <c r="G451" s="790"/>
    </row>
    <row r="452" spans="1:9">
      <c r="A452" s="790"/>
      <c r="B452" s="790"/>
      <c r="C452" s="790"/>
      <c r="D452" s="1937"/>
      <c r="E452" s="1937"/>
      <c r="F452" s="1937"/>
      <c r="G452" s="790"/>
    </row>
    <row r="453" spans="1:9">
      <c r="A453" s="790"/>
      <c r="B453" s="790"/>
      <c r="C453" s="790"/>
      <c r="D453" s="1937"/>
      <c r="E453" s="1937"/>
      <c r="F453" s="1937"/>
      <c r="G453" s="790"/>
    </row>
    <row r="454" spans="1:9">
      <c r="A454" s="790"/>
      <c r="B454" s="790"/>
      <c r="C454" s="790"/>
      <c r="D454" s="1937"/>
      <c r="E454" s="1937"/>
      <c r="F454" s="1937"/>
      <c r="G454" s="790"/>
    </row>
    <row r="455" spans="1:9">
      <c r="A455" s="790"/>
      <c r="B455" s="790"/>
      <c r="C455" s="790"/>
      <c r="D455" s="1937"/>
      <c r="E455" s="1937"/>
      <c r="F455" s="1937"/>
      <c r="G455" s="790"/>
    </row>
    <row r="456" spans="1:9" s="831" customFormat="1">
      <c r="A456" s="788"/>
      <c r="B456" s="788"/>
      <c r="C456" s="788"/>
      <c r="D456" s="1937"/>
      <c r="E456" s="1937"/>
      <c r="F456" s="1937"/>
      <c r="G456" s="830"/>
      <c r="I456" s="1839"/>
    </row>
    <row r="457" spans="1:9" s="831" customFormat="1" ht="40.700000000000003" customHeight="1">
      <c r="A457" s="788"/>
      <c r="B457" s="788"/>
      <c r="C457" s="788"/>
      <c r="D457" s="1937"/>
      <c r="E457" s="1937"/>
      <c r="F457" s="1937"/>
      <c r="G457" s="830"/>
      <c r="I457" s="1839"/>
    </row>
    <row r="458" spans="1:9">
      <c r="D458" s="800"/>
      <c r="E458" s="800"/>
      <c r="F458" s="800"/>
      <c r="G458" s="790"/>
    </row>
    <row r="459" spans="1:9" ht="14.25">
      <c r="A459" s="797"/>
      <c r="B459" s="798" t="s">
        <v>2734</v>
      </c>
      <c r="C459" s="829"/>
      <c r="D459" s="1937" t="s">
        <v>1322</v>
      </c>
      <c r="E459" s="1937"/>
      <c r="F459" s="1937"/>
      <c r="G459" s="790"/>
    </row>
    <row r="460" spans="1:9">
      <c r="D460" s="1937"/>
      <c r="E460" s="1937"/>
      <c r="F460" s="1937"/>
      <c r="G460" s="790"/>
    </row>
    <row r="461" spans="1:9">
      <c r="D461" s="1937"/>
      <c r="E461" s="1937"/>
      <c r="F461" s="1937"/>
      <c r="G461" s="790"/>
    </row>
    <row r="462" spans="1:9">
      <c r="D462" s="784"/>
      <c r="E462" s="784"/>
      <c r="F462" s="784"/>
      <c r="G462" s="790"/>
    </row>
    <row r="463" spans="1:9" ht="14.25">
      <c r="B463" s="798" t="s">
        <v>2734</v>
      </c>
      <c r="C463" s="797"/>
      <c r="D463" s="2015" t="s">
        <v>1401</v>
      </c>
      <c r="E463" s="2015"/>
      <c r="F463" s="2015"/>
      <c r="G463" s="790"/>
    </row>
    <row r="464" spans="1:9">
      <c r="D464" s="2015"/>
      <c r="E464" s="2015"/>
      <c r="F464" s="2015"/>
      <c r="G464" s="790"/>
    </row>
    <row r="465" spans="1:7">
      <c r="D465" s="800"/>
      <c r="E465" s="800"/>
      <c r="F465" s="800"/>
      <c r="G465" s="790"/>
    </row>
    <row r="466" spans="1:7" ht="14.25">
      <c r="B466" s="798" t="s">
        <v>2734</v>
      </c>
      <c r="C466" s="797"/>
      <c r="D466" s="2015" t="s">
        <v>1324</v>
      </c>
      <c r="E466" s="2015"/>
      <c r="F466" s="2015"/>
      <c r="G466" s="790"/>
    </row>
    <row r="467" spans="1:7">
      <c r="D467" s="2015"/>
      <c r="E467" s="2015"/>
      <c r="F467" s="2015"/>
      <c r="G467" s="790"/>
    </row>
    <row r="468" spans="1:7">
      <c r="D468" s="2015"/>
      <c r="E468" s="2015"/>
      <c r="F468" s="2015"/>
      <c r="G468" s="790"/>
    </row>
    <row r="469" spans="1:7">
      <c r="D469" s="2015"/>
      <c r="E469" s="2015"/>
      <c r="F469" s="2015"/>
      <c r="G469" s="790"/>
    </row>
    <row r="470" spans="1:7">
      <c r="B470" s="798" t="s">
        <v>2734</v>
      </c>
      <c r="D470" s="2015"/>
      <c r="E470" s="2015"/>
      <c r="F470" s="2015"/>
      <c r="G470" s="790"/>
    </row>
    <row r="471" spans="1:7">
      <c r="A471" s="790"/>
      <c r="B471" s="790"/>
      <c r="C471" s="790"/>
      <c r="D471" s="2015"/>
      <c r="E471" s="2015"/>
      <c r="F471" s="2015"/>
      <c r="G471" s="790"/>
    </row>
    <row r="472" spans="1:7">
      <c r="A472" s="790"/>
      <c r="C472" s="790"/>
      <c r="D472" s="2015"/>
      <c r="E472" s="2015"/>
      <c r="F472" s="2015"/>
      <c r="G472" s="790"/>
    </row>
    <row r="473" spans="1:7">
      <c r="A473" s="790"/>
      <c r="B473" s="798" t="s">
        <v>2734</v>
      </c>
      <c r="C473" s="790"/>
      <c r="D473" s="2015"/>
      <c r="E473" s="2015"/>
      <c r="F473" s="2015"/>
      <c r="G473" s="790"/>
    </row>
    <row r="474" spans="1:7">
      <c r="A474" s="790"/>
      <c r="B474" s="790"/>
      <c r="C474" s="790"/>
      <c r="D474" s="2015"/>
      <c r="E474" s="2015"/>
      <c r="F474" s="2015"/>
      <c r="G474" s="790"/>
    </row>
    <row r="475" spans="1:7">
      <c r="A475" s="790"/>
      <c r="C475" s="790"/>
      <c r="D475" s="2015"/>
      <c r="E475" s="2015"/>
      <c r="F475" s="2015"/>
      <c r="G475" s="790"/>
    </row>
    <row r="476" spans="1:7">
      <c r="A476" s="790"/>
      <c r="C476" s="790"/>
      <c r="D476" s="2015"/>
      <c r="E476" s="2015"/>
      <c r="F476" s="2015"/>
      <c r="G476" s="790"/>
    </row>
    <row r="477" spans="1:7">
      <c r="A477" s="790"/>
      <c r="C477" s="790"/>
      <c r="D477" s="2015"/>
      <c r="E477" s="2015"/>
      <c r="F477" s="2015"/>
      <c r="G477" s="790"/>
    </row>
    <row r="478" spans="1:7">
      <c r="A478" s="790"/>
      <c r="B478" s="798" t="s">
        <v>2734</v>
      </c>
      <c r="C478" s="790"/>
      <c r="D478" s="2015"/>
      <c r="E478" s="2015"/>
      <c r="F478" s="2015"/>
      <c r="G478" s="790"/>
    </row>
    <row r="479" spans="1:7">
      <c r="A479" s="790"/>
      <c r="C479" s="790"/>
      <c r="D479" s="2015"/>
      <c r="E479" s="2015"/>
      <c r="F479" s="2015"/>
      <c r="G479" s="790"/>
    </row>
    <row r="480" spans="1:7">
      <c r="A480" s="790"/>
      <c r="B480" s="798" t="s">
        <v>2734</v>
      </c>
      <c r="C480" s="790"/>
      <c r="D480" s="2015" t="s">
        <v>1325</v>
      </c>
      <c r="E480" s="2015"/>
      <c r="F480" s="2015"/>
      <c r="G480" s="790"/>
    </row>
    <row r="481" spans="1:9">
      <c r="A481" s="790"/>
      <c r="B481" s="790"/>
      <c r="C481" s="790"/>
      <c r="D481" s="2015"/>
      <c r="E481" s="2015"/>
      <c r="F481" s="2015"/>
      <c r="G481" s="790"/>
    </row>
    <row r="482" spans="1:9">
      <c r="A482" s="790"/>
      <c r="B482" s="790"/>
      <c r="C482" s="790"/>
      <c r="D482" s="2015"/>
      <c r="E482" s="2015"/>
      <c r="F482" s="2015"/>
      <c r="G482" s="790"/>
    </row>
    <row r="483" spans="1:9">
      <c r="A483" s="790"/>
      <c r="B483" s="790"/>
      <c r="C483" s="790"/>
      <c r="D483" s="2015"/>
      <c r="E483" s="2015"/>
      <c r="F483" s="2015"/>
      <c r="G483" s="790"/>
    </row>
    <row r="484" spans="1:9">
      <c r="D484" s="2015"/>
      <c r="E484" s="2015"/>
      <c r="F484" s="2015"/>
    </row>
    <row r="485" spans="1:9">
      <c r="D485" s="800"/>
      <c r="E485" s="800"/>
      <c r="F485" s="800"/>
    </row>
    <row r="486" spans="1:9">
      <c r="B486" s="798" t="s">
        <v>2734</v>
      </c>
      <c r="D486" s="2011" t="s">
        <v>1326</v>
      </c>
      <c r="E486" s="2011"/>
      <c r="F486" s="2011"/>
    </row>
    <row r="487" spans="1:9">
      <c r="A487" s="800"/>
      <c r="B487" s="800"/>
    </row>
    <row r="488" spans="1:9">
      <c r="A488" s="1919" t="s">
        <v>1167</v>
      </c>
      <c r="B488" s="1919"/>
      <c r="C488" s="1919"/>
      <c r="D488" s="1919"/>
      <c r="E488" s="1919"/>
      <c r="F488" s="1919"/>
      <c r="G488" s="1919"/>
      <c r="H488" s="1852"/>
      <c r="I488" s="1853"/>
    </row>
    <row r="489" spans="1:9">
      <c r="A489" s="800"/>
      <c r="B489" s="800"/>
    </row>
    <row r="490" spans="1:9">
      <c r="D490" s="1915" t="s">
        <v>947</v>
      </c>
      <c r="E490" s="1915"/>
      <c r="F490" s="1915"/>
    </row>
    <row r="491" spans="1:9" s="791" customFormat="1" ht="14.25">
      <c r="A491" s="805"/>
      <c r="B491" s="805"/>
      <c r="C491" s="801"/>
      <c r="D491" s="1916" t="s">
        <v>1327</v>
      </c>
      <c r="E491" s="1916"/>
      <c r="F491" s="1916"/>
      <c r="G491" s="802"/>
      <c r="I491" s="1836"/>
    </row>
    <row r="492" spans="1:9" s="791" customFormat="1" ht="14.25">
      <c r="A492" s="805"/>
      <c r="B492" s="805"/>
      <c r="C492" s="801"/>
      <c r="D492" s="787"/>
      <c r="E492" s="672"/>
      <c r="F492" s="672"/>
      <c r="G492" s="802"/>
      <c r="I492" s="1836"/>
    </row>
    <row r="493" spans="1:9" s="791" customFormat="1" ht="14.25">
      <c r="A493" s="797"/>
      <c r="B493" s="798" t="s">
        <v>2733</v>
      </c>
      <c r="C493" s="801"/>
      <c r="D493" s="1917" t="s">
        <v>1328</v>
      </c>
      <c r="E493" s="1917"/>
      <c r="F493" s="1917"/>
      <c r="G493" s="802"/>
      <c r="I493" s="1836" t="s">
        <v>2439</v>
      </c>
    </row>
    <row r="494" spans="1:9" s="791" customFormat="1" ht="14.25">
      <c r="A494" s="797"/>
      <c r="B494" s="797"/>
      <c r="C494" s="801"/>
      <c r="D494" s="1917"/>
      <c r="E494" s="1917"/>
      <c r="F494" s="1917"/>
      <c r="G494" s="802"/>
      <c r="I494" s="1836"/>
    </row>
    <row r="495" spans="1:9" s="791" customFormat="1" ht="14.25">
      <c r="A495" s="797"/>
      <c r="B495" s="797"/>
      <c r="C495" s="801"/>
      <c r="D495" s="785"/>
      <c r="E495" s="672"/>
      <c r="F495" s="672"/>
      <c r="G495" s="802"/>
      <c r="I495" s="1836"/>
    </row>
    <row r="496" spans="1:9" ht="12.75" customHeight="1">
      <c r="B496" s="798" t="s">
        <v>2733</v>
      </c>
      <c r="D496" s="1918" t="s">
        <v>1508</v>
      </c>
      <c r="E496" s="1918"/>
      <c r="F496" s="1918"/>
      <c r="I496" s="1773" t="s">
        <v>2440</v>
      </c>
    </row>
    <row r="497" spans="1:9" ht="14.25">
      <c r="A497" s="797"/>
      <c r="D497" s="1918"/>
      <c r="E497" s="1918"/>
      <c r="F497" s="1918"/>
    </row>
    <row r="498" spans="1:9" ht="14.25">
      <c r="A498" s="797"/>
      <c r="B498" s="797"/>
      <c r="D498" s="1918"/>
      <c r="E498" s="1918"/>
      <c r="F498" s="1918"/>
    </row>
    <row r="499" spans="1:9" ht="14.25">
      <c r="A499" s="797"/>
      <c r="B499" s="797"/>
      <c r="D499" s="1918"/>
      <c r="E499" s="1918"/>
      <c r="F499" s="1918"/>
    </row>
    <row r="500" spans="1:9" ht="14.25">
      <c r="A500" s="797"/>
      <c r="D500" s="893"/>
      <c r="E500" s="893"/>
      <c r="F500" s="893"/>
      <c r="G500" s="790"/>
    </row>
    <row r="501" spans="1:9" ht="14.25">
      <c r="A501" s="797"/>
      <c r="B501" s="798" t="s">
        <v>2733</v>
      </c>
      <c r="D501" s="1939" t="s">
        <v>1331</v>
      </c>
      <c r="E501" s="1939"/>
      <c r="F501" s="1939"/>
      <c r="G501" s="790"/>
      <c r="I501" s="1773" t="s">
        <v>2441</v>
      </c>
    </row>
    <row r="502" spans="1:9" ht="14.25">
      <c r="A502" s="797"/>
      <c r="B502" s="797"/>
      <c r="D502" s="785"/>
      <c r="E502" s="672"/>
      <c r="F502" s="672"/>
      <c r="G502" s="790"/>
    </row>
    <row r="503" spans="1:9" ht="14.25">
      <c r="A503" s="797"/>
      <c r="B503" s="798" t="s">
        <v>2733</v>
      </c>
      <c r="D503" s="1937" t="s">
        <v>1332</v>
      </c>
      <c r="E503" s="1937"/>
      <c r="F503" s="1937"/>
      <c r="G503" s="790"/>
      <c r="I503" s="1773" t="s">
        <v>2441</v>
      </c>
    </row>
    <row r="504" spans="1:9" ht="14.25">
      <c r="A504" s="797"/>
      <c r="D504" s="1937"/>
      <c r="E504" s="1937"/>
      <c r="F504" s="1937"/>
      <c r="G504" s="790"/>
    </row>
    <row r="505" spans="1:9">
      <c r="A505" s="816"/>
      <c r="B505" s="816"/>
      <c r="D505" s="733"/>
      <c r="E505" s="672"/>
      <c r="F505" s="672"/>
      <c r="G505" s="790"/>
    </row>
    <row r="506" spans="1:9">
      <c r="A506" s="816"/>
      <c r="B506" s="798" t="s">
        <v>2734</v>
      </c>
      <c r="D506" s="1939" t="s">
        <v>1333</v>
      </c>
      <c r="E506" s="1939"/>
      <c r="F506" s="1939"/>
      <c r="G506" s="790"/>
      <c r="I506" s="1773" t="s">
        <v>2496</v>
      </c>
    </row>
    <row r="507" spans="1:9" ht="14.25">
      <c r="A507" s="797"/>
      <c r="B507" s="797"/>
      <c r="D507" s="800"/>
    </row>
    <row r="508" spans="1:9">
      <c r="A508" s="1919" t="s">
        <v>1168</v>
      </c>
      <c r="B508" s="1919"/>
      <c r="C508" s="1919"/>
      <c r="D508" s="1919"/>
      <c r="E508" s="1919"/>
      <c r="F508" s="1919"/>
      <c r="G508" s="1919"/>
      <c r="H508" s="1852"/>
      <c r="I508" s="1853"/>
    </row>
    <row r="509" spans="1:9" s="722" customFormat="1" ht="12" customHeight="1">
      <c r="A509" s="797"/>
      <c r="B509" s="797"/>
      <c r="C509" s="804"/>
      <c r="D509" s="785"/>
      <c r="E509" s="672"/>
      <c r="F509" s="672"/>
      <c r="G509" s="672"/>
      <c r="I509" s="622"/>
    </row>
    <row r="510" spans="1:9" s="722" customFormat="1">
      <c r="A510" s="801"/>
      <c r="B510" s="801"/>
      <c r="C510" s="832"/>
      <c r="D510" s="2043" t="s">
        <v>850</v>
      </c>
      <c r="E510" s="2043"/>
      <c r="F510" s="2043"/>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2733</v>
      </c>
      <c r="C514" s="799"/>
      <c r="D514" s="1911" t="s">
        <v>2267</v>
      </c>
      <c r="E514" s="1911"/>
      <c r="F514" s="1911"/>
      <c r="G514" s="672"/>
      <c r="I514" s="622" t="s">
        <v>2476</v>
      </c>
    </row>
    <row r="515" spans="1:9" s="722" customFormat="1">
      <c r="A515" s="795"/>
      <c r="B515" s="795"/>
      <c r="C515" s="799"/>
      <c r="D515" s="1911"/>
      <c r="E515" s="1911"/>
      <c r="F515" s="1911"/>
      <c r="G515" s="672"/>
      <c r="I515" s="622"/>
    </row>
    <row r="516" spans="1:9" s="722" customFormat="1">
      <c r="A516" s="795"/>
      <c r="B516" s="795"/>
      <c r="C516" s="799"/>
      <c r="D516" s="1706"/>
      <c r="E516" s="1706"/>
      <c r="F516" s="1706"/>
      <c r="G516" s="672"/>
    </row>
    <row r="517" spans="1:9" s="722" customFormat="1">
      <c r="A517" s="795"/>
      <c r="B517" s="798" t="s">
        <v>2734</v>
      </c>
      <c r="C517" s="804"/>
      <c r="D517" s="1911" t="s">
        <v>1206</v>
      </c>
      <c r="E517" s="1911"/>
      <c r="F517" s="1911"/>
      <c r="G517" s="672"/>
      <c r="I517" s="622" t="s">
        <v>2442</v>
      </c>
    </row>
    <row r="518" spans="1:9" s="722" customFormat="1">
      <c r="A518" s="795"/>
      <c r="B518" s="795"/>
      <c r="C518" s="804"/>
      <c r="D518" s="1911"/>
      <c r="E518" s="1911"/>
      <c r="F518" s="1911"/>
      <c r="G518" s="672"/>
      <c r="I518" s="622"/>
    </row>
    <row r="519" spans="1:9" s="722" customFormat="1">
      <c r="A519" s="795"/>
      <c r="B519" s="795"/>
      <c r="C519" s="799"/>
      <c r="D519" s="1911"/>
      <c r="E519" s="1911"/>
      <c r="F519" s="1911"/>
      <c r="G519" s="672"/>
      <c r="I519" s="622"/>
    </row>
    <row r="520" spans="1:9" s="722" customFormat="1">
      <c r="A520" s="795"/>
      <c r="B520" s="795"/>
      <c r="C520" s="799"/>
      <c r="D520" s="833"/>
      <c r="E520" s="672"/>
      <c r="F520" s="785"/>
      <c r="G520" s="672"/>
      <c r="I520" s="622"/>
    </row>
    <row r="521" spans="1:9" s="722" customFormat="1" ht="13.15" customHeight="1">
      <c r="A521" s="795"/>
      <c r="B521" s="798" t="s">
        <v>2734</v>
      </c>
      <c r="C521" s="799"/>
      <c r="D521" s="2023" t="s">
        <v>1232</v>
      </c>
      <c r="E521" s="2023"/>
      <c r="F521" s="2023"/>
      <c r="G521" s="672"/>
      <c r="I521" s="622" t="s">
        <v>2442</v>
      </c>
    </row>
    <row r="522" spans="1:9" s="722" customFormat="1">
      <c r="A522" s="795"/>
      <c r="B522" s="795"/>
      <c r="C522" s="799"/>
      <c r="D522" s="2023"/>
      <c r="E522" s="2023"/>
      <c r="F522" s="2023"/>
      <c r="G522" s="672"/>
      <c r="I522" s="622"/>
    </row>
    <row r="523" spans="1:9" s="722" customFormat="1" ht="12" customHeight="1">
      <c r="A523" s="800"/>
      <c r="B523" s="800"/>
      <c r="C523" s="808"/>
      <c r="D523" s="800"/>
      <c r="E523" s="672"/>
      <c r="F523" s="835"/>
      <c r="G523" s="672"/>
      <c r="I523" s="622"/>
    </row>
    <row r="524" spans="1:9">
      <c r="A524" s="1919" t="s">
        <v>1169</v>
      </c>
      <c r="B524" s="1919"/>
      <c r="C524" s="1919"/>
      <c r="D524" s="1919"/>
      <c r="E524" s="1919"/>
      <c r="F524" s="1919"/>
      <c r="G524" s="1919"/>
      <c r="H524" s="1852"/>
      <c r="I524" s="1853"/>
    </row>
    <row r="525" spans="1:9">
      <c r="A525" s="800"/>
      <c r="B525" s="800"/>
      <c r="C525" s="829"/>
      <c r="F525" s="836"/>
    </row>
    <row r="526" spans="1:9">
      <c r="B526" s="2009" t="s">
        <v>469</v>
      </c>
      <c r="C526" s="2009"/>
      <c r="D526" s="2009"/>
      <c r="E526" s="2009"/>
      <c r="F526" s="2009"/>
    </row>
    <row r="527" spans="1:9">
      <c r="A527" s="800"/>
      <c r="B527" s="800"/>
      <c r="C527" s="829"/>
      <c r="D527" s="800"/>
      <c r="F527" s="800"/>
    </row>
    <row r="528" spans="1:9">
      <c r="A528" s="1969" t="s">
        <v>1170</v>
      </c>
      <c r="B528" s="1969"/>
      <c r="C528" s="1969"/>
      <c r="D528" s="1969"/>
      <c r="E528" s="1969"/>
      <c r="F528" s="1969"/>
      <c r="G528" s="1969"/>
      <c r="H528" s="1852"/>
      <c r="I528" s="1853"/>
    </row>
    <row r="529" spans="1:9">
      <c r="A529" s="800"/>
      <c r="B529" s="800"/>
      <c r="C529" s="829"/>
      <c r="D529" s="800"/>
      <c r="F529" s="800"/>
    </row>
    <row r="530" spans="1:9">
      <c r="C530" s="829"/>
      <c r="D530" s="1936" t="s">
        <v>719</v>
      </c>
      <c r="E530" s="1936"/>
      <c r="F530" s="1936"/>
    </row>
    <row r="531" spans="1:9">
      <c r="C531" s="829"/>
      <c r="D531" s="1939" t="s">
        <v>1227</v>
      </c>
      <c r="E531" s="1939"/>
      <c r="F531" s="1939"/>
    </row>
    <row r="532" spans="1:9">
      <c r="C532" s="829"/>
      <c r="D532" s="785"/>
      <c r="E532" s="785"/>
      <c r="F532" s="785"/>
    </row>
    <row r="533" spans="1:9" ht="13.7" customHeight="1">
      <c r="A533" s="797"/>
      <c r="B533" s="798" t="s">
        <v>2733</v>
      </c>
      <c r="C533" s="829"/>
      <c r="D533" s="1939" t="s">
        <v>948</v>
      </c>
      <c r="E533" s="1939"/>
      <c r="F533" s="1939"/>
      <c r="G533" s="790"/>
      <c r="I533" s="1773" t="s">
        <v>2494</v>
      </c>
    </row>
    <row r="534" spans="1:9" ht="13.7" customHeight="1">
      <c r="A534" s="829"/>
      <c r="B534" s="829"/>
      <c r="C534" s="829"/>
      <c r="D534" s="785"/>
      <c r="E534" s="618"/>
      <c r="F534" s="618"/>
      <c r="G534" s="790"/>
    </row>
    <row r="535" spans="1:9" ht="14.25">
      <c r="A535" s="797"/>
      <c r="B535" s="798" t="s">
        <v>2733</v>
      </c>
      <c r="C535" s="829"/>
      <c r="D535" s="1937" t="s">
        <v>1228</v>
      </c>
      <c r="E535" s="1937"/>
      <c r="F535" s="1937"/>
      <c r="G535" s="790"/>
      <c r="I535" s="1773" t="s">
        <v>2494</v>
      </c>
    </row>
    <row r="536" spans="1:9">
      <c r="A536" s="829"/>
      <c r="B536" s="829"/>
      <c r="C536" s="829"/>
      <c r="D536" s="1937"/>
      <c r="E536" s="1937"/>
      <c r="F536" s="1937"/>
      <c r="G536" s="790"/>
    </row>
    <row r="537" spans="1:9">
      <c r="A537" s="829"/>
      <c r="B537" s="829"/>
      <c r="C537" s="829"/>
      <c r="D537" s="800"/>
      <c r="E537" s="800"/>
      <c r="F537" s="800"/>
      <c r="G537" s="790"/>
    </row>
    <row r="538" spans="1:9" ht="14.25">
      <c r="A538" s="797"/>
      <c r="B538" s="798" t="s">
        <v>2733</v>
      </c>
      <c r="C538" s="829"/>
      <c r="D538" s="1937" t="s">
        <v>1229</v>
      </c>
      <c r="E538" s="1937"/>
      <c r="F538" s="1937"/>
      <c r="G538" s="790"/>
      <c r="I538" s="1773" t="s">
        <v>2443</v>
      </c>
    </row>
    <row r="539" spans="1:9">
      <c r="A539" s="829"/>
      <c r="B539" s="829"/>
      <c r="C539" s="829"/>
      <c r="D539" s="1937"/>
      <c r="E539" s="1937"/>
      <c r="F539" s="1937"/>
      <c r="G539" s="790"/>
    </row>
    <row r="540" spans="1:9">
      <c r="A540" s="829"/>
      <c r="B540" s="829"/>
      <c r="C540" s="829"/>
      <c r="D540" s="800"/>
      <c r="E540" s="800"/>
      <c r="F540" s="800"/>
      <c r="G540" s="790"/>
    </row>
    <row r="541" spans="1:9" ht="14.25">
      <c r="A541" s="797"/>
      <c r="B541" s="798" t="s">
        <v>2733</v>
      </c>
      <c r="C541" s="829"/>
      <c r="D541" s="1937" t="s">
        <v>1230</v>
      </c>
      <c r="E541" s="1937"/>
      <c r="F541" s="1937"/>
      <c r="G541" s="790"/>
      <c r="I541" s="1773" t="s">
        <v>2444</v>
      </c>
    </row>
    <row r="542" spans="1:9">
      <c r="A542" s="829"/>
      <c r="B542" s="829"/>
      <c r="C542" s="829"/>
      <c r="D542" s="1937"/>
      <c r="E542" s="1937"/>
      <c r="F542" s="1937"/>
      <c r="G542" s="790"/>
    </row>
    <row r="543" spans="1:9">
      <c r="A543" s="829"/>
      <c r="B543" s="829"/>
      <c r="C543" s="829"/>
      <c r="D543" s="800"/>
      <c r="E543" s="800"/>
      <c r="F543" s="800"/>
      <c r="G543" s="790"/>
    </row>
    <row r="544" spans="1:9" ht="14.25">
      <c r="A544" s="797"/>
      <c r="B544" s="798" t="s">
        <v>2733</v>
      </c>
      <c r="C544" s="829"/>
      <c r="D544" s="1937" t="s">
        <v>1231</v>
      </c>
      <c r="E544" s="1937"/>
      <c r="F544" s="1937"/>
      <c r="G544" s="790"/>
      <c r="I544" s="1773" t="s">
        <v>2495</v>
      </c>
    </row>
    <row r="545" spans="1:9">
      <c r="A545" s="829"/>
      <c r="B545" s="829"/>
      <c r="C545" s="829"/>
      <c r="D545" s="1937"/>
      <c r="E545" s="1937"/>
      <c r="F545" s="1937"/>
      <c r="G545" s="790"/>
    </row>
    <row r="546" spans="1:9">
      <c r="A546" s="829"/>
      <c r="B546" s="829"/>
      <c r="C546" s="829"/>
      <c r="D546" s="1937"/>
      <c r="E546" s="1937"/>
      <c r="F546" s="1937"/>
      <c r="G546" s="790"/>
    </row>
    <row r="547" spans="1:9">
      <c r="A547" s="829"/>
      <c r="B547" s="829"/>
      <c r="C547" s="829"/>
      <c r="D547" s="800"/>
      <c r="E547" s="800"/>
      <c r="F547" s="800"/>
    </row>
    <row r="548" spans="1:9" ht="14.25">
      <c r="A548" s="797"/>
      <c r="B548" s="798" t="s">
        <v>2734</v>
      </c>
      <c r="C548" s="829"/>
      <c r="D548" s="2023" t="s">
        <v>1349</v>
      </c>
      <c r="E548" s="2023"/>
      <c r="F548" s="2023"/>
      <c r="I548" s="1773" t="s">
        <v>2494</v>
      </c>
    </row>
    <row r="549" spans="1:9">
      <c r="A549" s="829"/>
      <c r="B549" s="829"/>
      <c r="C549" s="829"/>
      <c r="D549" s="2023"/>
      <c r="E549" s="2023"/>
      <c r="F549" s="2023"/>
    </row>
    <row r="550" spans="1:9">
      <c r="A550" s="829"/>
      <c r="B550" s="829"/>
      <c r="C550" s="829"/>
      <c r="D550" s="800"/>
      <c r="E550" s="800"/>
      <c r="F550" s="800"/>
    </row>
    <row r="551" spans="1:9" ht="14.25">
      <c r="A551" s="797"/>
      <c r="B551" s="798" t="s">
        <v>2733</v>
      </c>
      <c r="C551" s="829"/>
      <c r="D551" s="1937" t="s">
        <v>1233</v>
      </c>
      <c r="E551" s="1937"/>
      <c r="F551" s="1937"/>
      <c r="I551" s="1773" t="s">
        <v>2494</v>
      </c>
    </row>
    <row r="552" spans="1:9">
      <c r="A552" s="829"/>
      <c r="B552" s="829"/>
      <c r="C552" s="829"/>
      <c r="D552" s="1937"/>
      <c r="E552" s="1937"/>
      <c r="F552" s="1937"/>
      <c r="G552" s="819"/>
    </row>
    <row r="553" spans="1:9">
      <c r="A553" s="829"/>
      <c r="B553" s="829"/>
      <c r="C553" s="829"/>
      <c r="D553" s="800"/>
      <c r="E553" s="800"/>
      <c r="F553" s="800"/>
      <c r="G553" s="819"/>
    </row>
    <row r="554" spans="1:9" ht="14.25">
      <c r="A554" s="797"/>
      <c r="B554" s="798" t="s">
        <v>2733</v>
      </c>
      <c r="C554" s="829"/>
      <c r="D554" s="1939" t="s">
        <v>1234</v>
      </c>
      <c r="E554" s="1939"/>
      <c r="F554" s="1939"/>
      <c r="G554" s="819"/>
      <c r="I554" s="1773" t="s">
        <v>2497</v>
      </c>
    </row>
    <row r="555" spans="1:9">
      <c r="A555" s="816"/>
      <c r="B555" s="816"/>
      <c r="C555" s="829"/>
      <c r="D555" s="1939" t="s">
        <v>880</v>
      </c>
      <c r="E555" s="1939"/>
      <c r="F555" s="1939"/>
      <c r="G555" s="819"/>
    </row>
    <row r="556" spans="1:9">
      <c r="A556" s="816"/>
      <c r="B556" s="816"/>
      <c r="C556" s="829"/>
      <c r="D556" s="672"/>
      <c r="E556" s="2010" t="s">
        <v>1235</v>
      </c>
      <c r="F556" s="2010"/>
      <c r="G556" s="819"/>
    </row>
    <row r="557" spans="1:9" ht="14.25">
      <c r="A557" s="797"/>
      <c r="B557" s="797"/>
      <c r="C557" s="829"/>
      <c r="E557" s="800"/>
      <c r="F557" s="800"/>
      <c r="G557" s="819"/>
    </row>
    <row r="558" spans="1:9" ht="14.25">
      <c r="A558" s="797"/>
      <c r="B558" s="798" t="s">
        <v>2733</v>
      </c>
      <c r="C558" s="829"/>
      <c r="D558" s="2036" t="s">
        <v>1236</v>
      </c>
      <c r="E558" s="2036"/>
      <c r="F558" s="2036"/>
      <c r="G558" s="819"/>
      <c r="I558" s="1773" t="s">
        <v>2445</v>
      </c>
    </row>
    <row r="559" spans="1:9">
      <c r="C559" s="829"/>
      <c r="D559" s="1937" t="s">
        <v>1237</v>
      </c>
      <c r="E559" s="1937"/>
      <c r="F559" s="1937"/>
      <c r="G559" s="819"/>
    </row>
    <row r="560" spans="1:9">
      <c r="A560" s="829"/>
      <c r="B560" s="829"/>
      <c r="C560" s="829"/>
      <c r="D560" s="1937"/>
      <c r="E560" s="1937"/>
      <c r="F560" s="1937"/>
      <c r="G560" s="819"/>
    </row>
    <row r="561" spans="1:9">
      <c r="A561" s="829"/>
      <c r="B561" s="829"/>
      <c r="C561" s="829"/>
      <c r="D561" s="1937"/>
      <c r="E561" s="1937"/>
      <c r="F561" s="1937"/>
      <c r="G561" s="819"/>
    </row>
    <row r="562" spans="1:9">
      <c r="A562" s="829"/>
      <c r="B562" s="829"/>
      <c r="C562" s="829"/>
      <c r="D562" s="800"/>
      <c r="E562" s="800"/>
      <c r="F562" s="800"/>
      <c r="G562" s="819"/>
    </row>
    <row r="563" spans="1:9" ht="14.25">
      <c r="A563" s="797"/>
      <c r="B563" s="798" t="s">
        <v>2733</v>
      </c>
      <c r="C563" s="829"/>
      <c r="D563" s="1937" t="s">
        <v>1238</v>
      </c>
      <c r="E563" s="1937"/>
      <c r="F563" s="1937"/>
      <c r="G563" s="819"/>
      <c r="I563" s="1773" t="s">
        <v>2446</v>
      </c>
    </row>
    <row r="564" spans="1:9" ht="14.25">
      <c r="A564" s="797"/>
      <c r="B564" s="797"/>
      <c r="C564" s="829"/>
      <c r="D564" s="1937"/>
      <c r="E564" s="1937"/>
      <c r="F564" s="1937"/>
      <c r="G564" s="819"/>
    </row>
    <row r="565" spans="1:9" ht="14.25">
      <c r="A565" s="797"/>
      <c r="B565" s="797"/>
      <c r="C565" s="829"/>
      <c r="D565" s="1937"/>
      <c r="E565" s="1937"/>
      <c r="F565" s="1937"/>
      <c r="G565" s="819"/>
    </row>
    <row r="566" spans="1:9" ht="14.25">
      <c r="A566" s="797"/>
      <c r="B566" s="797"/>
      <c r="C566" s="829"/>
      <c r="D566" s="1937"/>
      <c r="E566" s="1937"/>
      <c r="F566" s="1937"/>
      <c r="G566" s="819"/>
    </row>
    <row r="567" spans="1:9" ht="14.25">
      <c r="A567" s="797"/>
      <c r="B567" s="797"/>
      <c r="C567" s="829"/>
      <c r="D567" s="800"/>
      <c r="E567" s="800"/>
      <c r="F567" s="800"/>
      <c r="G567" s="819"/>
    </row>
    <row r="568" spans="1:9">
      <c r="A568" s="1919" t="s">
        <v>1171</v>
      </c>
      <c r="B568" s="1919"/>
      <c r="C568" s="1919"/>
      <c r="D568" s="1919"/>
      <c r="E568" s="1919"/>
      <c r="F568" s="1919"/>
      <c r="G568" s="1919"/>
      <c r="H568" s="1852"/>
      <c r="I568" s="1853"/>
    </row>
    <row r="569" spans="1:9">
      <c r="A569" s="829"/>
      <c r="B569" s="829"/>
      <c r="C569" s="829"/>
      <c r="E569" s="800"/>
      <c r="F569" s="800"/>
      <c r="G569" s="819"/>
    </row>
    <row r="570" spans="1:9" ht="12.75" customHeight="1">
      <c r="C570" s="793"/>
      <c r="D570" s="2008" t="s">
        <v>216</v>
      </c>
      <c r="E570" s="2008"/>
      <c r="F570" s="2008"/>
      <c r="G570" s="819"/>
    </row>
    <row r="571" spans="1:9">
      <c r="A571" s="795"/>
      <c r="B571" s="795"/>
      <c r="C571" s="795"/>
      <c r="D571" s="1942" t="s">
        <v>1187</v>
      </c>
      <c r="E571" s="1942"/>
      <c r="F571" s="1942"/>
      <c r="G571" s="819"/>
    </row>
    <row r="572" spans="1:9">
      <c r="A572" s="790"/>
      <c r="B572" s="790"/>
      <c r="C572" s="795"/>
      <c r="D572" s="837"/>
      <c r="G572" s="819"/>
      <c r="I572" s="1773" t="s">
        <v>2447</v>
      </c>
    </row>
    <row r="573" spans="1:9">
      <c r="A573" s="795"/>
      <c r="B573" s="798" t="s">
        <v>2733</v>
      </c>
      <c r="D573" s="1942" t="s">
        <v>954</v>
      </c>
      <c r="E573" s="1942"/>
      <c r="F573" s="1942"/>
      <c r="G573" s="819"/>
    </row>
    <row r="574" spans="1:9">
      <c r="A574" s="816"/>
      <c r="B574" s="816"/>
      <c r="D574" s="814"/>
    </row>
    <row r="575" spans="1:9">
      <c r="A575" s="816"/>
      <c r="B575" s="798" t="s">
        <v>2733</v>
      </c>
      <c r="D575" s="1918" t="s">
        <v>1188</v>
      </c>
      <c r="E575" s="1918"/>
      <c r="F575" s="1918"/>
      <c r="I575" s="1773" t="s">
        <v>2449</v>
      </c>
    </row>
    <row r="576" spans="1:9">
      <c r="A576" s="816"/>
      <c r="B576" s="816"/>
      <c r="D576" s="1918"/>
      <c r="E576" s="1918"/>
      <c r="F576" s="1918"/>
      <c r="G576" s="790"/>
      <c r="I576" s="1773" t="s">
        <v>2448</v>
      </c>
    </row>
    <row r="577" spans="1:9">
      <c r="A577" s="816"/>
      <c r="B577" s="816"/>
      <c r="D577" s="1918"/>
      <c r="E577" s="1918"/>
      <c r="F577" s="1918"/>
      <c r="G577" s="790"/>
    </row>
    <row r="578" spans="1:9">
      <c r="A578" s="816"/>
      <c r="B578" s="816"/>
      <c r="D578" s="1918"/>
      <c r="E578" s="1918"/>
      <c r="F578" s="1918"/>
      <c r="G578" s="790"/>
    </row>
    <row r="579" spans="1:9">
      <c r="A579" s="816"/>
      <c r="B579" s="798" t="s">
        <v>2734</v>
      </c>
      <c r="D579" s="1918" t="s">
        <v>1189</v>
      </c>
      <c r="E579" s="1918"/>
      <c r="F579" s="1918"/>
      <c r="G579" s="790"/>
    </row>
    <row r="580" spans="1:9">
      <c r="A580" s="816"/>
      <c r="B580" s="816"/>
      <c r="D580" s="1918"/>
      <c r="E580" s="1918"/>
      <c r="F580" s="1918"/>
      <c r="G580" s="790"/>
    </row>
    <row r="581" spans="1:9">
      <c r="A581" s="816"/>
      <c r="B581" s="816"/>
      <c r="D581" s="1918"/>
      <c r="E581" s="1918"/>
      <c r="F581" s="1918"/>
      <c r="G581" s="790"/>
    </row>
    <row r="582" spans="1:9">
      <c r="A582" s="816"/>
      <c r="B582" s="816"/>
      <c r="D582" s="1918"/>
      <c r="E582" s="1918"/>
      <c r="F582" s="1918"/>
      <c r="G582" s="790"/>
    </row>
    <row r="583" spans="1:9">
      <c r="A583" s="816"/>
      <c r="B583" s="816"/>
      <c r="D583" s="783"/>
      <c r="E583" s="783"/>
      <c r="F583" s="783"/>
      <c r="G583" s="790"/>
    </row>
    <row r="584" spans="1:9">
      <c r="A584" s="816"/>
      <c r="B584" s="798" t="s">
        <v>2733</v>
      </c>
      <c r="D584" s="1918" t="s">
        <v>1190</v>
      </c>
      <c r="E584" s="1918"/>
      <c r="F584" s="1918"/>
      <c r="G584" s="790"/>
    </row>
    <row r="585" spans="1:9">
      <c r="A585" s="816"/>
      <c r="B585" s="816"/>
      <c r="D585" s="1918"/>
      <c r="E585" s="1918"/>
      <c r="F585" s="1918"/>
      <c r="G585" s="790"/>
    </row>
    <row r="586" spans="1:9">
      <c r="A586" s="816"/>
      <c r="B586" s="816"/>
      <c r="D586" s="837"/>
      <c r="G586" s="790"/>
    </row>
    <row r="587" spans="1:9">
      <c r="A587" s="816"/>
      <c r="B587" s="798" t="s">
        <v>2734</v>
      </c>
      <c r="D587" s="1942" t="s">
        <v>1191</v>
      </c>
      <c r="E587" s="1942"/>
      <c r="F587" s="1942"/>
      <c r="G587" s="790"/>
      <c r="I587" s="1773" t="s">
        <v>2498</v>
      </c>
    </row>
    <row r="588" spans="1:9">
      <c r="A588" s="816"/>
      <c r="B588" s="816"/>
      <c r="D588" s="1942"/>
      <c r="E588" s="1942"/>
      <c r="F588" s="1942"/>
      <c r="G588" s="790"/>
    </row>
    <row r="589" spans="1:9" ht="14.25">
      <c r="A589" s="797"/>
      <c r="B589" s="797"/>
      <c r="D589" s="837"/>
      <c r="G589" s="790"/>
    </row>
    <row r="590" spans="1:9">
      <c r="A590" s="1919" t="s">
        <v>1172</v>
      </c>
      <c r="B590" s="1919"/>
      <c r="C590" s="1919"/>
      <c r="D590" s="1919"/>
      <c r="E590" s="1919"/>
      <c r="F590" s="1919"/>
      <c r="G590" s="1919"/>
      <c r="H590" s="1852"/>
      <c r="I590" s="1853"/>
    </row>
    <row r="591" spans="1:9"/>
    <row r="592" spans="1:9">
      <c r="D592" s="1936" t="s">
        <v>1272</v>
      </c>
      <c r="E592" s="1936"/>
      <c r="F592" s="1936"/>
    </row>
    <row r="593" spans="1:9">
      <c r="D593" s="1975" t="s">
        <v>1273</v>
      </c>
      <c r="E593" s="1975"/>
      <c r="F593" s="1975"/>
    </row>
    <row r="594" spans="1:9">
      <c r="D594" s="780"/>
      <c r="E594" s="722"/>
      <c r="F594" s="722"/>
    </row>
    <row r="595" spans="1:9" s="791" customFormat="1" ht="14.25">
      <c r="A595" s="805"/>
      <c r="B595" s="798" t="s">
        <v>2733</v>
      </c>
      <c r="C595" s="801"/>
      <c r="D595" s="1938" t="s">
        <v>1274</v>
      </c>
      <c r="E595" s="1938"/>
      <c r="F595" s="1938"/>
      <c r="G595" s="802"/>
      <c r="I595" s="1836" t="s">
        <v>2477</v>
      </c>
    </row>
    <row r="596" spans="1:9">
      <c r="D596" s="1938"/>
      <c r="E596" s="1938"/>
      <c r="F596" s="1938"/>
    </row>
    <row r="597" spans="1:9">
      <c r="D597" s="1938"/>
      <c r="E597" s="1938"/>
      <c r="F597" s="1938"/>
    </row>
    <row r="598" spans="1:9"/>
    <row r="599" spans="1:9">
      <c r="A599" s="1919" t="s">
        <v>1173</v>
      </c>
      <c r="B599" s="1919"/>
      <c r="C599" s="1919"/>
      <c r="D599" s="1919"/>
      <c r="E599" s="1919"/>
      <c r="F599" s="1919"/>
      <c r="G599" s="1919"/>
      <c r="H599" s="1852"/>
      <c r="I599" s="1853"/>
    </row>
    <row r="600" spans="1:9">
      <c r="A600" s="800"/>
      <c r="B600" s="800"/>
      <c r="G600" s="819"/>
    </row>
    <row r="601" spans="1:9">
      <c r="A601" s="838"/>
      <c r="B601" s="838"/>
      <c r="C601" s="793"/>
      <c r="D601" s="1976" t="s">
        <v>1275</v>
      </c>
      <c r="E601" s="1976"/>
      <c r="F601" s="1976"/>
      <c r="G601" s="819"/>
    </row>
    <row r="602" spans="1:9">
      <c r="A602" s="838"/>
      <c r="B602" s="838"/>
      <c r="C602" s="793"/>
      <c r="D602" s="1976"/>
      <c r="E602" s="1976"/>
      <c r="F602" s="1976"/>
      <c r="G602" s="819"/>
    </row>
    <row r="603" spans="1:9">
      <c r="C603" s="795"/>
      <c r="D603" s="1975" t="s">
        <v>1276</v>
      </c>
      <c r="E603" s="1975"/>
      <c r="F603" s="1975"/>
      <c r="G603" s="819"/>
    </row>
    <row r="604" spans="1:9">
      <c r="C604" s="795"/>
      <c r="D604" s="780"/>
      <c r="E604" s="780"/>
      <c r="F604" s="780"/>
      <c r="G604" s="819"/>
    </row>
    <row r="605" spans="1:9" ht="12.75" customHeight="1">
      <c r="A605" s="816"/>
      <c r="B605" s="798" t="s">
        <v>2733</v>
      </c>
      <c r="D605" s="1935" t="s">
        <v>1277</v>
      </c>
      <c r="E605" s="1935"/>
      <c r="F605" s="1935"/>
      <c r="G605" s="819"/>
      <c r="I605" s="1773" t="s">
        <v>2499</v>
      </c>
    </row>
    <row r="606" spans="1:9">
      <c r="D606" s="1935"/>
      <c r="E606" s="1935"/>
      <c r="F606" s="1935"/>
      <c r="G606" s="819"/>
    </row>
    <row r="607" spans="1:9">
      <c r="D607" s="790"/>
      <c r="G607" s="819"/>
    </row>
    <row r="608" spans="1:9">
      <c r="B608" s="798" t="s">
        <v>2733</v>
      </c>
      <c r="D608" s="1935" t="s">
        <v>1278</v>
      </c>
      <c r="E608" s="1935"/>
      <c r="F608" s="1935"/>
      <c r="G608" s="819"/>
      <c r="I608" s="1773" t="s">
        <v>2450</v>
      </c>
    </row>
    <row r="609" spans="1:9">
      <c r="C609" s="839"/>
      <c r="D609" s="1935"/>
      <c r="E609" s="1935"/>
      <c r="F609" s="1935"/>
      <c r="G609" s="819"/>
    </row>
    <row r="610" spans="1:9">
      <c r="C610" s="839"/>
      <c r="G610" s="819"/>
    </row>
    <row r="611" spans="1:9">
      <c r="B611" s="798" t="s">
        <v>2734</v>
      </c>
      <c r="C611" s="839"/>
      <c r="D611" s="1935" t="s">
        <v>1279</v>
      </c>
      <c r="E611" s="1935"/>
      <c r="F611" s="1935"/>
      <c r="G611" s="819"/>
      <c r="I611" s="1773" t="s">
        <v>2500</v>
      </c>
    </row>
    <row r="612" spans="1:9">
      <c r="C612" s="839"/>
      <c r="D612" s="1935"/>
      <c r="E612" s="1935"/>
      <c r="F612" s="1935"/>
      <c r="G612" s="819"/>
      <c r="I612" s="1849" t="s">
        <v>2501</v>
      </c>
    </row>
    <row r="613" spans="1:9">
      <c r="C613" s="839"/>
      <c r="G613" s="819"/>
    </row>
    <row r="614" spans="1:9">
      <c r="A614" s="1919" t="s">
        <v>1174</v>
      </c>
      <c r="B614" s="1919"/>
      <c r="C614" s="1919"/>
      <c r="D614" s="1919"/>
      <c r="E614" s="1919"/>
      <c r="F614" s="1919"/>
      <c r="G614" s="1919"/>
      <c r="H614" s="1852"/>
      <c r="I614" s="1853"/>
    </row>
    <row r="615" spans="1:9">
      <c r="A615" s="840"/>
      <c r="B615" s="840"/>
      <c r="C615" s="840"/>
      <c r="G615" s="819"/>
    </row>
    <row r="616" spans="1:9">
      <c r="C616" s="816"/>
      <c r="D616" s="1936" t="s">
        <v>1280</v>
      </c>
      <c r="E616" s="1936"/>
      <c r="F616" s="1936"/>
      <c r="G616" s="819"/>
    </row>
    <row r="617" spans="1:9">
      <c r="A617" s="816"/>
      <c r="B617" s="816"/>
      <c r="C617" s="818"/>
      <c r="D617" s="794"/>
      <c r="G617" s="819"/>
    </row>
    <row r="618" spans="1:9" ht="14.25">
      <c r="A618" s="797"/>
      <c r="B618" s="798" t="s">
        <v>2733</v>
      </c>
      <c r="C618" s="818"/>
      <c r="D618" s="1937" t="s">
        <v>1502</v>
      </c>
      <c r="E618" s="1937"/>
      <c r="F618" s="1937"/>
      <c r="G618" s="819"/>
      <c r="I618" s="1773" t="s">
        <v>2478</v>
      </c>
    </row>
    <row r="619" spans="1:9">
      <c r="C619" s="818"/>
      <c r="D619" s="1937"/>
      <c r="E619" s="1937"/>
      <c r="F619" s="1937"/>
      <c r="G619" s="819"/>
    </row>
    <row r="620" spans="1:9">
      <c r="C620" s="818"/>
      <c r="D620" s="1937"/>
      <c r="E620" s="1937"/>
      <c r="F620" s="1937"/>
      <c r="G620" s="819"/>
    </row>
    <row r="621" spans="1:9">
      <c r="C621" s="818"/>
      <c r="D621" s="1937"/>
      <c r="E621" s="1937"/>
      <c r="F621" s="1937"/>
      <c r="G621" s="819"/>
    </row>
    <row r="622" spans="1:9">
      <c r="C622" s="818"/>
      <c r="D622" s="1937"/>
      <c r="E622" s="1937"/>
      <c r="F622" s="1937"/>
      <c r="G622" s="819"/>
    </row>
    <row r="623" spans="1:9">
      <c r="C623" s="818"/>
      <c r="D623" s="1937"/>
      <c r="E623" s="1937"/>
      <c r="F623" s="1937"/>
      <c r="G623" s="819"/>
    </row>
    <row r="624" spans="1:9">
      <c r="C624" s="818"/>
      <c r="D624" s="784"/>
      <c r="E624" s="784"/>
      <c r="F624" s="784"/>
      <c r="G624" s="819"/>
    </row>
    <row r="625" spans="1:9" ht="14.25">
      <c r="A625" s="797"/>
      <c r="B625" s="798" t="s">
        <v>2734</v>
      </c>
      <c r="C625" s="818"/>
      <c r="D625" s="1937" t="s">
        <v>1282</v>
      </c>
      <c r="E625" s="1937"/>
      <c r="F625" s="1937"/>
      <c r="G625" s="819"/>
      <c r="I625" s="1773" t="s">
        <v>2502</v>
      </c>
    </row>
    <row r="626" spans="1:9">
      <c r="A626" s="829"/>
      <c r="B626" s="829"/>
      <c r="C626" s="829"/>
      <c r="D626" s="1937"/>
      <c r="E626" s="1937"/>
      <c r="F626" s="1937"/>
      <c r="G626" s="819"/>
    </row>
    <row r="627" spans="1:9">
      <c r="A627" s="829"/>
      <c r="B627" s="829"/>
      <c r="C627" s="829"/>
      <c r="D627" s="785"/>
      <c r="E627" s="841"/>
      <c r="F627" s="841"/>
      <c r="G627" s="819"/>
    </row>
    <row r="628" spans="1:9" ht="14.25">
      <c r="A628" s="797"/>
      <c r="B628" s="798" t="s">
        <v>2734</v>
      </c>
      <c r="C628" s="829"/>
      <c r="D628" s="1938" t="s">
        <v>1439</v>
      </c>
      <c r="E628" s="1938"/>
      <c r="F628" s="1938"/>
      <c r="G628" s="819"/>
      <c r="I628" s="1773" t="s">
        <v>2451</v>
      </c>
    </row>
    <row r="629" spans="1:9" ht="14.25">
      <c r="A629" s="797"/>
      <c r="B629" s="797"/>
      <c r="C629" s="829"/>
      <c r="D629" s="1938"/>
      <c r="E629" s="1938"/>
      <c r="F629" s="1938"/>
      <c r="G629" s="819"/>
    </row>
    <row r="630" spans="1:9" ht="14.25">
      <c r="A630" s="797"/>
      <c r="B630" s="797"/>
      <c r="C630" s="829"/>
      <c r="D630" s="1938"/>
      <c r="E630" s="1938"/>
      <c r="F630" s="1938"/>
      <c r="G630" s="819"/>
    </row>
    <row r="631" spans="1:9">
      <c r="A631" s="829"/>
      <c r="B631" s="798" t="s">
        <v>2734</v>
      </c>
      <c r="C631" s="829"/>
      <c r="D631" s="1939" t="s">
        <v>1284</v>
      </c>
      <c r="E631" s="1939"/>
      <c r="F631" s="1939"/>
      <c r="G631" s="819"/>
      <c r="I631" s="1773" t="s">
        <v>2451</v>
      </c>
    </row>
    <row r="632" spans="1:9">
      <c r="A632" s="829"/>
      <c r="B632" s="829"/>
      <c r="C632" s="829"/>
      <c r="D632" s="727"/>
      <c r="E632" s="727"/>
      <c r="F632" s="727"/>
      <c r="G632" s="819"/>
    </row>
    <row r="633" spans="1:9">
      <c r="A633" s="1919" t="s">
        <v>1175</v>
      </c>
      <c r="B633" s="1919"/>
      <c r="C633" s="1919"/>
      <c r="D633" s="1919"/>
      <c r="E633" s="1919"/>
      <c r="F633" s="1919"/>
      <c r="G633" s="1919"/>
      <c r="H633" s="1852"/>
      <c r="I633" s="1853"/>
    </row>
    <row r="634" spans="1:9">
      <c r="A634" s="800"/>
      <c r="B634" s="800"/>
      <c r="C634" s="829"/>
      <c r="D634" s="841"/>
      <c r="E634" s="841"/>
      <c r="F634" s="841"/>
      <c r="G634" s="819"/>
    </row>
    <row r="635" spans="1:9">
      <c r="C635" s="840"/>
      <c r="D635" s="2013" t="s">
        <v>1334</v>
      </c>
      <c r="E635" s="2013"/>
      <c r="F635" s="2013"/>
      <c r="G635" s="819"/>
    </row>
    <row r="636" spans="1:9">
      <c r="A636" s="795"/>
      <c r="B636" s="795"/>
      <c r="C636" s="795"/>
      <c r="D636" s="2014" t="s">
        <v>1335</v>
      </c>
      <c r="E636" s="2014"/>
      <c r="F636" s="2014"/>
      <c r="G636" s="819"/>
    </row>
    <row r="637" spans="1:9">
      <c r="A637" s="795"/>
      <c r="B637" s="795"/>
      <c r="C637" s="795"/>
      <c r="D637" s="727"/>
      <c r="E637" s="727"/>
      <c r="F637" s="727"/>
      <c r="G637" s="819"/>
    </row>
    <row r="638" spans="1:9" ht="12.75" customHeight="1">
      <c r="B638" s="798" t="s">
        <v>2734</v>
      </c>
      <c r="C638" s="829"/>
      <c r="D638" s="2021" t="s">
        <v>1523</v>
      </c>
      <c r="E638" s="2021"/>
      <c r="F638" s="2021"/>
      <c r="I638" s="1773" t="s">
        <v>2505</v>
      </c>
    </row>
    <row r="639" spans="1:9">
      <c r="D639" s="2021"/>
      <c r="E639" s="2021"/>
      <c r="F639" s="2021"/>
    </row>
    <row r="640" spans="1:9">
      <c r="D640" s="2021"/>
      <c r="E640" s="2021"/>
      <c r="F640" s="2021"/>
    </row>
    <row r="641" spans="1:9">
      <c r="D641" s="2021"/>
      <c r="E641" s="2021"/>
      <c r="F641" s="2021"/>
    </row>
    <row r="642" spans="1:9" ht="14.45" customHeight="1">
      <c r="A642" s="797"/>
      <c r="B642" s="797"/>
      <c r="C642" s="829"/>
      <c r="D642" s="900"/>
      <c r="E642" s="900"/>
      <c r="F642" s="900"/>
      <c r="G642" s="819"/>
    </row>
    <row r="643" spans="1:9" ht="12.75" customHeight="1">
      <c r="A643" s="795"/>
      <c r="B643" s="798" t="s">
        <v>2734</v>
      </c>
      <c r="C643" s="829"/>
      <c r="D643" s="2021" t="s">
        <v>1526</v>
      </c>
      <c r="E643" s="2021"/>
      <c r="F643" s="2021"/>
      <c r="G643" s="819"/>
      <c r="I643" s="1773" t="s">
        <v>2505</v>
      </c>
    </row>
    <row r="644" spans="1:9" ht="14.25">
      <c r="A644" s="795"/>
      <c r="B644" s="797"/>
      <c r="C644" s="829"/>
      <c r="D644" s="2021"/>
      <c r="E644" s="2021"/>
      <c r="F644" s="2021"/>
      <c r="G644" s="819"/>
    </row>
    <row r="645" spans="1:9" ht="14.25">
      <c r="A645" s="795"/>
      <c r="B645" s="797"/>
      <c r="C645" s="829"/>
      <c r="D645" s="2021"/>
      <c r="E645" s="2021"/>
      <c r="F645" s="2021"/>
      <c r="G645" s="819"/>
    </row>
    <row r="646" spans="1:9" ht="14.25">
      <c r="A646" s="795"/>
      <c r="B646" s="797"/>
      <c r="C646" s="829"/>
      <c r="D646" s="2021"/>
      <c r="E646" s="2021"/>
      <c r="F646" s="2021"/>
      <c r="G646" s="819"/>
    </row>
    <row r="647" spans="1:9" ht="14.25">
      <c r="A647" s="795"/>
      <c r="B647" s="797"/>
      <c r="C647" s="829"/>
      <c r="D647" s="2021"/>
      <c r="E647" s="2021"/>
      <c r="F647" s="2021"/>
      <c r="G647" s="819"/>
    </row>
    <row r="648" spans="1:9" ht="14.25" customHeight="1">
      <c r="A648" s="795"/>
      <c r="B648" s="797"/>
      <c r="C648" s="829"/>
      <c r="F648" s="901"/>
      <c r="G648" s="819"/>
    </row>
    <row r="649" spans="1:9" ht="12.75" customHeight="1">
      <c r="A649" s="795"/>
      <c r="B649" s="798" t="s">
        <v>2734</v>
      </c>
      <c r="C649" s="829"/>
      <c r="D649" s="2021" t="s">
        <v>1524</v>
      </c>
      <c r="E649" s="2021"/>
      <c r="F649" s="2021"/>
      <c r="G649" s="819"/>
      <c r="I649" s="1773" t="s">
        <v>2505</v>
      </c>
    </row>
    <row r="650" spans="1:9" ht="14.25">
      <c r="A650" s="795"/>
      <c r="B650" s="797"/>
      <c r="C650" s="829"/>
      <c r="D650" s="2021"/>
      <c r="E650" s="2021"/>
      <c r="F650" s="2021"/>
      <c r="G650" s="819"/>
    </row>
    <row r="651" spans="1:9" ht="14.25">
      <c r="A651" s="797"/>
      <c r="B651" s="797"/>
      <c r="C651" s="829"/>
      <c r="D651" s="2021"/>
      <c r="E651" s="2021"/>
      <c r="F651" s="2021"/>
      <c r="G651" s="819"/>
    </row>
    <row r="652" spans="1:9" ht="14.25">
      <c r="A652" s="797"/>
      <c r="B652" s="797"/>
      <c r="C652" s="829"/>
      <c r="D652" s="2021"/>
      <c r="E652" s="2021"/>
      <c r="F652" s="2021"/>
      <c r="G652" s="819"/>
    </row>
    <row r="653" spans="1:9" ht="14.25">
      <c r="A653" s="797"/>
      <c r="B653" s="797"/>
      <c r="C653" s="829"/>
      <c r="D653" s="892"/>
      <c r="E653" s="892"/>
      <c r="F653" s="892"/>
      <c r="G653" s="819"/>
    </row>
    <row r="654" spans="1:9" ht="12.75" customHeight="1">
      <c r="A654" s="795"/>
      <c r="B654" s="798" t="s">
        <v>2734</v>
      </c>
      <c r="C654" s="829"/>
      <c r="D654" s="2021" t="s">
        <v>1525</v>
      </c>
      <c r="E654" s="2021"/>
      <c r="F654" s="2021"/>
      <c r="G654" s="819"/>
      <c r="I654" s="1773" t="s">
        <v>2505</v>
      </c>
    </row>
    <row r="655" spans="1:9" ht="12.75" customHeight="1">
      <c r="A655" s="795"/>
      <c r="B655" s="797"/>
      <c r="C655" s="829"/>
      <c r="D655" s="2021"/>
      <c r="E655" s="2021"/>
      <c r="F655" s="2021"/>
      <c r="G655" s="819"/>
    </row>
    <row r="656" spans="1:9" ht="12.75" customHeight="1">
      <c r="A656" s="795"/>
      <c r="B656" s="797"/>
      <c r="C656" s="829"/>
      <c r="D656" s="2021"/>
      <c r="E656" s="2021"/>
      <c r="F656" s="2021"/>
      <c r="G656" s="819"/>
    </row>
    <row r="657" spans="1:11" ht="12.75" customHeight="1">
      <c r="A657" s="795"/>
      <c r="B657" s="797"/>
      <c r="C657" s="829"/>
      <c r="D657" s="2021"/>
      <c r="E657" s="2021"/>
      <c r="F657" s="2021"/>
      <c r="G657" s="819"/>
    </row>
    <row r="658" spans="1:11" ht="12.75" customHeight="1">
      <c r="A658" s="795"/>
      <c r="B658" s="797"/>
      <c r="C658" s="829"/>
      <c r="D658" s="2021"/>
      <c r="E658" s="2021"/>
      <c r="F658" s="2021"/>
      <c r="G658" s="819"/>
    </row>
    <row r="659" spans="1:11" ht="12.75" customHeight="1">
      <c r="A659" s="795"/>
      <c r="B659" s="797"/>
      <c r="C659" s="829"/>
      <c r="D659" s="2021"/>
      <c r="E659" s="2021"/>
      <c r="F659" s="2021"/>
      <c r="G659" s="819"/>
    </row>
    <row r="660" spans="1:11" ht="12.75" customHeight="1">
      <c r="A660" s="795"/>
      <c r="B660" s="797"/>
      <c r="C660" s="829"/>
      <c r="D660" s="2021"/>
      <c r="E660" s="2021"/>
      <c r="F660" s="2021"/>
      <c r="G660" s="819"/>
    </row>
    <row r="661" spans="1:11" ht="12.75" customHeight="1">
      <c r="A661" s="795"/>
      <c r="B661" s="797"/>
      <c r="C661" s="829"/>
      <c r="D661" s="2021"/>
      <c r="E661" s="2021"/>
      <c r="F661" s="2021"/>
      <c r="G661" s="819"/>
    </row>
    <row r="662" spans="1:11" ht="12.75" customHeight="1">
      <c r="A662" s="795"/>
      <c r="B662" s="797"/>
      <c r="C662" s="829"/>
      <c r="D662" s="2021"/>
      <c r="E662" s="2021"/>
      <c r="F662" s="2021"/>
      <c r="G662" s="819"/>
    </row>
    <row r="663" spans="1:11">
      <c r="A663" s="829"/>
      <c r="B663" s="829"/>
      <c r="C663" s="829"/>
      <c r="D663" s="841"/>
      <c r="E663" s="841"/>
      <c r="F663" s="841"/>
      <c r="G663" s="819"/>
    </row>
    <row r="664" spans="1:11">
      <c r="A664" s="1919" t="s">
        <v>1176</v>
      </c>
      <c r="B664" s="1919"/>
      <c r="C664" s="1919"/>
      <c r="D664" s="1919"/>
      <c r="E664" s="1919"/>
      <c r="F664" s="1919"/>
      <c r="G664" s="1919"/>
      <c r="H664" s="1854"/>
      <c r="I664" s="1855"/>
      <c r="J664" s="842"/>
      <c r="K664" s="842"/>
    </row>
    <row r="665" spans="1:11">
      <c r="A665" s="735"/>
      <c r="B665" s="735"/>
      <c r="C665" s="735"/>
      <c r="D665" s="735"/>
      <c r="E665" s="735"/>
      <c r="F665" s="735"/>
      <c r="G665" s="735"/>
      <c r="H665" s="842"/>
      <c r="I665" s="1840"/>
      <c r="J665" s="842"/>
      <c r="K665" s="842"/>
    </row>
    <row r="666" spans="1:11">
      <c r="C666" s="840"/>
      <c r="D666" s="1936" t="s">
        <v>104</v>
      </c>
      <c r="E666" s="1936"/>
      <c r="F666" s="1936"/>
      <c r="G666" s="819"/>
      <c r="H666" s="842"/>
      <c r="I666" s="1840"/>
      <c r="J666" s="842"/>
      <c r="K666" s="842"/>
    </row>
    <row r="667" spans="1:11">
      <c r="A667" s="840"/>
      <c r="B667" s="840"/>
      <c r="C667" s="840"/>
      <c r="D667" s="1936" t="s">
        <v>128</v>
      </c>
      <c r="E667" s="1936"/>
      <c r="F667" s="1936"/>
      <c r="G667" s="819"/>
      <c r="H667" s="842"/>
      <c r="I667" s="1840"/>
      <c r="J667" s="842"/>
      <c r="K667" s="842"/>
    </row>
    <row r="668" spans="1:11">
      <c r="A668" s="795"/>
      <c r="B668" s="795"/>
      <c r="C668" s="795"/>
      <c r="D668" s="1939" t="s">
        <v>1212</v>
      </c>
      <c r="E668" s="1939"/>
      <c r="F668" s="1939"/>
      <c r="G668" s="819"/>
      <c r="H668" s="842"/>
      <c r="I668" s="1840"/>
      <c r="J668" s="842"/>
      <c r="K668" s="842"/>
    </row>
    <row r="669" spans="1:11">
      <c r="A669" s="795"/>
      <c r="B669" s="795"/>
      <c r="C669" s="795"/>
      <c r="G669" s="819"/>
      <c r="H669" s="842"/>
      <c r="I669" s="1840"/>
      <c r="J669" s="842"/>
      <c r="K669" s="842"/>
    </row>
    <row r="670" spans="1:11" ht="14.25">
      <c r="A670" s="797"/>
      <c r="B670" s="798" t="s">
        <v>2733</v>
      </c>
      <c r="C670" s="795"/>
      <c r="D670" s="1939" t="s">
        <v>950</v>
      </c>
      <c r="E670" s="1939"/>
      <c r="F670" s="1939"/>
      <c r="G670" s="819"/>
      <c r="H670" s="842"/>
      <c r="I670" s="1840" t="s">
        <v>2479</v>
      </c>
      <c r="J670" s="842"/>
      <c r="K670" s="842"/>
    </row>
    <row r="671" spans="1:11">
      <c r="A671" s="795"/>
      <c r="B671" s="795"/>
      <c r="C671" s="795"/>
      <c r="D671" s="1939" t="s">
        <v>961</v>
      </c>
      <c r="E671" s="1939"/>
      <c r="F671" s="1939"/>
      <c r="G671" s="819"/>
      <c r="H671" s="842"/>
      <c r="I671" s="1840"/>
      <c r="J671" s="842"/>
      <c r="K671" s="842"/>
    </row>
    <row r="672" spans="1:11">
      <c r="A672" s="795"/>
      <c r="B672" s="795"/>
      <c r="C672" s="795"/>
      <c r="D672" s="672"/>
      <c r="E672" s="2031" t="s">
        <v>1213</v>
      </c>
      <c r="F672" s="2031"/>
      <c r="G672" s="819"/>
      <c r="H672" s="842"/>
      <c r="I672" s="1840"/>
      <c r="J672" s="842"/>
      <c r="K672" s="842"/>
    </row>
    <row r="673" spans="1:11">
      <c r="A673" s="795"/>
      <c r="B673" s="795"/>
      <c r="C673" s="795"/>
      <c r="D673" s="672"/>
      <c r="E673" s="2031"/>
      <c r="F673" s="2031"/>
      <c r="G673" s="819"/>
      <c r="H673" s="842"/>
      <c r="I673" s="1840"/>
      <c r="J673" s="842"/>
      <c r="K673" s="842"/>
    </row>
    <row r="674" spans="1:11">
      <c r="A674" s="795"/>
      <c r="B674" s="795"/>
      <c r="C674" s="795"/>
      <c r="D674" s="843"/>
      <c r="E674" s="800"/>
      <c r="G674" s="819"/>
      <c r="H674" s="842"/>
      <c r="I674" s="1840"/>
      <c r="J674" s="842"/>
      <c r="K674" s="842"/>
    </row>
    <row r="675" spans="1:11" ht="14.25">
      <c r="A675" s="797"/>
      <c r="B675" s="798" t="s">
        <v>2734</v>
      </c>
      <c r="C675" s="795"/>
      <c r="D675" s="1937" t="s">
        <v>1405</v>
      </c>
      <c r="E675" s="1937"/>
      <c r="F675" s="1937"/>
      <c r="G675" s="819"/>
      <c r="H675" s="842"/>
      <c r="I675" s="1840" t="s">
        <v>2503</v>
      </c>
      <c r="J675" s="842"/>
      <c r="K675" s="842"/>
    </row>
    <row r="676" spans="1:11">
      <c r="A676" s="816"/>
      <c r="B676" s="816"/>
      <c r="C676" s="795"/>
      <c r="D676" s="1937"/>
      <c r="E676" s="1937"/>
      <c r="F676" s="1937"/>
      <c r="G676" s="819"/>
      <c r="H676" s="842"/>
      <c r="I676" s="1840"/>
      <c r="J676" s="842"/>
      <c r="K676" s="842"/>
    </row>
    <row r="677" spans="1:11">
      <c r="A677" s="795"/>
      <c r="B677" s="795"/>
      <c r="C677" s="795"/>
      <c r="D677" s="1937"/>
      <c r="E677" s="1937"/>
      <c r="F677" s="1937"/>
      <c r="G677" s="819"/>
      <c r="H677" s="842"/>
      <c r="I677" s="1840"/>
      <c r="J677" s="842"/>
      <c r="K677" s="842"/>
    </row>
    <row r="678" spans="1:11">
      <c r="A678" s="795"/>
      <c r="B678" s="795"/>
      <c r="C678" s="795"/>
      <c r="G678" s="819"/>
      <c r="H678" s="842"/>
      <c r="I678" s="1840" t="s">
        <v>2480</v>
      </c>
      <c r="J678" s="842"/>
      <c r="K678" s="842"/>
    </row>
    <row r="679" spans="1:11" ht="14.25">
      <c r="A679" s="797"/>
      <c r="B679" s="798" t="s">
        <v>2733</v>
      </c>
      <c r="C679" s="795"/>
      <c r="D679" s="1939" t="s">
        <v>990</v>
      </c>
      <c r="E679" s="1939"/>
      <c r="F679" s="1939"/>
      <c r="G679" s="819"/>
      <c r="H679" s="842"/>
      <c r="I679" s="1840"/>
      <c r="J679" s="842"/>
      <c r="K679" s="842"/>
    </row>
    <row r="680" spans="1:11" ht="14.25">
      <c r="A680" s="797"/>
      <c r="B680" s="797"/>
      <c r="C680" s="795"/>
      <c r="D680" s="1939" t="s">
        <v>961</v>
      </c>
      <c r="E680" s="1939"/>
      <c r="F680" s="1939"/>
      <c r="G680" s="819"/>
      <c r="H680" s="842"/>
      <c r="I680" s="1840"/>
      <c r="J680" s="842"/>
      <c r="K680" s="842"/>
    </row>
    <row r="681" spans="1:11">
      <c r="A681" s="795"/>
      <c r="B681" s="795"/>
      <c r="C681" s="795"/>
      <c r="D681" s="672"/>
      <c r="E681" s="2010" t="s">
        <v>1215</v>
      </c>
      <c r="F681" s="2010"/>
      <c r="G681" s="819"/>
      <c r="H681" s="842"/>
      <c r="I681" s="1840"/>
      <c r="J681" s="842"/>
      <c r="K681" s="842"/>
    </row>
    <row r="682" spans="1:11">
      <c r="A682" s="795"/>
      <c r="B682" s="795"/>
      <c r="C682" s="795"/>
      <c r="D682" s="794"/>
      <c r="G682" s="819"/>
      <c r="H682" s="842"/>
      <c r="I682" s="1840"/>
      <c r="J682" s="842"/>
      <c r="K682" s="842"/>
    </row>
    <row r="683" spans="1:11" ht="14.25">
      <c r="A683" s="797"/>
      <c r="B683" s="798" t="s">
        <v>2734</v>
      </c>
      <c r="C683" s="795"/>
      <c r="D683" s="2023" t="s">
        <v>1225</v>
      </c>
      <c r="E683" s="2023"/>
      <c r="F683" s="2023"/>
      <c r="G683" s="819"/>
      <c r="H683" s="842"/>
      <c r="I683" s="1840" t="s">
        <v>2452</v>
      </c>
      <c r="J683" s="842"/>
      <c r="K683" s="842"/>
    </row>
    <row r="684" spans="1:11">
      <c r="A684" s="795"/>
      <c r="B684" s="795"/>
      <c r="C684" s="795"/>
      <c r="D684" s="2023"/>
      <c r="E684" s="2023"/>
      <c r="F684" s="2023"/>
      <c r="G684" s="819"/>
      <c r="H684" s="842"/>
      <c r="I684" s="1840"/>
      <c r="J684" s="842"/>
      <c r="K684" s="842"/>
    </row>
    <row r="685" spans="1:11">
      <c r="A685" s="795"/>
      <c r="B685" s="795"/>
      <c r="C685" s="795"/>
      <c r="D685" s="2023"/>
      <c r="E685" s="2023"/>
      <c r="F685" s="2023"/>
      <c r="G685" s="819"/>
      <c r="H685" s="842"/>
      <c r="I685" s="1840"/>
      <c r="J685" s="842"/>
      <c r="K685" s="842"/>
    </row>
    <row r="686" spans="1:11">
      <c r="A686" s="795"/>
      <c r="B686" s="795"/>
      <c r="C686" s="795"/>
      <c r="D686" s="2023"/>
      <c r="E686" s="2023"/>
      <c r="F686" s="2023"/>
      <c r="G686" s="819"/>
      <c r="H686" s="842"/>
      <c r="I686" s="1840"/>
      <c r="J686" s="842"/>
      <c r="K686" s="842"/>
    </row>
    <row r="687" spans="1:11">
      <c r="A687" s="795"/>
      <c r="B687" s="795"/>
      <c r="C687" s="795"/>
      <c r="D687" s="2023"/>
      <c r="E687" s="2023"/>
      <c r="F687" s="2023"/>
      <c r="G687" s="819"/>
      <c r="H687" s="842"/>
      <c r="I687" s="1840"/>
      <c r="J687" s="842"/>
      <c r="K687" s="842"/>
    </row>
    <row r="688" spans="1:11" s="791" customFormat="1">
      <c r="A688" s="834"/>
      <c r="B688" s="834"/>
      <c r="C688" s="834"/>
      <c r="D688" s="2023"/>
      <c r="E688" s="2023"/>
      <c r="F688" s="2023"/>
      <c r="G688" s="844"/>
      <c r="H688" s="845"/>
      <c r="I688" s="1841"/>
      <c r="J688" s="845"/>
      <c r="K688" s="845"/>
    </row>
    <row r="689" spans="1:11" s="791" customFormat="1">
      <c r="A689" s="834"/>
      <c r="B689" s="834"/>
      <c r="C689" s="834"/>
      <c r="D689" s="846"/>
      <c r="E689" s="846"/>
      <c r="F689" s="846"/>
      <c r="G689" s="844"/>
      <c r="H689" s="845"/>
      <c r="I689" s="1841"/>
      <c r="J689" s="845"/>
      <c r="K689" s="845"/>
    </row>
    <row r="690" spans="1:11" s="791" customFormat="1">
      <c r="A690" s="834"/>
      <c r="B690" s="798" t="s">
        <v>2734</v>
      </c>
      <c r="C690" s="834"/>
      <c r="D690" s="2023" t="s">
        <v>1407</v>
      </c>
      <c r="E690" s="2023"/>
      <c r="F690" s="2023"/>
      <c r="G690" s="844"/>
      <c r="H690" s="845"/>
      <c r="I690" s="1841" t="s">
        <v>2452</v>
      </c>
      <c r="J690" s="845"/>
      <c r="K690" s="845"/>
    </row>
    <row r="691" spans="1:11" s="791" customFormat="1">
      <c r="A691" s="834"/>
      <c r="B691" s="834"/>
      <c r="C691" s="834"/>
      <c r="D691" s="2023"/>
      <c r="E691" s="2023"/>
      <c r="F691" s="2023"/>
      <c r="G691" s="844"/>
      <c r="H691" s="845"/>
      <c r="I691" s="1841"/>
      <c r="J691" s="845"/>
      <c r="K691" s="845"/>
    </row>
    <row r="692" spans="1:11" s="791" customFormat="1">
      <c r="A692" s="834"/>
      <c r="B692" s="834"/>
      <c r="C692" s="834"/>
      <c r="D692" s="846"/>
      <c r="E692" s="846"/>
      <c r="F692" s="846"/>
      <c r="G692" s="844"/>
      <c r="H692" s="845"/>
      <c r="I692" s="1841"/>
      <c r="J692" s="845"/>
      <c r="K692" s="845"/>
    </row>
    <row r="693" spans="1:11" ht="14.25">
      <c r="A693" s="797"/>
      <c r="B693" s="798" t="s">
        <v>2734</v>
      </c>
      <c r="C693" s="795"/>
      <c r="D693" s="2023" t="s">
        <v>1216</v>
      </c>
      <c r="E693" s="2023"/>
      <c r="F693" s="2023"/>
      <c r="G693" s="819"/>
      <c r="H693" s="842"/>
      <c r="I693" s="1840" t="s">
        <v>2452</v>
      </c>
      <c r="J693" s="842"/>
      <c r="K693" s="842"/>
    </row>
    <row r="694" spans="1:11">
      <c r="A694" s="795"/>
      <c r="B694" s="795"/>
      <c r="C694" s="795"/>
      <c r="D694" s="2023"/>
      <c r="E694" s="2023"/>
      <c r="F694" s="2023"/>
      <c r="G694" s="819"/>
      <c r="H694" s="842"/>
      <c r="I694" s="1840"/>
      <c r="J694" s="842"/>
      <c r="K694" s="842"/>
    </row>
    <row r="695" spans="1:11">
      <c r="A695" s="795"/>
      <c r="B695" s="795"/>
      <c r="C695" s="795"/>
      <c r="D695" s="2023"/>
      <c r="E695" s="2023"/>
      <c r="F695" s="2023"/>
      <c r="G695" s="819"/>
      <c r="H695" s="842"/>
      <c r="I695" s="1840"/>
      <c r="J695" s="842"/>
      <c r="K695" s="842"/>
    </row>
    <row r="696" spans="1:11" ht="15" customHeight="1">
      <c r="A696" s="795"/>
      <c r="B696" s="795"/>
      <c r="C696" s="795"/>
      <c r="D696" s="2023"/>
      <c r="E696" s="2023"/>
      <c r="F696" s="2023"/>
      <c r="G696" s="819"/>
      <c r="H696" s="842"/>
      <c r="I696" s="1840"/>
      <c r="J696" s="842"/>
      <c r="K696" s="842"/>
    </row>
    <row r="697" spans="1:11" ht="15" customHeight="1">
      <c r="A697" s="795"/>
      <c r="B697" s="795"/>
      <c r="C697" s="795"/>
      <c r="D697" s="2023"/>
      <c r="E697" s="2023"/>
      <c r="F697" s="2023"/>
      <c r="G697" s="819"/>
      <c r="H697" s="842"/>
      <c r="I697" s="1840"/>
      <c r="J697" s="842"/>
      <c r="K697" s="842"/>
    </row>
    <row r="698" spans="1:11">
      <c r="A698" s="795"/>
      <c r="B698" s="795"/>
      <c r="C698" s="795"/>
      <c r="D698" s="2023"/>
      <c r="E698" s="2023"/>
      <c r="F698" s="2023"/>
      <c r="G698" s="819"/>
      <c r="H698" s="842"/>
      <c r="I698" s="1840"/>
      <c r="J698" s="842"/>
      <c r="K698" s="842"/>
    </row>
    <row r="699" spans="1:11">
      <c r="A699" s="795"/>
      <c r="B699" s="795"/>
      <c r="C699" s="795"/>
      <c r="D699" s="2023"/>
      <c r="E699" s="2023"/>
      <c r="F699" s="2023"/>
      <c r="G699" s="819"/>
      <c r="H699" s="842"/>
      <c r="I699" s="1840"/>
      <c r="J699" s="842"/>
      <c r="K699" s="842"/>
    </row>
    <row r="700" spans="1:11">
      <c r="A700" s="795"/>
      <c r="B700" s="795"/>
      <c r="C700" s="795"/>
      <c r="D700" s="2023"/>
      <c r="E700" s="2023"/>
      <c r="F700" s="2023"/>
      <c r="G700" s="819"/>
      <c r="H700" s="842"/>
      <c r="I700" s="1840"/>
      <c r="J700" s="842"/>
      <c r="K700" s="842"/>
    </row>
    <row r="701" spans="1:11" ht="15" customHeight="1">
      <c r="A701" s="795"/>
      <c r="B701" s="795"/>
      <c r="C701" s="795"/>
      <c r="D701" s="2023"/>
      <c r="E701" s="2023"/>
      <c r="F701" s="2023"/>
      <c r="G701" s="819"/>
      <c r="H701" s="842"/>
      <c r="I701" s="1840"/>
      <c r="J701" s="842"/>
      <c r="K701" s="842"/>
    </row>
    <row r="702" spans="1:11">
      <c r="A702" s="795"/>
      <c r="B702" s="795"/>
      <c r="C702" s="795"/>
      <c r="D702" s="2023"/>
      <c r="E702" s="2023"/>
      <c r="F702" s="2023"/>
      <c r="G702" s="819"/>
      <c r="H702" s="842"/>
      <c r="I702" s="1840"/>
      <c r="J702" s="842"/>
      <c r="K702" s="842"/>
    </row>
    <row r="703" spans="1:11">
      <c r="A703" s="795"/>
      <c r="B703" s="795"/>
      <c r="C703" s="795"/>
      <c r="D703" s="2023"/>
      <c r="E703" s="2023"/>
      <c r="F703" s="2023"/>
      <c r="G703" s="819"/>
      <c r="H703" s="842"/>
      <c r="I703" s="1840"/>
      <c r="J703" s="842"/>
      <c r="K703" s="842"/>
    </row>
    <row r="704" spans="1:11">
      <c r="A704" s="795"/>
      <c r="B704" s="795"/>
      <c r="C704" s="795"/>
      <c r="D704" s="2023"/>
      <c r="E704" s="2023"/>
      <c r="F704" s="2023"/>
      <c r="G704" s="819"/>
      <c r="H704" s="842"/>
      <c r="I704" s="1840"/>
      <c r="J704" s="842"/>
      <c r="K704" s="842"/>
    </row>
    <row r="705" spans="1:11">
      <c r="A705" s="795"/>
      <c r="B705" s="795"/>
      <c r="C705" s="795"/>
      <c r="D705" s="2023"/>
      <c r="E705" s="2023"/>
      <c r="F705" s="2023"/>
      <c r="G705" s="819"/>
      <c r="H705" s="842"/>
      <c r="I705" s="1840"/>
      <c r="J705" s="842"/>
      <c r="K705" s="842"/>
    </row>
    <row r="706" spans="1:11">
      <c r="A706" s="795"/>
      <c r="B706" s="798" t="s">
        <v>2734</v>
      </c>
      <c r="C706" s="795"/>
      <c r="D706" s="2023" t="s">
        <v>1223</v>
      </c>
      <c r="E706" s="2023"/>
      <c r="F706" s="2023"/>
      <c r="G706" s="819"/>
      <c r="H706" s="842"/>
      <c r="I706" s="1840" t="s">
        <v>2504</v>
      </c>
      <c r="J706" s="842"/>
      <c r="K706" s="842"/>
    </row>
    <row r="707" spans="1:11">
      <c r="A707" s="795"/>
      <c r="B707" s="795"/>
      <c r="C707" s="795"/>
      <c r="D707" s="2023"/>
      <c r="E707" s="2023"/>
      <c r="F707" s="2023"/>
      <c r="G707" s="819"/>
      <c r="H707" s="842"/>
      <c r="I707" s="1840"/>
      <c r="J707" s="842"/>
      <c r="K707" s="842"/>
    </row>
    <row r="708" spans="1:11">
      <c r="A708" s="795"/>
      <c r="B708" s="795"/>
      <c r="C708" s="795"/>
      <c r="D708" s="846"/>
      <c r="E708" s="846"/>
      <c r="F708" s="846"/>
      <c r="G708" s="819"/>
      <c r="H708" s="842"/>
      <c r="I708" s="1840"/>
      <c r="J708" s="842"/>
      <c r="K708" s="842"/>
    </row>
    <row r="709" spans="1:11">
      <c r="A709" s="795"/>
      <c r="B709" s="798" t="s">
        <v>2734</v>
      </c>
      <c r="C709" s="795"/>
      <c r="D709" s="2023" t="s">
        <v>1217</v>
      </c>
      <c r="E709" s="2023"/>
      <c r="F709" s="2023"/>
      <c r="G709" s="819"/>
      <c r="H709" s="842"/>
      <c r="I709" s="1840" t="s">
        <v>2504</v>
      </c>
      <c r="J709" s="842"/>
      <c r="K709" s="842"/>
    </row>
    <row r="710" spans="1:11">
      <c r="A710" s="795"/>
      <c r="B710" s="795"/>
      <c r="C710" s="795"/>
      <c r="D710" s="2023"/>
      <c r="E710" s="2023"/>
      <c r="F710" s="2023"/>
      <c r="G710" s="819"/>
      <c r="H710" s="842"/>
      <c r="I710" s="1840"/>
      <c r="J710" s="842"/>
      <c r="K710" s="842"/>
    </row>
    <row r="711" spans="1:11">
      <c r="A711" s="795"/>
      <c r="B711" s="795"/>
      <c r="C711" s="795"/>
      <c r="D711" s="2023"/>
      <c r="E711" s="2023"/>
      <c r="F711" s="2023"/>
      <c r="G711" s="819"/>
      <c r="H711" s="842"/>
      <c r="I711" s="1840"/>
      <c r="J711" s="842"/>
      <c r="K711" s="842"/>
    </row>
    <row r="712" spans="1:11">
      <c r="A712" s="795"/>
      <c r="B712" s="795"/>
      <c r="C712" s="795"/>
      <c r="D712" s="802"/>
      <c r="G712" s="819"/>
      <c r="H712" s="842"/>
      <c r="I712" s="1840"/>
      <c r="J712" s="842"/>
      <c r="K712" s="842"/>
    </row>
    <row r="713" spans="1:11">
      <c r="A713" s="795"/>
      <c r="B713" s="798" t="s">
        <v>2734</v>
      </c>
      <c r="C713" s="795"/>
      <c r="D713" s="2023" t="s">
        <v>1218</v>
      </c>
      <c r="E713" s="2023"/>
      <c r="F713" s="2023"/>
      <c r="G713" s="819"/>
      <c r="H713" s="842"/>
      <c r="I713" s="1840" t="s">
        <v>2504</v>
      </c>
      <c r="J713" s="842"/>
      <c r="K713" s="842"/>
    </row>
    <row r="714" spans="1:11">
      <c r="A714" s="795"/>
      <c r="B714" s="795"/>
      <c r="C714" s="795"/>
      <c r="D714" s="2023"/>
      <c r="E714" s="2023"/>
      <c r="F714" s="2023"/>
      <c r="G714" s="819"/>
      <c r="H714" s="842"/>
      <c r="I714" s="1840"/>
      <c r="J714" s="842"/>
      <c r="K714" s="842"/>
    </row>
    <row r="715" spans="1:11">
      <c r="A715" s="795"/>
      <c r="B715" s="795"/>
      <c r="C715" s="795"/>
      <c r="D715" s="2023"/>
      <c r="E715" s="2023"/>
      <c r="F715" s="2023"/>
      <c r="G715" s="819"/>
      <c r="H715" s="842"/>
      <c r="I715" s="1840"/>
      <c r="J715" s="842"/>
      <c r="K715" s="842"/>
    </row>
    <row r="716" spans="1:11">
      <c r="A716" s="795"/>
      <c r="B716" s="795"/>
      <c r="C716" s="795"/>
      <c r="D716" s="790"/>
      <c r="G716" s="819"/>
      <c r="H716" s="842"/>
      <c r="I716" s="1840"/>
      <c r="J716" s="842"/>
      <c r="K716" s="842"/>
    </row>
    <row r="717" spans="1:11" ht="14.25">
      <c r="A717" s="797"/>
      <c r="B717" s="798" t="s">
        <v>2734</v>
      </c>
      <c r="C717" s="795"/>
      <c r="D717" s="1937" t="s">
        <v>1219</v>
      </c>
      <c r="E717" s="1937"/>
      <c r="F717" s="1937"/>
      <c r="G717" s="819"/>
      <c r="H717" s="842"/>
      <c r="I717" s="1840" t="s">
        <v>2453</v>
      </c>
      <c r="J717" s="842"/>
      <c r="K717" s="842"/>
    </row>
    <row r="718" spans="1:11">
      <c r="A718" s="795"/>
      <c r="B718" s="795"/>
      <c r="C718" s="795"/>
      <c r="D718" s="1937"/>
      <c r="E718" s="1937"/>
      <c r="F718" s="1937"/>
      <c r="G718" s="819"/>
      <c r="H718" s="842"/>
      <c r="I718" s="1840"/>
      <c r="J718" s="842"/>
      <c r="K718" s="842"/>
    </row>
    <row r="719" spans="1:11">
      <c r="A719" s="795"/>
      <c r="B719" s="795"/>
      <c r="C719" s="795"/>
      <c r="D719" s="1937"/>
      <c r="E719" s="1937"/>
      <c r="F719" s="1937"/>
      <c r="G719" s="819"/>
      <c r="H719" s="842"/>
      <c r="I719" s="1840"/>
      <c r="J719" s="842"/>
      <c r="K719" s="842"/>
    </row>
    <row r="720" spans="1:11">
      <c r="A720" s="795"/>
      <c r="B720" s="795"/>
      <c r="C720" s="795"/>
      <c r="D720" s="1937"/>
      <c r="E720" s="1937"/>
      <c r="F720" s="1937"/>
      <c r="G720" s="819"/>
      <c r="H720" s="842"/>
      <c r="I720" s="1840"/>
      <c r="J720" s="842"/>
      <c r="K720" s="842"/>
    </row>
    <row r="721" spans="1:11">
      <c r="A721" s="795"/>
      <c r="B721" s="795"/>
      <c r="C721" s="795"/>
      <c r="D721" s="822"/>
      <c r="G721" s="819"/>
      <c r="H721" s="842"/>
      <c r="I721" s="1840"/>
      <c r="J721" s="842"/>
      <c r="K721" s="842"/>
    </row>
    <row r="722" spans="1:11" ht="14.25">
      <c r="A722" s="797"/>
      <c r="B722" s="798" t="s">
        <v>2734</v>
      </c>
      <c r="C722" s="795"/>
      <c r="D722" s="2023" t="s">
        <v>1352</v>
      </c>
      <c r="E722" s="2023"/>
      <c r="F722" s="2023"/>
      <c r="G722" s="819"/>
      <c r="H722" s="842"/>
      <c r="I722" s="1840" t="s">
        <v>2469</v>
      </c>
      <c r="J722" s="842"/>
      <c r="K722" s="842"/>
    </row>
    <row r="723" spans="1:11">
      <c r="A723" s="795"/>
      <c r="B723" s="795"/>
      <c r="C723" s="795"/>
      <c r="D723" s="2023"/>
      <c r="E723" s="2023"/>
      <c r="F723" s="2023"/>
      <c r="G723" s="819"/>
      <c r="H723" s="842"/>
      <c r="I723" s="1840"/>
      <c r="J723" s="842"/>
      <c r="K723" s="842"/>
    </row>
    <row r="724" spans="1:11">
      <c r="A724" s="795"/>
      <c r="B724" s="795"/>
      <c r="C724" s="795"/>
      <c r="D724" s="2023"/>
      <c r="E724" s="2023"/>
      <c r="F724" s="2023"/>
      <c r="G724" s="819"/>
      <c r="H724" s="842"/>
      <c r="I724" s="1840"/>
      <c r="J724" s="842"/>
      <c r="K724" s="842"/>
    </row>
    <row r="725" spans="1:11">
      <c r="A725" s="795"/>
      <c r="B725" s="795"/>
      <c r="C725" s="795"/>
      <c r="D725" s="2023"/>
      <c r="E725" s="2023"/>
      <c r="F725" s="2023"/>
      <c r="G725" s="819"/>
      <c r="H725" s="842"/>
      <c r="I725" s="1840"/>
      <c r="J725" s="842"/>
      <c r="K725" s="842"/>
    </row>
    <row r="726" spans="1:11">
      <c r="A726" s="795"/>
      <c r="B726" s="795"/>
      <c r="C726" s="795"/>
      <c r="D726" s="2023"/>
      <c r="E726" s="2023"/>
      <c r="F726" s="2023"/>
      <c r="G726" s="819"/>
      <c r="H726" s="842"/>
      <c r="I726" s="1840"/>
      <c r="J726" s="842"/>
      <c r="K726" s="842"/>
    </row>
    <row r="727" spans="1:11">
      <c r="A727" s="795"/>
      <c r="B727" s="795"/>
      <c r="C727" s="795"/>
      <c r="D727" s="2023"/>
      <c r="E727" s="2023"/>
      <c r="F727" s="2023"/>
      <c r="G727" s="819"/>
      <c r="H727" s="842"/>
      <c r="I727" s="1840"/>
      <c r="J727" s="842"/>
      <c r="K727" s="842"/>
    </row>
    <row r="728" spans="1:11">
      <c r="A728" s="795"/>
      <c r="B728" s="795"/>
      <c r="C728" s="795"/>
      <c r="D728" s="2023"/>
      <c r="E728" s="2023"/>
      <c r="F728" s="2023"/>
      <c r="G728" s="819"/>
      <c r="H728" s="842"/>
      <c r="I728" s="1840"/>
      <c r="J728" s="842"/>
      <c r="K728" s="842"/>
    </row>
    <row r="729" spans="1:11">
      <c r="A729" s="795"/>
      <c r="B729" s="795"/>
      <c r="C729" s="795"/>
      <c r="D729" s="1967" t="s">
        <v>1220</v>
      </c>
      <c r="E729" s="1967"/>
      <c r="F729" s="1967"/>
      <c r="G729" s="819"/>
      <c r="H729" s="842"/>
      <c r="I729" s="1840"/>
      <c r="J729" s="842"/>
      <c r="K729" s="842"/>
    </row>
    <row r="730" spans="1:11">
      <c r="A730" s="795"/>
      <c r="B730" s="795"/>
      <c r="C730" s="795"/>
      <c r="D730" s="782"/>
      <c r="G730" s="819"/>
      <c r="H730" s="842"/>
      <c r="I730" s="1840"/>
      <c r="J730" s="842"/>
      <c r="K730" s="842"/>
    </row>
    <row r="731" spans="1:11">
      <c r="A731" s="1969" t="s">
        <v>1177</v>
      </c>
      <c r="B731" s="1969"/>
      <c r="C731" s="1969"/>
      <c r="D731" s="1969"/>
      <c r="E731" s="1969"/>
      <c r="F731" s="1969"/>
      <c r="G731" s="1969"/>
      <c r="H731" s="1854"/>
      <c r="I731" s="1855"/>
      <c r="J731" s="842"/>
      <c r="K731" s="842"/>
    </row>
    <row r="732" spans="1:11">
      <c r="A732" s="795"/>
      <c r="B732" s="795"/>
      <c r="C732" s="795"/>
      <c r="D732" s="822"/>
      <c r="G732" s="847"/>
      <c r="H732" s="842"/>
      <c r="I732" s="1840"/>
      <c r="J732" s="842"/>
      <c r="K732" s="842"/>
    </row>
    <row r="733" spans="1:11" ht="13.7" customHeight="1">
      <c r="C733" s="795"/>
      <c r="D733" s="2008" t="s">
        <v>1193</v>
      </c>
      <c r="E733" s="2008"/>
      <c r="F733" s="2008"/>
      <c r="G733" s="847"/>
      <c r="H733" s="842"/>
      <c r="I733" s="1840"/>
      <c r="J733" s="842"/>
      <c r="K733" s="842"/>
    </row>
    <row r="734" spans="1:11">
      <c r="A734" s="795"/>
      <c r="B734" s="795"/>
      <c r="C734" s="795"/>
      <c r="D734" s="1963" t="s">
        <v>1194</v>
      </c>
      <c r="E734" s="1963"/>
      <c r="F734" s="1963"/>
      <c r="G734" s="847"/>
      <c r="H734" s="842"/>
      <c r="I734" s="1840"/>
      <c r="J734" s="842"/>
      <c r="K734" s="842"/>
    </row>
    <row r="735" spans="1:11">
      <c r="A735" s="795"/>
      <c r="B735" s="795"/>
      <c r="C735" s="795"/>
      <c r="G735" s="847"/>
      <c r="H735" s="842"/>
      <c r="I735" s="1840"/>
      <c r="J735" s="842"/>
      <c r="K735" s="842"/>
    </row>
    <row r="736" spans="1:11" s="791" customFormat="1" ht="14.25">
      <c r="A736" s="797"/>
      <c r="B736" s="798" t="s">
        <v>2733</v>
      </c>
      <c r="C736" s="788"/>
      <c r="D736" s="1937" t="s">
        <v>1195</v>
      </c>
      <c r="E736" s="1937"/>
      <c r="F736" s="1937"/>
      <c r="G736" s="847"/>
      <c r="H736" s="845"/>
      <c r="I736" s="1841" t="s">
        <v>2454</v>
      </c>
      <c r="J736" s="845"/>
      <c r="K736" s="845"/>
    </row>
    <row r="737" spans="1:11" s="791" customFormat="1" ht="10.5" customHeight="1">
      <c r="A737" s="788"/>
      <c r="B737" s="788"/>
      <c r="C737" s="788"/>
      <c r="D737" s="1937"/>
      <c r="E737" s="1937"/>
      <c r="F737" s="1937"/>
      <c r="G737" s="847"/>
      <c r="H737" s="845"/>
      <c r="I737" s="1841"/>
      <c r="J737" s="845"/>
      <c r="K737" s="845"/>
    </row>
    <row r="738" spans="1:11" s="791" customFormat="1">
      <c r="A738" s="788"/>
      <c r="B738" s="788"/>
      <c r="C738" s="788"/>
      <c r="D738" s="1937"/>
      <c r="E738" s="1937"/>
      <c r="F738" s="1937"/>
      <c r="G738" s="847"/>
      <c r="H738" s="845"/>
      <c r="I738" s="1841"/>
      <c r="J738" s="845"/>
      <c r="K738" s="845"/>
    </row>
    <row r="739" spans="1:11">
      <c r="D739" s="1937"/>
      <c r="E739" s="1937"/>
      <c r="F739" s="1937"/>
      <c r="G739" s="847"/>
      <c r="H739" s="842"/>
      <c r="I739" s="1840"/>
      <c r="J739" s="842"/>
      <c r="K739" s="842"/>
    </row>
    <row r="740" spans="1:11">
      <c r="A740" s="801"/>
      <c r="B740" s="801"/>
      <c r="C740" s="801"/>
      <c r="D740" s="1937"/>
      <c r="E740" s="1937"/>
      <c r="F740" s="1937"/>
      <c r="G740" s="848"/>
      <c r="H740" s="842"/>
      <c r="I740" s="1840"/>
      <c r="J740" s="842"/>
      <c r="K740" s="842"/>
    </row>
    <row r="741" spans="1:11" ht="15.6" customHeight="1">
      <c r="A741" s="801"/>
      <c r="B741" s="801"/>
      <c r="C741" s="801"/>
      <c r="D741" s="1937"/>
      <c r="E741" s="1937"/>
      <c r="F741" s="1937"/>
      <c r="G741" s="848"/>
      <c r="H741" s="842"/>
      <c r="I741" s="1840"/>
      <c r="J741" s="842"/>
      <c r="K741" s="842"/>
    </row>
    <row r="742" spans="1:11">
      <c r="A742" s="801"/>
      <c r="B742" s="801"/>
      <c r="C742" s="801"/>
      <c r="D742" s="837"/>
      <c r="E742" s="849"/>
      <c r="F742" s="849"/>
      <c r="G742" s="848"/>
      <c r="H742" s="842"/>
      <c r="I742" s="1840"/>
      <c r="J742" s="842"/>
      <c r="K742" s="842"/>
    </row>
    <row r="743" spans="1:11" s="853" customFormat="1" ht="14.25">
      <c r="A743" s="850"/>
      <c r="B743" s="798" t="s">
        <v>2733</v>
      </c>
      <c r="C743" s="851"/>
      <c r="D743" s="1938" t="s">
        <v>1458</v>
      </c>
      <c r="E743" s="1938"/>
      <c r="F743" s="1938"/>
      <c r="G743" s="852"/>
      <c r="I743" s="1842" t="s">
        <v>2454</v>
      </c>
    </row>
    <row r="744" spans="1:11" s="853" customFormat="1">
      <c r="A744" s="851"/>
      <c r="B744" s="851"/>
      <c r="C744" s="851"/>
      <c r="D744" s="1938"/>
      <c r="E744" s="1938"/>
      <c r="F744" s="1938"/>
      <c r="G744" s="852"/>
      <c r="I744" s="1842"/>
    </row>
    <row r="745" spans="1:11" s="853" customFormat="1">
      <c r="A745" s="851"/>
      <c r="B745" s="851"/>
      <c r="C745" s="851"/>
      <c r="D745" s="1938"/>
      <c r="E745" s="1938"/>
      <c r="F745" s="1938"/>
      <c r="G745" s="852"/>
      <c r="I745" s="1842"/>
    </row>
    <row r="746" spans="1:11" s="853" customFormat="1">
      <c r="A746" s="851"/>
      <c r="B746" s="851"/>
      <c r="C746" s="851"/>
      <c r="D746" s="1938"/>
      <c r="E746" s="1938"/>
      <c r="F746" s="1938"/>
      <c r="G746" s="852"/>
      <c r="I746" s="1842"/>
    </row>
    <row r="747" spans="1:11" s="853" customFormat="1">
      <c r="A747" s="851"/>
      <c r="B747" s="851"/>
      <c r="C747" s="851"/>
      <c r="D747" s="837"/>
      <c r="E747" s="852"/>
      <c r="F747" s="852"/>
      <c r="G747" s="852"/>
      <c r="I747" s="1842"/>
    </row>
    <row r="748" spans="1:11" s="853" customFormat="1" ht="14.25">
      <c r="A748" s="797"/>
      <c r="B748" s="798" t="s">
        <v>2734</v>
      </c>
      <c r="C748" s="851"/>
      <c r="D748" s="2032" t="s">
        <v>1459</v>
      </c>
      <c r="E748" s="2032"/>
      <c r="F748" s="2032"/>
      <c r="G748" s="852"/>
      <c r="I748" s="1842" t="s">
        <v>2455</v>
      </c>
    </row>
    <row r="749" spans="1:11" s="853" customFormat="1">
      <c r="A749" s="851"/>
      <c r="B749" s="851"/>
      <c r="C749" s="851"/>
      <c r="D749" s="2032"/>
      <c r="E749" s="2032"/>
      <c r="F749" s="2032"/>
      <c r="G749" s="852"/>
      <c r="I749" s="1842"/>
    </row>
    <row r="750" spans="1:11" s="853" customFormat="1">
      <c r="A750" s="851"/>
      <c r="B750" s="851"/>
      <c r="C750" s="851"/>
      <c r="D750" s="2032"/>
      <c r="E750" s="2032"/>
      <c r="F750" s="2032"/>
      <c r="G750" s="852"/>
      <c r="I750" s="1842"/>
    </row>
    <row r="751" spans="1:11">
      <c r="A751" s="801"/>
      <c r="B751" s="801"/>
      <c r="C751" s="801"/>
      <c r="D751" s="837"/>
      <c r="E751" s="849"/>
      <c r="F751" s="849"/>
      <c r="G751" s="848"/>
      <c r="H751" s="842"/>
      <c r="I751" s="1840"/>
      <c r="J751" s="842"/>
      <c r="K751" s="842"/>
    </row>
    <row r="752" spans="1:11" ht="14.25">
      <c r="A752" s="797"/>
      <c r="B752" s="798" t="s">
        <v>2733</v>
      </c>
      <c r="C752" s="801"/>
      <c r="D752" s="1938" t="s">
        <v>1402</v>
      </c>
      <c r="E752" s="1938"/>
      <c r="F752" s="1938"/>
      <c r="G752" s="848"/>
      <c r="H752" s="842"/>
      <c r="I752" s="1840" t="s">
        <v>2454</v>
      </c>
      <c r="J752" s="842"/>
      <c r="K752" s="842"/>
    </row>
    <row r="753" spans="1:11">
      <c r="A753" s="801"/>
      <c r="B753" s="801"/>
      <c r="C753" s="801"/>
      <c r="D753" s="1938"/>
      <c r="E753" s="1938"/>
      <c r="F753" s="1938"/>
      <c r="G753" s="848"/>
      <c r="H753" s="842"/>
      <c r="I753" s="1840"/>
      <c r="J753" s="842"/>
      <c r="K753" s="842"/>
    </row>
    <row r="754" spans="1:11">
      <c r="A754" s="801"/>
      <c r="B754" s="801"/>
      <c r="C754" s="801"/>
      <c r="D754" s="781"/>
      <c r="E754" s="781"/>
      <c r="F754" s="781"/>
      <c r="G754" s="848"/>
      <c r="H754" s="842"/>
      <c r="I754" s="1840"/>
      <c r="J754" s="842"/>
      <c r="K754" s="842"/>
    </row>
    <row r="755" spans="1:11">
      <c r="A755" s="801"/>
      <c r="B755" s="798" t="s">
        <v>2734</v>
      </c>
      <c r="C755" s="801"/>
      <c r="D755" s="1938" t="s">
        <v>1424</v>
      </c>
      <c r="E755" s="1938"/>
      <c r="F755" s="1938"/>
      <c r="G755" s="848"/>
      <c r="H755" s="842"/>
      <c r="I755" s="1840" t="s">
        <v>2454</v>
      </c>
      <c r="J755" s="842"/>
      <c r="K755" s="842"/>
    </row>
    <row r="756" spans="1:11">
      <c r="A756" s="801"/>
      <c r="B756" s="801"/>
      <c r="C756" s="801"/>
      <c r="D756" s="1938"/>
      <c r="E756" s="1938"/>
      <c r="F756" s="1938"/>
      <c r="G756" s="848"/>
      <c r="H756" s="842"/>
      <c r="I756" s="1840"/>
      <c r="J756" s="842"/>
      <c r="K756" s="842"/>
    </row>
    <row r="757" spans="1:11">
      <c r="A757" s="801"/>
      <c r="B757" s="801"/>
      <c r="C757" s="801"/>
      <c r="D757" s="1938"/>
      <c r="E757" s="1938"/>
      <c r="F757" s="1938"/>
      <c r="G757" s="848"/>
      <c r="H757" s="842"/>
      <c r="I757" s="1840"/>
      <c r="J757" s="842"/>
      <c r="K757" s="842"/>
    </row>
    <row r="758" spans="1:11">
      <c r="A758" s="801"/>
      <c r="B758" s="801"/>
      <c r="C758" s="801"/>
      <c r="D758" s="781"/>
      <c r="E758" s="781"/>
      <c r="F758" s="781"/>
      <c r="G758" s="848"/>
      <c r="H758" s="842"/>
      <c r="I758" s="1840"/>
      <c r="J758" s="842"/>
      <c r="K758" s="842"/>
    </row>
    <row r="759" spans="1:11">
      <c r="A759" s="2029" t="s">
        <v>2323</v>
      </c>
      <c r="B759" s="2029"/>
      <c r="C759" s="2029"/>
      <c r="D759" s="2029"/>
      <c r="E759" s="2029"/>
      <c r="F759" s="2029"/>
      <c r="G759" s="2029"/>
      <c r="H759" s="1852"/>
      <c r="I759" s="1853"/>
    </row>
    <row r="760" spans="1:11">
      <c r="A760" s="93"/>
      <c r="B760" s="93"/>
      <c r="C760" s="1731"/>
      <c r="D760" s="155"/>
      <c r="E760" s="155"/>
      <c r="F760" s="155"/>
      <c r="G760" s="686"/>
    </row>
    <row r="761" spans="1:11">
      <c r="A761" s="93"/>
      <c r="B761" s="93"/>
      <c r="C761" s="1731"/>
      <c r="D761" s="2030" t="s">
        <v>2382</v>
      </c>
      <c r="E761" s="2030"/>
      <c r="F761" s="2030"/>
      <c r="G761" s="686"/>
    </row>
    <row r="762" spans="1:11">
      <c r="A762" s="93"/>
      <c r="B762" s="93"/>
      <c r="C762" s="1731"/>
      <c r="D762" s="2012" t="s">
        <v>2268</v>
      </c>
      <c r="E762" s="2012"/>
      <c r="F762" s="2012"/>
      <c r="G762" s="686"/>
    </row>
    <row r="763" spans="1:11">
      <c r="A763" s="93"/>
      <c r="B763" s="93"/>
      <c r="C763" s="1731"/>
      <c r="D763" s="733"/>
      <c r="E763" s="733"/>
      <c r="F763" s="733"/>
      <c r="G763" s="686"/>
    </row>
    <row r="764" spans="1:11">
      <c r="A764" s="93"/>
      <c r="B764" s="798" t="s">
        <v>2733</v>
      </c>
      <c r="C764" s="1731"/>
      <c r="D764" s="1959" t="s">
        <v>2269</v>
      </c>
      <c r="E764" s="1959"/>
      <c r="F764" s="1959"/>
      <c r="G764" s="686"/>
      <c r="I764" s="1840" t="s">
        <v>2506</v>
      </c>
    </row>
    <row r="765" spans="1:11">
      <c r="A765" s="93"/>
      <c r="B765" s="93"/>
      <c r="C765" s="1731"/>
      <c r="D765" s="1959"/>
      <c r="E765" s="1959"/>
      <c r="F765" s="1959"/>
      <c r="G765" s="686"/>
    </row>
    <row r="766" spans="1:11">
      <c r="A766" s="720"/>
      <c r="B766" s="720"/>
      <c r="C766" s="313"/>
      <c r="D766" s="1959"/>
      <c r="E766" s="1959"/>
      <c r="F766" s="1959"/>
      <c r="G766" s="1732"/>
    </row>
    <row r="767" spans="1:11">
      <c r="A767" s="1725"/>
      <c r="B767" s="1725"/>
      <c r="C767" s="1733"/>
      <c r="D767" s="1709"/>
      <c r="E767" s="686"/>
      <c r="F767" s="686"/>
      <c r="G767" s="686"/>
    </row>
    <row r="768" spans="1:11">
      <c r="A768" s="267"/>
      <c r="B768" s="798" t="s">
        <v>2734</v>
      </c>
      <c r="C768" s="1734"/>
      <c r="D768" s="1959" t="s">
        <v>2270</v>
      </c>
      <c r="E768" s="1959"/>
      <c r="F768" s="1959"/>
      <c r="G768" s="686"/>
      <c r="I768" s="1840" t="s">
        <v>2506</v>
      </c>
    </row>
    <row r="769" spans="1:9">
      <c r="A769" s="1735"/>
      <c r="B769" s="1735"/>
      <c r="C769" s="1736"/>
      <c r="D769" s="1959"/>
      <c r="E769" s="1959"/>
      <c r="F769" s="1959"/>
      <c r="G769" s="686"/>
    </row>
    <row r="770" spans="1:9">
      <c r="A770" s="267"/>
      <c r="B770" s="267"/>
      <c r="C770" s="1734"/>
      <c r="D770" s="1959"/>
      <c r="E770" s="1959"/>
      <c r="F770" s="1959"/>
      <c r="G770" s="686"/>
    </row>
    <row r="771" spans="1:9">
      <c r="A771" s="720"/>
      <c r="B771" s="720"/>
      <c r="C771" s="313"/>
      <c r="D771" s="6"/>
      <c r="E771" s="1737"/>
      <c r="F771" s="1737"/>
      <c r="G771" s="1738"/>
    </row>
    <row r="772" spans="1:9" ht="14.25">
      <c r="A772" s="714"/>
      <c r="B772" s="798" t="s">
        <v>2733</v>
      </c>
      <c r="C772" s="1739"/>
      <c r="D772" s="1959" t="s">
        <v>2271</v>
      </c>
      <c r="E772" s="1959"/>
      <c r="F772" s="1959"/>
      <c r="G772" s="1738"/>
      <c r="I772" s="1840" t="s">
        <v>2506</v>
      </c>
    </row>
    <row r="773" spans="1:9" ht="14.25">
      <c r="A773" s="714"/>
      <c r="B773" s="714"/>
      <c r="C773" s="1739"/>
      <c r="D773" s="1959"/>
      <c r="E773" s="1959"/>
      <c r="F773" s="1959"/>
      <c r="G773" s="1738"/>
    </row>
    <row r="774" spans="1:9" ht="14.25">
      <c r="A774" s="714"/>
      <c r="B774" s="714"/>
      <c r="C774" s="1739"/>
      <c r="D774" s="1959"/>
      <c r="E774" s="1959"/>
      <c r="F774" s="1959"/>
      <c r="G774" s="1738"/>
    </row>
    <row r="775" spans="1:9" ht="14.25">
      <c r="A775" s="714"/>
      <c r="B775" s="714"/>
      <c r="C775" s="1739"/>
      <c r="D775" s="1707"/>
      <c r="E775" s="6"/>
      <c r="F775" s="6"/>
      <c r="G775" s="1738"/>
    </row>
    <row r="776" spans="1:9" ht="14.25">
      <c r="A776" s="714"/>
      <c r="B776" s="798" t="s">
        <v>2733</v>
      </c>
      <c r="C776" s="1739"/>
      <c r="D776" s="1959" t="s">
        <v>2272</v>
      </c>
      <c r="E776" s="1959"/>
      <c r="F776" s="1959"/>
      <c r="G776" s="1738"/>
      <c r="I776" s="1840" t="s">
        <v>2506</v>
      </c>
    </row>
    <row r="777" spans="1:9" ht="14.25">
      <c r="A777" s="714"/>
      <c r="B777" s="714"/>
      <c r="C777" s="1739"/>
      <c r="D777" s="1959"/>
      <c r="E777" s="1959"/>
      <c r="F777" s="1959"/>
      <c r="G777" s="1738"/>
    </row>
    <row r="778" spans="1:9" ht="14.25">
      <c r="A778" s="714"/>
      <c r="B778" s="714"/>
      <c r="C778" s="1739"/>
      <c r="D778" s="1959"/>
      <c r="E778" s="1959"/>
      <c r="F778" s="1959"/>
      <c r="G778" s="1738"/>
    </row>
    <row r="779" spans="1:9" ht="14.25">
      <c r="A779" s="714"/>
      <c r="B779" s="714"/>
      <c r="C779" s="1739"/>
      <c r="D779" s="1959"/>
      <c r="E779" s="1959"/>
      <c r="F779" s="1959"/>
      <c r="G779" s="1738"/>
    </row>
    <row r="780" spans="1:9" ht="14.25">
      <c r="A780" s="714"/>
      <c r="B780" s="714"/>
      <c r="C780" s="1739"/>
      <c r="D780" s="1959"/>
      <c r="E780" s="1959"/>
      <c r="F780" s="1959"/>
      <c r="G780" s="1738"/>
    </row>
    <row r="781" spans="1:9" ht="14.25">
      <c r="A781" s="714"/>
      <c r="B781" s="714"/>
      <c r="C781" s="1739"/>
      <c r="D781" s="1959"/>
      <c r="E781" s="1959"/>
      <c r="F781" s="1959"/>
      <c r="G781" s="1738"/>
    </row>
    <row r="782" spans="1:9" ht="14.25">
      <c r="A782" s="714"/>
      <c r="B782" s="714"/>
      <c r="C782" s="1739"/>
      <c r="D782" s="1959" t="s">
        <v>2324</v>
      </c>
      <c r="E782" s="1959"/>
      <c r="F782" s="1959"/>
      <c r="G782" s="1738"/>
    </row>
    <row r="783" spans="1:9" ht="14.25">
      <c r="A783" s="714"/>
      <c r="B783" s="714"/>
      <c r="C783" s="1739"/>
      <c r="D783" s="1959"/>
      <c r="E783" s="1959"/>
      <c r="F783" s="1959"/>
      <c r="G783" s="1738"/>
    </row>
    <row r="784" spans="1:9" ht="14.25">
      <c r="A784" s="714"/>
      <c r="B784" s="714"/>
      <c r="C784" s="1739"/>
      <c r="D784" s="1959"/>
      <c r="E784" s="1959"/>
      <c r="F784" s="1959"/>
      <c r="G784" s="1738"/>
    </row>
    <row r="785" spans="1:9" ht="14.25">
      <c r="A785" s="714"/>
      <c r="B785" s="556"/>
      <c r="C785" s="1739"/>
      <c r="D785" s="1740"/>
      <c r="E785" s="1740"/>
      <c r="F785" s="1740"/>
      <c r="G785" s="1738"/>
    </row>
    <row r="786" spans="1:9" ht="14.25">
      <c r="A786" s="714"/>
      <c r="B786" s="798" t="s">
        <v>2734</v>
      </c>
      <c r="C786" s="1739"/>
      <c r="D786" s="1959" t="s">
        <v>2273</v>
      </c>
      <c r="E786" s="1959"/>
      <c r="F786" s="1959"/>
      <c r="G786" s="1738"/>
      <c r="I786" s="1840" t="s">
        <v>2506</v>
      </c>
    </row>
    <row r="787" spans="1:9" ht="14.25">
      <c r="A787" s="714"/>
      <c r="B787" s="714"/>
      <c r="C787" s="1739"/>
      <c r="D787" s="1959"/>
      <c r="E787" s="1959"/>
      <c r="F787" s="1959"/>
      <c r="G787" s="1738"/>
    </row>
    <row r="788" spans="1:9" ht="14.25">
      <c r="A788" s="714"/>
      <c r="B788" s="714"/>
      <c r="C788" s="1739"/>
      <c r="D788" s="1959"/>
      <c r="E788" s="1959"/>
      <c r="F788" s="1959"/>
      <c r="G788" s="1738"/>
    </row>
    <row r="789" spans="1:9" ht="14.25">
      <c r="A789" s="714"/>
      <c r="B789" s="714"/>
      <c r="C789" s="1739"/>
      <c r="D789" s="1959"/>
      <c r="E789" s="1959"/>
      <c r="F789" s="1959"/>
      <c r="G789" s="1738"/>
    </row>
    <row r="790" spans="1:9" ht="14.25">
      <c r="A790" s="714"/>
      <c r="B790" s="714"/>
      <c r="C790" s="1739"/>
      <c r="D790" s="1959"/>
      <c r="E790" s="1959"/>
      <c r="F790" s="1959"/>
      <c r="G790" s="1738"/>
    </row>
    <row r="791" spans="1:9" ht="14.25">
      <c r="A791" s="714"/>
      <c r="B791" s="714"/>
      <c r="C791" s="1739"/>
      <c r="D791" s="1959"/>
      <c r="E791" s="1959"/>
      <c r="F791" s="1959"/>
      <c r="G791" s="1738"/>
    </row>
    <row r="792" spans="1:9" ht="14.25">
      <c r="A792" s="714"/>
      <c r="B792" s="714"/>
      <c r="C792" s="1739"/>
      <c r="D792" s="1716"/>
      <c r="E792" s="1716"/>
      <c r="F792" s="1716"/>
      <c r="G792" s="1738"/>
    </row>
    <row r="793" spans="1:9" ht="14.25">
      <c r="A793" s="714"/>
      <c r="B793" s="798" t="s">
        <v>2734</v>
      </c>
      <c r="C793" s="1739"/>
      <c r="D793" s="1959" t="s">
        <v>2274</v>
      </c>
      <c r="E793" s="1959"/>
      <c r="F793" s="1959"/>
      <c r="G793" s="1738"/>
      <c r="I793" s="1840" t="s">
        <v>2506</v>
      </c>
    </row>
    <row r="794" spans="1:9" ht="14.25">
      <c r="A794" s="714"/>
      <c r="B794" s="714"/>
      <c r="C794" s="1739"/>
      <c r="D794" s="1959"/>
      <c r="E794" s="1959"/>
      <c r="F794" s="1959"/>
      <c r="G794" s="1738"/>
    </row>
    <row r="795" spans="1:9" ht="14.25">
      <c r="A795" s="714"/>
      <c r="B795" s="714"/>
      <c r="C795" s="1739"/>
      <c r="D795" s="1959"/>
      <c r="E795" s="1959"/>
      <c r="F795" s="1959"/>
      <c r="G795" s="1738"/>
    </row>
    <row r="796" spans="1:9" ht="14.25">
      <c r="A796" s="714"/>
      <c r="B796" s="714"/>
      <c r="C796" s="1739"/>
      <c r="D796" s="1959"/>
      <c r="E796" s="1959"/>
      <c r="F796" s="1959"/>
      <c r="G796" s="1738"/>
    </row>
    <row r="797" spans="1:9" ht="14.25">
      <c r="A797" s="714"/>
      <c r="B797" s="714"/>
      <c r="C797" s="1739"/>
      <c r="D797" s="1959"/>
      <c r="E797" s="1959"/>
      <c r="F797" s="1959"/>
      <c r="G797" s="1738"/>
    </row>
    <row r="798" spans="1:9" ht="14.25">
      <c r="A798" s="714"/>
      <c r="B798" s="714"/>
      <c r="C798" s="1739"/>
      <c r="D798" s="1959"/>
      <c r="E798" s="1959"/>
      <c r="F798" s="1959"/>
      <c r="G798" s="1738"/>
    </row>
    <row r="799" spans="1:9" ht="14.25">
      <c r="A799" s="714"/>
      <c r="B799" s="714"/>
      <c r="C799" s="1739"/>
      <c r="D799" s="1716"/>
      <c r="E799" s="1716"/>
      <c r="F799" s="1716"/>
      <c r="G799" s="1738"/>
    </row>
    <row r="800" spans="1:9" ht="14.25">
      <c r="A800" s="714"/>
      <c r="B800" s="798" t="s">
        <v>2734</v>
      </c>
      <c r="C800" s="1739"/>
      <c r="D800" s="1956" t="s">
        <v>2275</v>
      </c>
      <c r="E800" s="1956"/>
      <c r="F800" s="1956"/>
      <c r="G800" s="1738"/>
      <c r="I800" s="1840" t="s">
        <v>2506</v>
      </c>
    </row>
    <row r="801" spans="1:9" ht="14.25">
      <c r="A801" s="714"/>
      <c r="B801" s="714"/>
      <c r="C801" s="1739"/>
      <c r="D801" s="1956"/>
      <c r="E801" s="1956"/>
      <c r="F801" s="1956"/>
      <c r="G801" s="1738"/>
    </row>
    <row r="802" spans="1:9">
      <c r="A802" s="1724"/>
      <c r="B802" s="1724"/>
      <c r="C802" s="1739"/>
      <c r="D802" s="1956"/>
      <c r="E802" s="1956"/>
      <c r="F802" s="1956"/>
      <c r="G802" s="1738"/>
    </row>
    <row r="803" spans="1:9" ht="14.25">
      <c r="A803" s="714"/>
      <c r="B803" s="1724"/>
      <c r="C803" s="1739"/>
      <c r="D803" s="1956"/>
      <c r="E803" s="1956"/>
      <c r="F803" s="1956"/>
      <c r="G803" s="1738"/>
    </row>
    <row r="804" spans="1:9" ht="12.75" customHeight="1">
      <c r="A804" s="714"/>
      <c r="B804" s="1724"/>
      <c r="C804" s="1739"/>
      <c r="D804" s="1956"/>
      <c r="E804" s="1956"/>
      <c r="F804" s="1956"/>
      <c r="G804" s="1738"/>
    </row>
    <row r="805" spans="1:9" ht="12.75" customHeight="1">
      <c r="A805" s="714"/>
      <c r="B805" s="1724"/>
      <c r="C805" s="1739"/>
      <c r="D805" s="1956"/>
      <c r="E805" s="1956"/>
      <c r="F805" s="1956"/>
      <c r="G805" s="1738"/>
    </row>
    <row r="806" spans="1:9" ht="12.75" customHeight="1">
      <c r="A806" s="1724"/>
      <c r="B806" s="1724"/>
      <c r="C806" s="1739"/>
      <c r="D806" s="1737"/>
      <c r="E806" s="6"/>
      <c r="F806" s="6"/>
      <c r="G806" s="1738"/>
    </row>
    <row r="807" spans="1:9" ht="12.75" customHeight="1">
      <c r="A807" s="1968" t="s">
        <v>2276</v>
      </c>
      <c r="B807" s="1968"/>
      <c r="C807" s="1968"/>
      <c r="D807" s="1968"/>
      <c r="E807" s="1968"/>
      <c r="F807" s="1968"/>
      <c r="G807" s="1968"/>
      <c r="H807" s="1852"/>
      <c r="I807" s="1853"/>
    </row>
    <row r="808" spans="1:9" ht="12.75" customHeight="1">
      <c r="A808" s="1713"/>
      <c r="B808" s="1713"/>
      <c r="C808" s="1739"/>
      <c r="D808" s="1737"/>
      <c r="E808" s="1737"/>
      <c r="F808" s="1737"/>
      <c r="G808" s="1738"/>
    </row>
    <row r="809" spans="1:9" ht="12.75" customHeight="1">
      <c r="A809" s="714"/>
      <c r="B809" s="714"/>
      <c r="C809" s="556"/>
      <c r="D809" s="1948" t="s">
        <v>2325</v>
      </c>
      <c r="E809" s="1948"/>
      <c r="F809" s="1948"/>
      <c r="G809" s="678"/>
    </row>
    <row r="810" spans="1:9" ht="14.25" customHeight="1">
      <c r="A810" s="714"/>
      <c r="B810" s="714"/>
      <c r="C810" s="556"/>
      <c r="D810" s="1899" t="s">
        <v>2277</v>
      </c>
      <c r="E810" s="1899"/>
      <c r="F810" s="1899"/>
      <c r="G810" s="678"/>
    </row>
    <row r="811" spans="1:9" ht="12.75" customHeight="1">
      <c r="A811" s="714"/>
      <c r="B811" s="714"/>
      <c r="C811" s="556"/>
      <c r="D811" s="1702"/>
      <c r="E811" s="1702"/>
      <c r="F811" s="1702"/>
      <c r="G811" s="678"/>
    </row>
    <row r="812" spans="1:9" ht="12.75" customHeight="1">
      <c r="A812" s="1741"/>
      <c r="B812" s="798" t="s">
        <v>2733</v>
      </c>
      <c r="C812" s="1739"/>
      <c r="D812" s="1899" t="s">
        <v>2278</v>
      </c>
      <c r="E812" s="1899"/>
      <c r="F812" s="1899"/>
      <c r="G812" s="678"/>
      <c r="I812" s="1773" t="s">
        <v>2472</v>
      </c>
    </row>
    <row r="813" spans="1:9" ht="14.25" customHeight="1">
      <c r="A813" s="1724"/>
      <c r="B813" s="1724"/>
      <c r="C813" s="1739"/>
      <c r="D813" s="5" t="s">
        <v>2254</v>
      </c>
      <c r="E813" s="1908" t="s">
        <v>2279</v>
      </c>
      <c r="F813" s="1908"/>
      <c r="G813" s="678"/>
    </row>
    <row r="814" spans="1:9" ht="12.75" customHeight="1">
      <c r="A814" s="1724"/>
      <c r="B814" s="1724"/>
      <c r="C814" s="1739"/>
      <c r="D814" s="1742"/>
      <c r="E814" s="6"/>
      <c r="F814" s="6"/>
      <c r="G814" s="678"/>
    </row>
    <row r="815" spans="1:9" ht="14.25" hidden="1" customHeight="1">
      <c r="A815" s="1724"/>
      <c r="B815" s="798" t="s">
        <v>316</v>
      </c>
      <c r="C815" s="1739"/>
      <c r="D815" s="2006" t="s">
        <v>2280</v>
      </c>
      <c r="E815" s="2006"/>
      <c r="F815" s="2006"/>
      <c r="G815" s="678"/>
    </row>
    <row r="816" spans="1:9" ht="12.75" hidden="1" customHeight="1">
      <c r="A816" s="1724"/>
      <c r="B816" s="1724"/>
      <c r="C816" s="1739"/>
      <c r="D816" s="2006"/>
      <c r="E816" s="2006"/>
      <c r="F816" s="2006"/>
      <c r="G816" s="678"/>
    </row>
    <row r="817" spans="1:9" ht="12.75" hidden="1" customHeight="1">
      <c r="A817" s="1724"/>
      <c r="B817" s="1724"/>
      <c r="C817" s="1739"/>
      <c r="D817" s="2006"/>
      <c r="E817" s="2006"/>
      <c r="F817" s="2006"/>
      <c r="G817" s="678"/>
    </row>
    <row r="818" spans="1:9" ht="12.75" hidden="1" customHeight="1">
      <c r="A818" s="1724"/>
      <c r="B818" s="1724"/>
      <c r="C818" s="1739"/>
      <c r="D818" s="2006"/>
      <c r="E818" s="2006"/>
      <c r="F818" s="2006"/>
      <c r="G818" s="678"/>
    </row>
    <row r="819" spans="1:9" ht="12.75" hidden="1" customHeight="1">
      <c r="A819" s="1724"/>
      <c r="B819" s="1724"/>
      <c r="C819" s="1739"/>
      <c r="D819" s="2006"/>
      <c r="E819" s="2006"/>
      <c r="F819" s="2006"/>
      <c r="G819" s="678"/>
    </row>
    <row r="820" spans="1:9" ht="12.75" hidden="1" customHeight="1">
      <c r="A820" s="1724"/>
      <c r="B820" s="1724"/>
      <c r="C820" s="1739"/>
      <c r="D820" s="2006"/>
      <c r="E820" s="2006"/>
      <c r="F820" s="2006"/>
      <c r="G820" s="678"/>
    </row>
    <row r="821" spans="1:9" ht="12.75" hidden="1" customHeight="1">
      <c r="A821" s="1724"/>
      <c r="B821" s="1724"/>
      <c r="C821" s="1739"/>
      <c r="D821" s="2006"/>
      <c r="E821" s="2006"/>
      <c r="F821" s="2006"/>
      <c r="G821" s="678"/>
    </row>
    <row r="822" spans="1:9" ht="12.75" hidden="1" customHeight="1">
      <c r="A822" s="1724"/>
      <c r="B822" s="1724"/>
      <c r="C822" s="1739"/>
      <c r="D822" s="2006"/>
      <c r="E822" s="2006"/>
      <c r="F822" s="2006"/>
      <c r="G822" s="678"/>
    </row>
    <row r="823" spans="1:9" ht="12.75" hidden="1" customHeight="1">
      <c r="A823" s="1724"/>
      <c r="B823" s="1724"/>
      <c r="C823" s="1739"/>
      <c r="D823" s="2006"/>
      <c r="E823" s="2006"/>
      <c r="F823" s="2006"/>
      <c r="G823" s="678"/>
    </row>
    <row r="824" spans="1:9" ht="12.75" hidden="1" customHeight="1">
      <c r="A824" s="1724"/>
      <c r="B824" s="1724"/>
      <c r="C824" s="1739"/>
      <c r="D824" s="2006"/>
      <c r="E824" s="2006"/>
      <c r="F824" s="2006"/>
      <c r="G824" s="678"/>
    </row>
    <row r="825" spans="1:9" ht="12.75" hidden="1" customHeight="1">
      <c r="A825" s="1724"/>
      <c r="B825" s="1724"/>
      <c r="C825" s="1739"/>
      <c r="D825" s="1742"/>
      <c r="E825" s="6"/>
      <c r="F825" s="6"/>
      <c r="G825" s="678"/>
    </row>
    <row r="826" spans="1:9" ht="12.75" customHeight="1">
      <c r="A826" s="714"/>
      <c r="B826" s="798" t="s">
        <v>2733</v>
      </c>
      <c r="C826" s="1739"/>
      <c r="D826" s="1899" t="s">
        <v>2281</v>
      </c>
      <c r="E826" s="1899"/>
      <c r="F826" s="1899"/>
      <c r="G826" s="678"/>
      <c r="I826" s="1773" t="s">
        <v>2492</v>
      </c>
    </row>
    <row r="827" spans="1:9" ht="12.75" customHeight="1">
      <c r="A827" s="714"/>
      <c r="B827" s="714"/>
      <c r="C827" s="1739"/>
      <c r="D827" s="1899"/>
      <c r="E827" s="1899"/>
      <c r="F827" s="1899"/>
      <c r="G827" s="678"/>
    </row>
    <row r="828" spans="1:9" ht="12.75" customHeight="1">
      <c r="A828" s="714"/>
      <c r="B828" s="714"/>
      <c r="C828" s="1739"/>
      <c r="D828" s="1899"/>
      <c r="E828" s="1899"/>
      <c r="F828" s="1899"/>
      <c r="G828" s="678"/>
    </row>
    <row r="829" spans="1:9" ht="12.75" customHeight="1">
      <c r="A829" s="403"/>
      <c r="B829" s="403"/>
      <c r="C829" s="1743"/>
      <c r="D829" s="1720"/>
      <c r="E829" s="678"/>
      <c r="F829" s="678"/>
      <c r="G829" s="678"/>
    </row>
    <row r="830" spans="1:9" ht="12.75" customHeight="1">
      <c r="A830" s="1744"/>
      <c r="B830" s="798" t="s">
        <v>2734</v>
      </c>
      <c r="C830" s="1743"/>
      <c r="D830" s="2004" t="s">
        <v>2282</v>
      </c>
      <c r="E830" s="2004"/>
      <c r="F830" s="2004"/>
      <c r="G830" s="678"/>
    </row>
    <row r="831" spans="1:9" ht="12.75" customHeight="1">
      <c r="A831" s="556"/>
      <c r="B831" s="1744"/>
      <c r="C831" s="1743"/>
      <c r="D831" s="2004"/>
      <c r="E831" s="2004"/>
      <c r="F831" s="2004"/>
      <c r="G831" s="678"/>
    </row>
    <row r="832" spans="1:9" ht="12.75" customHeight="1">
      <c r="A832" s="403"/>
      <c r="B832" s="556"/>
      <c r="C832" s="1743"/>
      <c r="D832" s="1900" t="s">
        <v>2283</v>
      </c>
      <c r="E832" s="1900"/>
      <c r="F832" s="1900"/>
      <c r="G832" s="678"/>
    </row>
    <row r="833" spans="1:9" ht="12.75" customHeight="1">
      <c r="A833" s="403"/>
      <c r="B833" s="403"/>
      <c r="C833" s="1743"/>
      <c r="D833" s="1900"/>
      <c r="E833" s="1900"/>
      <c r="F833" s="1900"/>
      <c r="G833" s="678"/>
    </row>
    <row r="834" spans="1:9" ht="12.75" customHeight="1">
      <c r="A834" s="403"/>
      <c r="B834" s="403"/>
      <c r="C834" s="1743"/>
      <c r="D834" s="1900"/>
      <c r="E834" s="1900"/>
      <c r="F834" s="1900"/>
      <c r="G834" s="678"/>
    </row>
    <row r="835" spans="1:9" ht="12.75" customHeight="1">
      <c r="A835" s="403"/>
      <c r="B835" s="403"/>
      <c r="C835" s="1743"/>
      <c r="D835" s="1900"/>
      <c r="E835" s="1900"/>
      <c r="F835" s="1900"/>
      <c r="G835" s="678"/>
    </row>
    <row r="836" spans="1:9" ht="12.75" customHeight="1">
      <c r="A836" s="403"/>
      <c r="B836" s="403"/>
      <c r="C836" s="1743"/>
      <c r="D836" s="1900"/>
      <c r="E836" s="1900"/>
      <c r="F836" s="1900"/>
      <c r="G836" s="678"/>
    </row>
    <row r="837" spans="1:9" ht="12.75" customHeight="1">
      <c r="A837" s="403"/>
      <c r="B837" s="403"/>
      <c r="C837" s="1743"/>
      <c r="D837" s="1900"/>
      <c r="E837" s="1900"/>
      <c r="F837" s="1900"/>
      <c r="G837" s="678"/>
    </row>
    <row r="838" spans="1:9" ht="12.75" customHeight="1">
      <c r="A838" s="403"/>
      <c r="B838" s="403"/>
      <c r="C838" s="1743"/>
      <c r="D838" s="1720"/>
      <c r="E838" s="678"/>
      <c r="F838" s="678"/>
      <c r="G838" s="678"/>
    </row>
    <row r="839" spans="1:9" ht="12.75" customHeight="1">
      <c r="A839" s="403"/>
      <c r="B839" s="798" t="s">
        <v>2734</v>
      </c>
      <c r="C839" s="1743"/>
      <c r="D839" s="1900" t="s">
        <v>2284</v>
      </c>
      <c r="E839" s="1900"/>
      <c r="F839" s="1900"/>
      <c r="G839" s="678"/>
      <c r="I839" s="1773" t="s">
        <v>2473</v>
      </c>
    </row>
    <row r="840" spans="1:9" ht="12.75" customHeight="1">
      <c r="A840" s="403"/>
      <c r="B840" s="403"/>
      <c r="C840" s="1743"/>
      <c r="D840" s="1900" t="s">
        <v>2285</v>
      </c>
      <c r="E840" s="1900"/>
      <c r="F840" s="1900"/>
      <c r="G840" s="678"/>
    </row>
    <row r="841" spans="1:9" ht="12.75" customHeight="1">
      <c r="A841" s="403"/>
      <c r="B841" s="403"/>
      <c r="C841" s="1743"/>
      <c r="D841" s="183" t="s">
        <v>2251</v>
      </c>
      <c r="E841" s="1998" t="s">
        <v>2286</v>
      </c>
      <c r="F841" s="1998"/>
      <c r="G841" s="678"/>
    </row>
    <row r="842" spans="1:9" ht="12.75" customHeight="1">
      <c r="A842" s="403"/>
      <c r="B842" s="403"/>
      <c r="C842" s="1743"/>
      <c r="D842" s="1720"/>
      <c r="E842" s="678"/>
      <c r="F842" s="678"/>
      <c r="G842" s="678"/>
    </row>
    <row r="843" spans="1:9" ht="12.75" customHeight="1">
      <c r="A843" s="403"/>
      <c r="B843" s="798" t="s">
        <v>2734</v>
      </c>
      <c r="C843" s="1743"/>
      <c r="D843" s="1900" t="s">
        <v>2287</v>
      </c>
      <c r="E843" s="1900"/>
      <c r="F843" s="1900"/>
      <c r="G843" s="678"/>
      <c r="I843" s="1773" t="s">
        <v>2493</v>
      </c>
    </row>
    <row r="844" spans="1:9" ht="12.75" customHeight="1">
      <c r="A844" s="403"/>
      <c r="B844" s="403"/>
      <c r="C844" s="1743"/>
      <c r="D844" s="1900"/>
      <c r="E844" s="1900"/>
      <c r="F844" s="1900"/>
      <c r="G844" s="678"/>
    </row>
    <row r="845" spans="1:9" ht="12.75" customHeight="1">
      <c r="A845" s="403"/>
      <c r="B845" s="403"/>
      <c r="C845" s="1743"/>
      <c r="D845" s="1900"/>
      <c r="E845" s="1900"/>
      <c r="F845" s="1900"/>
      <c r="G845" s="678"/>
    </row>
    <row r="846" spans="1:9" ht="12.75" customHeight="1">
      <c r="A846" s="403"/>
      <c r="B846" s="403"/>
      <c r="C846" s="1743"/>
      <c r="D846" s="1900"/>
      <c r="E846" s="1900"/>
      <c r="F846" s="1900"/>
      <c r="G846" s="678"/>
    </row>
    <row r="847" spans="1:9" ht="12.75" customHeight="1">
      <c r="A847" s="1713"/>
      <c r="B847" s="1713"/>
      <c r="C847" s="1745"/>
      <c r="D847" s="1707"/>
      <c r="E847" s="6"/>
      <c r="F847" s="6"/>
      <c r="G847" s="678"/>
    </row>
    <row r="848" spans="1:9" ht="12.75" customHeight="1">
      <c r="A848" s="1719" t="s">
        <v>2288</v>
      </c>
      <c r="B848" s="1719"/>
      <c r="C848" s="1746"/>
      <c r="D848" s="1746"/>
      <c r="E848" s="1746"/>
      <c r="F848" s="1746"/>
      <c r="G848" s="1747"/>
      <c r="H848" s="1852"/>
      <c r="I848" s="1853"/>
    </row>
    <row r="849" spans="1:9" ht="12.75" customHeight="1">
      <c r="A849" s="1713"/>
      <c r="B849" s="1713"/>
      <c r="C849" s="1745"/>
      <c r="D849" s="1748"/>
      <c r="E849" s="6"/>
      <c r="F849" s="6"/>
      <c r="G849" s="678"/>
    </row>
    <row r="850" spans="1:9" ht="12.75" customHeight="1">
      <c r="A850" s="1741"/>
      <c r="B850" s="1741"/>
      <c r="C850" s="313"/>
      <c r="D850" s="1922" t="s">
        <v>2326</v>
      </c>
      <c r="E850" s="1922"/>
      <c r="F850" s="1922"/>
      <c r="G850" s="1738"/>
    </row>
    <row r="851" spans="1:9" ht="12.75" customHeight="1">
      <c r="A851" s="1741"/>
      <c r="B851" s="1741"/>
      <c r="C851" s="313"/>
      <c r="D851" s="2005" t="s">
        <v>2289</v>
      </c>
      <c r="E851" s="2005"/>
      <c r="F851" s="2005"/>
      <c r="G851" s="1738"/>
    </row>
    <row r="852" spans="1:9" ht="12.75" customHeight="1">
      <c r="A852" s="1741"/>
      <c r="B852" s="1741"/>
      <c r="C852" s="313"/>
      <c r="D852" s="1749"/>
      <c r="E852" s="1749"/>
      <c r="F852" s="1749"/>
      <c r="G852" s="1738"/>
    </row>
    <row r="853" spans="1:9" ht="12.75" customHeight="1">
      <c r="A853" s="714"/>
      <c r="B853" s="798" t="s">
        <v>2733</v>
      </c>
      <c r="C853" s="556"/>
      <c r="D853" s="1912" t="s">
        <v>2290</v>
      </c>
      <c r="E853" s="1912"/>
      <c r="F853" s="1912"/>
      <c r="G853" s="1738"/>
      <c r="I853" s="1773" t="s">
        <v>2473</v>
      </c>
    </row>
    <row r="854" spans="1:9" ht="12.75" customHeight="1">
      <c r="A854" s="1741"/>
      <c r="B854" s="1741"/>
      <c r="C854" s="556"/>
      <c r="D854" s="5" t="s">
        <v>2251</v>
      </c>
      <c r="E854" s="2000" t="s">
        <v>2286</v>
      </c>
      <c r="F854" s="2000"/>
      <c r="G854" s="1738"/>
    </row>
    <row r="855" spans="1:9" ht="12.75" customHeight="1">
      <c r="A855" s="1741"/>
      <c r="B855" s="1741"/>
      <c r="C855" s="556"/>
      <c r="D855" s="1707"/>
      <c r="E855" s="1737"/>
      <c r="F855" s="1737"/>
      <c r="G855" s="1738"/>
    </row>
    <row r="856" spans="1:9" ht="12.75" customHeight="1">
      <c r="A856" s="714"/>
      <c r="B856" s="798" t="s">
        <v>2733</v>
      </c>
      <c r="C856" s="556"/>
      <c r="D856" s="1899" t="s">
        <v>2291</v>
      </c>
      <c r="E856" s="1923"/>
      <c r="F856" s="1923"/>
      <c r="G856" s="678"/>
      <c r="I856" s="1773" t="s">
        <v>2493</v>
      </c>
    </row>
    <row r="857" spans="1:9" ht="12.75" customHeight="1">
      <c r="A857" s="1741"/>
      <c r="B857" s="1741"/>
      <c r="C857" s="556"/>
      <c r="D857" s="1923"/>
      <c r="E857" s="1923"/>
      <c r="F857" s="1923"/>
      <c r="G857" s="678"/>
    </row>
    <row r="858" spans="1:9" ht="12.75" customHeight="1">
      <c r="A858" s="1741"/>
      <c r="B858" s="1741"/>
      <c r="C858" s="556"/>
      <c r="D858" s="1707"/>
      <c r="E858" s="6"/>
      <c r="F858" s="6"/>
      <c r="G858" s="678"/>
    </row>
    <row r="859" spans="1:9" ht="12.75" customHeight="1">
      <c r="A859" s="556"/>
      <c r="B859" s="798" t="s">
        <v>2734</v>
      </c>
      <c r="C859" s="557"/>
      <c r="D859" s="2001" t="s">
        <v>2292</v>
      </c>
      <c r="E859" s="2001"/>
      <c r="F859" s="2001"/>
      <c r="G859" s="1738"/>
    </row>
    <row r="860" spans="1:9" ht="12.75" customHeight="1">
      <c r="A860" s="556"/>
      <c r="B860" s="1750"/>
      <c r="C860" s="557"/>
      <c r="D860" s="2001"/>
      <c r="E860" s="2001"/>
      <c r="F860" s="2001"/>
      <c r="G860" s="1738"/>
    </row>
    <row r="861" spans="1:9" ht="12.75" customHeight="1">
      <c r="A861" s="714"/>
      <c r="B861" s="677"/>
      <c r="C861" s="556"/>
      <c r="D861" s="1900" t="s">
        <v>2283</v>
      </c>
      <c r="E861" s="1900"/>
      <c r="F861" s="1900"/>
      <c r="G861" s="1738"/>
    </row>
    <row r="862" spans="1:9" ht="12.75" customHeight="1">
      <c r="A862" s="714"/>
      <c r="B862" s="714"/>
      <c r="C862" s="556"/>
      <c r="D862" s="1900"/>
      <c r="E862" s="1900"/>
      <c r="F862" s="1900"/>
      <c r="G862" s="1738"/>
    </row>
    <row r="863" spans="1:9" ht="12.75" customHeight="1">
      <c r="A863" s="714"/>
      <c r="B863" s="714"/>
      <c r="C863" s="556"/>
      <c r="D863" s="1900"/>
      <c r="E863" s="1900"/>
      <c r="F863" s="1900"/>
      <c r="G863" s="1738"/>
    </row>
    <row r="864" spans="1:9" ht="12.75" customHeight="1">
      <c r="A864" s="714"/>
      <c r="B864" s="714"/>
      <c r="C864" s="556"/>
      <c r="D864" s="1900"/>
      <c r="E864" s="1900"/>
      <c r="F864" s="1900"/>
      <c r="G864" s="1738"/>
    </row>
    <row r="865" spans="1:9" ht="12.75" customHeight="1">
      <c r="A865" s="714"/>
      <c r="B865" s="714"/>
      <c r="C865" s="556"/>
      <c r="D865" s="1900"/>
      <c r="E865" s="1900"/>
      <c r="F865" s="1900"/>
      <c r="G865" s="1738"/>
    </row>
    <row r="866" spans="1:9" ht="12.75" customHeight="1">
      <c r="A866" s="714"/>
      <c r="B866" s="714"/>
      <c r="C866" s="556"/>
      <c r="D866" s="1900"/>
      <c r="E866" s="1900"/>
      <c r="F866" s="1900"/>
      <c r="G866" s="1738"/>
    </row>
    <row r="867" spans="1:9" ht="12.75" customHeight="1">
      <c r="A867" s="714"/>
      <c r="B867" s="714"/>
      <c r="C867" s="556"/>
      <c r="D867" s="1707"/>
      <c r="E867" s="1737"/>
      <c r="F867" s="1737"/>
      <c r="G867" s="1738"/>
    </row>
    <row r="868" spans="1:9" ht="12.75" customHeight="1">
      <c r="A868" s="714"/>
      <c r="B868" s="798" t="s">
        <v>2734</v>
      </c>
      <c r="C868" s="556"/>
      <c r="D868" s="1965" t="s">
        <v>2284</v>
      </c>
      <c r="E868" s="1965"/>
      <c r="F868" s="1965"/>
      <c r="G868" s="1738"/>
      <c r="I868" s="1773" t="s">
        <v>2473</v>
      </c>
    </row>
    <row r="869" spans="1:9" ht="12.75" customHeight="1">
      <c r="A869" s="714"/>
      <c r="B869" s="714"/>
      <c r="C869" s="556"/>
      <c r="D869" s="1965" t="s">
        <v>2285</v>
      </c>
      <c r="E869" s="1965"/>
      <c r="F869" s="1965"/>
      <c r="G869" s="1738"/>
    </row>
    <row r="870" spans="1:9" ht="12.75" customHeight="1">
      <c r="A870" s="714"/>
      <c r="B870" s="714"/>
      <c r="C870" s="556"/>
      <c r="D870" s="5" t="s">
        <v>1503</v>
      </c>
      <c r="E870" s="2002" t="s">
        <v>2286</v>
      </c>
      <c r="F870" s="2002"/>
      <c r="G870" s="1738"/>
    </row>
    <row r="871" spans="1:9" ht="12.75" customHeight="1">
      <c r="A871" s="714"/>
      <c r="B871" s="714"/>
      <c r="C871" s="556"/>
      <c r="D871" s="1707"/>
      <c r="E871" s="1737"/>
      <c r="F871" s="1737"/>
      <c r="G871" s="1738"/>
    </row>
    <row r="872" spans="1:9" ht="12.75" customHeight="1">
      <c r="A872" s="714"/>
      <c r="B872" s="798" t="s">
        <v>2734</v>
      </c>
      <c r="C872" s="556"/>
      <c r="D872" s="1899" t="s">
        <v>2287</v>
      </c>
      <c r="E872" s="1899"/>
      <c r="F872" s="1899"/>
      <c r="G872" s="1738"/>
      <c r="I872" s="1773" t="s">
        <v>2493</v>
      </c>
    </row>
    <row r="873" spans="1:9" ht="12.75" customHeight="1">
      <c r="A873" s="714"/>
      <c r="B873" s="714"/>
      <c r="C873" s="556"/>
      <c r="D873" s="1899"/>
      <c r="E873" s="1899"/>
      <c r="F873" s="1899"/>
      <c r="G873" s="1738"/>
    </row>
    <row r="874" spans="1:9" ht="12.75" customHeight="1">
      <c r="A874" s="714"/>
      <c r="B874" s="714"/>
      <c r="C874" s="556"/>
      <c r="D874" s="1899"/>
      <c r="E874" s="1899"/>
      <c r="F874" s="1899"/>
      <c r="G874" s="1738"/>
    </row>
    <row r="875" spans="1:9" ht="12.75" customHeight="1">
      <c r="A875" s="714"/>
      <c r="B875" s="714"/>
      <c r="C875" s="556"/>
      <c r="D875" s="1899"/>
      <c r="E875" s="1899"/>
      <c r="F875" s="1899"/>
      <c r="G875" s="1738"/>
    </row>
    <row r="876" spans="1:9" ht="12.75" customHeight="1">
      <c r="A876" s="1708"/>
      <c r="B876" s="1708"/>
      <c r="C876" s="1739"/>
      <c r="D876" s="1737"/>
      <c r="E876" s="1737"/>
      <c r="F876" s="1737"/>
      <c r="G876" s="1738"/>
    </row>
    <row r="877" spans="1:9" ht="12.75" customHeight="1">
      <c r="A877" s="1968" t="s">
        <v>2327</v>
      </c>
      <c r="B877" s="1968"/>
      <c r="C877" s="1968"/>
      <c r="D877" s="1968"/>
      <c r="E877" s="1968"/>
      <c r="F877" s="1968"/>
      <c r="G877" s="1968"/>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58" t="s">
        <v>2333</v>
      </c>
      <c r="E879" s="1958"/>
      <c r="F879" s="1958"/>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2733</v>
      </c>
      <c r="C881" s="93"/>
      <c r="D881" s="1721" t="s">
        <v>2334</v>
      </c>
      <c r="E881" s="1715"/>
      <c r="F881" s="1715"/>
      <c r="G881" s="93"/>
      <c r="I881" s="1773" t="s">
        <v>2507</v>
      </c>
    </row>
    <row r="882" spans="1:9" s="1771" customFormat="1" ht="12.75" customHeight="1">
      <c r="A882" s="93"/>
      <c r="B882" s="93"/>
      <c r="C882" s="93"/>
      <c r="D882" s="1715"/>
      <c r="E882" s="1715"/>
      <c r="F882" s="1715"/>
      <c r="G882" s="93"/>
      <c r="I882" s="1773"/>
    </row>
    <row r="883" spans="1:9" ht="12.75" customHeight="1">
      <c r="A883" s="1741"/>
      <c r="B883" s="1741"/>
      <c r="C883" s="1739"/>
      <c r="D883" s="1958" t="s">
        <v>2328</v>
      </c>
      <c r="E883" s="1958"/>
      <c r="F883" s="1958"/>
      <c r="G883" s="1738"/>
    </row>
    <row r="884" spans="1:9" ht="12.75" customHeight="1">
      <c r="A884" s="1713"/>
      <c r="B884" s="1713"/>
      <c r="C884" s="1745"/>
      <c r="D884" s="1912" t="s">
        <v>2293</v>
      </c>
      <c r="E884" s="1912"/>
      <c r="F884" s="1912"/>
      <c r="G884" s="1738"/>
    </row>
    <row r="885" spans="1:9" ht="12.75" customHeight="1">
      <c r="A885" s="1755"/>
      <c r="B885" s="1755"/>
      <c r="C885" s="1739"/>
      <c r="D885" s="5"/>
      <c r="E885" s="1737"/>
      <c r="F885" s="1737"/>
      <c r="G885" s="1738"/>
    </row>
    <row r="886" spans="1:9" ht="12.75" customHeight="1">
      <c r="A886" s="714"/>
      <c r="B886" s="798" t="s">
        <v>2733</v>
      </c>
      <c r="C886" s="556"/>
      <c r="D886" s="1899" t="s">
        <v>2297</v>
      </c>
      <c r="E886" s="1899"/>
      <c r="F886" s="1899"/>
      <c r="G886" s="678"/>
      <c r="I886" s="1773" t="s">
        <v>2457</v>
      </c>
    </row>
    <row r="887" spans="1:9" ht="12.75" customHeight="1">
      <c r="A887" s="1741"/>
      <c r="B887" s="1741"/>
      <c r="C887" s="556"/>
      <c r="D887" s="1899"/>
      <c r="E887" s="1899"/>
      <c r="F887" s="1899"/>
      <c r="G887" s="678"/>
    </row>
    <row r="888" spans="1:9" s="1771" customFormat="1" ht="12.75" customHeight="1">
      <c r="A888" s="1845"/>
      <c r="B888" s="1845"/>
      <c r="C888" s="1745"/>
      <c r="D888" s="1899" t="s">
        <v>2296</v>
      </c>
      <c r="E888" s="1899"/>
      <c r="F888" s="1899"/>
      <c r="G888" s="1738"/>
      <c r="I888" s="1773"/>
    </row>
    <row r="889" spans="1:9" s="1771" customFormat="1" ht="12.75" customHeight="1">
      <c r="A889" s="1845"/>
      <c r="B889" s="1845"/>
      <c r="C889" s="1745"/>
      <c r="D889" s="1899"/>
      <c r="E889" s="1899"/>
      <c r="F889" s="1899"/>
      <c r="G889" s="1738"/>
      <c r="I889" s="1773"/>
    </row>
    <row r="890" spans="1:9" ht="12.75" customHeight="1">
      <c r="A890" s="1713"/>
      <c r="B890" s="1713"/>
      <c r="C890" s="1745"/>
      <c r="D890" s="6"/>
      <c r="E890" s="6"/>
      <c r="F890" s="1737"/>
      <c r="G890" s="1738"/>
    </row>
    <row r="891" spans="1:9" ht="12.75" customHeight="1">
      <c r="A891" s="403"/>
      <c r="B891" s="798" t="s">
        <v>2733</v>
      </c>
      <c r="C891" s="486"/>
      <c r="D891" s="1998" t="s">
        <v>2294</v>
      </c>
      <c r="E891" s="1998"/>
      <c r="F891" s="1998"/>
      <c r="G891" s="1738"/>
      <c r="I891" s="1773" t="s">
        <v>2456</v>
      </c>
    </row>
    <row r="892" spans="1:9" ht="12.75" customHeight="1">
      <c r="A892" s="403"/>
      <c r="B892" s="403"/>
      <c r="C892" s="486"/>
      <c r="D892" s="1998"/>
      <c r="E892" s="1998"/>
      <c r="F892" s="1998"/>
      <c r="G892" s="1738"/>
    </row>
    <row r="893" spans="1:9" ht="12.75" customHeight="1">
      <c r="A893" s="403"/>
      <c r="B893" s="403"/>
      <c r="C893" s="486"/>
      <c r="D893" s="1998"/>
      <c r="E893" s="1998"/>
      <c r="F893" s="1998"/>
      <c r="G893" s="1738"/>
    </row>
    <row r="894" spans="1:9" s="1771" customFormat="1" ht="12.75" customHeight="1">
      <c r="A894" s="403"/>
      <c r="B894" s="403"/>
      <c r="C894" s="486"/>
      <c r="D894" s="1998"/>
      <c r="E894" s="1998"/>
      <c r="F894" s="1998"/>
      <c r="G894" s="1738"/>
      <c r="I894" s="1773"/>
    </row>
    <row r="895" spans="1:9" ht="12.75" customHeight="1">
      <c r="A895" s="403"/>
      <c r="B895" s="403"/>
      <c r="C895" s="486"/>
      <c r="D895" s="1998"/>
      <c r="E895" s="1998"/>
      <c r="F895" s="1998"/>
      <c r="G895" s="1738"/>
    </row>
    <row r="896" spans="1:9" ht="12.75" customHeight="1">
      <c r="A896" s="487"/>
      <c r="B896" s="487"/>
      <c r="C896" s="486"/>
      <c r="D896" s="1998"/>
      <c r="E896" s="1998"/>
      <c r="F896" s="1998"/>
      <c r="G896" s="1738"/>
    </row>
    <row r="897" spans="1:9" ht="12.75" customHeight="1">
      <c r="A897" s="487"/>
      <c r="B897" s="487"/>
      <c r="C897" s="486"/>
      <c r="D897" s="1998"/>
      <c r="E897" s="1998"/>
      <c r="F897" s="1998"/>
      <c r="G897" s="1738"/>
    </row>
    <row r="898" spans="1:9" ht="12.75" customHeight="1">
      <c r="A898" s="487"/>
      <c r="B898" s="487"/>
      <c r="C898" s="486"/>
      <c r="D898" s="1998"/>
      <c r="E898" s="1998"/>
      <c r="F898" s="1998"/>
      <c r="G898" s="1738"/>
    </row>
    <row r="899" spans="1:9" s="1771" customFormat="1" ht="12.75" customHeight="1">
      <c r="A899" s="487"/>
      <c r="B899" s="487"/>
      <c r="C899" s="486"/>
      <c r="D899" s="1846"/>
      <c r="E899" s="1846"/>
      <c r="F899" s="1846"/>
      <c r="G899" s="1738"/>
      <c r="I899" s="1773"/>
    </row>
    <row r="900" spans="1:9" ht="12.75" customHeight="1">
      <c r="A900" s="1755"/>
      <c r="B900" s="798" t="s">
        <v>2734</v>
      </c>
      <c r="C900" s="1739"/>
      <c r="D900" s="1899" t="s">
        <v>2298</v>
      </c>
      <c r="E900" s="1899"/>
      <c r="F900" s="1899"/>
      <c r="G900" s="1738"/>
    </row>
    <row r="901" spans="1:9" ht="12.75" customHeight="1">
      <c r="A901" s="1755"/>
      <c r="B901" s="1755"/>
      <c r="C901" s="1739"/>
      <c r="D901" s="1899"/>
      <c r="E901" s="1899"/>
      <c r="F901" s="1899"/>
      <c r="G901" s="1738"/>
    </row>
    <row r="902" spans="1:9" ht="12.75" customHeight="1">
      <c r="A902" s="1755"/>
      <c r="B902" s="1755"/>
      <c r="C902" s="1739"/>
      <c r="D902" s="1737"/>
      <c r="E902" s="1737"/>
      <c r="F902" s="1737"/>
      <c r="G902" s="1738"/>
    </row>
    <row r="903" spans="1:9" ht="12.75" customHeight="1">
      <c r="A903" s="1755"/>
      <c r="B903" s="798" t="s">
        <v>2734</v>
      </c>
      <c r="C903" s="1739"/>
      <c r="D903" s="1956" t="s">
        <v>2299</v>
      </c>
      <c r="E903" s="1956"/>
      <c r="F903" s="1956"/>
      <c r="G903" s="1738"/>
    </row>
    <row r="904" spans="1:9" ht="12.75" customHeight="1">
      <c r="A904" s="1755"/>
      <c r="B904" s="1755"/>
      <c r="C904" s="1739"/>
      <c r="D904" s="1956"/>
      <c r="E904" s="1956"/>
      <c r="F904" s="1956"/>
      <c r="G904" s="1738"/>
    </row>
    <row r="905" spans="1:9" ht="12.75" customHeight="1">
      <c r="A905" s="1755"/>
      <c r="B905" s="1755"/>
      <c r="C905" s="1739"/>
      <c r="D905" s="1956"/>
      <c r="E905" s="1956"/>
      <c r="F905" s="1956"/>
      <c r="G905" s="1738"/>
    </row>
    <row r="906" spans="1:9" ht="12.75" customHeight="1">
      <c r="A906" s="1755"/>
      <c r="B906" s="1755"/>
      <c r="C906" s="1739"/>
      <c r="D906" s="1956"/>
      <c r="E906" s="1956"/>
      <c r="F906" s="1956"/>
      <c r="G906" s="1738"/>
    </row>
    <row r="907" spans="1:9" ht="12.75" customHeight="1">
      <c r="A907" s="1755"/>
      <c r="B907" s="1755"/>
      <c r="C907" s="1739"/>
      <c r="D907" s="1707"/>
      <c r="E907" s="1737"/>
      <c r="F907" s="1737"/>
      <c r="G907" s="1738"/>
    </row>
    <row r="908" spans="1:9" ht="12.75" customHeight="1">
      <c r="A908" s="1755"/>
      <c r="B908" s="798" t="s">
        <v>2734</v>
      </c>
      <c r="C908" s="1739"/>
      <c r="D908" s="1912" t="s">
        <v>2300</v>
      </c>
      <c r="E908" s="1912"/>
      <c r="F908" s="1912"/>
      <c r="G908" s="1738"/>
    </row>
    <row r="909" spans="1:9" ht="12.75" customHeight="1">
      <c r="A909" s="1755"/>
      <c r="B909" s="1755"/>
      <c r="C909" s="1739"/>
      <c r="D909" s="1707"/>
      <c r="E909" s="1737"/>
      <c r="F909" s="1737"/>
      <c r="G909" s="1738"/>
    </row>
    <row r="910" spans="1:9" ht="12.75" customHeight="1">
      <c r="A910" s="1755"/>
      <c r="B910" s="798" t="s">
        <v>2734</v>
      </c>
      <c r="C910" s="1739"/>
      <c r="D910" s="1912" t="s">
        <v>2301</v>
      </c>
      <c r="E910" s="1912"/>
      <c r="F910" s="1912"/>
      <c r="G910" s="1738"/>
    </row>
    <row r="911" spans="1:9" ht="12.75" customHeight="1">
      <c r="A911" s="487"/>
      <c r="B911" s="487"/>
      <c r="C911" s="486"/>
      <c r="D911" s="183"/>
      <c r="E911" s="678"/>
      <c r="F911" s="1738"/>
      <c r="G911" s="1738"/>
    </row>
    <row r="912" spans="1:9" ht="12.75" customHeight="1">
      <c r="A912" s="1751"/>
      <c r="B912" s="798" t="s">
        <v>2733</v>
      </c>
      <c r="C912" s="1752"/>
      <c r="D912" s="1998" t="s">
        <v>2295</v>
      </c>
      <c r="E912" s="1998"/>
      <c r="F912" s="1998"/>
      <c r="G912" s="1753"/>
      <c r="I912" s="1773" t="s">
        <v>2508</v>
      </c>
    </row>
    <row r="913" spans="1:9" ht="12.75" customHeight="1">
      <c r="A913" s="1751"/>
      <c r="B913" s="1751"/>
      <c r="C913" s="1752"/>
      <c r="D913" s="1998"/>
      <c r="E913" s="1998"/>
      <c r="F913" s="1998"/>
      <c r="G913" s="1753"/>
    </row>
    <row r="914" spans="1:9" ht="12.75" customHeight="1">
      <c r="A914" s="1751"/>
      <c r="B914" s="1751"/>
      <c r="C914" s="1752"/>
      <c r="D914" s="1998"/>
      <c r="E914" s="1998"/>
      <c r="F914" s="1998"/>
      <c r="G914" s="1753"/>
    </row>
    <row r="915" spans="1:9" ht="12.75" customHeight="1">
      <c r="A915" s="1751"/>
      <c r="B915" s="1751"/>
      <c r="C915" s="1752"/>
      <c r="D915" s="1998"/>
      <c r="E915" s="1998"/>
      <c r="F915" s="1998"/>
      <c r="G915" s="1753"/>
    </row>
    <row r="916" spans="1:9" ht="12.75" customHeight="1">
      <c r="A916" s="1751"/>
      <c r="B916" s="1751"/>
      <c r="C916" s="1752"/>
      <c r="D916" s="1998"/>
      <c r="E916" s="1998"/>
      <c r="F916" s="1998"/>
      <c r="G916" s="1753"/>
    </row>
    <row r="917" spans="1:9" ht="12.75" customHeight="1">
      <c r="A917" s="1751"/>
      <c r="B917" s="1751"/>
      <c r="C917" s="1752"/>
      <c r="D917" s="1998"/>
      <c r="E917" s="1998"/>
      <c r="F917" s="1998"/>
      <c r="G917" s="1753"/>
    </row>
    <row r="918" spans="1:9" ht="12.75" customHeight="1">
      <c r="A918" s="1751"/>
      <c r="B918" s="1751"/>
      <c r="C918" s="1752"/>
      <c r="D918" s="1998"/>
      <c r="E918" s="1998"/>
      <c r="F918" s="1998"/>
      <c r="G918" s="1753"/>
    </row>
    <row r="919" spans="1:9" ht="12.75" customHeight="1">
      <c r="A919" s="1751"/>
      <c r="B919" s="1751"/>
      <c r="C919" s="1752"/>
      <c r="D919" s="1998"/>
      <c r="E919" s="1998"/>
      <c r="F919" s="1998"/>
      <c r="G919" s="1753"/>
    </row>
    <row r="920" spans="1:9" ht="12.75" customHeight="1">
      <c r="A920" s="1751"/>
      <c r="B920" s="1751"/>
      <c r="C920" s="1752"/>
      <c r="D920" s="1998"/>
      <c r="E920" s="1998"/>
      <c r="F920" s="1998"/>
      <c r="G920" s="1753"/>
    </row>
    <row r="921" spans="1:9" ht="12.75" customHeight="1">
      <c r="A921" s="487"/>
      <c r="B921" s="487"/>
      <c r="C921" s="486"/>
      <c r="D921" s="183"/>
      <c r="E921" s="678"/>
      <c r="F921" s="1738"/>
      <c r="G921" s="1738"/>
    </row>
    <row r="922" spans="1:9" ht="12.75" customHeight="1">
      <c r="A922" s="403"/>
      <c r="B922" s="798" t="s">
        <v>2733</v>
      </c>
      <c r="C922" s="486"/>
      <c r="D922" s="1999" t="s">
        <v>2511</v>
      </c>
      <c r="E922" s="1999"/>
      <c r="F922" s="1999"/>
      <c r="G922" s="1738"/>
      <c r="I922" s="1773" t="s">
        <v>2508</v>
      </c>
    </row>
    <row r="923" spans="1:9" ht="12.75" customHeight="1">
      <c r="A923" s="403"/>
      <c r="B923" s="403"/>
      <c r="C923" s="486"/>
      <c r="D923" s="1999"/>
      <c r="E923" s="1999"/>
      <c r="F923" s="1999"/>
      <c r="G923" s="1738"/>
    </row>
    <row r="924" spans="1:9" ht="12.75" customHeight="1">
      <c r="A924" s="403"/>
      <c r="B924" s="403"/>
      <c r="C924" s="486"/>
      <c r="D924" s="1999"/>
      <c r="E924" s="1999"/>
      <c r="F924" s="1999"/>
      <c r="G924" s="1738"/>
    </row>
    <row r="925" spans="1:9" ht="12.75" customHeight="1">
      <c r="A925" s="403"/>
      <c r="B925" s="403"/>
      <c r="C925" s="486"/>
      <c r="D925" s="1999"/>
      <c r="E925" s="1999"/>
      <c r="F925" s="1999"/>
      <c r="G925" s="1738"/>
    </row>
    <row r="926" spans="1:9" ht="12.75" customHeight="1">
      <c r="A926" s="403"/>
      <c r="B926" s="403"/>
      <c r="C926" s="486"/>
      <c r="D926" s="1999"/>
      <c r="E926" s="1999"/>
      <c r="F926" s="1999"/>
      <c r="G926" s="1738"/>
    </row>
    <row r="927" spans="1:9" ht="12.75" customHeight="1">
      <c r="A927" s="403"/>
      <c r="B927" s="403"/>
      <c r="C927" s="486"/>
      <c r="D927" s="1999"/>
      <c r="E927" s="1999"/>
      <c r="F927" s="1999"/>
      <c r="G927" s="1738"/>
    </row>
    <row r="928" spans="1:9" ht="12.75" customHeight="1">
      <c r="A928" s="403"/>
      <c r="B928" s="403"/>
      <c r="C928" s="486"/>
      <c r="D928" s="1999"/>
      <c r="E928" s="1999"/>
      <c r="F928" s="1999"/>
      <c r="G928" s="1738"/>
    </row>
    <row r="929" spans="1:9" s="1771" customFormat="1" ht="12.75" customHeight="1">
      <c r="A929" s="403"/>
      <c r="B929" s="403"/>
      <c r="C929" s="486"/>
      <c r="D929" s="1847"/>
      <c r="E929" s="1847"/>
      <c r="F929" s="1847"/>
      <c r="G929" s="1738"/>
      <c r="I929" s="1773"/>
    </row>
    <row r="930" spans="1:9" s="1771" customFormat="1" ht="12.75" customHeight="1">
      <c r="A930" s="403"/>
      <c r="B930" s="1774" t="s">
        <v>2734</v>
      </c>
      <c r="C930" s="486"/>
      <c r="D930" s="1911" t="s">
        <v>2509</v>
      </c>
      <c r="E930" s="1911"/>
      <c r="F930" s="1911"/>
      <c r="G930" s="1738"/>
      <c r="I930" s="1773"/>
    </row>
    <row r="931" spans="1:9" s="1771" customFormat="1" ht="12.75" customHeight="1">
      <c r="A931" s="403"/>
      <c r="B931" s="403"/>
      <c r="C931" s="486"/>
      <c r="D931" s="1911"/>
      <c r="E931" s="1911"/>
      <c r="F931" s="1911"/>
      <c r="G931" s="1738"/>
      <c r="I931" s="1773"/>
    </row>
    <row r="932" spans="1:9" s="1771" customFormat="1" ht="12.75" customHeight="1">
      <c r="A932" s="403"/>
      <c r="B932" s="403"/>
      <c r="C932" s="486"/>
      <c r="D932" s="1911"/>
      <c r="E932" s="1911"/>
      <c r="F932" s="1911"/>
      <c r="G932" s="1738"/>
      <c r="I932" s="1773"/>
    </row>
    <row r="933" spans="1:9" s="1771" customFormat="1" ht="12.75" customHeight="1">
      <c r="A933" s="403"/>
      <c r="B933" s="403"/>
      <c r="C933" s="486"/>
      <c r="D933" s="1911"/>
      <c r="E933" s="1911"/>
      <c r="F933" s="1911"/>
      <c r="G933" s="1738"/>
      <c r="I933" s="1773"/>
    </row>
    <row r="934" spans="1:9" s="1771" customFormat="1" ht="12.75" customHeight="1">
      <c r="A934" s="403"/>
      <c r="B934" s="403"/>
      <c r="C934" s="486"/>
      <c r="D934" s="1911"/>
      <c r="E934" s="1911"/>
      <c r="F934" s="1911"/>
      <c r="G934" s="1738"/>
      <c r="I934" s="1773"/>
    </row>
    <row r="935" spans="1:9" s="1771" customFormat="1" ht="12.75" customHeight="1">
      <c r="A935" s="403"/>
      <c r="B935" s="403"/>
      <c r="C935" s="486"/>
      <c r="D935" s="1911"/>
      <c r="E935" s="1911"/>
      <c r="F935" s="1911"/>
      <c r="G935" s="1738"/>
      <c r="I935" s="1773"/>
    </row>
    <row r="936" spans="1:9" s="1771" customFormat="1" ht="12.75" customHeight="1">
      <c r="A936" s="403"/>
      <c r="B936" s="403"/>
      <c r="C936" s="486"/>
      <c r="D936" s="1847"/>
      <c r="E936" s="1847"/>
      <c r="F936" s="1847"/>
      <c r="G936" s="1738"/>
      <c r="I936" s="1773"/>
    </row>
    <row r="937" spans="1:9" ht="12.75" customHeight="1">
      <c r="A937" s="1755"/>
      <c r="B937" s="798" t="s">
        <v>2734</v>
      </c>
      <c r="C937" s="1739"/>
      <c r="D937" s="2003" t="s">
        <v>2302</v>
      </c>
      <c r="E937" s="2003"/>
      <c r="F937" s="2003"/>
      <c r="G937" s="1738"/>
    </row>
    <row r="938" spans="1:9" ht="12.75" customHeight="1">
      <c r="A938" s="1755"/>
      <c r="B938" s="1755"/>
      <c r="C938" s="1739"/>
      <c r="D938" s="2003"/>
      <c r="E938" s="2003"/>
      <c r="F938" s="2003"/>
      <c r="G938" s="1738"/>
    </row>
    <row r="939" spans="1:9" ht="12.75" customHeight="1">
      <c r="A939" s="1755"/>
      <c r="B939" s="1755"/>
      <c r="C939" s="1739"/>
      <c r="D939" s="2003"/>
      <c r="E939" s="2003"/>
      <c r="F939" s="2003"/>
      <c r="G939" s="1738"/>
    </row>
    <row r="940" spans="1:9" s="1771" customFormat="1" ht="12.75" customHeight="1">
      <c r="A940" s="403"/>
      <c r="B940" s="403"/>
      <c r="C940" s="486"/>
      <c r="D940" s="1847"/>
      <c r="E940" s="1847"/>
      <c r="F940" s="1847"/>
      <c r="G940" s="1738"/>
      <c r="I940" s="1773"/>
    </row>
    <row r="941" spans="1:9" ht="12.75" customHeight="1">
      <c r="A941" s="403"/>
      <c r="B941" s="403"/>
      <c r="C941" s="486"/>
      <c r="D941" s="1754"/>
      <c r="E941" s="678"/>
      <c r="F941" s="1738"/>
      <c r="G941" s="1738"/>
    </row>
    <row r="942" spans="1:9" ht="12.75" customHeight="1">
      <c r="A942" s="403"/>
      <c r="B942" s="798" t="s">
        <v>2734</v>
      </c>
      <c r="C942" s="486"/>
      <c r="D942" s="1998" t="s">
        <v>2510</v>
      </c>
      <c r="E942" s="1998"/>
      <c r="F942" s="1998"/>
      <c r="G942" s="1738"/>
      <c r="I942" s="1773" t="s">
        <v>2508</v>
      </c>
    </row>
    <row r="943" spans="1:9" ht="12.75" customHeight="1">
      <c r="A943" s="403"/>
      <c r="B943" s="403"/>
      <c r="C943" s="486"/>
      <c r="D943" s="1998"/>
      <c r="E943" s="1998"/>
      <c r="F943" s="1998"/>
      <c r="G943" s="1738"/>
    </row>
    <row r="944" spans="1:9" ht="12.75" customHeight="1">
      <c r="A944" s="403"/>
      <c r="B944" s="403"/>
      <c r="C944" s="486"/>
      <c r="D944" s="1998"/>
      <c r="E944" s="1998"/>
      <c r="F944" s="1998"/>
      <c r="G944" s="1738"/>
    </row>
    <row r="945" spans="1:9" ht="12.75" customHeight="1">
      <c r="A945" s="403"/>
      <c r="B945" s="403"/>
      <c r="C945" s="486"/>
      <c r="D945" s="1998"/>
      <c r="E945" s="1998"/>
      <c r="F945" s="1998"/>
      <c r="G945" s="1738"/>
    </row>
    <row r="946" spans="1:9" ht="12.75" customHeight="1">
      <c r="A946" s="1757"/>
      <c r="B946" s="1757"/>
      <c r="C946" s="1743"/>
      <c r="D946" s="1704"/>
      <c r="E946" s="1704"/>
      <c r="F946" s="1704"/>
      <c r="G946" s="1704"/>
    </row>
    <row r="947" spans="1:9" ht="12.75" customHeight="1">
      <c r="A947" s="1741"/>
      <c r="B947" s="1741"/>
      <c r="C947" s="556"/>
      <c r="D947" s="1922" t="s">
        <v>2303</v>
      </c>
      <c r="E947" s="1922"/>
      <c r="F947" s="1922"/>
      <c r="G947" s="678"/>
    </row>
    <row r="948" spans="1:9" ht="12.75" customHeight="1">
      <c r="A948" s="714"/>
      <c r="B948" s="798" t="s">
        <v>2734</v>
      </c>
      <c r="C948" s="556"/>
      <c r="D948" s="1912" t="s">
        <v>2329</v>
      </c>
      <c r="E948" s="1912"/>
      <c r="F948" s="1912"/>
      <c r="G948" s="678"/>
      <c r="I948" s="1773" t="s">
        <v>2508</v>
      </c>
    </row>
    <row r="949" spans="1:9" ht="12.75" customHeight="1">
      <c r="A949" s="1741"/>
      <c r="B949" s="1741"/>
      <c r="C949" s="556"/>
      <c r="D949" s="6"/>
      <c r="E949" s="6"/>
      <c r="F949" s="6"/>
      <c r="G949" s="678"/>
    </row>
    <row r="950" spans="1:9" ht="12.75" customHeight="1">
      <c r="A950" s="1741"/>
      <c r="B950" s="1741"/>
      <c r="C950" s="556"/>
      <c r="D950" s="1922" t="s">
        <v>2304</v>
      </c>
      <c r="E950" s="1922"/>
      <c r="F950" s="1922"/>
      <c r="G950" s="677"/>
    </row>
    <row r="951" spans="1:9" ht="12.75" customHeight="1">
      <c r="A951" s="714"/>
      <c r="B951" s="798" t="s">
        <v>2733</v>
      </c>
      <c r="C951" s="556"/>
      <c r="D951" s="1899" t="s">
        <v>2305</v>
      </c>
      <c r="E951" s="1899"/>
      <c r="F951" s="1899"/>
      <c r="G951" s="677"/>
      <c r="I951" s="1773" t="s">
        <v>2508</v>
      </c>
    </row>
    <row r="952" spans="1:9" ht="12.75" customHeight="1">
      <c r="A952" s="714"/>
      <c r="B952" s="714"/>
      <c r="C952" s="556"/>
      <c r="D952" s="1899"/>
      <c r="E952" s="1899"/>
      <c r="F952" s="1899"/>
      <c r="G952" s="677"/>
    </row>
    <row r="953" spans="1:9" ht="12.75" customHeight="1">
      <c r="A953" s="714"/>
      <c r="B953" s="714"/>
      <c r="C953" s="556"/>
      <c r="D953" s="1899"/>
      <c r="E953" s="1899"/>
      <c r="F953" s="1899"/>
      <c r="G953" s="677"/>
    </row>
    <row r="954" spans="1:9" ht="12.75" customHeight="1">
      <c r="A954" s="714"/>
      <c r="B954" s="714"/>
      <c r="C954" s="556"/>
      <c r="D954" s="1899"/>
      <c r="E954" s="1899"/>
      <c r="F954" s="1899"/>
      <c r="G954" s="677"/>
    </row>
    <row r="955" spans="1:9" ht="12.75" customHeight="1">
      <c r="A955" s="714"/>
      <c r="B955" s="714"/>
      <c r="C955" s="556"/>
      <c r="D955" s="1899"/>
      <c r="E955" s="1899"/>
      <c r="F955" s="1899"/>
      <c r="G955" s="677"/>
    </row>
    <row r="956" spans="1:9" ht="12.75" customHeight="1">
      <c r="A956" s="714"/>
      <c r="B956" s="714"/>
      <c r="C956" s="556"/>
      <c r="D956" s="1899"/>
      <c r="E956" s="1899"/>
      <c r="F956" s="1899"/>
      <c r="G956" s="677"/>
    </row>
    <row r="957" spans="1:9" ht="12.75" customHeight="1">
      <c r="A957" s="714"/>
      <c r="B957" s="714"/>
      <c r="C957" s="556"/>
      <c r="D957" s="1899"/>
      <c r="E957" s="1899"/>
      <c r="F957" s="1899"/>
      <c r="G957" s="677"/>
    </row>
    <row r="958" spans="1:9" ht="12.75" customHeight="1">
      <c r="A958" s="714"/>
      <c r="B958" s="714"/>
      <c r="C958" s="556"/>
      <c r="D958" s="1899"/>
      <c r="E958" s="1899"/>
      <c r="F958" s="1899"/>
      <c r="G958" s="677"/>
    </row>
    <row r="959" spans="1:9" ht="12.75" customHeight="1">
      <c r="A959" s="714"/>
      <c r="B959" s="714"/>
      <c r="C959" s="556"/>
      <c r="D959" s="1899"/>
      <c r="E959" s="1899"/>
      <c r="F959" s="1899"/>
      <c r="G959" s="677"/>
    </row>
    <row r="960" spans="1:9" ht="12.75" customHeight="1">
      <c r="A960" s="714"/>
      <c r="B960" s="714"/>
      <c r="C960" s="556"/>
      <c r="D960" s="1899"/>
      <c r="E960" s="1899"/>
      <c r="F960" s="1899"/>
      <c r="G960" s="677"/>
    </row>
    <row r="961" spans="1:9" ht="12.75" customHeight="1">
      <c r="A961" s="714"/>
      <c r="B961" s="714"/>
      <c r="C961" s="556"/>
      <c r="D961" s="1899"/>
      <c r="E961" s="1899"/>
      <c r="F961" s="1899"/>
      <c r="G961" s="677"/>
    </row>
    <row r="962" spans="1:9" ht="12.75" customHeight="1">
      <c r="A962" s="714"/>
      <c r="B962" s="714"/>
      <c r="C962" s="556"/>
      <c r="D962" s="1899"/>
      <c r="E962" s="1899"/>
      <c r="F962" s="1899"/>
      <c r="G962" s="677"/>
    </row>
    <row r="963" spans="1:9" s="1771" customFormat="1" ht="12.75" customHeight="1">
      <c r="A963" s="714"/>
      <c r="B963" s="714"/>
      <c r="C963" s="556"/>
      <c r="D963" s="1899"/>
      <c r="E963" s="1899"/>
      <c r="F963" s="1899"/>
      <c r="G963" s="677"/>
      <c r="I963" s="1773"/>
    </row>
    <row r="964" spans="1:9" ht="12.75" customHeight="1">
      <c r="A964" s="714"/>
      <c r="B964" s="714"/>
      <c r="C964" s="556"/>
      <c r="D964" s="1899"/>
      <c r="E964" s="1899"/>
      <c r="F964" s="1899"/>
      <c r="G964" s="677"/>
    </row>
    <row r="965" spans="1:9" ht="12.75" customHeight="1">
      <c r="A965" s="714"/>
      <c r="B965" s="714"/>
      <c r="C965" s="556"/>
      <c r="D965" s="1899"/>
      <c r="E965" s="1899"/>
      <c r="F965" s="1899"/>
      <c r="G965" s="678"/>
    </row>
    <row r="966" spans="1:9" ht="12.75" customHeight="1">
      <c r="A966" s="1741"/>
      <c r="B966" s="1741"/>
      <c r="C966" s="556"/>
      <c r="D966" s="6"/>
      <c r="E966" s="6"/>
      <c r="F966" s="6"/>
      <c r="G966" s="678"/>
    </row>
    <row r="967" spans="1:9" ht="12.75" customHeight="1">
      <c r="A967" s="1968" t="s">
        <v>2306</v>
      </c>
      <c r="B967" s="1968"/>
      <c r="C967" s="1968"/>
      <c r="D967" s="1968"/>
      <c r="E967" s="1968"/>
      <c r="F967" s="1968"/>
      <c r="G967" s="1968"/>
      <c r="H967" s="1852"/>
      <c r="I967" s="1853"/>
    </row>
    <row r="968" spans="1:9" ht="12.75" customHeight="1">
      <c r="A968" s="1708"/>
      <c r="B968" s="1708"/>
      <c r="C968" s="556"/>
      <c r="D968" s="6"/>
      <c r="E968" s="6"/>
      <c r="F968" s="6"/>
      <c r="G968" s="678"/>
    </row>
    <row r="969" spans="1:9" ht="12.75" customHeight="1">
      <c r="A969" s="1741"/>
      <c r="B969" s="1741"/>
      <c r="C969" s="1739"/>
      <c r="D969" s="1922" t="s">
        <v>2330</v>
      </c>
      <c r="E969" s="1922"/>
      <c r="F969" s="1922"/>
      <c r="G969" s="678"/>
    </row>
    <row r="970" spans="1:9" ht="12.75" customHeight="1">
      <c r="A970" s="1713"/>
      <c r="B970" s="1713"/>
      <c r="C970" s="1745"/>
      <c r="D970" s="1912" t="s">
        <v>2307</v>
      </c>
      <c r="E970" s="1912"/>
      <c r="F970" s="1912"/>
      <c r="G970" s="678"/>
    </row>
    <row r="971" spans="1:9" ht="12.75" customHeight="1">
      <c r="A971" s="1713"/>
      <c r="B971" s="1713"/>
      <c r="C971" s="1745"/>
      <c r="D971" s="6"/>
      <c r="E971" s="6"/>
      <c r="F971" s="1737"/>
      <c r="G971" s="677"/>
    </row>
    <row r="972" spans="1:9" ht="12.75" customHeight="1">
      <c r="A972" s="1741"/>
      <c r="B972" s="798" t="s">
        <v>2733</v>
      </c>
      <c r="C972" s="556"/>
      <c r="D972" s="1908" t="s">
        <v>2308</v>
      </c>
      <c r="E972" s="1908"/>
      <c r="F972" s="1908"/>
      <c r="G972" s="677"/>
      <c r="I972" s="1773" t="s">
        <v>2486</v>
      </c>
    </row>
    <row r="973" spans="1:9" ht="12.75" customHeight="1">
      <c r="A973" s="1741"/>
      <c r="B973" s="1741"/>
      <c r="C973" s="556"/>
      <c r="D973" s="1908"/>
      <c r="E973" s="1908"/>
      <c r="F973" s="1908"/>
      <c r="G973" s="677"/>
    </row>
    <row r="974" spans="1:9" ht="12.75" customHeight="1">
      <c r="A974" s="1741"/>
      <c r="B974" s="1741"/>
      <c r="C974" s="556"/>
      <c r="D974" s="1908"/>
      <c r="E974" s="1908"/>
      <c r="F974" s="1908"/>
      <c r="G974" s="677"/>
    </row>
    <row r="975" spans="1:9" ht="12.75" customHeight="1">
      <c r="A975" s="1741"/>
      <c r="B975" s="1741"/>
      <c r="C975" s="556"/>
      <c r="D975" s="1908"/>
      <c r="E975" s="1908"/>
      <c r="F975" s="1908"/>
      <c r="G975" s="677"/>
    </row>
    <row r="976" spans="1:9" ht="12.75" customHeight="1">
      <c r="A976" s="1725"/>
      <c r="B976" s="1725"/>
      <c r="C976" s="557"/>
      <c r="D976" s="1908"/>
      <c r="E976" s="1908"/>
      <c r="F976" s="1908"/>
      <c r="G976" s="677"/>
    </row>
    <row r="977" spans="1:7" ht="12.75" customHeight="1">
      <c r="A977" s="1725"/>
      <c r="B977" s="1725"/>
      <c r="C977" s="557"/>
      <c r="D977" s="1908"/>
      <c r="E977" s="1908"/>
      <c r="F977" s="1908"/>
      <c r="G977" s="677"/>
    </row>
    <row r="978" spans="1:7" ht="12.75" customHeight="1">
      <c r="A978" s="720"/>
      <c r="B978" s="720"/>
      <c r="C978" s="313"/>
      <c r="D978" s="1908"/>
      <c r="E978" s="1908"/>
      <c r="F978" s="1908"/>
      <c r="G978" s="677"/>
    </row>
    <row r="979" spans="1:7" ht="12.75" customHeight="1">
      <c r="A979" s="720"/>
      <c r="B979" s="720"/>
      <c r="C979" s="313"/>
      <c r="D979" s="1908"/>
      <c r="E979" s="1908"/>
      <c r="F979" s="1908"/>
      <c r="G979" s="677"/>
    </row>
    <row r="980" spans="1:7" ht="12.75" customHeight="1">
      <c r="A980" s="720"/>
      <c r="B980" s="720"/>
      <c r="C980" s="313"/>
      <c r="D980" s="1705"/>
      <c r="E980" s="1705"/>
      <c r="F980" s="1705"/>
      <c r="G980" s="677"/>
    </row>
    <row r="981" spans="1:7" ht="12.75" customHeight="1">
      <c r="A981" s="720"/>
      <c r="B981" s="798" t="s">
        <v>2734</v>
      </c>
      <c r="C981" s="313"/>
      <c r="D981" s="1900" t="s">
        <v>2309</v>
      </c>
      <c r="E981" s="1900"/>
      <c r="F981" s="1900"/>
      <c r="G981" s="677"/>
    </row>
    <row r="982" spans="1:7" ht="12.75" customHeight="1">
      <c r="A982" s="720"/>
      <c r="B982" s="720"/>
      <c r="C982" s="313"/>
      <c r="D982" s="1900"/>
      <c r="E982" s="1900"/>
      <c r="F982" s="1900"/>
      <c r="G982" s="677"/>
    </row>
    <row r="983" spans="1:7" ht="12.75" customHeight="1">
      <c r="A983" s="720"/>
      <c r="B983" s="720"/>
      <c r="C983" s="313"/>
      <c r="D983" s="1900"/>
      <c r="E983" s="1900"/>
      <c r="F983" s="1900"/>
      <c r="G983" s="677"/>
    </row>
    <row r="984" spans="1:7" ht="12.75" customHeight="1">
      <c r="A984" s="720"/>
      <c r="B984" s="720"/>
      <c r="C984" s="313"/>
      <c r="D984" s="1900"/>
      <c r="E984" s="1900"/>
      <c r="F984" s="1900"/>
      <c r="G984" s="677"/>
    </row>
    <row r="985" spans="1:7" ht="12.75" customHeight="1">
      <c r="A985" s="720"/>
      <c r="B985" s="720"/>
      <c r="C985" s="313"/>
      <c r="D985" s="1703"/>
      <c r="E985" s="1703"/>
      <c r="F985" s="1703"/>
      <c r="G985" s="677"/>
    </row>
    <row r="986" spans="1:7" ht="12.75" customHeight="1">
      <c r="A986" s="720"/>
      <c r="B986" s="798" t="s">
        <v>2734</v>
      </c>
      <c r="C986" s="313"/>
      <c r="D986" s="1900" t="s">
        <v>2310</v>
      </c>
      <c r="E986" s="1900"/>
      <c r="F986" s="1900"/>
      <c r="G986" s="677"/>
    </row>
    <row r="987" spans="1:7" ht="12.75" customHeight="1">
      <c r="A987" s="720"/>
      <c r="B987" s="720"/>
      <c r="C987" s="313"/>
      <c r="D987" s="1900"/>
      <c r="E987" s="1900"/>
      <c r="F987" s="1900"/>
      <c r="G987" s="677"/>
    </row>
    <row r="988" spans="1:7" ht="12.75" customHeight="1">
      <c r="A988" s="720"/>
      <c r="B988" s="720"/>
      <c r="C988" s="313"/>
      <c r="D988" s="1703"/>
      <c r="E988" s="1703"/>
      <c r="F988" s="1703"/>
      <c r="G988" s="677"/>
    </row>
    <row r="989" spans="1:7" ht="12.75" customHeight="1">
      <c r="A989" s="714"/>
      <c r="B989" s="798" t="s">
        <v>2734</v>
      </c>
      <c r="C989" s="556"/>
      <c r="D989" s="1912" t="s">
        <v>2311</v>
      </c>
      <c r="E989" s="1912"/>
      <c r="F989" s="1912"/>
      <c r="G989" s="677"/>
    </row>
    <row r="990" spans="1:7" ht="12.75" customHeight="1">
      <c r="A990" s="1741"/>
      <c r="B990" s="1741"/>
      <c r="C990" s="556"/>
      <c r="D990" s="6"/>
      <c r="E990" s="6"/>
      <c r="F990" s="6"/>
      <c r="G990" s="677"/>
    </row>
    <row r="991" spans="1:7" ht="12.75" customHeight="1">
      <c r="A991" s="714"/>
      <c r="B991" s="798" t="s">
        <v>2734</v>
      </c>
      <c r="C991" s="556"/>
      <c r="D991" s="1912" t="s">
        <v>2312</v>
      </c>
      <c r="E991" s="1912"/>
      <c r="F991" s="1912"/>
      <c r="G991" s="677"/>
    </row>
    <row r="992" spans="1:7" ht="12.75" customHeight="1">
      <c r="A992" s="1741"/>
      <c r="B992" s="1741"/>
      <c r="C992" s="556"/>
      <c r="D992" s="1707"/>
      <c r="E992" s="6"/>
      <c r="F992" s="6"/>
      <c r="G992" s="677"/>
    </row>
    <row r="993" spans="1:9" ht="12.75" customHeight="1">
      <c r="A993" s="714"/>
      <c r="B993" s="798" t="s">
        <v>2733</v>
      </c>
      <c r="C993" s="556"/>
      <c r="D993" s="1912" t="s">
        <v>2313</v>
      </c>
      <c r="E993" s="1912"/>
      <c r="F993" s="1912"/>
      <c r="G993" s="677"/>
    </row>
    <row r="994" spans="1:9" ht="12.75" customHeight="1">
      <c r="A994" s="1741"/>
      <c r="B994" s="1741"/>
      <c r="C994" s="556"/>
      <c r="D994" s="1707"/>
      <c r="E994" s="6"/>
      <c r="F994" s="6"/>
      <c r="G994" s="677"/>
    </row>
    <row r="995" spans="1:9" ht="12.75" customHeight="1">
      <c r="A995" s="714"/>
      <c r="B995" s="798" t="s">
        <v>2734</v>
      </c>
      <c r="C995" s="556"/>
      <c r="D995" s="1899" t="s">
        <v>2314</v>
      </c>
      <c r="E995" s="1899"/>
      <c r="F995" s="1899"/>
      <c r="G995" s="677"/>
    </row>
    <row r="996" spans="1:9" ht="12.75" customHeight="1">
      <c r="A996" s="714"/>
      <c r="B996" s="714"/>
      <c r="C996" s="556"/>
      <c r="D996" s="1899"/>
      <c r="E996" s="1899"/>
      <c r="F996" s="1899"/>
      <c r="G996" s="677"/>
    </row>
    <row r="997" spans="1:9" ht="12.75" customHeight="1">
      <c r="A997" s="714"/>
      <c r="B997" s="714"/>
      <c r="C997" s="556"/>
      <c r="D997" s="1707"/>
      <c r="E997" s="6"/>
      <c r="F997" s="6"/>
      <c r="G997" s="678"/>
    </row>
    <row r="998" spans="1:9" ht="12.75" customHeight="1">
      <c r="A998" s="407"/>
      <c r="B998" s="798" t="s">
        <v>2734</v>
      </c>
      <c r="C998" s="1758"/>
      <c r="D998" s="1966" t="s">
        <v>2315</v>
      </c>
      <c r="E998" s="1966"/>
      <c r="F998" s="1966"/>
      <c r="G998" s="1759"/>
    </row>
    <row r="999" spans="1:9" ht="12.75" customHeight="1">
      <c r="A999" s="1758"/>
      <c r="B999" s="1758"/>
      <c r="C999" s="1758"/>
      <c r="D999" s="1966"/>
      <c r="E999" s="1966"/>
      <c r="F999" s="1966"/>
      <c r="G999" s="1759"/>
    </row>
    <row r="1000" spans="1:9" ht="12.75" customHeight="1">
      <c r="A1000" s="1758"/>
      <c r="B1000" s="1758"/>
      <c r="C1000" s="1758"/>
      <c r="D1000" s="1760"/>
      <c r="E1000" s="1761"/>
      <c r="F1000" s="1761"/>
      <c r="G1000" s="1759"/>
    </row>
    <row r="1001" spans="1:9" ht="12.75" customHeight="1">
      <c r="A1001" s="407"/>
      <c r="B1001" s="798" t="s">
        <v>2733</v>
      </c>
      <c r="C1001" s="1758"/>
      <c r="D1001" s="1997" t="s">
        <v>2316</v>
      </c>
      <c r="E1001" s="1997"/>
      <c r="F1001" s="1997"/>
      <c r="G1001" s="1759"/>
    </row>
    <row r="1002" spans="1:9" ht="12.75" customHeight="1">
      <c r="A1002" s="1758"/>
      <c r="B1002" s="1758"/>
      <c r="C1002" s="1758"/>
      <c r="D1002" s="1760"/>
      <c r="E1002" s="1761"/>
      <c r="F1002" s="1761"/>
      <c r="G1002" s="1759"/>
    </row>
    <row r="1003" spans="1:9" ht="12.75" customHeight="1">
      <c r="A1003" s="714"/>
      <c r="B1003" s="798" t="s">
        <v>2734</v>
      </c>
      <c r="C1003" s="556"/>
      <c r="D1003" s="1912" t="s">
        <v>2317</v>
      </c>
      <c r="E1003" s="1912"/>
      <c r="F1003" s="1912"/>
      <c r="G1003" s="678"/>
    </row>
    <row r="1004" spans="1:9" ht="12.75" customHeight="1">
      <c r="A1004" s="714"/>
      <c r="B1004" s="714"/>
      <c r="C1004" s="556"/>
      <c r="D1004" s="1707"/>
      <c r="E1004" s="6"/>
      <c r="F1004" s="6"/>
      <c r="G1004" s="678"/>
    </row>
    <row r="1005" spans="1:9" ht="12.75" customHeight="1">
      <c r="A1005" s="714"/>
      <c r="B1005" s="798" t="s">
        <v>2734</v>
      </c>
      <c r="C1005" s="556"/>
      <c r="D1005" s="1899" t="s">
        <v>2318</v>
      </c>
      <c r="E1005" s="1899"/>
      <c r="F1005" s="1899"/>
      <c r="G1005" s="678"/>
    </row>
    <row r="1006" spans="1:9" ht="12.75" customHeight="1">
      <c r="A1006" s="714"/>
      <c r="B1006" s="714"/>
      <c r="C1006" s="556"/>
      <c r="D1006" s="1899"/>
      <c r="E1006" s="1899"/>
      <c r="F1006" s="1899"/>
      <c r="G1006" s="678"/>
    </row>
    <row r="1007" spans="1:9" ht="12.75" customHeight="1">
      <c r="A1007" s="1741"/>
      <c r="B1007" s="1741"/>
      <c r="C1007" s="556"/>
      <c r="D1007" s="6"/>
      <c r="E1007" s="6"/>
      <c r="F1007" s="6"/>
      <c r="G1007" s="678"/>
    </row>
    <row r="1008" spans="1:9" ht="12.75" customHeight="1">
      <c r="A1008" s="1968" t="s">
        <v>2319</v>
      </c>
      <c r="B1008" s="1968"/>
      <c r="C1008" s="1968"/>
      <c r="D1008" s="1968"/>
      <c r="E1008" s="1968"/>
      <c r="F1008" s="1968"/>
      <c r="G1008" s="1968"/>
      <c r="H1008" s="1852"/>
      <c r="I1008" s="1853"/>
    </row>
    <row r="1009" spans="1:9" ht="12.75" customHeight="1">
      <c r="A1009" s="1741"/>
      <c r="B1009" s="1741"/>
      <c r="C1009" s="556"/>
      <c r="D1009" s="6"/>
      <c r="E1009" s="6"/>
      <c r="F1009" s="6"/>
      <c r="G1009" s="678"/>
    </row>
    <row r="1010" spans="1:9" ht="12.75" customHeight="1">
      <c r="A1010" s="1725"/>
      <c r="B1010" s="1725"/>
      <c r="C1010" s="557"/>
      <c r="D1010" s="1958" t="s">
        <v>2320</v>
      </c>
      <c r="E1010" s="1958"/>
      <c r="F1010" s="1958"/>
      <c r="G1010" s="678"/>
    </row>
    <row r="1011" spans="1:9" ht="12.75" customHeight="1">
      <c r="A1011" s="1725"/>
      <c r="B1011" s="1725"/>
      <c r="C1011" s="557"/>
      <c r="D1011" s="1996" t="s">
        <v>2321</v>
      </c>
      <c r="E1011" s="1996"/>
      <c r="F1011" s="1996"/>
      <c r="G1011" s="678"/>
    </row>
    <row r="1012" spans="1:9" ht="12.75" customHeight="1">
      <c r="A1012" s="674"/>
      <c r="B1012" s="674"/>
      <c r="C1012" s="1714"/>
      <c r="D1012" s="678"/>
      <c r="E1012" s="678"/>
      <c r="F1012" s="678"/>
      <c r="G1012" s="678"/>
    </row>
    <row r="1013" spans="1:9" ht="12.75" customHeight="1">
      <c r="A1013" s="714"/>
      <c r="B1013" s="714"/>
      <c r="C1013" s="313"/>
      <c r="D1013" s="1958" t="s">
        <v>2335</v>
      </c>
      <c r="E1013" s="1958"/>
      <c r="F1013" s="1958"/>
      <c r="G1013" s="678"/>
      <c r="I1013" s="1773" t="s">
        <v>2458</v>
      </c>
    </row>
    <row r="1014" spans="1:9" ht="12.75" customHeight="1">
      <c r="A1014" s="1741"/>
      <c r="B1014" s="798" t="s">
        <v>2733</v>
      </c>
      <c r="C1014" s="556"/>
      <c r="D1014" s="1996" t="s">
        <v>1504</v>
      </c>
      <c r="E1014" s="1996"/>
      <c r="F1014" s="1996"/>
      <c r="G1014" s="678"/>
    </row>
    <row r="1015" spans="1:9" s="1771" customFormat="1" ht="12.75" customHeight="1">
      <c r="A1015" s="1741"/>
      <c r="B1015" s="714"/>
      <c r="C1015" s="556"/>
      <c r="D1015" s="1993" t="s">
        <v>2322</v>
      </c>
      <c r="E1015" s="1993"/>
      <c r="F1015" s="1993"/>
      <c r="G1015" s="678"/>
      <c r="I1015" s="1773"/>
    </row>
    <row r="1016" spans="1:9" ht="12.75" customHeight="1">
      <c r="A1016" s="1741"/>
      <c r="B1016" s="1741"/>
      <c r="C1016" s="556"/>
      <c r="D1016" s="1996"/>
      <c r="E1016" s="1996"/>
      <c r="F1016" s="1996"/>
      <c r="G1016" s="678"/>
    </row>
    <row r="1017" spans="1:9" ht="12.75" customHeight="1">
      <c r="A1017" s="1988" t="s">
        <v>2331</v>
      </c>
      <c r="B1017" s="1988"/>
      <c r="C1017" s="1988"/>
      <c r="D1017" s="1988"/>
      <c r="E1017" s="1988"/>
      <c r="F1017" s="1988"/>
      <c r="G1017" s="1988"/>
      <c r="H1017" s="1852"/>
      <c r="I1017" s="1853"/>
    </row>
    <row r="1018" spans="1:9" ht="12.75" customHeight="1">
      <c r="A1018" s="254"/>
      <c r="B1018" s="254"/>
      <c r="C1018" s="1733"/>
      <c r="D1018" s="686"/>
      <c r="E1018" s="686"/>
      <c r="F1018" s="686"/>
      <c r="G1018" s="686"/>
    </row>
    <row r="1019" spans="1:9" ht="12.75" customHeight="1">
      <c r="A1019" s="254"/>
      <c r="B1019" s="1768"/>
      <c r="C1019" s="1775"/>
      <c r="D1019" s="1972" t="s">
        <v>1505</v>
      </c>
      <c r="E1019" s="1972"/>
      <c r="F1019" s="1972"/>
      <c r="G1019" s="686"/>
    </row>
    <row r="1020" spans="1:9" ht="12.75" customHeight="1">
      <c r="A1020" s="254"/>
      <c r="B1020" s="1774" t="s">
        <v>2733</v>
      </c>
      <c r="C1020" s="1775"/>
      <c r="D1020" s="1975" t="s">
        <v>1504</v>
      </c>
      <c r="E1020" s="1975"/>
      <c r="F1020" s="1975"/>
      <c r="G1020" s="686"/>
    </row>
    <row r="1021" spans="1:9" ht="12.75" customHeight="1">
      <c r="A1021" s="254"/>
      <c r="B1021" s="1771"/>
      <c r="C1021" s="1775"/>
      <c r="D1021" s="1975" t="s">
        <v>2332</v>
      </c>
      <c r="E1021" s="1975"/>
      <c r="F1021" s="1975"/>
      <c r="G1021" s="686"/>
    </row>
    <row r="1022" spans="1:9" s="1771" customFormat="1" ht="12.75" customHeight="1">
      <c r="A1022" s="254"/>
      <c r="C1022" s="1775"/>
      <c r="D1022" s="1769"/>
      <c r="E1022" s="1769"/>
      <c r="F1022" s="1769"/>
      <c r="G1022" s="686"/>
      <c r="I1022" s="1773"/>
    </row>
    <row r="1023" spans="1:9" ht="12.75" customHeight="1">
      <c r="A1023" s="254"/>
      <c r="B1023" s="254"/>
      <c r="C1023" s="1733"/>
      <c r="D1023" s="1994" t="s">
        <v>1184</v>
      </c>
      <c r="E1023" s="1994"/>
      <c r="F1023" s="1994"/>
      <c r="G1023" s="686"/>
      <c r="I1023" s="1773" t="s">
        <v>2487</v>
      </c>
    </row>
    <row r="1024" spans="1:9" ht="12.75" customHeight="1">
      <c r="A1024" s="503"/>
      <c r="B1024" s="503"/>
      <c r="C1024" s="502"/>
      <c r="D1024" s="1995" t="s">
        <v>1201</v>
      </c>
      <c r="E1024" s="1995"/>
      <c r="F1024" s="1995"/>
      <c r="G1024" s="1762"/>
    </row>
    <row r="1025" spans="1:9" ht="12.75" customHeight="1">
      <c r="A1025" s="714"/>
      <c r="B1025" s="1774" t="s">
        <v>2734</v>
      </c>
      <c r="C1025" s="557"/>
      <c r="D1025" s="1965" t="s">
        <v>1069</v>
      </c>
      <c r="E1025" s="1965"/>
      <c r="F1025" s="1965"/>
      <c r="G1025" s="678"/>
    </row>
    <row r="1026" spans="1:9" ht="12.75" customHeight="1">
      <c r="A1026" s="1725"/>
      <c r="B1026" s="1725"/>
      <c r="C1026" s="557"/>
      <c r="D1026" s="6"/>
      <c r="E1026" s="1990" t="s">
        <v>1185</v>
      </c>
      <c r="F1026" s="1990"/>
      <c r="G1026" s="678"/>
    </row>
    <row r="1027" spans="1:9">
      <c r="A1027" s="790"/>
      <c r="B1027" s="790"/>
      <c r="C1027" s="790"/>
      <c r="D1027" s="790"/>
      <c r="E1027" s="790"/>
      <c r="F1027" s="790"/>
      <c r="G1027" s="790"/>
    </row>
    <row r="1028" spans="1:9">
      <c r="A1028" s="1988" t="s">
        <v>2352</v>
      </c>
      <c r="B1028" s="1988"/>
      <c r="C1028" s="1988"/>
      <c r="D1028" s="1988"/>
      <c r="E1028" s="1988"/>
      <c r="F1028" s="1988"/>
      <c r="G1028" s="1988"/>
      <c r="H1028" s="1852"/>
      <c r="I1028" s="1853"/>
    </row>
    <row r="1029" spans="1:9">
      <c r="A1029" s="790"/>
      <c r="B1029" s="790"/>
      <c r="C1029" s="790"/>
      <c r="D1029" s="790"/>
      <c r="E1029" s="790"/>
      <c r="F1029" s="790"/>
      <c r="G1029" s="790"/>
    </row>
    <row r="1030" spans="1:9">
      <c r="A1030" s="790"/>
      <c r="B1030" s="790"/>
      <c r="C1030" s="790"/>
      <c r="D1030" s="1773" t="s">
        <v>2338</v>
      </c>
      <c r="E1030" s="790"/>
      <c r="F1030" s="790"/>
      <c r="G1030" s="790"/>
    </row>
    <row r="1031" spans="1:9" s="1771" customFormat="1">
      <c r="D1031" s="1770" t="s">
        <v>2337</v>
      </c>
      <c r="I1031" s="1773"/>
    </row>
    <row r="1032" spans="1:9" s="1771" customFormat="1">
      <c r="D1032" s="1773"/>
      <c r="I1032" s="1773"/>
    </row>
    <row r="1033" spans="1:9">
      <c r="A1033" s="790"/>
      <c r="B1033" s="1774" t="s">
        <v>2733</v>
      </c>
      <c r="C1033" s="790"/>
      <c r="D1033" s="1991" t="s">
        <v>2336</v>
      </c>
      <c r="E1033" s="1991"/>
      <c r="F1033" s="1991"/>
      <c r="G1033" s="790"/>
      <c r="I1033" s="1773" t="s">
        <v>2459</v>
      </c>
    </row>
    <row r="1034" spans="1:9">
      <c r="A1034" s="790"/>
      <c r="B1034" s="790"/>
      <c r="C1034" s="790"/>
      <c r="D1034" s="1991"/>
      <c r="E1034" s="1991"/>
      <c r="F1034" s="1991"/>
      <c r="G1034" s="790"/>
    </row>
    <row r="1035" spans="1:9">
      <c r="A1035" s="790"/>
      <c r="B1035" s="790"/>
      <c r="C1035" s="790"/>
      <c r="D1035" s="1991"/>
      <c r="E1035" s="1991"/>
      <c r="F1035" s="1991"/>
      <c r="G1035" s="790"/>
    </row>
    <row r="1036" spans="1:9">
      <c r="A1036" s="790"/>
      <c r="B1036" s="790"/>
      <c r="C1036" s="790"/>
      <c r="D1036" s="1991"/>
      <c r="E1036" s="1991"/>
      <c r="F1036" s="1991"/>
      <c r="G1036" s="790"/>
    </row>
    <row r="1037" spans="1:9">
      <c r="A1037" s="790"/>
      <c r="B1037" s="790"/>
      <c r="C1037" s="790"/>
      <c r="D1037" s="790"/>
      <c r="E1037" s="790"/>
      <c r="F1037" s="790"/>
      <c r="G1037" s="790"/>
    </row>
    <row r="1038" spans="1:9">
      <c r="A1038" s="790"/>
      <c r="B1038" s="1771"/>
      <c r="C1038" s="790"/>
      <c r="D1038" s="1773" t="s">
        <v>1583</v>
      </c>
      <c r="E1038" s="790"/>
      <c r="F1038" s="790"/>
      <c r="G1038" s="790"/>
    </row>
    <row r="1039" spans="1:9">
      <c r="A1039" s="790"/>
      <c r="B1039" s="790"/>
      <c r="C1039" s="790"/>
      <c r="D1039" s="1771" t="s">
        <v>2339</v>
      </c>
      <c r="E1039" s="790"/>
      <c r="F1039" s="790"/>
      <c r="G1039" s="790"/>
    </row>
    <row r="1040" spans="1:9">
      <c r="A1040" s="790"/>
      <c r="B1040" s="790"/>
      <c r="C1040" s="790"/>
      <c r="D1040" s="790"/>
      <c r="E1040" s="790"/>
      <c r="F1040" s="790"/>
      <c r="G1040" s="790"/>
    </row>
    <row r="1041" spans="1:9">
      <c r="A1041" s="790"/>
      <c r="B1041" s="1774" t="s">
        <v>2733</v>
      </c>
      <c r="C1041" s="790"/>
      <c r="D1041" s="1771" t="s">
        <v>2334</v>
      </c>
      <c r="E1041" s="790"/>
      <c r="F1041" s="790"/>
      <c r="G1041" s="790"/>
      <c r="I1041" s="1773" t="s">
        <v>2460</v>
      </c>
    </row>
    <row r="1042" spans="1:9">
      <c r="A1042" s="790"/>
      <c r="B1042" s="790"/>
      <c r="C1042" s="790"/>
      <c r="D1042" s="790"/>
      <c r="E1042" s="790"/>
      <c r="F1042" s="790"/>
      <c r="G1042" s="790"/>
    </row>
    <row r="1043" spans="1:9">
      <c r="A1043" s="790"/>
      <c r="B1043" s="1774" t="s">
        <v>2733</v>
      </c>
      <c r="C1043" s="790"/>
      <c r="D1043" s="1991" t="s">
        <v>2340</v>
      </c>
      <c r="E1043" s="1991"/>
      <c r="F1043" s="1991"/>
      <c r="G1043" s="790"/>
      <c r="I1043" s="1773" t="s">
        <v>2461</v>
      </c>
    </row>
    <row r="1044" spans="1:9">
      <c r="A1044" s="790"/>
      <c r="B1044" s="790"/>
      <c r="C1044" s="790"/>
      <c r="D1044" s="1991"/>
      <c r="E1044" s="1991"/>
      <c r="F1044" s="1991"/>
      <c r="G1044" s="790"/>
    </row>
    <row r="1045" spans="1:9">
      <c r="A1045" s="790"/>
      <c r="B1045" s="790"/>
      <c r="C1045" s="790"/>
      <c r="D1045" s="1991"/>
      <c r="E1045" s="1991"/>
      <c r="F1045" s="1991"/>
      <c r="G1045" s="790"/>
    </row>
    <row r="1046" spans="1:9">
      <c r="A1046" s="790"/>
      <c r="B1046" s="790"/>
      <c r="C1046" s="790"/>
      <c r="D1046" s="1991"/>
      <c r="E1046" s="1991"/>
      <c r="F1046" s="1991"/>
      <c r="G1046" s="790"/>
    </row>
    <row r="1047" spans="1:9">
      <c r="A1047" s="790"/>
      <c r="B1047" s="790"/>
      <c r="C1047" s="790"/>
      <c r="D1047" s="1991"/>
      <c r="E1047" s="1991"/>
      <c r="F1047" s="1991"/>
      <c r="G1047" s="790"/>
    </row>
    <row r="1048" spans="1:9">
      <c r="A1048" s="790"/>
      <c r="B1048" s="790"/>
      <c r="C1048" s="790"/>
      <c r="D1048" s="790"/>
      <c r="E1048" s="790"/>
      <c r="F1048" s="790"/>
      <c r="G1048" s="790"/>
    </row>
    <row r="1049" spans="1:9">
      <c r="A1049" s="1988" t="s">
        <v>2341</v>
      </c>
      <c r="B1049" s="1988"/>
      <c r="C1049" s="1988"/>
      <c r="D1049" s="1988"/>
      <c r="E1049" s="1988"/>
      <c r="F1049" s="1988"/>
      <c r="G1049" s="1988"/>
      <c r="H1049" s="1852"/>
      <c r="I1049" s="1853"/>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4" t="s">
        <v>2733</v>
      </c>
      <c r="C1052" s="790"/>
      <c r="D1052" s="1766" t="s">
        <v>2344</v>
      </c>
      <c r="E1052" s="1770"/>
      <c r="F1052" s="790"/>
      <c r="G1052" s="790"/>
      <c r="I1052" s="1773" t="s">
        <v>2462</v>
      </c>
    </row>
    <row r="1053" spans="1:9">
      <c r="A1053" s="790"/>
      <c r="B1053" s="790"/>
      <c r="C1053" s="790"/>
      <c r="D1053" s="1766" t="s">
        <v>2346</v>
      </c>
      <c r="E1053" s="1770"/>
      <c r="F1053" s="790"/>
      <c r="G1053" s="790"/>
    </row>
    <row r="1054" spans="1:9" s="1771" customFormat="1">
      <c r="D1054" s="1766"/>
      <c r="E1054" s="1770"/>
      <c r="I1054" s="1773"/>
    </row>
    <row r="1055" spans="1:9">
      <c r="A1055" s="790"/>
      <c r="B1055" s="1774" t="s">
        <v>2733</v>
      </c>
      <c r="C1055" s="790"/>
      <c r="D1055" s="1766" t="s">
        <v>2347</v>
      </c>
      <c r="E1055" s="1770"/>
      <c r="F1055" s="790"/>
      <c r="G1055" s="790"/>
      <c r="I1055" s="1773" t="s">
        <v>2463</v>
      </c>
    </row>
    <row r="1056" spans="1:9" s="1771" customFormat="1">
      <c r="D1056" s="1766" t="s">
        <v>2345</v>
      </c>
      <c r="E1056" s="1770"/>
      <c r="I1056" s="1773"/>
    </row>
    <row r="1057" spans="1:9" s="1771" customFormat="1">
      <c r="D1057" s="1766"/>
      <c r="E1057" s="1770"/>
      <c r="I1057" s="1773"/>
    </row>
    <row r="1058" spans="1:9">
      <c r="A1058" s="790"/>
      <c r="B1058" s="1774" t="s">
        <v>2734</v>
      </c>
      <c r="C1058" s="790"/>
      <c r="D1058" s="1765" t="s">
        <v>2350</v>
      </c>
      <c r="E1058" s="1770"/>
      <c r="F1058" s="790"/>
      <c r="G1058" s="790"/>
      <c r="I1058" s="1773" t="s">
        <v>2464</v>
      </c>
    </row>
    <row r="1059" spans="1:9" s="1771" customFormat="1">
      <c r="D1059" s="1992" t="s">
        <v>2351</v>
      </c>
      <c r="E1059" s="1992"/>
      <c r="F1059" s="1992"/>
      <c r="I1059" s="1773"/>
    </row>
    <row r="1060" spans="1:9" s="1771" customFormat="1">
      <c r="D1060" s="1992"/>
      <c r="E1060" s="1992"/>
      <c r="F1060" s="1992"/>
      <c r="I1060" s="1773"/>
    </row>
    <row r="1061" spans="1:9" s="1771" customFormat="1">
      <c r="D1061" s="1992"/>
      <c r="E1061" s="1992"/>
      <c r="F1061" s="1992"/>
      <c r="I1061" s="1773"/>
    </row>
    <row r="1062" spans="1:9" s="1771" customFormat="1">
      <c r="D1062" s="1992"/>
      <c r="E1062" s="1992"/>
      <c r="F1062" s="1992"/>
      <c r="I1062" s="1773"/>
    </row>
    <row r="1063" spans="1:9" s="1771" customFormat="1">
      <c r="D1063" s="1765" t="s">
        <v>2349</v>
      </c>
      <c r="E1063" s="1770"/>
      <c r="I1063" s="1773"/>
    </row>
    <row r="1064" spans="1:9" s="1771" customFormat="1">
      <c r="D1064" s="1765"/>
      <c r="E1064" s="1770"/>
      <c r="I1064" s="1773"/>
    </row>
    <row r="1065" spans="1:9">
      <c r="A1065" s="790"/>
      <c r="B1065" s="790"/>
      <c r="C1065" s="790"/>
      <c r="D1065" s="1766" t="s">
        <v>2342</v>
      </c>
      <c r="E1065" s="1770"/>
      <c r="F1065" s="790"/>
      <c r="G1065" s="790"/>
      <c r="I1065" s="1773" t="s">
        <v>2465</v>
      </c>
    </row>
    <row r="1066" spans="1:9">
      <c r="A1066" s="790"/>
      <c r="B1066" s="1774" t="s">
        <v>2734</v>
      </c>
      <c r="C1066" s="790"/>
      <c r="D1066" s="1987" t="s">
        <v>2343</v>
      </c>
      <c r="E1066" s="1987"/>
      <c r="F1066" s="1987"/>
      <c r="G1066" s="790"/>
    </row>
    <row r="1067" spans="1:9" s="1771" customFormat="1">
      <c r="D1067" s="1987"/>
      <c r="E1067" s="1987"/>
      <c r="F1067" s="1987"/>
      <c r="I1067" s="1773"/>
    </row>
    <row r="1068" spans="1:9" s="1771" customFormat="1">
      <c r="D1068" s="1987"/>
      <c r="E1068" s="1987"/>
      <c r="F1068" s="1987"/>
      <c r="I1068" s="1773"/>
    </row>
    <row r="1069" spans="1:9" s="1771" customFormat="1">
      <c r="D1069" s="1987"/>
      <c r="E1069" s="1987"/>
      <c r="F1069" s="1987"/>
      <c r="I1069" s="1773"/>
    </row>
    <row r="1070" spans="1:9">
      <c r="A1070" s="790"/>
      <c r="B1070" s="790"/>
      <c r="C1070" s="790"/>
      <c r="D1070" s="1987"/>
      <c r="E1070" s="1987"/>
      <c r="F1070" s="1987"/>
      <c r="G1070" s="790"/>
    </row>
    <row r="1071" spans="1:9">
      <c r="A1071" s="790"/>
      <c r="B1071" s="790"/>
      <c r="C1071" s="790"/>
      <c r="D1071" s="1766" t="s">
        <v>2348</v>
      </c>
      <c r="E1071" s="790"/>
      <c r="F1071" s="790"/>
      <c r="G1071" s="790"/>
    </row>
    <row r="1072" spans="1:9">
      <c r="A1072" s="790"/>
      <c r="B1072" s="790"/>
      <c r="C1072" s="790"/>
      <c r="D1072" s="790"/>
      <c r="E1072" s="790"/>
      <c r="F1072" s="790"/>
      <c r="G1072" s="790"/>
    </row>
    <row r="1073" spans="1:9">
      <c r="A1073" s="1988" t="s">
        <v>2353</v>
      </c>
      <c r="B1073" s="1988"/>
      <c r="C1073" s="1988"/>
      <c r="D1073" s="1988"/>
      <c r="E1073" s="1988"/>
      <c r="F1073" s="1988"/>
      <c r="G1073" s="1988"/>
      <c r="H1073" s="1852"/>
      <c r="I1073" s="1853"/>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4" t="s">
        <v>2734</v>
      </c>
      <c r="C1076" s="790"/>
      <c r="D1076" s="1987" t="s">
        <v>2354</v>
      </c>
      <c r="E1076" s="1987"/>
      <c r="F1076" s="1987"/>
      <c r="G1076" s="790"/>
      <c r="I1076" s="1773" t="s">
        <v>2466</v>
      </c>
    </row>
    <row r="1077" spans="1:9" s="1771" customFormat="1">
      <c r="D1077" s="1987"/>
      <c r="E1077" s="1987"/>
      <c r="F1077" s="1987"/>
      <c r="I1077" s="1773"/>
    </row>
    <row r="1078" spans="1:9" s="1771" customFormat="1">
      <c r="D1078" s="1987"/>
      <c r="E1078" s="1987"/>
      <c r="F1078" s="1987"/>
      <c r="I1078" s="1773"/>
    </row>
    <row r="1079" spans="1:9" s="1771" customFormat="1">
      <c r="D1079" s="1766"/>
      <c r="I1079" s="1773"/>
    </row>
    <row r="1080" spans="1:9">
      <c r="A1080" s="790"/>
      <c r="B1080" s="1774" t="s">
        <v>2734</v>
      </c>
      <c r="C1080" s="790"/>
      <c r="D1080" s="1987" t="s">
        <v>2355</v>
      </c>
      <c r="E1080" s="1987"/>
      <c r="F1080" s="1987"/>
      <c r="G1080" s="790"/>
      <c r="I1080" s="1773" t="s">
        <v>2467</v>
      </c>
    </row>
    <row r="1081" spans="1:9" s="1771" customFormat="1">
      <c r="D1081" s="1987"/>
      <c r="E1081" s="1987"/>
      <c r="F1081" s="1987"/>
      <c r="I1081" s="1773"/>
    </row>
    <row r="1082" spans="1:9" s="1771" customFormat="1">
      <c r="D1082" s="1766"/>
      <c r="I1082" s="1773"/>
    </row>
    <row r="1083" spans="1:9">
      <c r="A1083" s="790"/>
      <c r="B1083" s="1774" t="s">
        <v>2733</v>
      </c>
      <c r="C1083" s="790"/>
      <c r="D1083" s="1987" t="s">
        <v>2514</v>
      </c>
      <c r="E1083" s="1987"/>
      <c r="F1083" s="1987"/>
      <c r="G1083" s="790"/>
      <c r="I1083" s="1773" t="s">
        <v>2512</v>
      </c>
    </row>
    <row r="1084" spans="1:9" s="1771" customFormat="1">
      <c r="D1084" s="1987"/>
      <c r="E1084" s="1987"/>
      <c r="F1084" s="1987"/>
      <c r="I1084" s="1773"/>
    </row>
    <row r="1085" spans="1:9" s="1771" customFormat="1">
      <c r="D1085" s="1987"/>
      <c r="E1085" s="1987"/>
      <c r="F1085" s="1987"/>
      <c r="I1085" s="1773"/>
    </row>
    <row r="1086" spans="1:9" s="1771" customFormat="1">
      <c r="D1086" s="1987"/>
      <c r="E1086" s="1987"/>
      <c r="F1086" s="1987"/>
      <c r="I1086" s="1773"/>
    </row>
    <row r="1087" spans="1:9" s="1771" customFormat="1">
      <c r="D1087" s="1987"/>
      <c r="E1087" s="1987"/>
      <c r="F1087" s="1987"/>
      <c r="I1087" s="1773"/>
    </row>
    <row r="1088" spans="1:9" s="1771" customFormat="1">
      <c r="D1088" s="1987"/>
      <c r="E1088" s="1987"/>
      <c r="F1088" s="1987"/>
      <c r="I1088" s="1773"/>
    </row>
    <row r="1089" spans="1:9" s="1772" customFormat="1">
      <c r="B1089" s="1771"/>
      <c r="D1089" s="1766" t="s">
        <v>2513</v>
      </c>
    </row>
    <row r="1090" spans="1:9">
      <c r="A1090" s="790"/>
      <c r="B1090" s="1774" t="s">
        <v>2733</v>
      </c>
      <c r="C1090" s="790"/>
      <c r="D1090" s="1987" t="s">
        <v>2356</v>
      </c>
      <c r="E1090" s="1987"/>
      <c r="F1090" s="1987"/>
      <c r="G1090" s="790"/>
      <c r="I1090" s="1836" t="s">
        <v>2468</v>
      </c>
    </row>
    <row r="1091" spans="1:9" s="1771" customFormat="1">
      <c r="D1091" s="1987"/>
      <c r="E1091" s="1987"/>
      <c r="F1091" s="1987"/>
      <c r="I1091" s="1773"/>
    </row>
    <row r="1092" spans="1:9" s="1771" customFormat="1">
      <c r="D1092" s="1987"/>
      <c r="E1092" s="1987"/>
      <c r="F1092" s="1987"/>
      <c r="I1092" s="1773"/>
    </row>
    <row r="1093" spans="1:9" s="1771" customFormat="1">
      <c r="D1093" s="1766"/>
      <c r="I1093" s="1773"/>
    </row>
    <row r="1094" spans="1:9">
      <c r="A1094" s="790"/>
      <c r="B1094" s="1774" t="s">
        <v>2733</v>
      </c>
      <c r="C1094" s="790"/>
      <c r="D1094" s="1989" t="s">
        <v>2515</v>
      </c>
      <c r="E1094" s="1989"/>
      <c r="F1094" s="1989"/>
      <c r="G1094" s="790"/>
      <c r="I1094" s="1773" t="s">
        <v>2469</v>
      </c>
    </row>
    <row r="1095" spans="1:9">
      <c r="A1095" s="790"/>
      <c r="B1095" s="790"/>
      <c r="C1095" s="790"/>
      <c r="D1095" s="1989"/>
      <c r="E1095" s="1989"/>
      <c r="F1095" s="1989"/>
      <c r="G1095" s="790"/>
    </row>
    <row r="1096" spans="1:9">
      <c r="A1096" s="790"/>
      <c r="B1096" s="790"/>
      <c r="C1096" s="790"/>
      <c r="D1096" s="1989"/>
      <c r="E1096" s="1989"/>
      <c r="F1096" s="1989"/>
      <c r="G1096" s="790"/>
    </row>
    <row r="1097" spans="1:9" s="1771" customFormat="1">
      <c r="D1097" s="1848"/>
      <c r="E1097" s="1848"/>
      <c r="F1097" s="1848"/>
      <c r="I1097" s="1773"/>
    </row>
    <row r="1098" spans="1:9" s="1771" customFormat="1" ht="15.75" customHeight="1">
      <c r="B1098" s="1774" t="s">
        <v>2734</v>
      </c>
      <c r="D1098" s="1900" t="s">
        <v>2517</v>
      </c>
      <c r="E1098" s="1900"/>
      <c r="F1098" s="1900"/>
      <c r="I1098" s="1773" t="s">
        <v>2516</v>
      </c>
    </row>
    <row r="1099" spans="1:9" s="1771" customFormat="1">
      <c r="D1099" s="1900"/>
      <c r="E1099" s="1900"/>
      <c r="F1099" s="1900"/>
      <c r="I1099" s="1773"/>
    </row>
    <row r="1100" spans="1:9" s="1771" customFormat="1">
      <c r="D1100" s="1900"/>
      <c r="E1100" s="1900"/>
      <c r="F1100" s="1900"/>
      <c r="I1100" s="1773"/>
    </row>
    <row r="1101" spans="1:9" s="1771" customFormat="1">
      <c r="D1101" s="1900"/>
      <c r="E1101" s="1900"/>
      <c r="F1101" s="1900"/>
      <c r="I1101" s="1773"/>
    </row>
    <row r="1102" spans="1:9" s="1771" customFormat="1">
      <c r="D1102" s="1848"/>
      <c r="E1102" s="1848"/>
      <c r="F1102" s="1848"/>
      <c r="I1102" s="1773"/>
    </row>
    <row r="1103" spans="1:9" ht="38.25">
      <c r="A1103" s="790"/>
      <c r="B1103" s="790"/>
      <c r="C1103" s="790"/>
      <c r="D1103" s="790"/>
      <c r="E1103" s="790"/>
      <c r="F1103" s="790"/>
      <c r="G1103" s="790"/>
      <c r="I1103" s="1843"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36"/>
      <c r="H1516" s="1936"/>
      <c r="I1516" s="1936"/>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6" fitToHeight="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553" zoomScale="79" zoomScaleNormal="100" zoomScaleSheetLayoutView="80" workbookViewId="0">
      <selection activeCell="AE571" sqref="AE570:AH571"/>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08" t="s">
        <v>105</v>
      </c>
      <c r="B8" s="2308"/>
      <c r="C8" s="2308"/>
      <c r="D8" s="2308"/>
      <c r="E8" s="2308"/>
      <c r="F8" s="2308"/>
      <c r="G8" s="2308"/>
      <c r="H8" s="2308"/>
      <c r="I8" s="2308"/>
      <c r="J8" s="2308"/>
      <c r="K8" s="2308"/>
      <c r="L8" s="2308"/>
      <c r="M8" s="2308"/>
      <c r="N8" s="2308"/>
      <c r="O8" s="2308"/>
      <c r="P8" s="2308"/>
      <c r="Q8" s="2308"/>
      <c r="R8" s="2308"/>
      <c r="S8" s="2308"/>
      <c r="T8" s="2308"/>
      <c r="U8" s="2308"/>
      <c r="V8" s="2308"/>
      <c r="W8" s="2308"/>
      <c r="X8" s="2308"/>
      <c r="Y8" s="2308"/>
      <c r="Z8" s="2308"/>
      <c r="AA8" s="2308"/>
      <c r="AB8" s="2308"/>
      <c r="AC8" s="2308"/>
      <c r="AD8" s="2308"/>
      <c r="AE8" s="2308"/>
      <c r="AF8" s="2308"/>
      <c r="AG8" s="2308"/>
      <c r="AH8" s="2308"/>
      <c r="AI8" s="2308"/>
      <c r="AJ8" s="2308"/>
      <c r="AK8" s="2308"/>
      <c r="AL8" s="2308"/>
      <c r="AM8" s="1570"/>
      <c r="AN8" s="1570"/>
      <c r="AO8" s="1570"/>
      <c r="AP8" s="1570"/>
      <c r="AQ8" s="1570"/>
      <c r="AR8" s="1570"/>
      <c r="AS8" s="1570"/>
      <c r="AT8" s="1570"/>
      <c r="AU8" s="1570"/>
      <c r="AV8" s="1570"/>
      <c r="AW8" s="1570"/>
      <c r="AX8" s="1570"/>
      <c r="AY8" s="1570"/>
    </row>
    <row r="9" spans="1:96" s="719" customFormat="1" ht="12.75">
      <c r="A9" s="2476" t="s">
        <v>1990</v>
      </c>
      <c r="B9" s="2476"/>
      <c r="C9" s="2476"/>
      <c r="D9" s="2476"/>
      <c r="E9" s="2476"/>
      <c r="F9" s="2476"/>
      <c r="G9" s="2476"/>
      <c r="H9" s="2476"/>
      <c r="I9" s="2476"/>
      <c r="J9" s="2476"/>
      <c r="K9" s="2476"/>
      <c r="L9" s="2476"/>
      <c r="M9" s="2476"/>
      <c r="N9" s="2476"/>
      <c r="O9" s="2476"/>
      <c r="P9" s="2476"/>
      <c r="Q9" s="2476"/>
      <c r="R9" s="2476"/>
      <c r="S9" s="2476"/>
      <c r="T9" s="2476"/>
      <c r="U9" s="2476"/>
      <c r="V9" s="2476"/>
      <c r="W9" s="2476"/>
      <c r="X9" s="2476"/>
      <c r="Y9" s="2476"/>
      <c r="Z9" s="2476"/>
      <c r="AA9" s="2476"/>
      <c r="AB9" s="2476"/>
      <c r="AC9" s="2476"/>
      <c r="AD9" s="2476"/>
      <c r="AE9" s="2476"/>
      <c r="AF9" s="2476"/>
      <c r="AG9" s="2476"/>
      <c r="AH9" s="2476"/>
      <c r="AI9" s="2476"/>
      <c r="AJ9" s="2476"/>
      <c r="AK9" s="2476"/>
      <c r="AL9" s="2476"/>
      <c r="AM9" s="1509"/>
      <c r="AN9" s="1509"/>
      <c r="AO9" s="1509"/>
      <c r="AP9" s="1509"/>
      <c r="AQ9" s="1509"/>
      <c r="AR9" s="1509"/>
      <c r="AS9" s="1509"/>
      <c r="AT9" s="1509"/>
      <c r="AU9" s="1509"/>
      <c r="AV9" s="1509"/>
      <c r="AW9" s="1509"/>
      <c r="AX9" s="1509"/>
      <c r="AY9" s="1509"/>
      <c r="CR9" s="25"/>
    </row>
    <row r="10" spans="1:96" ht="15" customHeight="1">
      <c r="A10" s="2343" t="s">
        <v>1991</v>
      </c>
      <c r="B10" s="2343"/>
      <c r="C10" s="2343"/>
      <c r="D10" s="2343"/>
      <c r="E10" s="2343"/>
      <c r="F10" s="2343"/>
      <c r="G10" s="2343"/>
      <c r="H10" s="2343"/>
      <c r="I10" s="2343"/>
      <c r="J10" s="2343"/>
      <c r="K10" s="2343"/>
      <c r="L10" s="2343"/>
      <c r="M10" s="2343"/>
      <c r="N10" s="2343"/>
      <c r="O10" s="2343"/>
      <c r="P10" s="2343"/>
      <c r="Q10" s="2343"/>
      <c r="R10" s="2343"/>
      <c r="S10" s="2343"/>
      <c r="T10" s="2343"/>
      <c r="U10" s="2343"/>
      <c r="V10" s="2343"/>
      <c r="W10" s="2343"/>
      <c r="X10" s="2343"/>
      <c r="Y10" s="2343"/>
      <c r="Z10" s="2343"/>
      <c r="AA10" s="2343"/>
      <c r="AB10" s="2343"/>
      <c r="AC10" s="2343"/>
      <c r="AD10" s="2343"/>
      <c r="AE10" s="2343"/>
      <c r="AF10" s="2343"/>
      <c r="AG10" s="2343"/>
      <c r="AH10" s="2343"/>
      <c r="AI10" s="2343"/>
      <c r="AJ10" s="2343"/>
      <c r="AK10" s="2343"/>
      <c r="AL10" s="2343"/>
      <c r="AM10" s="20"/>
      <c r="AN10" s="20"/>
      <c r="AO10" s="20"/>
      <c r="AP10" s="20"/>
      <c r="AQ10" s="20"/>
      <c r="AR10" s="20"/>
      <c r="AS10" s="20"/>
      <c r="AT10" s="20"/>
      <c r="AU10" s="20"/>
      <c r="AV10" s="20"/>
      <c r="AW10" s="20"/>
      <c r="AX10" s="20"/>
      <c r="AY10" s="20"/>
    </row>
    <row r="11" spans="1:96" ht="15" customHeight="1">
      <c r="A11" s="2476" t="s">
        <v>2011</v>
      </c>
      <c r="B11" s="2476"/>
      <c r="C11" s="2476"/>
      <c r="D11" s="2476"/>
      <c r="E11" s="2476"/>
      <c r="F11" s="2476"/>
      <c r="G11" s="2476"/>
      <c r="H11" s="2476"/>
      <c r="I11" s="2476"/>
      <c r="J11" s="2476"/>
      <c r="K11" s="2476"/>
      <c r="L11" s="2476"/>
      <c r="M11" s="2476"/>
      <c r="N11" s="2476"/>
      <c r="O11" s="2476"/>
      <c r="P11" s="2476"/>
      <c r="Q11" s="2476"/>
      <c r="R11" s="2476"/>
      <c r="S11" s="2476"/>
      <c r="T11" s="2476"/>
      <c r="U11" s="2476"/>
      <c r="V11" s="2476"/>
      <c r="W11" s="2476"/>
      <c r="X11" s="2476"/>
      <c r="Y11" s="2476"/>
      <c r="Z11" s="2476"/>
      <c r="AA11" s="2476"/>
      <c r="AB11" s="2476"/>
      <c r="AC11" s="2476"/>
      <c r="AD11" s="2476"/>
      <c r="AE11" s="2476"/>
      <c r="AF11" s="2476"/>
      <c r="AG11" s="2476"/>
      <c r="AH11" s="2476"/>
      <c r="AI11" s="2476"/>
      <c r="AJ11" s="2476"/>
      <c r="AK11" s="2476"/>
      <c r="AL11" s="2476"/>
      <c r="AM11" s="1509"/>
      <c r="AN11" s="1509"/>
      <c r="AO11" s="1509"/>
      <c r="AP11" s="1509"/>
      <c r="AQ11" s="1509"/>
      <c r="AR11" s="1509"/>
      <c r="AS11" s="1509"/>
      <c r="AT11" s="1509"/>
      <c r="AU11" s="1509"/>
      <c r="AV11" s="1509"/>
      <c r="AW11" s="1509"/>
      <c r="AX11" s="1509"/>
      <c r="AY11" s="1509"/>
    </row>
    <row r="12" spans="1:96" ht="12.75">
      <c r="A12" s="2499" t="s">
        <v>2519</v>
      </c>
      <c r="B12" s="2500"/>
      <c r="C12" s="2500"/>
      <c r="D12" s="2500"/>
      <c r="E12" s="2500"/>
      <c r="F12" s="2500"/>
      <c r="G12" s="2500"/>
      <c r="H12" s="2500"/>
      <c r="I12" s="2500"/>
      <c r="J12" s="2500"/>
      <c r="K12" s="2500"/>
      <c r="L12" s="2500"/>
      <c r="M12" s="2500"/>
      <c r="N12" s="2500"/>
      <c r="O12" s="2500"/>
      <c r="P12" s="2500"/>
      <c r="Q12" s="2500"/>
      <c r="R12" s="2500"/>
      <c r="S12" s="2500"/>
      <c r="T12" s="2500"/>
      <c r="U12" s="2500"/>
      <c r="V12" s="2500"/>
      <c r="W12" s="2500"/>
      <c r="X12" s="2500"/>
      <c r="Y12" s="2500"/>
      <c r="Z12" s="2500"/>
      <c r="AA12" s="2500"/>
      <c r="AB12" s="2500"/>
      <c r="AC12" s="2500"/>
      <c r="AD12" s="2500"/>
      <c r="AE12" s="2500"/>
      <c r="AF12" s="2500"/>
      <c r="AG12" s="2500"/>
      <c r="AH12" s="2500"/>
      <c r="AI12" s="2500"/>
      <c r="AJ12" s="2500"/>
      <c r="AK12" s="2500"/>
      <c r="AL12" s="2500"/>
      <c r="AM12" s="1515"/>
      <c r="AN12" s="1515"/>
      <c r="AO12" s="1515"/>
      <c r="AP12" s="1515"/>
      <c r="AQ12" s="1515"/>
      <c r="AR12" s="1515"/>
      <c r="AS12" s="1515"/>
      <c r="AT12" s="1515"/>
      <c r="AU12" s="1515"/>
      <c r="AV12" s="1515"/>
      <c r="AW12" s="1515"/>
      <c r="AX12" s="1515"/>
      <c r="AY12" s="1515"/>
    </row>
    <row r="13" spans="1:96" ht="12.75">
      <c r="A13" s="1895" t="s">
        <v>1385</v>
      </c>
      <c r="B13" s="1895"/>
      <c r="C13" s="1895"/>
      <c r="D13" s="1895"/>
      <c r="E13" s="1895"/>
      <c r="F13" s="1895"/>
      <c r="G13" s="1895"/>
      <c r="H13" s="1895"/>
      <c r="I13" s="1895"/>
      <c r="J13" s="1895"/>
      <c r="K13" s="1895"/>
      <c r="L13" s="1895"/>
      <c r="M13" s="1895"/>
      <c r="N13" s="1895"/>
      <c r="O13" s="1895"/>
      <c r="P13" s="1895"/>
      <c r="Q13" s="1895"/>
      <c r="R13" s="1895"/>
      <c r="S13" s="1895"/>
      <c r="T13" s="1895"/>
      <c r="U13" s="1895"/>
      <c r="V13" s="1895"/>
      <c r="W13" s="1895"/>
      <c r="X13" s="1895"/>
      <c r="Y13" s="1895"/>
      <c r="Z13" s="1895"/>
      <c r="AA13" s="1895"/>
      <c r="AB13" s="1895"/>
      <c r="AC13" s="1895"/>
      <c r="AD13" s="1895"/>
      <c r="AE13" s="1895"/>
      <c r="AF13" s="1895"/>
      <c r="AG13" s="1895"/>
      <c r="AH13" s="1895"/>
      <c r="AI13" s="1895"/>
      <c r="AJ13" s="1895"/>
      <c r="AK13" s="1895"/>
      <c r="AL13" s="1895"/>
      <c r="AM13" s="1571"/>
      <c r="AN13" s="1571"/>
      <c r="AO13" s="1571"/>
      <c r="AP13" s="1571"/>
      <c r="AQ13" s="1571"/>
      <c r="AR13" s="1571"/>
      <c r="AS13" s="1571"/>
      <c r="AT13" s="1571"/>
      <c r="AU13" s="1571"/>
      <c r="AV13" s="1571"/>
      <c r="AW13" s="1571"/>
      <c r="AX13" s="1571"/>
      <c r="AY13" s="1571"/>
    </row>
    <row r="14" spans="1:96" ht="12.75" customHeight="1" thickBot="1">
      <c r="A14" s="1896"/>
      <c r="B14" s="1896"/>
      <c r="C14" s="1896"/>
      <c r="D14" s="1896"/>
      <c r="E14" s="1896"/>
      <c r="F14" s="1896"/>
      <c r="G14" s="1896"/>
      <c r="H14" s="1896"/>
      <c r="I14" s="1896"/>
      <c r="J14" s="1896"/>
      <c r="K14" s="1896"/>
      <c r="L14" s="1896"/>
      <c r="M14" s="1896"/>
      <c r="N14" s="1896"/>
      <c r="O14" s="1896"/>
      <c r="P14" s="1896"/>
      <c r="Q14" s="1896"/>
      <c r="R14" s="1896"/>
      <c r="S14" s="1896"/>
      <c r="T14" s="1896"/>
      <c r="U14" s="1896"/>
      <c r="V14" s="1896"/>
      <c r="W14" s="1896"/>
      <c r="X14" s="1896"/>
      <c r="Y14" s="1896"/>
      <c r="Z14" s="1896"/>
      <c r="AA14" s="1896"/>
      <c r="AB14" s="1896"/>
      <c r="AC14" s="1896"/>
      <c r="AD14" s="1896"/>
      <c r="AE14" s="1896"/>
      <c r="AF14" s="1896"/>
      <c r="AG14" s="1896"/>
      <c r="AH14" s="1896"/>
      <c r="AI14" s="1896"/>
      <c r="AJ14" s="1896"/>
      <c r="AK14" s="1896"/>
      <c r="AL14" s="1896"/>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1373</v>
      </c>
      <c r="C16" s="7"/>
      <c r="D16" s="7"/>
      <c r="E16" s="7"/>
      <c r="F16" s="7"/>
      <c r="G16" s="7"/>
      <c r="H16" s="2473" t="s">
        <v>2520</v>
      </c>
      <c r="I16" s="2474"/>
      <c r="J16" s="2474"/>
      <c r="K16" s="2474"/>
      <c r="L16" s="2474"/>
      <c r="M16" s="2474"/>
      <c r="N16" s="2474"/>
      <c r="O16" s="2474"/>
      <c r="P16" s="2474"/>
      <c r="Q16" s="2474"/>
      <c r="R16" s="2474"/>
      <c r="S16" s="2474"/>
      <c r="T16" s="2474"/>
      <c r="U16" s="2474"/>
      <c r="V16" s="2474"/>
      <c r="W16" s="2474"/>
      <c r="X16" s="2474"/>
      <c r="Y16" s="2474"/>
      <c r="Z16" s="2474"/>
      <c r="AA16" s="2474"/>
      <c r="AB16" s="2474"/>
      <c r="AC16" s="2474"/>
      <c r="AD16" s="2474"/>
      <c r="AE16" s="2474"/>
      <c r="AF16" s="2474"/>
      <c r="AG16" s="2474"/>
      <c r="AH16" s="2474"/>
      <c r="AI16" s="2474"/>
      <c r="AJ16" s="2474"/>
    </row>
    <row r="17" spans="1:96" ht="12.75" customHeight="1"/>
    <row r="18" spans="1:96" ht="12.75" customHeight="1">
      <c r="A18" s="134" t="s">
        <v>106</v>
      </c>
      <c r="C18" s="7"/>
      <c r="D18" s="7"/>
      <c r="E18" s="7"/>
      <c r="F18" s="7"/>
      <c r="G18" s="7"/>
      <c r="H18" s="2315" t="s">
        <v>2521</v>
      </c>
      <c r="I18" s="2385"/>
      <c r="J18" s="2385"/>
      <c r="K18" s="2385"/>
      <c r="L18" s="2385"/>
      <c r="M18" s="2385"/>
      <c r="N18" s="2385"/>
      <c r="O18" s="2385"/>
      <c r="P18" s="2385"/>
      <c r="Q18" s="2385"/>
      <c r="R18" s="2385"/>
      <c r="S18" s="2385"/>
      <c r="T18" s="2385"/>
      <c r="U18" s="2385"/>
      <c r="V18" s="2385"/>
      <c r="W18" s="2385"/>
      <c r="X18" s="2385"/>
      <c r="Y18" s="2385"/>
      <c r="Z18" s="2385"/>
      <c r="AA18" s="2385"/>
      <c r="AB18" s="2385"/>
      <c r="AC18" s="2385"/>
      <c r="AD18" s="2385"/>
      <c r="AE18" s="2385"/>
      <c r="AF18" s="2385"/>
      <c r="AG18" s="2385"/>
      <c r="AH18" s="2385"/>
      <c r="AI18" s="2385"/>
      <c r="AJ18" s="2385"/>
    </row>
    <row r="19" spans="1:96" ht="12.75" customHeight="1"/>
    <row r="20" spans="1:96" ht="14.25" customHeight="1">
      <c r="A20" s="2471" t="s">
        <v>935</v>
      </c>
      <c r="B20" s="2471"/>
      <c r="C20" s="2471"/>
      <c r="D20" s="2471"/>
      <c r="E20" s="2471"/>
      <c r="F20" s="2471"/>
      <c r="G20" s="2471"/>
      <c r="H20" s="2471"/>
      <c r="I20" s="2471"/>
      <c r="J20" s="2471"/>
      <c r="K20" s="2471"/>
      <c r="L20" s="2471"/>
      <c r="M20" s="2471"/>
      <c r="N20" s="2471"/>
      <c r="O20" s="2471"/>
      <c r="P20" s="2471"/>
      <c r="Q20" s="2471"/>
      <c r="R20" s="2471"/>
      <c r="S20" s="2471"/>
      <c r="T20" s="2471"/>
      <c r="U20" s="2471"/>
      <c r="V20" s="2471"/>
      <c r="W20" s="2471"/>
      <c r="X20" s="2471"/>
      <c r="Y20" s="2471"/>
      <c r="Z20" s="2471"/>
      <c r="AA20" s="2471"/>
      <c r="AB20" s="2471"/>
      <c r="AC20" s="2471"/>
      <c r="AD20" s="2471"/>
      <c r="AE20" s="2471"/>
      <c r="AF20" s="2471"/>
      <c r="AG20" s="2471"/>
      <c r="AH20" s="2471"/>
      <c r="AI20" s="2471"/>
      <c r="AJ20" s="2471"/>
      <c r="AK20" s="2471"/>
      <c r="AL20" s="2471"/>
      <c r="AM20" s="1573"/>
      <c r="AN20" s="1573"/>
      <c r="AO20" s="1573"/>
      <c r="AP20" s="1573"/>
      <c r="AQ20" s="1573"/>
      <c r="AR20" s="1573"/>
      <c r="AS20" s="1573"/>
      <c r="AT20" s="1573"/>
      <c r="AU20" s="1573"/>
      <c r="AV20" s="1573"/>
      <c r="AW20" s="1573"/>
      <c r="AX20" s="1573"/>
      <c r="AY20" s="1573"/>
    </row>
    <row r="21" spans="1:96" ht="12.75" customHeight="1">
      <c r="A21" s="2502" t="s">
        <v>1115</v>
      </c>
      <c r="B21" s="2502"/>
      <c r="C21" s="2502"/>
      <c r="D21" s="2502"/>
      <c r="E21" s="2502"/>
      <c r="F21" s="2502"/>
      <c r="G21" s="2502"/>
      <c r="H21" s="2502"/>
      <c r="I21" s="2502"/>
      <c r="J21" s="2502"/>
      <c r="K21" s="2502"/>
      <c r="L21" s="2502"/>
      <c r="M21" s="2502"/>
      <c r="N21" s="2502"/>
      <c r="O21" s="2502"/>
      <c r="P21" s="2502"/>
      <c r="Q21" s="2502"/>
      <c r="R21" s="2502"/>
      <c r="S21" s="2502"/>
      <c r="T21" s="2502"/>
      <c r="U21" s="2502"/>
      <c r="V21" s="2502"/>
      <c r="W21" s="2502"/>
      <c r="X21" s="2502"/>
      <c r="Y21" s="2502"/>
      <c r="Z21" s="2502"/>
      <c r="AA21" s="2502"/>
      <c r="AB21" s="2502"/>
      <c r="AC21" s="2502"/>
      <c r="AD21" s="2502"/>
      <c r="AE21" s="2502"/>
      <c r="AF21" s="2502"/>
      <c r="AG21" s="2502"/>
      <c r="AH21" s="2502"/>
      <c r="AI21" s="2502"/>
      <c r="AJ21" s="2502"/>
      <c r="AK21" s="2502"/>
      <c r="AL21" s="2502"/>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501">
        <f>'Basis &amp; Credits'!AB56</f>
        <v>2119515</v>
      </c>
      <c r="N26" s="2501"/>
      <c r="O26" s="2501"/>
      <c r="P26" s="2501"/>
      <c r="Q26" s="2501"/>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53">
        <f>'Basis &amp; Credits'!AB77</f>
        <v>11051019</v>
      </c>
      <c r="N27" s="2053"/>
      <c r="O27" s="2053"/>
      <c r="P27" s="2053"/>
      <c r="Q27" s="2053"/>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62" t="s">
        <v>577</v>
      </c>
      <c r="P33" s="2062"/>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72"/>
      <c r="H122" s="2472"/>
      <c r="I122" s="239" t="s">
        <v>187</v>
      </c>
      <c r="L122" s="2472"/>
      <c r="M122" s="2472"/>
      <c r="N122" s="2472"/>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504"/>
      <c r="D124" s="2504"/>
      <c r="E124" s="2504"/>
      <c r="F124" s="2504"/>
      <c r="G124" s="2504"/>
      <c r="H124" s="2504"/>
      <c r="I124" s="2504"/>
      <c r="J124" s="2504"/>
      <c r="K124" s="2504"/>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472"/>
      <c r="Z126" s="2472"/>
      <c r="AA126" s="2472"/>
      <c r="AB126" s="2472"/>
      <c r="AC126" s="2472"/>
      <c r="AD126" s="2472"/>
      <c r="AE126" s="2472"/>
      <c r="AF126" s="2472"/>
      <c r="AG126" s="2472"/>
      <c r="AH126" s="2472"/>
      <c r="AI126" s="2472"/>
      <c r="AJ126" s="2472"/>
      <c r="AK126" s="2472"/>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8"/>
      <c r="AN128" s="1578"/>
      <c r="AO128" s="1578"/>
      <c r="AP128" s="1578"/>
      <c r="AQ128" s="1578"/>
      <c r="AR128" s="1578"/>
      <c r="AS128" s="1578"/>
      <c r="AT128" s="1578"/>
      <c r="AU128" s="1578"/>
      <c r="AV128" s="1578"/>
      <c r="AW128" s="1578"/>
      <c r="AX128" s="1578"/>
      <c r="AY128" s="1578"/>
    </row>
    <row r="129" spans="1:96" ht="12.75">
      <c r="A129" s="697"/>
      <c r="B129" s="150"/>
      <c r="R129" s="265"/>
      <c r="S129" s="265"/>
      <c r="T129" s="265"/>
      <c r="U129" s="265"/>
      <c r="V129" s="265"/>
      <c r="W129" s="265"/>
      <c r="X129" s="58"/>
      <c r="Y129" s="2475"/>
      <c r="Z129" s="2475"/>
      <c r="AA129" s="2475"/>
      <c r="AB129" s="2475"/>
      <c r="AC129" s="2475"/>
      <c r="AD129" s="2475"/>
      <c r="AE129" s="2475"/>
      <c r="AF129" s="2475"/>
      <c r="AG129" s="2475"/>
      <c r="AH129" s="2475"/>
      <c r="AI129" s="2475"/>
      <c r="AJ129" s="2475"/>
      <c r="AK129" s="2475"/>
      <c r="AL129" s="697"/>
      <c r="AM129" s="1578"/>
      <c r="AN129" s="1578"/>
      <c r="AO129" s="1578"/>
      <c r="AP129" s="1578"/>
      <c r="AQ129" s="1578"/>
      <c r="AR129" s="1578"/>
      <c r="AS129" s="1578"/>
      <c r="AT129" s="1578"/>
      <c r="AU129" s="1578"/>
      <c r="AV129" s="1578"/>
      <c r="AW129" s="1578"/>
      <c r="AX129" s="1578"/>
      <c r="AY129" s="1578"/>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75"/>
      <c r="Z132" s="2475"/>
      <c r="AA132" s="2475"/>
      <c r="AB132" s="2475"/>
      <c r="AC132" s="2475"/>
      <c r="AD132" s="2475"/>
      <c r="AE132" s="2475"/>
      <c r="AF132" s="2475"/>
      <c r="AG132" s="2475"/>
      <c r="AH132" s="2475"/>
      <c r="AI132" s="2475"/>
      <c r="AJ132" s="2475"/>
      <c r="AK132" s="247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503"/>
      <c r="G150" s="2503"/>
      <c r="H150" s="2503"/>
      <c r="I150" s="2503"/>
      <c r="J150" s="2503"/>
      <c r="K150" s="2503"/>
      <c r="L150" s="2503"/>
      <c r="M150" s="2503"/>
      <c r="N150" s="2503"/>
      <c r="O150" s="2503"/>
      <c r="P150" s="2503"/>
      <c r="Q150" s="2503"/>
      <c r="R150" s="2503"/>
      <c r="S150" s="2503"/>
      <c r="T150" s="250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315" t="s">
        <v>2522</v>
      </c>
      <c r="P153" s="2385"/>
      <c r="Q153" s="2385"/>
      <c r="R153" s="2385"/>
      <c r="S153" s="2385"/>
      <c r="T153" s="2385"/>
      <c r="U153" s="2385"/>
      <c r="V153" s="2385"/>
      <c r="W153" s="2385"/>
      <c r="X153" s="2385"/>
      <c r="Y153" s="2385"/>
      <c r="Z153" s="2385"/>
      <c r="AA153" s="2385"/>
      <c r="AB153" s="2385"/>
      <c r="AC153" s="2385"/>
      <c r="AD153" s="2385"/>
      <c r="AE153" s="2385"/>
      <c r="AF153" s="2385"/>
      <c r="AG153" s="2385"/>
      <c r="AH153" s="2385"/>
    </row>
    <row r="154" spans="1:96" ht="12.75" customHeight="1">
      <c r="D154" s="466" t="s">
        <v>461</v>
      </c>
      <c r="F154" s="32"/>
      <c r="G154" s="32"/>
      <c r="H154" s="32"/>
      <c r="I154" s="32"/>
      <c r="J154" s="32"/>
      <c r="K154" s="32"/>
      <c r="L154" s="32"/>
      <c r="M154" s="32"/>
      <c r="N154" s="32"/>
      <c r="O154" s="2090" t="s">
        <v>2523</v>
      </c>
      <c r="P154" s="2098"/>
      <c r="Q154" s="2098"/>
      <c r="R154" s="2098"/>
      <c r="S154" s="2098"/>
      <c r="T154" s="2098"/>
      <c r="U154" s="2098"/>
      <c r="V154" s="2098"/>
      <c r="W154" s="2098"/>
      <c r="X154" s="2098"/>
      <c r="Y154" s="2098"/>
      <c r="Z154" s="2098"/>
      <c r="AA154" s="2098"/>
      <c r="AB154" s="2098"/>
      <c r="AC154" s="2098"/>
      <c r="AD154" s="2098"/>
      <c r="AE154" s="2098"/>
      <c r="AF154" s="2098"/>
      <c r="AG154" s="2098"/>
      <c r="AH154" s="2098"/>
      <c r="AZ154" s="25"/>
    </row>
    <row r="155" spans="1:96" ht="12.75">
      <c r="D155" s="13" t="s">
        <v>463</v>
      </c>
      <c r="F155" s="13"/>
      <c r="G155" s="13"/>
      <c r="H155" s="13"/>
      <c r="I155" s="13"/>
      <c r="J155" s="13"/>
      <c r="K155" s="13"/>
      <c r="L155" s="13"/>
      <c r="M155" s="13"/>
      <c r="N155" s="13"/>
      <c r="O155" s="2477" t="s">
        <v>462</v>
      </c>
      <c r="P155" s="2477"/>
      <c r="Q155" s="2477"/>
      <c r="R155" s="2477"/>
      <c r="S155" s="2477"/>
      <c r="T155" s="2477"/>
      <c r="U155" s="2477"/>
      <c r="V155" s="2477"/>
      <c r="W155" s="2477"/>
      <c r="X155" s="2477"/>
      <c r="Y155" s="2477"/>
      <c r="Z155" s="2477"/>
      <c r="AA155" s="2477"/>
      <c r="AB155" s="2477"/>
      <c r="AC155" s="2477"/>
      <c r="AD155" s="2477"/>
      <c r="AE155" s="2477"/>
      <c r="AF155" s="2477"/>
      <c r="AG155" s="2477"/>
      <c r="AH155" s="2477"/>
      <c r="AZ155" s="25"/>
    </row>
    <row r="156" spans="1:96" ht="12.75">
      <c r="D156" s="32" t="s">
        <v>322</v>
      </c>
      <c r="F156" s="32"/>
      <c r="G156" s="32"/>
      <c r="H156" s="32"/>
      <c r="I156" s="32"/>
      <c r="J156" s="32"/>
      <c r="K156" s="32"/>
      <c r="L156" s="32"/>
      <c r="M156" s="32"/>
      <c r="N156" s="32"/>
      <c r="O156" s="2044" t="s">
        <v>2524</v>
      </c>
      <c r="P156" s="2044"/>
      <c r="Q156" s="2044"/>
      <c r="R156" s="2044"/>
      <c r="S156" s="2044"/>
      <c r="T156" s="2044"/>
      <c r="U156" s="2044"/>
      <c r="V156" s="2044"/>
      <c r="W156" s="2044"/>
      <c r="X156" s="2044"/>
      <c r="Y156" s="2044"/>
      <c r="Z156" s="2044"/>
      <c r="AA156" s="2044"/>
      <c r="AB156" s="2044"/>
      <c r="AC156" s="2044"/>
      <c r="AD156" s="2044"/>
      <c r="AE156" s="2044"/>
      <c r="AF156" s="2044"/>
      <c r="AG156" s="2044"/>
      <c r="AH156" s="2044"/>
      <c r="BT156" s="12" t="s">
        <v>316</v>
      </c>
    </row>
    <row r="157" spans="1:96" ht="12.75">
      <c r="D157" s="32" t="s">
        <v>323</v>
      </c>
      <c r="F157" s="32"/>
      <c r="G157" s="32"/>
      <c r="H157" s="32"/>
      <c r="I157" s="32"/>
      <c r="J157" s="32"/>
      <c r="K157" s="32"/>
      <c r="L157" s="32"/>
      <c r="M157" s="32"/>
      <c r="N157" s="32"/>
      <c r="O157" s="2315" t="s">
        <v>2525</v>
      </c>
      <c r="P157" s="2385"/>
      <c r="Q157" s="2385"/>
      <c r="R157" s="2385"/>
      <c r="S157" s="2385"/>
      <c r="T157" s="2385"/>
      <c r="U157" s="2385"/>
      <c r="V157" s="2385"/>
      <c r="W157" s="2385"/>
      <c r="X157" s="2385"/>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484">
        <v>92008</v>
      </c>
      <c r="P158" s="2484"/>
      <c r="Q158" s="2484"/>
      <c r="R158" s="2484"/>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486">
        <v>7604342821</v>
      </c>
      <c r="P159" s="2486"/>
      <c r="Q159" s="2486"/>
      <c r="R159" s="2486"/>
      <c r="S159" s="2486"/>
      <c r="T159" s="2486"/>
      <c r="V159" s="146" t="s">
        <v>277</v>
      </c>
      <c r="W159" s="2485"/>
      <c r="X159" s="2485"/>
      <c r="Y159" s="16"/>
      <c r="Z159" s="16"/>
      <c r="AA159" s="16"/>
      <c r="AB159" s="16"/>
      <c r="AC159" s="16"/>
      <c r="AD159" s="16"/>
      <c r="AE159" s="16"/>
      <c r="AF159" s="16"/>
      <c r="BN159" s="36" t="s">
        <v>348</v>
      </c>
      <c r="BT159" s="12" t="s">
        <v>510</v>
      </c>
    </row>
    <row r="160" spans="1:96" ht="12.75">
      <c r="D160" s="32" t="s">
        <v>326</v>
      </c>
      <c r="F160" s="32"/>
      <c r="G160" s="32"/>
      <c r="H160" s="32"/>
      <c r="I160" s="32"/>
      <c r="J160" s="32"/>
      <c r="K160" s="32"/>
      <c r="L160" s="32"/>
      <c r="M160" s="32"/>
      <c r="N160" s="32"/>
      <c r="O160" s="2486"/>
      <c r="P160" s="2486"/>
      <c r="Q160" s="2486"/>
      <c r="R160" s="2486"/>
      <c r="S160" s="2486"/>
      <c r="T160" s="2486"/>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386" t="s">
        <v>2526</v>
      </c>
      <c r="P161" s="2386"/>
      <c r="Q161" s="2386"/>
      <c r="R161" s="2386"/>
      <c r="S161" s="2386"/>
      <c r="T161" s="2386"/>
      <c r="U161" s="2386"/>
      <c r="V161" s="2386"/>
      <c r="W161" s="2386"/>
      <c r="X161" s="2386"/>
      <c r="Y161" s="2386"/>
      <c r="Z161" s="2386"/>
      <c r="AA161" s="2386"/>
      <c r="AB161" s="2386"/>
      <c r="AC161" s="2386"/>
      <c r="AD161" s="2386"/>
      <c r="AE161" s="2386"/>
      <c r="AF161" s="2386"/>
      <c r="AG161" s="2386"/>
      <c r="AH161" s="2386"/>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505" t="s">
        <v>1455</v>
      </c>
      <c r="E164" s="2505"/>
      <c r="F164" s="2505"/>
      <c r="G164" s="2505"/>
      <c r="H164" s="2505"/>
      <c r="I164" s="2505"/>
      <c r="J164" s="2505"/>
      <c r="K164" s="2505"/>
      <c r="L164" s="2505"/>
      <c r="M164" s="2505"/>
      <c r="N164" s="2505"/>
      <c r="O164" s="2505"/>
      <c r="P164" s="2505"/>
      <c r="Q164" s="2505"/>
      <c r="R164" s="2505"/>
      <c r="S164" s="2505"/>
      <c r="T164" s="2505"/>
      <c r="U164" s="2505"/>
      <c r="V164" s="2505"/>
      <c r="W164" s="2505"/>
      <c r="X164" s="2505"/>
      <c r="Y164" s="2505"/>
      <c r="Z164" s="2505"/>
      <c r="AA164" s="2505"/>
      <c r="AB164" s="2505"/>
      <c r="AC164" s="2505"/>
      <c r="AD164" s="2505"/>
      <c r="AE164" s="2505"/>
      <c r="AF164" s="2505"/>
      <c r="AG164" s="2505"/>
      <c r="AH164" s="2505"/>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425" t="s">
        <v>571</v>
      </c>
      <c r="B169" s="2425"/>
      <c r="C169" s="2425"/>
      <c r="D169" s="2425"/>
      <c r="E169" s="2425"/>
      <c r="F169" s="2425"/>
      <c r="G169" s="2425"/>
      <c r="H169" s="2425"/>
      <c r="I169" s="2425"/>
      <c r="J169" s="2425"/>
      <c r="K169" s="2425"/>
      <c r="L169" s="2425"/>
      <c r="M169" s="2425"/>
      <c r="N169" s="2425"/>
      <c r="O169" s="2425"/>
      <c r="P169" s="2425"/>
      <c r="Q169" s="2425"/>
      <c r="R169" s="2425"/>
      <c r="S169" s="2425"/>
      <c r="T169" s="2425"/>
      <c r="U169" s="2425"/>
      <c r="V169" s="2425"/>
      <c r="W169" s="2425"/>
      <c r="X169" s="2425"/>
      <c r="Y169" s="2425"/>
      <c r="Z169" s="2425"/>
      <c r="AA169" s="2425"/>
      <c r="AB169" s="2425"/>
      <c r="AC169" s="2425"/>
      <c r="AD169" s="2425"/>
      <c r="AE169" s="2425"/>
      <c r="AF169" s="2425"/>
      <c r="AG169" s="2425"/>
      <c r="AH169" s="2425"/>
      <c r="AI169" s="2425"/>
      <c r="AJ169" s="2425"/>
      <c r="AK169" s="2425"/>
      <c r="AL169" s="2425"/>
      <c r="AM169" s="144"/>
      <c r="AN169" s="144"/>
      <c r="AO169" s="144"/>
      <c r="AP169" s="144"/>
      <c r="AQ169" s="144"/>
      <c r="AR169" s="144"/>
      <c r="AS169" s="144"/>
      <c r="AT169" s="144"/>
      <c r="AU169" s="144"/>
      <c r="AV169" s="144"/>
      <c r="AW169" s="144"/>
      <c r="AX169" s="144"/>
      <c r="AY169" s="144"/>
      <c r="BN169" s="36" t="s">
        <v>709</v>
      </c>
      <c r="BT169" s="12" t="s">
        <v>520</v>
      </c>
    </row>
    <row r="170" spans="1:72" ht="13.5" thickBot="1">
      <c r="A170" s="2426"/>
      <c r="B170" s="2426"/>
      <c r="C170" s="2426"/>
      <c r="D170" s="2426"/>
      <c r="E170" s="2426"/>
      <c r="F170" s="2426"/>
      <c r="G170" s="2426"/>
      <c r="H170" s="2426"/>
      <c r="I170" s="2426"/>
      <c r="J170" s="2426"/>
      <c r="K170" s="2426"/>
      <c r="L170" s="2426"/>
      <c r="M170" s="2426"/>
      <c r="N170" s="2426"/>
      <c r="O170" s="2426"/>
      <c r="P170" s="2426"/>
      <c r="Q170" s="2426"/>
      <c r="R170" s="2426"/>
      <c r="S170" s="2426"/>
      <c r="T170" s="2426"/>
      <c r="U170" s="2426"/>
      <c r="V170" s="2426"/>
      <c r="W170" s="2426"/>
      <c r="X170" s="2426"/>
      <c r="Y170" s="2426"/>
      <c r="Z170" s="2426"/>
      <c r="AA170" s="2426"/>
      <c r="AB170" s="2426"/>
      <c r="AC170" s="2426"/>
      <c r="AD170" s="2426"/>
      <c r="AE170" s="2426"/>
      <c r="AF170" s="2426"/>
      <c r="AG170" s="2426"/>
      <c r="AH170" s="2426"/>
      <c r="AI170" s="2426"/>
      <c r="AJ170" s="2426"/>
      <c r="AK170" s="2426"/>
      <c r="AL170" s="2426"/>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2.75">
      <c r="A173" s="25"/>
      <c r="C173" s="38"/>
      <c r="D173" s="39" t="s">
        <v>330</v>
      </c>
      <c r="J173" s="2489" t="s">
        <v>388</v>
      </c>
      <c r="K173" s="2489"/>
      <c r="L173" s="2489"/>
      <c r="M173" s="2489"/>
      <c r="N173" s="2489"/>
      <c r="O173" s="2489"/>
      <c r="P173" s="2489"/>
      <c r="Q173" s="2489"/>
      <c r="R173" s="2489"/>
      <c r="S173" s="2489"/>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2.75">
      <c r="A174" s="25"/>
      <c r="C174" s="38"/>
      <c r="D174" s="58" t="s">
        <v>1408</v>
      </c>
      <c r="E174" s="25"/>
      <c r="F174" s="25"/>
      <c r="G174" s="25"/>
      <c r="H174" s="25"/>
      <c r="I174" s="25"/>
      <c r="J174" s="2044" t="s">
        <v>2527</v>
      </c>
      <c r="K174" s="2044"/>
      <c r="L174" s="2044"/>
      <c r="M174" s="2044"/>
      <c r="N174" s="2044"/>
      <c r="O174" s="2044"/>
      <c r="P174" s="2044"/>
      <c r="Q174" s="2044"/>
      <c r="R174" s="2044"/>
      <c r="S174" s="2044"/>
      <c r="T174" s="2044"/>
      <c r="U174" s="2044"/>
      <c r="V174" s="2044"/>
      <c r="W174" s="2044"/>
      <c r="X174" s="2044"/>
      <c r="Y174" s="2044"/>
      <c r="Z174" s="2044"/>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2.75">
      <c r="A175" s="25"/>
      <c r="C175" s="13"/>
      <c r="D175" s="58" t="s">
        <v>331</v>
      </c>
      <c r="F175" s="719"/>
      <c r="G175" s="719"/>
      <c r="H175" s="719"/>
      <c r="I175" s="719"/>
      <c r="J175" s="719"/>
      <c r="K175" s="719"/>
      <c r="L175" s="719"/>
      <c r="M175" s="719"/>
      <c r="N175" s="719"/>
      <c r="O175" s="42"/>
      <c r="Q175" s="25"/>
      <c r="R175" s="25"/>
      <c r="T175" s="719"/>
      <c r="U175" s="2062" t="s">
        <v>705</v>
      </c>
      <c r="V175" s="2062"/>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81"/>
      <c r="V176" s="2081"/>
      <c r="W176" s="4" t="s">
        <v>315</v>
      </c>
      <c r="X176" s="2496"/>
      <c r="Y176" s="2496"/>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2.75">
      <c r="A177" s="25"/>
      <c r="B177" s="12"/>
      <c r="C177" s="43"/>
      <c r="D177" s="25" t="s">
        <v>255</v>
      </c>
      <c r="E177" s="12"/>
      <c r="F177" s="12"/>
      <c r="G177" s="12"/>
      <c r="H177" s="12"/>
      <c r="I177" s="12"/>
      <c r="J177" s="12"/>
      <c r="K177" s="12"/>
      <c r="L177" s="12"/>
      <c r="M177" s="25"/>
      <c r="N177" s="12"/>
      <c r="O177" s="12"/>
      <c r="P177" s="12"/>
      <c r="Q177" s="12"/>
      <c r="R177" s="2062" t="s">
        <v>705</v>
      </c>
      <c r="S177" s="2062"/>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16"/>
      <c r="AG178" s="2316"/>
      <c r="AH178" s="4" t="s">
        <v>315</v>
      </c>
      <c r="AI178" s="2455"/>
      <c r="AJ178" s="2455"/>
      <c r="AK178" s="2455"/>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464</v>
      </c>
      <c r="E180" s="25"/>
      <c r="X180" s="2062" t="s">
        <v>705</v>
      </c>
      <c r="Y180" s="2062"/>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612</v>
      </c>
      <c r="E184" s="25"/>
      <c r="F184" s="25"/>
      <c r="G184" s="25"/>
      <c r="H184" s="25"/>
      <c r="I184" s="2048" t="str">
        <f>H18</f>
        <v>Pacific Wind Apartments</v>
      </c>
      <c r="J184" s="2048"/>
      <c r="K184" s="2048"/>
      <c r="L184" s="2048"/>
      <c r="M184" s="2048"/>
      <c r="N184" s="2048"/>
      <c r="O184" s="2048"/>
      <c r="P184" s="2048"/>
      <c r="Q184" s="2048"/>
      <c r="R184" s="2048"/>
      <c r="S184" s="2048"/>
      <c r="T184" s="2048"/>
      <c r="U184" s="2048"/>
      <c r="V184" s="2048"/>
      <c r="W184" s="2048"/>
      <c r="X184" s="2048"/>
      <c r="Y184" s="2048"/>
      <c r="Z184" s="2048"/>
      <c r="AA184" s="2048"/>
      <c r="AB184" s="2048"/>
      <c r="AC184" s="2048"/>
      <c r="AD184" s="2048"/>
      <c r="AE184" s="2048"/>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2.75">
      <c r="A185" s="25"/>
      <c r="C185" s="45"/>
      <c r="D185" s="25" t="s">
        <v>613</v>
      </c>
      <c r="E185" s="25"/>
      <c r="F185" s="25"/>
      <c r="G185" s="25"/>
      <c r="H185" s="25"/>
      <c r="I185" s="2090" t="s">
        <v>2724</v>
      </c>
      <c r="J185" s="2307"/>
      <c r="K185" s="2307"/>
      <c r="L185" s="2307"/>
      <c r="M185" s="2307"/>
      <c r="N185" s="2307"/>
      <c r="O185" s="2307"/>
      <c r="P185" s="2307"/>
      <c r="Q185" s="2307"/>
      <c r="R185" s="2307"/>
      <c r="S185" s="2307"/>
      <c r="T185" s="2307"/>
      <c r="U185" s="2307"/>
      <c r="V185" s="2307"/>
      <c r="W185" s="2307"/>
      <c r="X185" s="2307"/>
      <c r="Y185" s="2307"/>
      <c r="Z185" s="2307"/>
      <c r="AA185" s="2307"/>
      <c r="AB185" s="2307"/>
      <c r="AC185" s="2307"/>
      <c r="AD185" s="2307"/>
      <c r="AE185" s="2307"/>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78"/>
      <c r="F187" s="2478"/>
      <c r="G187" s="2478"/>
      <c r="H187" s="2478"/>
      <c r="I187" s="2478"/>
      <c r="J187" s="2478"/>
      <c r="K187" s="2478"/>
      <c r="L187" s="2478"/>
      <c r="M187" s="2478"/>
      <c r="N187" s="2478"/>
      <c r="O187" s="2478"/>
      <c r="P187" s="2478"/>
      <c r="Q187" s="2478"/>
      <c r="R187" s="2478"/>
      <c r="S187" s="2478"/>
      <c r="T187" s="2478"/>
      <c r="U187" s="2478"/>
      <c r="V187" s="2478"/>
      <c r="W187" s="2478"/>
      <c r="X187" s="2478"/>
      <c r="Y187" s="2478"/>
      <c r="Z187" s="2478"/>
      <c r="AA187" s="2478"/>
      <c r="AB187" s="2478"/>
      <c r="AC187" s="2478"/>
      <c r="AD187" s="2478"/>
      <c r="AE187" s="2478"/>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79"/>
      <c r="F188" s="2479"/>
      <c r="G188" s="2479"/>
      <c r="H188" s="2479"/>
      <c r="I188" s="2479"/>
      <c r="J188" s="2479"/>
      <c r="K188" s="2479"/>
      <c r="L188" s="2479"/>
      <c r="M188" s="2479"/>
      <c r="N188" s="2479"/>
      <c r="O188" s="2479"/>
      <c r="P188" s="2479"/>
      <c r="Q188" s="2479"/>
      <c r="R188" s="2479"/>
      <c r="S188" s="2479"/>
      <c r="T188" s="2479"/>
      <c r="U188" s="2479"/>
      <c r="V188" s="2479"/>
      <c r="W188" s="2479"/>
      <c r="X188" s="2479"/>
      <c r="Y188" s="2479"/>
      <c r="Z188" s="2479"/>
      <c r="AA188" s="2479"/>
      <c r="AB188" s="2479"/>
      <c r="AC188" s="2479"/>
      <c r="AD188" s="2479"/>
      <c r="AE188" s="2479"/>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614</v>
      </c>
      <c r="E189" s="25"/>
      <c r="I189" s="2044" t="s">
        <v>2525</v>
      </c>
      <c r="J189" s="2044"/>
      <c r="K189" s="2044"/>
      <c r="L189" s="2044"/>
      <c r="M189" s="2044"/>
      <c r="N189" s="2044"/>
      <c r="O189" s="2044"/>
      <c r="P189" s="2044"/>
      <c r="Q189" s="25" t="s">
        <v>616</v>
      </c>
      <c r="T189" s="2044" t="s">
        <v>769</v>
      </c>
      <c r="U189" s="2044"/>
      <c r="V189" s="2044"/>
      <c r="W189" s="2044"/>
      <c r="X189" s="2044"/>
      <c r="Y189" s="2044"/>
      <c r="Z189" s="2044"/>
      <c r="AA189" s="2044"/>
      <c r="AB189" s="2044"/>
      <c r="AC189" s="2044"/>
      <c r="AD189" s="2044"/>
      <c r="AE189" s="2044"/>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2.75">
      <c r="A190" s="25"/>
      <c r="C190" s="46"/>
      <c r="D190" s="25" t="s">
        <v>617</v>
      </c>
      <c r="E190" s="25"/>
      <c r="F190" s="25"/>
      <c r="G190" s="25"/>
      <c r="I190" s="2307">
        <v>92008</v>
      </c>
      <c r="J190" s="2307"/>
      <c r="K190" s="2307"/>
      <c r="L190" s="2307"/>
      <c r="M190" s="2307"/>
      <c r="N190" s="2307"/>
      <c r="O190" s="25" t="s">
        <v>619</v>
      </c>
      <c r="P190" s="25"/>
      <c r="Q190" s="25"/>
      <c r="R190" s="25"/>
      <c r="S190" s="25"/>
      <c r="T190" s="2494">
        <v>179</v>
      </c>
      <c r="U190" s="2494"/>
      <c r="V190" s="2494"/>
      <c r="W190" s="2494"/>
      <c r="X190" s="2494"/>
      <c r="Y190" s="2494"/>
      <c r="Z190" s="2494"/>
      <c r="AA190" s="2494"/>
      <c r="AB190" s="2494"/>
      <c r="AC190" s="2494"/>
      <c r="AD190" s="2494"/>
      <c r="AE190" s="2494"/>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2.75">
      <c r="A191" s="25"/>
      <c r="C191" s="46"/>
      <c r="D191" s="25" t="s">
        <v>494</v>
      </c>
      <c r="E191" s="25"/>
      <c r="F191" s="25"/>
      <c r="G191" s="25"/>
      <c r="H191" s="25"/>
      <c r="I191" s="25"/>
      <c r="J191" s="25"/>
      <c r="K191" s="25"/>
      <c r="L191" s="25"/>
      <c r="M191" s="25"/>
      <c r="N191" s="2478" t="s">
        <v>2674</v>
      </c>
      <c r="O191" s="2478"/>
      <c r="P191" s="2478"/>
      <c r="Q191" s="2478"/>
      <c r="R191" s="2478"/>
      <c r="S191" s="2478"/>
      <c r="T191" s="2478"/>
      <c r="U191" s="2478"/>
      <c r="V191" s="2478"/>
      <c r="W191" s="2478"/>
      <c r="X191" s="2478"/>
      <c r="Y191" s="2478"/>
      <c r="Z191" s="2478"/>
      <c r="AA191" s="2478"/>
      <c r="AB191" s="2478"/>
      <c r="AC191" s="2478"/>
      <c r="AD191" s="2478"/>
      <c r="AE191" s="2478"/>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2.75">
      <c r="A192" s="25"/>
      <c r="C192" s="46"/>
      <c r="D192" s="25"/>
      <c r="E192" s="25"/>
      <c r="F192" s="25"/>
      <c r="G192" s="25"/>
      <c r="H192" s="25"/>
      <c r="I192" s="25"/>
      <c r="J192" s="25"/>
      <c r="K192" s="25"/>
      <c r="L192" s="25"/>
      <c r="M192" s="170"/>
      <c r="N192" s="2479"/>
      <c r="O192" s="2479"/>
      <c r="P192" s="2479"/>
      <c r="Q192" s="2479"/>
      <c r="R192" s="2479"/>
      <c r="S192" s="2479"/>
      <c r="T192" s="2479"/>
      <c r="U192" s="2479"/>
      <c r="V192" s="2479"/>
      <c r="W192" s="2479"/>
      <c r="X192" s="2479"/>
      <c r="Y192" s="2479"/>
      <c r="Z192" s="2479"/>
      <c r="AA192" s="2479"/>
      <c r="AB192" s="2479"/>
      <c r="AC192" s="2479"/>
      <c r="AD192" s="2479"/>
      <c r="AE192" s="2479"/>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726</v>
      </c>
      <c r="BT192" s="12" t="s">
        <v>768</v>
      </c>
    </row>
    <row r="193" spans="1:96" ht="12.75">
      <c r="A193" s="25"/>
      <c r="B193" s="719"/>
      <c r="C193" s="46"/>
      <c r="D193" s="687" t="s">
        <v>2013</v>
      </c>
      <c r="E193" s="25"/>
      <c r="F193" s="25"/>
      <c r="G193" s="25"/>
      <c r="H193" s="25"/>
      <c r="I193" s="25"/>
      <c r="J193" s="25"/>
      <c r="K193" s="25"/>
      <c r="L193" s="25"/>
      <c r="M193" s="170"/>
      <c r="N193" s="1517"/>
      <c r="O193" s="1517"/>
      <c r="P193" s="1517"/>
      <c r="Q193" s="1517"/>
      <c r="R193" s="1517"/>
      <c r="S193" s="1517"/>
      <c r="T193" s="2497" t="s">
        <v>2528</v>
      </c>
      <c r="U193" s="2497"/>
      <c r="V193" s="2497"/>
      <c r="W193" s="2497"/>
      <c r="X193" s="2497"/>
      <c r="Y193" s="2497"/>
      <c r="Z193" s="2497"/>
      <c r="AA193" s="2497"/>
      <c r="AB193" s="2497"/>
      <c r="AC193" s="2497"/>
      <c r="AD193" s="2497"/>
      <c r="AE193" s="2497"/>
      <c r="AF193" s="2497"/>
      <c r="AG193" s="2497"/>
      <c r="AH193" s="2497"/>
      <c r="AI193" s="2497"/>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62" t="s">
        <v>577</v>
      </c>
      <c r="U194" s="2062"/>
      <c r="W194" s="25" t="s">
        <v>721</v>
      </c>
      <c r="X194" s="25"/>
      <c r="Y194" s="25"/>
      <c r="Z194" s="25"/>
      <c r="AA194" s="25"/>
      <c r="AB194" s="25"/>
      <c r="AC194" s="25"/>
      <c r="AD194" s="25"/>
      <c r="AE194" s="25"/>
      <c r="AF194" s="25"/>
      <c r="AG194" s="25"/>
      <c r="AH194" s="2062">
        <v>49</v>
      </c>
      <c r="AI194" s="2062"/>
      <c r="AJ194" s="3"/>
      <c r="AK194" s="3"/>
      <c r="AL194" s="3"/>
      <c r="AM194" s="681"/>
      <c r="AN194" s="681"/>
      <c r="AO194" s="681"/>
      <c r="AP194" s="681"/>
      <c r="AQ194" s="681"/>
      <c r="AR194" s="681"/>
      <c r="AS194" s="681"/>
      <c r="AT194" s="681"/>
      <c r="AU194" s="681"/>
      <c r="AV194" s="681"/>
      <c r="AW194" s="681"/>
      <c r="AX194" s="681"/>
      <c r="AY194" s="681"/>
      <c r="BC194" s="719" t="s">
        <v>1634</v>
      </c>
      <c r="BN194" s="36" t="s">
        <v>728</v>
      </c>
      <c r="BT194" s="12" t="s">
        <v>770</v>
      </c>
    </row>
    <row r="195" spans="1:96" s="719" customFormat="1" ht="12.75">
      <c r="A195" s="25"/>
      <c r="B195" s="12"/>
      <c r="C195" s="46"/>
      <c r="D195" s="25" t="s">
        <v>403</v>
      </c>
      <c r="E195" s="25"/>
      <c r="F195" s="25"/>
      <c r="G195" s="25"/>
      <c r="H195" s="25"/>
      <c r="I195" s="25"/>
      <c r="J195" s="25"/>
      <c r="K195" s="25"/>
      <c r="L195" s="25"/>
      <c r="M195" s="25"/>
      <c r="N195" s="25"/>
      <c r="O195" s="25"/>
      <c r="P195" s="25"/>
      <c r="Q195" s="25"/>
      <c r="R195" s="25"/>
      <c r="S195" s="12"/>
      <c r="T195" s="2273" t="s">
        <v>705</v>
      </c>
      <c r="U195" s="2273"/>
      <c r="V195" s="12"/>
      <c r="W195" s="25" t="s">
        <v>722</v>
      </c>
      <c r="X195" s="25"/>
      <c r="Y195" s="25"/>
      <c r="Z195" s="25"/>
      <c r="AA195" s="25"/>
      <c r="AB195" s="25"/>
      <c r="AC195" s="25"/>
      <c r="AD195" s="25"/>
      <c r="AE195" s="25"/>
      <c r="AF195" s="25"/>
      <c r="AG195" s="25"/>
      <c r="AH195" s="2062">
        <v>76</v>
      </c>
      <c r="AI195" s="2062"/>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273" t="s">
        <v>705</v>
      </c>
      <c r="U196" s="2273"/>
      <c r="W196" s="25" t="s">
        <v>723</v>
      </c>
      <c r="X196" s="25"/>
      <c r="Y196" s="25"/>
      <c r="Z196" s="25"/>
      <c r="AA196" s="25"/>
      <c r="AB196" s="25"/>
      <c r="AC196" s="25"/>
      <c r="AD196" s="25"/>
      <c r="AE196" s="25"/>
      <c r="AF196" s="25"/>
      <c r="AG196" s="25"/>
      <c r="AH196" s="2062">
        <v>36</v>
      </c>
      <c r="AI196" s="2062"/>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273"/>
      <c r="U197" s="2273"/>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62" t="s">
        <v>705</v>
      </c>
      <c r="Z198" s="2062"/>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3"/>
      <c r="AI199" s="1783"/>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201</v>
      </c>
    </row>
    <row r="203" spans="1:96" ht="12.75" customHeight="1">
      <c r="A203" s="25"/>
      <c r="C203" s="25"/>
      <c r="D203" s="2048" t="s">
        <v>402</v>
      </c>
      <c r="E203" s="2048"/>
      <c r="F203" s="2048"/>
      <c r="G203" s="2048"/>
      <c r="H203" s="2048"/>
      <c r="I203" s="2048"/>
      <c r="J203" s="2048"/>
      <c r="K203" s="2048"/>
      <c r="L203" s="2048"/>
      <c r="M203" s="2048"/>
      <c r="P203" s="2469">
        <f>M26</f>
        <v>2119515</v>
      </c>
      <c r="Q203" s="2470"/>
      <c r="R203" s="2470"/>
      <c r="S203" s="2470"/>
      <c r="T203" s="2470"/>
      <c r="U203" s="2470"/>
      <c r="V203" s="25"/>
      <c r="W203" s="25"/>
      <c r="X203" s="25"/>
      <c r="Y203" s="25"/>
      <c r="Z203" s="2490" t="s">
        <v>2529</v>
      </c>
      <c r="AA203" s="2490"/>
      <c r="AB203" s="2490"/>
      <c r="AC203" s="2490"/>
      <c r="AD203" s="2490"/>
      <c r="AE203" s="2490"/>
      <c r="AF203" s="2490"/>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202</v>
      </c>
    </row>
    <row r="204" spans="1:96" ht="12.75" customHeight="1">
      <c r="A204" s="25"/>
      <c r="C204" s="45"/>
      <c r="D204" s="2498" t="s">
        <v>1476</v>
      </c>
      <c r="E204" s="2048"/>
      <c r="F204" s="2048"/>
      <c r="G204" s="2048"/>
      <c r="H204" s="2048"/>
      <c r="I204" s="2048"/>
      <c r="J204" s="2048"/>
      <c r="K204" s="2048"/>
      <c r="L204" s="2048"/>
      <c r="M204" s="2048"/>
      <c r="P204" s="2470">
        <f>M27</f>
        <v>11051019</v>
      </c>
      <c r="Q204" s="2470"/>
      <c r="R204" s="2470"/>
      <c r="S204" s="2470"/>
      <c r="T204" s="2470"/>
      <c r="U204" s="2470"/>
      <c r="V204" s="47"/>
      <c r="W204" s="58" t="s">
        <v>2218</v>
      </c>
      <c r="Z204" s="2490"/>
      <c r="AA204" s="2490"/>
      <c r="AB204" s="2490"/>
      <c r="AC204" s="2490"/>
      <c r="AD204" s="2490"/>
      <c r="AE204" s="2490"/>
      <c r="AF204" s="2490"/>
      <c r="AG204" s="25" t="s">
        <v>1477</v>
      </c>
      <c r="AH204" s="25"/>
      <c r="AI204" s="25"/>
      <c r="AJ204" s="25"/>
      <c r="AK204" s="25"/>
      <c r="AL204" s="25"/>
      <c r="AM204" s="25"/>
      <c r="AN204" s="25"/>
      <c r="AO204" s="25"/>
      <c r="AP204" s="2062" t="s">
        <v>705</v>
      </c>
      <c r="AQ204" s="2062"/>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91"/>
      <c r="AA205" s="2491"/>
      <c r="AB205" s="2491"/>
      <c r="AC205" s="2491"/>
      <c r="AD205" s="2491"/>
      <c r="AE205" s="2491"/>
      <c r="AF205" s="2491"/>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75">
      <c r="A207" s="25"/>
      <c r="C207" s="45"/>
      <c r="D207" s="2385" t="s">
        <v>2530</v>
      </c>
      <c r="E207" s="2385"/>
      <c r="F207" s="2385"/>
      <c r="G207" s="2385"/>
      <c r="H207" s="2385"/>
      <c r="I207" s="2385"/>
      <c r="J207" s="2385"/>
      <c r="K207" s="2385"/>
      <c r="L207" s="2385"/>
      <c r="M207" s="238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75">
      <c r="A209" s="50" t="s">
        <v>624</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2.75">
      <c r="C210" s="45"/>
      <c r="D210" s="2385" t="s">
        <v>1154</v>
      </c>
      <c r="E210" s="2385"/>
      <c r="F210" s="2385"/>
      <c r="G210" s="2385"/>
      <c r="H210" s="2385"/>
      <c r="I210" s="2385"/>
      <c r="J210" s="2385"/>
      <c r="K210" s="2385"/>
      <c r="L210" s="2385"/>
      <c r="M210" s="2385"/>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62"/>
      <c r="Z211" s="2062"/>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79" t="s">
        <v>625</v>
      </c>
      <c r="E213" s="2579"/>
      <c r="F213" s="2579"/>
      <c r="G213" s="2579"/>
      <c r="H213" s="2579"/>
      <c r="I213" s="2579"/>
      <c r="J213" s="2579"/>
      <c r="K213" s="2579"/>
      <c r="L213" s="2579"/>
      <c r="M213" s="2579"/>
      <c r="N213" s="2579"/>
      <c r="O213" s="2579"/>
      <c r="P213" s="2579"/>
      <c r="Q213" s="2579"/>
      <c r="R213" s="2579"/>
      <c r="S213" s="2579"/>
      <c r="T213" s="2579"/>
      <c r="U213" s="2579"/>
      <c r="V213" s="2579"/>
      <c r="W213" s="2579"/>
      <c r="X213" s="2579"/>
      <c r="Y213" s="2579"/>
      <c r="Z213" s="2579"/>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2.75">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58"/>
      <c r="AC214" s="2558"/>
      <c r="AD214" s="2558"/>
      <c r="AE214" s="2558"/>
      <c r="AF214" s="2558"/>
      <c r="AG214" s="2558"/>
      <c r="AH214" s="2558"/>
      <c r="AI214" s="2558"/>
      <c r="AJ214" s="2558"/>
      <c r="AK214" s="2558"/>
      <c r="AL214" s="2558"/>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2004</v>
      </c>
      <c r="Z215" s="69"/>
      <c r="AB215" s="2558"/>
      <c r="AC215" s="2558"/>
      <c r="AD215" s="2558"/>
      <c r="AE215" s="2558"/>
      <c r="AF215" s="2558"/>
      <c r="AG215" s="2558"/>
      <c r="AH215" s="2558"/>
      <c r="AI215" s="2558"/>
      <c r="AJ215" s="2558"/>
      <c r="AK215" s="2558"/>
      <c r="AL215" s="2558"/>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385" t="s">
        <v>645</v>
      </c>
      <c r="E219" s="2385"/>
      <c r="F219" s="2385"/>
      <c r="G219" s="2385"/>
      <c r="H219" s="2385"/>
      <c r="I219" s="2385"/>
      <c r="J219" s="2385"/>
      <c r="K219" s="2385"/>
      <c r="L219" s="2385"/>
      <c r="M219" s="2385"/>
      <c r="N219" s="2385"/>
      <c r="O219" s="2385"/>
      <c r="P219" s="2385"/>
      <c r="Q219" s="2385"/>
      <c r="R219" s="2385"/>
      <c r="S219" s="2385"/>
      <c r="T219" s="2385"/>
      <c r="U219" s="2385"/>
      <c r="V219" s="2385"/>
      <c r="W219" s="2385"/>
      <c r="X219" s="2385"/>
      <c r="Y219" s="2385"/>
      <c r="Z219" s="2385"/>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425" t="s">
        <v>572</v>
      </c>
      <c r="B221" s="2425"/>
      <c r="C221" s="2425"/>
      <c r="D221" s="2425"/>
      <c r="E221" s="2425"/>
      <c r="F221" s="2425"/>
      <c r="G221" s="2425"/>
      <c r="H221" s="2425"/>
      <c r="I221" s="2425"/>
      <c r="J221" s="2425"/>
      <c r="K221" s="2425"/>
      <c r="L221" s="2425"/>
      <c r="M221" s="2425"/>
      <c r="N221" s="2425"/>
      <c r="O221" s="2425"/>
      <c r="P221" s="2425"/>
      <c r="Q221" s="2425"/>
      <c r="R221" s="2425"/>
      <c r="S221" s="2425"/>
      <c r="T221" s="2425"/>
      <c r="U221" s="2425"/>
      <c r="V221" s="2425"/>
      <c r="W221" s="2425"/>
      <c r="X221" s="2425"/>
      <c r="Y221" s="2425"/>
      <c r="Z221" s="2425"/>
      <c r="AA221" s="2425"/>
      <c r="AB221" s="2425"/>
      <c r="AC221" s="2425"/>
      <c r="AD221" s="2425"/>
      <c r="AE221" s="2425"/>
      <c r="AF221" s="2425"/>
      <c r="AG221" s="2425"/>
      <c r="AH221" s="2425"/>
      <c r="AI221" s="2425"/>
      <c r="AJ221" s="2425"/>
      <c r="AK221" s="2425"/>
      <c r="AL221" s="2425"/>
      <c r="AM221" s="144"/>
      <c r="AN221" s="144"/>
      <c r="AO221" s="144"/>
      <c r="AP221" s="144"/>
      <c r="AQ221" s="144"/>
      <c r="AR221" s="144"/>
      <c r="AS221" s="144"/>
      <c r="AT221" s="144"/>
      <c r="AU221" s="144"/>
      <c r="AV221" s="144"/>
      <c r="AW221" s="144"/>
      <c r="AX221" s="144"/>
      <c r="AY221" s="144"/>
      <c r="BA221" s="58"/>
    </row>
    <row r="222" spans="1:96" ht="13.5" thickBot="1">
      <c r="A222" s="2426"/>
      <c r="B222" s="2426"/>
      <c r="C222" s="2426"/>
      <c r="D222" s="2426"/>
      <c r="E222" s="2426"/>
      <c r="F222" s="2426"/>
      <c r="G222" s="2426"/>
      <c r="H222" s="2426"/>
      <c r="I222" s="2426"/>
      <c r="J222" s="2426"/>
      <c r="K222" s="2426"/>
      <c r="L222" s="2426"/>
      <c r="M222" s="2426"/>
      <c r="N222" s="2426"/>
      <c r="O222" s="2426"/>
      <c r="P222" s="2426"/>
      <c r="Q222" s="2426"/>
      <c r="R222" s="2426"/>
      <c r="S222" s="2426"/>
      <c r="T222" s="2426"/>
      <c r="U222" s="2426"/>
      <c r="V222" s="2426"/>
      <c r="W222" s="2426"/>
      <c r="X222" s="2426"/>
      <c r="Y222" s="2426"/>
      <c r="Z222" s="2426"/>
      <c r="AA222" s="2426"/>
      <c r="AB222" s="2426"/>
      <c r="AC222" s="2426"/>
      <c r="AD222" s="2426"/>
      <c r="AE222" s="2426"/>
      <c r="AF222" s="2426"/>
      <c r="AG222" s="2426"/>
      <c r="AH222" s="2426"/>
      <c r="AI222" s="2426"/>
      <c r="AJ222" s="2426"/>
      <c r="AK222" s="2426"/>
      <c r="AL222" s="242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62" t="s">
        <v>577</v>
      </c>
      <c r="AJ225" s="2062"/>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62" t="s">
        <v>625</v>
      </c>
      <c r="AJ226" s="2062"/>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62" t="s">
        <v>625</v>
      </c>
      <c r="AJ227" s="2062"/>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62" t="s">
        <v>625</v>
      </c>
      <c r="AJ228" s="2062"/>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2.75">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2</v>
      </c>
      <c r="BO230" s="61"/>
    </row>
    <row r="231" spans="1:69" ht="12.75">
      <c r="D231" s="57" t="s">
        <v>502</v>
      </c>
      <c r="E231" s="57"/>
      <c r="F231" s="57"/>
      <c r="G231" s="57"/>
      <c r="H231" s="57"/>
      <c r="I231" s="57"/>
      <c r="J231" s="57"/>
      <c r="K231" s="7"/>
      <c r="M231" s="2495" t="str">
        <f>H16</f>
        <v>Harding Street Neighbors, LP</v>
      </c>
      <c r="N231" s="2495"/>
      <c r="O231" s="2495"/>
      <c r="P231" s="2495"/>
      <c r="Q231" s="2495"/>
      <c r="R231" s="2495"/>
      <c r="S231" s="2495"/>
      <c r="T231" s="2495"/>
      <c r="U231" s="2495"/>
      <c r="V231" s="2495"/>
      <c r="W231" s="2495"/>
      <c r="X231" s="2495"/>
      <c r="Y231" s="2495"/>
      <c r="Z231" s="2495"/>
      <c r="AA231" s="2495"/>
      <c r="AB231" s="2495"/>
      <c r="AC231" s="2495"/>
      <c r="AD231" s="2495"/>
      <c r="AE231" s="2495"/>
      <c r="AF231" s="2495"/>
      <c r="AG231" s="2495"/>
      <c r="AH231" s="2495"/>
      <c r="AI231" s="2495"/>
      <c r="AJ231" s="2495"/>
      <c r="AK231" s="2495"/>
      <c r="BA231" s="58"/>
      <c r="BB231" s="384"/>
      <c r="BG231" s="387"/>
      <c r="BQ231" s="61"/>
    </row>
    <row r="232" spans="1:69" ht="12.75">
      <c r="D232" s="57" t="s">
        <v>90</v>
      </c>
      <c r="E232" s="57"/>
      <c r="F232" s="57"/>
      <c r="G232" s="57"/>
      <c r="H232" s="57"/>
      <c r="I232" s="57"/>
      <c r="J232" s="57"/>
      <c r="K232" s="7"/>
      <c r="M232" s="2315" t="s">
        <v>2531</v>
      </c>
      <c r="N232" s="2385"/>
      <c r="O232" s="2385"/>
      <c r="P232" s="2385"/>
      <c r="Q232" s="2385"/>
      <c r="R232" s="2385"/>
      <c r="S232" s="2385"/>
      <c r="T232" s="2385"/>
      <c r="U232" s="2385"/>
      <c r="V232" s="2385"/>
      <c r="W232" s="2385"/>
      <c r="X232" s="2385"/>
      <c r="Y232" s="2385"/>
      <c r="Z232" s="2385"/>
      <c r="AA232" s="2385"/>
      <c r="AB232" s="2385"/>
      <c r="AC232" s="2385"/>
      <c r="AD232" s="2385"/>
      <c r="AE232" s="2385"/>
      <c r="AZ232" s="7"/>
      <c r="BA232" s="58"/>
      <c r="BB232" s="334" t="s">
        <v>570</v>
      </c>
      <c r="BG232" s="389">
        <f>IF(AND(AND($M$248="nonprofit",$M$256="nonprofit",$M$264="for profit")),2,0)</f>
        <v>0</v>
      </c>
      <c r="BQ232" s="61"/>
    </row>
    <row r="233" spans="1:69" ht="12.75">
      <c r="D233" s="57" t="s">
        <v>614</v>
      </c>
      <c r="E233" s="57"/>
      <c r="M233" s="2315" t="s">
        <v>2532</v>
      </c>
      <c r="N233" s="2385"/>
      <c r="O233" s="2385"/>
      <c r="P233" s="2385"/>
      <c r="Q233" s="2385"/>
      <c r="R233" s="2385"/>
      <c r="S233" s="2385"/>
      <c r="T233" s="2385"/>
      <c r="V233" s="59" t="s">
        <v>91</v>
      </c>
      <c r="W233" s="2090" t="s">
        <v>2533</v>
      </c>
      <c r="X233" s="2098"/>
      <c r="Y233" s="57" t="s">
        <v>617</v>
      </c>
      <c r="AC233" s="2385">
        <v>92705</v>
      </c>
      <c r="AD233" s="2385"/>
      <c r="AE233" s="2385"/>
      <c r="BB233" s="334" t="s">
        <v>570</v>
      </c>
      <c r="BG233" s="389">
        <f>IF(AND(AND($M$248="nonprofit",$M$256="for profit",$M$264="nonprofit")),2,0)</f>
        <v>0</v>
      </c>
    </row>
    <row r="234" spans="1:69" ht="12.75">
      <c r="D234" s="60" t="s">
        <v>92</v>
      </c>
      <c r="E234" s="7"/>
      <c r="F234" s="7"/>
      <c r="G234" s="7"/>
      <c r="H234" s="7"/>
      <c r="I234" s="7"/>
      <c r="J234" s="7"/>
      <c r="K234" s="29"/>
      <c r="M234" s="2315" t="s">
        <v>2539</v>
      </c>
      <c r="N234" s="2385"/>
      <c r="O234" s="2385"/>
      <c r="P234" s="2385"/>
      <c r="Q234" s="2385"/>
      <c r="R234" s="2385"/>
      <c r="S234" s="2385"/>
      <c r="T234" s="2385"/>
      <c r="U234" s="2385"/>
      <c r="V234" s="2385"/>
      <c r="W234" s="2385"/>
      <c r="X234" s="2385"/>
      <c r="Y234" s="2385"/>
      <c r="Z234" s="2385"/>
      <c r="AA234" s="2385"/>
      <c r="AB234" s="2385"/>
      <c r="AC234" s="2385"/>
      <c r="AD234" s="2385"/>
      <c r="AE234" s="2385"/>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089">
        <v>9498639740</v>
      </c>
      <c r="N235" s="2089"/>
      <c r="O235" s="2089"/>
      <c r="P235" s="2089"/>
      <c r="Q235" s="2089"/>
      <c r="R235" s="2089"/>
      <c r="S235" s="7" t="s">
        <v>212</v>
      </c>
      <c r="T235" s="7"/>
      <c r="U235" s="2098"/>
      <c r="V235" s="2098"/>
      <c r="W235" s="2098"/>
      <c r="X235" s="7" t="s">
        <v>94</v>
      </c>
      <c r="Z235" s="2089"/>
      <c r="AA235" s="2089"/>
      <c r="AB235" s="2089"/>
      <c r="AC235" s="2089"/>
      <c r="AD235" s="2089"/>
      <c r="AE235" s="2089"/>
      <c r="BB235" s="385"/>
      <c r="BG235" s="386"/>
    </row>
    <row r="236" spans="1:69" ht="12.75">
      <c r="D236" s="60" t="s">
        <v>95</v>
      </c>
      <c r="E236" s="7"/>
      <c r="F236" s="7"/>
      <c r="M236" s="2386" t="s">
        <v>2540</v>
      </c>
      <c r="N236" s="2386"/>
      <c r="O236" s="2386"/>
      <c r="P236" s="2386"/>
      <c r="Q236" s="2386"/>
      <c r="R236" s="2386"/>
      <c r="S236" s="2386"/>
      <c r="T236" s="2386"/>
      <c r="U236" s="2386"/>
      <c r="V236" s="2386"/>
      <c r="W236" s="2386"/>
      <c r="X236" s="2386"/>
      <c r="Y236" s="2386"/>
      <c r="Z236" s="2386"/>
      <c r="AA236" s="2386"/>
      <c r="AB236" s="2386"/>
      <c r="AC236" s="2386"/>
      <c r="AD236" s="2386"/>
      <c r="AE236" s="238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307" t="s">
        <v>560</v>
      </c>
      <c r="N237" s="2307"/>
      <c r="O237" s="2307"/>
      <c r="P237" s="2307"/>
      <c r="Q237" s="2307"/>
      <c r="R237" s="2307"/>
      <c r="S237" s="2307"/>
      <c r="T237" s="2307"/>
      <c r="U237" s="387" t="s">
        <v>974</v>
      </c>
      <c r="V237" s="325"/>
      <c r="W237" s="325"/>
      <c r="X237" s="325"/>
      <c r="Y237" s="325"/>
      <c r="Z237" s="325"/>
      <c r="AA237" s="2481" t="s">
        <v>2735</v>
      </c>
      <c r="AB237" s="2482"/>
      <c r="AC237" s="2482"/>
      <c r="AD237" s="2482"/>
      <c r="AE237" s="2482"/>
      <c r="AF237" s="2482"/>
      <c r="AG237" s="2482"/>
      <c r="AH237" s="2482"/>
      <c r="AI237" s="2482"/>
      <c r="AJ237" s="2482"/>
      <c r="AK237" s="2482"/>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44"/>
      <c r="N238" s="2044"/>
      <c r="O238" s="2044"/>
      <c r="P238" s="2044"/>
      <c r="Q238" s="2044"/>
      <c r="R238" s="2044"/>
      <c r="S238" s="2044"/>
      <c r="T238" s="2044"/>
      <c r="U238" s="2044"/>
      <c r="V238" s="2044"/>
      <c r="W238" s="2044"/>
      <c r="X238" s="2044"/>
      <c r="Y238" s="2044"/>
      <c r="Z238" s="2044"/>
      <c r="AA238" s="2044"/>
      <c r="AB238" s="2044"/>
      <c r="AC238" s="2044"/>
      <c r="AD238" s="2044"/>
      <c r="AE238" s="204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1382</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473" t="s">
        <v>2538</v>
      </c>
      <c r="N242" s="2474"/>
      <c r="O242" s="2474"/>
      <c r="P242" s="2474"/>
      <c r="Q242" s="2474"/>
      <c r="R242" s="2474"/>
      <c r="S242" s="2474"/>
      <c r="T242" s="2474"/>
      <c r="U242" s="2474"/>
      <c r="V242" s="2474"/>
      <c r="W242" s="2474"/>
      <c r="X242" s="2474"/>
      <c r="Y242" s="2474"/>
      <c r="Z242" s="2474"/>
      <c r="AA242" s="2474"/>
      <c r="AB242" s="2474"/>
      <c r="AC242" s="2474"/>
      <c r="AD242" s="2474"/>
      <c r="AE242" s="2474"/>
      <c r="AF242" s="2474" t="s">
        <v>2536</v>
      </c>
      <c r="AG242" s="2474"/>
      <c r="AH242" s="2474"/>
      <c r="AI242" s="2474"/>
      <c r="AJ242" s="2474"/>
      <c r="AK242" s="2474"/>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315" t="s">
        <v>2531</v>
      </c>
      <c r="N243" s="2385"/>
      <c r="O243" s="2385"/>
      <c r="P243" s="2385"/>
      <c r="Q243" s="2385"/>
      <c r="R243" s="2385"/>
      <c r="S243" s="2385"/>
      <c r="T243" s="2385"/>
      <c r="U243" s="2385"/>
      <c r="V243" s="2385"/>
      <c r="W243" s="2385"/>
      <c r="X243" s="2385"/>
      <c r="Y243" s="2385"/>
      <c r="Z243" s="2385"/>
      <c r="AA243" s="2385"/>
      <c r="AB243" s="2385"/>
      <c r="AC243" s="2385"/>
      <c r="AD243" s="2385"/>
      <c r="AE243" s="2385"/>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315" t="s">
        <v>2532</v>
      </c>
      <c r="N244" s="2385"/>
      <c r="O244" s="2385"/>
      <c r="P244" s="2385"/>
      <c r="Q244" s="2385"/>
      <c r="R244" s="2385"/>
      <c r="S244" s="2385"/>
      <c r="T244" s="2385"/>
      <c r="V244" s="59" t="s">
        <v>91</v>
      </c>
      <c r="W244" s="2090" t="s">
        <v>2533</v>
      </c>
      <c r="X244" s="2098"/>
      <c r="Y244" s="57" t="s">
        <v>617</v>
      </c>
      <c r="AC244" s="2385">
        <v>92705</v>
      </c>
      <c r="AD244" s="2385"/>
      <c r="AE244" s="2385"/>
      <c r="AF244" s="58" t="s">
        <v>1379</v>
      </c>
      <c r="AG244" s="719"/>
      <c r="AH244" s="719"/>
      <c r="AI244" s="719"/>
      <c r="AJ244" s="719"/>
      <c r="AK244" s="719"/>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315" t="s">
        <v>2539</v>
      </c>
      <c r="N245" s="2385"/>
      <c r="O245" s="2385"/>
      <c r="P245" s="2385"/>
      <c r="Q245" s="2385"/>
      <c r="R245" s="2385"/>
      <c r="S245" s="2385"/>
      <c r="T245" s="2385"/>
      <c r="U245" s="2385"/>
      <c r="V245" s="2385"/>
      <c r="W245" s="2385"/>
      <c r="X245" s="2385"/>
      <c r="Y245" s="2385"/>
      <c r="Z245" s="2385"/>
      <c r="AA245" s="2385"/>
      <c r="AB245" s="2385"/>
      <c r="AC245" s="2385"/>
      <c r="AD245" s="2385"/>
      <c r="AE245" s="2385"/>
      <c r="AH245" s="2487">
        <v>5.0000000000000002E-5</v>
      </c>
      <c r="AI245" s="2488"/>
      <c r="AJ245" s="2488"/>
      <c r="AK245" s="2488"/>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75">
      <c r="A246" s="29"/>
      <c r="B246" s="7"/>
      <c r="C246" s="7"/>
      <c r="D246" s="60" t="s">
        <v>93</v>
      </c>
      <c r="E246" s="7"/>
      <c r="F246" s="7"/>
      <c r="M246" s="2089">
        <v>9498639740</v>
      </c>
      <c r="N246" s="2089"/>
      <c r="O246" s="2089"/>
      <c r="P246" s="2089"/>
      <c r="Q246" s="2089"/>
      <c r="R246" s="2089"/>
      <c r="S246" s="7" t="s">
        <v>212</v>
      </c>
      <c r="T246" s="7"/>
      <c r="U246" s="2098"/>
      <c r="V246" s="2098"/>
      <c r="W246" s="2098"/>
      <c r="X246" s="7" t="s">
        <v>94</v>
      </c>
      <c r="Z246" s="2089"/>
      <c r="AA246" s="2089"/>
      <c r="AB246" s="2089"/>
      <c r="AC246" s="2089"/>
      <c r="AD246" s="2089"/>
      <c r="AE246" s="2089"/>
      <c r="BB246" s="7" t="s">
        <v>178</v>
      </c>
      <c r="BG246" s="12">
        <v>3</v>
      </c>
      <c r="BH246" s="12" t="s">
        <v>568</v>
      </c>
      <c r="BN246" s="390"/>
      <c r="BO246" s="39"/>
    </row>
    <row r="247" spans="1:72" ht="12.75">
      <c r="A247" s="29"/>
      <c r="B247" s="7"/>
      <c r="C247" s="7"/>
      <c r="D247" s="60" t="s">
        <v>95</v>
      </c>
      <c r="E247" s="7"/>
      <c r="F247" s="7"/>
      <c r="M247" s="2386" t="s">
        <v>2540</v>
      </c>
      <c r="N247" s="2386"/>
      <c r="O247" s="2386"/>
      <c r="P247" s="2386"/>
      <c r="Q247" s="2386"/>
      <c r="R247" s="2386"/>
      <c r="S247" s="2386"/>
      <c r="T247" s="2386"/>
      <c r="U247" s="2386"/>
      <c r="V247" s="2386"/>
      <c r="W247" s="2386"/>
      <c r="X247" s="2386"/>
      <c r="Y247" s="2386"/>
      <c r="Z247" s="2386"/>
      <c r="AA247" s="2386"/>
      <c r="AB247" s="2386"/>
      <c r="AC247" s="2386"/>
      <c r="AD247" s="2386"/>
      <c r="AE247" s="238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307" t="s">
        <v>566</v>
      </c>
      <c r="N248" s="2307"/>
      <c r="O248" s="2307"/>
      <c r="P248" s="2307"/>
      <c r="Q248" s="2307"/>
      <c r="R248" s="2307"/>
      <c r="S248" s="2307"/>
      <c r="T248" s="2307"/>
      <c r="U248" s="387" t="s">
        <v>974</v>
      </c>
      <c r="V248" s="325"/>
      <c r="W248" s="325"/>
      <c r="X248" s="325"/>
      <c r="Y248" s="325"/>
      <c r="Z248" s="325"/>
      <c r="AA248" s="2480" t="s">
        <v>2541</v>
      </c>
      <c r="AB248" s="2480"/>
      <c r="AC248" s="2480"/>
      <c r="AD248" s="2480"/>
      <c r="AE248" s="2480"/>
      <c r="AF248" s="2480"/>
      <c r="AG248" s="2480"/>
      <c r="AH248" s="2480"/>
      <c r="AI248" s="2480"/>
      <c r="AJ248" s="2480"/>
      <c r="AK248" s="2480"/>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473" t="s">
        <v>2542</v>
      </c>
      <c r="N250" s="2474"/>
      <c r="O250" s="2474"/>
      <c r="P250" s="2474"/>
      <c r="Q250" s="2474"/>
      <c r="R250" s="2474"/>
      <c r="S250" s="2474"/>
      <c r="T250" s="2474"/>
      <c r="U250" s="2474"/>
      <c r="V250" s="2474"/>
      <c r="W250" s="2474"/>
      <c r="X250" s="2474"/>
      <c r="Y250" s="2474"/>
      <c r="Z250" s="2474"/>
      <c r="AA250" s="2474"/>
      <c r="AB250" s="2474"/>
      <c r="AC250" s="2474"/>
      <c r="AD250" s="2474"/>
      <c r="AE250" s="2474"/>
      <c r="AF250" s="2474" t="s">
        <v>2537</v>
      </c>
      <c r="AG250" s="2474"/>
      <c r="AH250" s="2474"/>
      <c r="AI250" s="2474"/>
      <c r="AJ250" s="2474"/>
      <c r="AK250" s="2474"/>
      <c r="BN250" s="61"/>
    </row>
    <row r="251" spans="1:72" ht="12.75">
      <c r="A251" s="29"/>
      <c r="B251" s="7"/>
      <c r="C251" s="7"/>
      <c r="D251" s="57" t="s">
        <v>90</v>
      </c>
      <c r="E251" s="57"/>
      <c r="F251" s="57"/>
      <c r="G251" s="57"/>
      <c r="H251" s="57"/>
      <c r="I251" s="57"/>
      <c r="J251" s="57"/>
      <c r="K251" s="57"/>
      <c r="L251" s="7"/>
      <c r="M251" s="2315" t="s">
        <v>2543</v>
      </c>
      <c r="N251" s="2385"/>
      <c r="O251" s="2385"/>
      <c r="P251" s="2385"/>
      <c r="Q251" s="2385"/>
      <c r="R251" s="2385"/>
      <c r="S251" s="2385"/>
      <c r="T251" s="2385"/>
      <c r="U251" s="2385"/>
      <c r="V251" s="2385"/>
      <c r="W251" s="2385"/>
      <c r="X251" s="2385"/>
      <c r="Y251" s="2385"/>
      <c r="Z251" s="2385"/>
      <c r="AA251" s="2385"/>
      <c r="AB251" s="2385"/>
      <c r="AC251" s="2385"/>
      <c r="AD251" s="2385"/>
      <c r="AE251" s="2385"/>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315" t="s">
        <v>2544</v>
      </c>
      <c r="N252" s="2385"/>
      <c r="O252" s="2385"/>
      <c r="P252" s="2385"/>
      <c r="Q252" s="2385"/>
      <c r="R252" s="2385"/>
      <c r="S252" s="2385"/>
      <c r="T252" s="2385"/>
      <c r="V252" s="59" t="s">
        <v>91</v>
      </c>
      <c r="W252" s="2090" t="s">
        <v>2533</v>
      </c>
      <c r="X252" s="2098"/>
      <c r="Y252" s="57" t="s">
        <v>617</v>
      </c>
      <c r="AC252" s="2385">
        <v>92780</v>
      </c>
      <c r="AD252" s="2385"/>
      <c r="AE252" s="2385"/>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315" t="s">
        <v>2534</v>
      </c>
      <c r="N253" s="2385"/>
      <c r="O253" s="2385"/>
      <c r="P253" s="2385"/>
      <c r="Q253" s="2385"/>
      <c r="R253" s="2385"/>
      <c r="S253" s="2385"/>
      <c r="T253" s="2385"/>
      <c r="U253" s="2385"/>
      <c r="V253" s="2385"/>
      <c r="W253" s="2385"/>
      <c r="X253" s="2385"/>
      <c r="Y253" s="2385"/>
      <c r="Z253" s="2385"/>
      <c r="AA253" s="2385"/>
      <c r="AB253" s="2385"/>
      <c r="AC253" s="2385"/>
      <c r="AD253" s="2385"/>
      <c r="AE253" s="2385"/>
      <c r="AF253" s="719"/>
      <c r="AG253" s="719"/>
      <c r="AH253" s="2487">
        <v>5.0000000000000002E-5</v>
      </c>
      <c r="AI253" s="2488"/>
      <c r="AJ253" s="2488"/>
      <c r="AK253" s="248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89">
        <v>7142887600</v>
      </c>
      <c r="N254" s="2089"/>
      <c r="O254" s="2089"/>
      <c r="P254" s="2089"/>
      <c r="Q254" s="2089"/>
      <c r="R254" s="2089"/>
      <c r="S254" s="7" t="s">
        <v>212</v>
      </c>
      <c r="T254" s="7"/>
      <c r="U254" s="2098">
        <v>250</v>
      </c>
      <c r="V254" s="2098"/>
      <c r="W254" s="2098"/>
      <c r="X254" s="7" t="s">
        <v>94</v>
      </c>
      <c r="Z254" s="2089">
        <v>8665700728</v>
      </c>
      <c r="AA254" s="2089"/>
      <c r="AB254" s="2089"/>
      <c r="AC254" s="2089"/>
      <c r="AD254" s="2089"/>
      <c r="AE254" s="2089"/>
    </row>
    <row r="255" spans="1:72" ht="12.75">
      <c r="A255" s="29"/>
      <c r="B255" s="7"/>
      <c r="C255" s="7"/>
      <c r="D255" s="60" t="s">
        <v>95</v>
      </c>
      <c r="E255" s="7"/>
      <c r="F255" s="7"/>
      <c r="M255" s="2386" t="s">
        <v>2535</v>
      </c>
      <c r="N255" s="2386"/>
      <c r="O255" s="2386"/>
      <c r="P255" s="2386"/>
      <c r="Q255" s="2386"/>
      <c r="R255" s="2386"/>
      <c r="S255" s="2386"/>
      <c r="T255" s="2386"/>
      <c r="U255" s="2386"/>
      <c r="V255" s="2386"/>
      <c r="W255" s="2386"/>
      <c r="X255" s="2386"/>
      <c r="Y255" s="2386"/>
      <c r="Z255" s="2386"/>
      <c r="AA255" s="2386"/>
      <c r="AB255" s="2386"/>
      <c r="AC255" s="2386"/>
      <c r="AD255" s="2386"/>
      <c r="AE255" s="238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307" t="s">
        <v>568</v>
      </c>
      <c r="N256" s="2307"/>
      <c r="O256" s="2307"/>
      <c r="P256" s="2307"/>
      <c r="Q256" s="2307"/>
      <c r="R256" s="2307"/>
      <c r="S256" s="2307"/>
      <c r="T256" s="2307"/>
      <c r="U256" s="387" t="s">
        <v>974</v>
      </c>
      <c r="V256" s="325"/>
      <c r="W256" s="325"/>
      <c r="X256" s="325"/>
      <c r="Y256" s="325"/>
      <c r="Z256" s="325"/>
      <c r="AA256" s="2481" t="s">
        <v>2545</v>
      </c>
      <c r="AB256" s="2482"/>
      <c r="AC256" s="2482"/>
      <c r="AD256" s="2482"/>
      <c r="AE256" s="2482"/>
      <c r="AF256" s="2482"/>
      <c r="AG256" s="2482"/>
      <c r="AH256" s="2482"/>
      <c r="AI256" s="2482"/>
      <c r="AJ256" s="2482"/>
      <c r="AK256" s="248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74"/>
      <c r="N258" s="2474"/>
      <c r="O258" s="2474"/>
      <c r="P258" s="2474"/>
      <c r="Q258" s="2474"/>
      <c r="R258" s="2474"/>
      <c r="S258" s="2474"/>
      <c r="T258" s="2474"/>
      <c r="U258" s="2474"/>
      <c r="V258" s="2474"/>
      <c r="W258" s="2474"/>
      <c r="X258" s="2474"/>
      <c r="Y258" s="2474"/>
      <c r="Z258" s="2474"/>
      <c r="AA258" s="2474"/>
      <c r="AB258" s="2474"/>
      <c r="AC258" s="2474"/>
      <c r="AD258" s="2474"/>
      <c r="AE258" s="2474"/>
      <c r="AF258" s="2474" t="s">
        <v>316</v>
      </c>
      <c r="AG258" s="2474"/>
      <c r="AH258" s="2474"/>
      <c r="AI258" s="2474"/>
      <c r="AJ258" s="2474"/>
      <c r="AK258" s="247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85"/>
      <c r="N259" s="2385"/>
      <c r="O259" s="2385"/>
      <c r="P259" s="2385"/>
      <c r="Q259" s="2385"/>
      <c r="R259" s="2385"/>
      <c r="S259" s="2385"/>
      <c r="T259" s="2385"/>
      <c r="U259" s="2385"/>
      <c r="V259" s="2385"/>
      <c r="W259" s="2385"/>
      <c r="X259" s="2385"/>
      <c r="Y259" s="2385"/>
      <c r="Z259" s="2385"/>
      <c r="AA259" s="2385"/>
      <c r="AB259" s="2385"/>
      <c r="AC259" s="2385"/>
      <c r="AD259" s="2385"/>
      <c r="AE259" s="2385"/>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85"/>
      <c r="N260" s="2385"/>
      <c r="O260" s="2385"/>
      <c r="P260" s="2385"/>
      <c r="Q260" s="2385"/>
      <c r="R260" s="2385"/>
      <c r="S260" s="2385"/>
      <c r="T260" s="2385"/>
      <c r="V260" s="59" t="s">
        <v>91</v>
      </c>
      <c r="W260" s="2098"/>
      <c r="X260" s="2098"/>
      <c r="Y260" s="57" t="s">
        <v>617</v>
      </c>
      <c r="AC260" s="2385"/>
      <c r="AD260" s="2385"/>
      <c r="AE260" s="2385"/>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85"/>
      <c r="N261" s="2385"/>
      <c r="O261" s="2385"/>
      <c r="P261" s="2385"/>
      <c r="Q261" s="2385"/>
      <c r="R261" s="2385"/>
      <c r="S261" s="2385"/>
      <c r="T261" s="2385"/>
      <c r="U261" s="2385"/>
      <c r="V261" s="2385"/>
      <c r="W261" s="2385"/>
      <c r="X261" s="2385"/>
      <c r="Y261" s="2385"/>
      <c r="Z261" s="2385"/>
      <c r="AA261" s="2385"/>
      <c r="AB261" s="2385"/>
      <c r="AC261" s="2385"/>
      <c r="AD261" s="2385"/>
      <c r="AE261" s="2385"/>
      <c r="AF261" s="719"/>
      <c r="AG261" s="719"/>
      <c r="AH261" s="2488"/>
      <c r="AI261" s="2488"/>
      <c r="AJ261" s="2488"/>
      <c r="AK261" s="248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89"/>
      <c r="N262" s="2089"/>
      <c r="O262" s="2089"/>
      <c r="P262" s="2089"/>
      <c r="Q262" s="2089"/>
      <c r="R262" s="2089"/>
      <c r="S262" s="7" t="s">
        <v>212</v>
      </c>
      <c r="T262" s="7"/>
      <c r="U262" s="2098"/>
      <c r="V262" s="2098"/>
      <c r="W262" s="2098"/>
      <c r="X262" s="7" t="s">
        <v>94</v>
      </c>
      <c r="Z262" s="2089"/>
      <c r="AA262" s="2089"/>
      <c r="AB262" s="2089"/>
      <c r="AC262" s="2089"/>
      <c r="AD262" s="2089"/>
      <c r="AE262" s="2089"/>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86"/>
      <c r="N263" s="2386"/>
      <c r="O263" s="2386"/>
      <c r="P263" s="2386"/>
      <c r="Q263" s="2386"/>
      <c r="R263" s="2386"/>
      <c r="S263" s="2386"/>
      <c r="T263" s="2386"/>
      <c r="U263" s="2386"/>
      <c r="V263" s="2386"/>
      <c r="W263" s="2386"/>
      <c r="X263" s="2386"/>
      <c r="Y263" s="2386"/>
      <c r="Z263" s="2386"/>
      <c r="AA263" s="2492"/>
      <c r="AB263" s="2492"/>
      <c r="AC263" s="2492"/>
      <c r="AD263" s="2492"/>
      <c r="AE263" s="249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307" t="s">
        <v>316</v>
      </c>
      <c r="N264" s="2307"/>
      <c r="O264" s="2307"/>
      <c r="P264" s="2307"/>
      <c r="Q264" s="2307"/>
      <c r="R264" s="2307"/>
      <c r="S264" s="2307"/>
      <c r="T264" s="2307"/>
      <c r="U264" s="387" t="s">
        <v>974</v>
      </c>
      <c r="V264" s="325"/>
      <c r="W264" s="325"/>
      <c r="X264" s="325"/>
      <c r="Y264" s="325"/>
      <c r="Z264" s="325"/>
      <c r="AA264" s="2493"/>
      <c r="AB264" s="2493"/>
      <c r="AC264" s="2493"/>
      <c r="AD264" s="2493"/>
      <c r="AE264" s="2493"/>
      <c r="AF264" s="2493"/>
      <c r="AG264" s="2493"/>
      <c r="AH264" s="2493"/>
      <c r="AI264" s="2493"/>
      <c r="AJ264" s="2493"/>
      <c r="AK264" s="2493"/>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483" t="str">
        <f>BO245</f>
        <v>Joint Venture</v>
      </c>
      <c r="U266" s="2483"/>
      <c r="V266" s="2483"/>
      <c r="W266" s="2483"/>
      <c r="X266" s="2483"/>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85" t="s">
        <v>286</v>
      </c>
      <c r="E269" s="2385"/>
      <c r="F269" s="2385"/>
      <c r="G269" s="2385"/>
      <c r="H269" s="2385"/>
      <c r="J269" s="12" t="s">
        <v>285</v>
      </c>
      <c r="X269" s="2361"/>
      <c r="Y269" s="2361"/>
      <c r="Z269" s="2361"/>
      <c r="AA269" s="2361"/>
      <c r="AB269" s="2361"/>
      <c r="AC269" s="2361"/>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73" t="s">
        <v>2545</v>
      </c>
      <c r="M273" s="2474"/>
      <c r="N273" s="2474"/>
      <c r="O273" s="2474"/>
      <c r="P273" s="2474"/>
      <c r="Q273" s="2474"/>
      <c r="R273" s="2474"/>
      <c r="S273" s="2474"/>
      <c r="T273" s="2474"/>
      <c r="U273" s="2474"/>
      <c r="V273" s="2474"/>
      <c r="W273" s="2474"/>
      <c r="X273" s="2474"/>
      <c r="Y273" s="2474"/>
      <c r="Z273" s="2474"/>
      <c r="AA273" s="2474"/>
      <c r="AB273" s="2474"/>
      <c r="AC273" s="2474"/>
      <c r="AD273" s="2474"/>
      <c r="AE273" s="2474"/>
      <c r="AF273" s="2474"/>
      <c r="AG273" s="2474"/>
      <c r="AH273" s="2474"/>
      <c r="AI273" s="2474"/>
      <c r="AJ273" s="2474"/>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15" t="s">
        <v>2543</v>
      </c>
      <c r="M274" s="2385"/>
      <c r="N274" s="2385"/>
      <c r="O274" s="2385"/>
      <c r="P274" s="2385"/>
      <c r="Q274" s="2385"/>
      <c r="R274" s="2385"/>
      <c r="S274" s="2385"/>
      <c r="T274" s="2385"/>
      <c r="U274" s="2385"/>
      <c r="V274" s="2385"/>
      <c r="W274" s="2385"/>
      <c r="X274" s="2385"/>
      <c r="Y274" s="2385"/>
      <c r="Z274" s="2385"/>
      <c r="AA274" s="2385"/>
      <c r="AB274" s="2385"/>
      <c r="AC274" s="2385"/>
      <c r="AD274" s="2385"/>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315" t="s">
        <v>2544</v>
      </c>
      <c r="M275" s="2385"/>
      <c r="N275" s="2385"/>
      <c r="O275" s="2385"/>
      <c r="P275" s="2385"/>
      <c r="Q275" s="2385"/>
      <c r="R275" s="2385"/>
      <c r="S275" s="2385"/>
      <c r="U275" s="59" t="s">
        <v>91</v>
      </c>
      <c r="V275" s="2090" t="s">
        <v>2533</v>
      </c>
      <c r="W275" s="2098"/>
      <c r="X275" s="57" t="s">
        <v>617</v>
      </c>
      <c r="AB275" s="2385">
        <v>92780</v>
      </c>
      <c r="AC275" s="2385"/>
      <c r="AD275" s="238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15" t="s">
        <v>2534</v>
      </c>
      <c r="M276" s="2385"/>
      <c r="N276" s="2385"/>
      <c r="O276" s="2385"/>
      <c r="P276" s="2385"/>
      <c r="Q276" s="2385"/>
      <c r="R276" s="2385"/>
      <c r="S276" s="2385"/>
      <c r="T276" s="2385"/>
      <c r="U276" s="2385"/>
      <c r="V276" s="2385"/>
      <c r="W276" s="2385"/>
      <c r="X276" s="2385"/>
      <c r="Y276" s="2385"/>
      <c r="Z276" s="2385"/>
      <c r="AA276" s="2385"/>
      <c r="AB276" s="2385"/>
      <c r="AC276" s="2385"/>
      <c r="AD276" s="2385"/>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89">
        <v>7142887600</v>
      </c>
      <c r="M277" s="2089"/>
      <c r="N277" s="2089"/>
      <c r="O277" s="2089"/>
      <c r="P277" s="2089"/>
      <c r="Q277" s="2089"/>
      <c r="R277" s="7" t="s">
        <v>212</v>
      </c>
      <c r="S277" s="7"/>
      <c r="T277" s="2098">
        <v>250</v>
      </c>
      <c r="U277" s="2098"/>
      <c r="V277" s="2098"/>
      <c r="W277" s="7" t="s">
        <v>94</v>
      </c>
      <c r="Y277" s="2089">
        <v>8665700728</v>
      </c>
      <c r="Z277" s="2089"/>
      <c r="AA277" s="2089"/>
      <c r="AB277" s="2089"/>
      <c r="AC277" s="2089"/>
      <c r="AD277" s="2089"/>
      <c r="BN277" s="61"/>
    </row>
    <row r="278" spans="1:66" ht="12.75">
      <c r="D278" s="60" t="s">
        <v>95</v>
      </c>
      <c r="E278" s="7"/>
      <c r="F278" s="7"/>
      <c r="L278" s="2386" t="s">
        <v>2535</v>
      </c>
      <c r="M278" s="2386"/>
      <c r="N278" s="2386"/>
      <c r="O278" s="2386"/>
      <c r="P278" s="2386"/>
      <c r="Q278" s="2386"/>
      <c r="R278" s="2386"/>
      <c r="S278" s="2386"/>
      <c r="T278" s="2386"/>
      <c r="U278" s="2386"/>
      <c r="V278" s="2386"/>
      <c r="W278" s="2386"/>
      <c r="X278" s="2386"/>
      <c r="Y278" s="2386"/>
      <c r="Z278" s="2386"/>
      <c r="AA278" s="2386"/>
      <c r="AB278" s="2386"/>
      <c r="AC278" s="2386"/>
      <c r="AD278" s="2386"/>
      <c r="AF278" s="7"/>
      <c r="AG278" s="7"/>
      <c r="AH278" s="7"/>
      <c r="AI278" s="7"/>
      <c r="AJ278" s="7"/>
      <c r="BN278" s="61"/>
    </row>
    <row r="279" spans="1:66" ht="12.75">
      <c r="D279" s="58" t="s">
        <v>657</v>
      </c>
      <c r="E279" s="58"/>
      <c r="F279" s="58"/>
      <c r="G279" s="58"/>
      <c r="H279" s="58"/>
      <c r="I279" s="58"/>
      <c r="L279" s="2090" t="s">
        <v>2546</v>
      </c>
      <c r="M279" s="2090"/>
      <c r="N279" s="2090"/>
      <c r="O279" s="2090"/>
      <c r="P279" s="2090"/>
      <c r="Q279" s="2090"/>
      <c r="R279" s="2090"/>
      <c r="S279" s="2090"/>
      <c r="T279" s="2090"/>
      <c r="U279" s="2090"/>
      <c r="V279" s="2090"/>
      <c r="W279" s="2090"/>
      <c r="X279" s="2090"/>
      <c r="Y279" s="2090"/>
      <c r="Z279" s="2090"/>
      <c r="AA279" s="2090"/>
      <c r="AB279" s="2090"/>
      <c r="AC279" s="2090"/>
      <c r="AD279" s="2090"/>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425" t="s">
        <v>573</v>
      </c>
      <c r="B281" s="2425"/>
      <c r="C281" s="2425"/>
      <c r="D281" s="2425"/>
      <c r="E281" s="2425"/>
      <c r="F281" s="2425"/>
      <c r="G281" s="2425"/>
      <c r="H281" s="2425"/>
      <c r="I281" s="2425"/>
      <c r="J281" s="2425"/>
      <c r="K281" s="2425"/>
      <c r="L281" s="2425"/>
      <c r="M281" s="2425"/>
      <c r="N281" s="2425"/>
      <c r="O281" s="2425"/>
      <c r="P281" s="2425"/>
      <c r="Q281" s="2425"/>
      <c r="R281" s="2425"/>
      <c r="S281" s="2425"/>
      <c r="T281" s="2425"/>
      <c r="U281" s="2425"/>
      <c r="V281" s="2425"/>
      <c r="W281" s="2425"/>
      <c r="X281" s="2425"/>
      <c r="Y281" s="2425"/>
      <c r="Z281" s="2425"/>
      <c r="AA281" s="2425"/>
      <c r="AB281" s="2425"/>
      <c r="AC281" s="2425"/>
      <c r="AD281" s="2425"/>
      <c r="AE281" s="2425"/>
      <c r="AF281" s="2425"/>
      <c r="AG281" s="2425"/>
      <c r="AH281" s="2425"/>
      <c r="AI281" s="2425"/>
      <c r="AJ281" s="2425"/>
      <c r="AK281" s="2425"/>
      <c r="AL281" s="2425"/>
      <c r="AM281" s="144"/>
      <c r="AN281" s="144"/>
      <c r="AO281" s="144"/>
      <c r="AP281" s="144"/>
      <c r="AQ281" s="144"/>
      <c r="AR281" s="144"/>
      <c r="AS281" s="144"/>
      <c r="AT281" s="144"/>
      <c r="AU281" s="144"/>
      <c r="AV281" s="144"/>
      <c r="AW281" s="144"/>
      <c r="AX281" s="144"/>
      <c r="AY281" s="144"/>
      <c r="BN281" s="61"/>
    </row>
    <row r="282" spans="1:66" ht="13.5" thickBot="1">
      <c r="A282" s="2426"/>
      <c r="B282" s="2426"/>
      <c r="C282" s="2426"/>
      <c r="D282" s="2426"/>
      <c r="E282" s="2426"/>
      <c r="F282" s="2426"/>
      <c r="G282" s="2426"/>
      <c r="H282" s="2426"/>
      <c r="I282" s="2426"/>
      <c r="J282" s="2426"/>
      <c r="K282" s="2426"/>
      <c r="L282" s="2426"/>
      <c r="M282" s="2426"/>
      <c r="N282" s="2426"/>
      <c r="O282" s="2426"/>
      <c r="P282" s="2426"/>
      <c r="Q282" s="2426"/>
      <c r="R282" s="2426"/>
      <c r="S282" s="2426"/>
      <c r="T282" s="2426"/>
      <c r="U282" s="2426"/>
      <c r="V282" s="2426"/>
      <c r="W282" s="2426"/>
      <c r="X282" s="2426"/>
      <c r="Y282" s="2426"/>
      <c r="Z282" s="2426"/>
      <c r="AA282" s="2426"/>
      <c r="AB282" s="2426"/>
      <c r="AC282" s="2426"/>
      <c r="AD282" s="2426"/>
      <c r="AE282" s="2426"/>
      <c r="AF282" s="2426"/>
      <c r="AG282" s="2426"/>
      <c r="AH282" s="2426"/>
      <c r="AI282" s="2426"/>
      <c r="AJ282" s="2426"/>
      <c r="AK282" s="2426"/>
      <c r="AL282" s="242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44" t="s">
        <v>2545</v>
      </c>
      <c r="I286" s="2044"/>
      <c r="J286" s="2044"/>
      <c r="K286" s="2044"/>
      <c r="L286" s="2044"/>
      <c r="M286" s="2044"/>
      <c r="N286" s="2044"/>
      <c r="O286" s="2044"/>
      <c r="P286" s="2044"/>
      <c r="Q286" s="2044"/>
      <c r="R286" s="2044"/>
      <c r="T286" s="58" t="s">
        <v>599</v>
      </c>
      <c r="V286" s="58"/>
      <c r="W286" s="58"/>
      <c r="X286" s="58"/>
      <c r="Y286" s="58"/>
      <c r="AA286" s="2044" t="s">
        <v>2548</v>
      </c>
      <c r="AB286" s="2044"/>
      <c r="AC286" s="2044"/>
      <c r="AD286" s="2044"/>
      <c r="AE286" s="2044"/>
      <c r="AF286" s="2044"/>
      <c r="AG286" s="2044"/>
      <c r="AH286" s="2044"/>
      <c r="AI286" s="2044"/>
      <c r="AJ286" s="2044"/>
      <c r="AK286" s="2044"/>
      <c r="BN286" s="61"/>
    </row>
    <row r="287" spans="1:66" ht="12.75">
      <c r="B287" s="58" t="s">
        <v>503</v>
      </c>
      <c r="C287" s="58"/>
      <c r="D287" s="58"/>
      <c r="E287" s="58"/>
      <c r="F287" s="58"/>
      <c r="H287" s="2307" t="s">
        <v>2543</v>
      </c>
      <c r="I287" s="2307"/>
      <c r="J287" s="2307"/>
      <c r="K287" s="2307"/>
      <c r="L287" s="2307"/>
      <c r="M287" s="2307"/>
      <c r="N287" s="2307"/>
      <c r="O287" s="2307"/>
      <c r="P287" s="2307"/>
      <c r="Q287" s="2307"/>
      <c r="R287" s="2307"/>
      <c r="T287" s="58" t="s">
        <v>503</v>
      </c>
      <c r="V287" s="58"/>
      <c r="W287" s="58"/>
      <c r="X287" s="58"/>
      <c r="Y287" s="58"/>
      <c r="AA287" s="2307" t="s">
        <v>2549</v>
      </c>
      <c r="AB287" s="2307"/>
      <c r="AC287" s="2307"/>
      <c r="AD287" s="2307"/>
      <c r="AE287" s="2307"/>
      <c r="AF287" s="2307"/>
      <c r="AG287" s="2307"/>
      <c r="AH287" s="2307"/>
      <c r="AI287" s="2307"/>
      <c r="AJ287" s="2307"/>
      <c r="AK287" s="2307"/>
      <c r="BN287" s="61"/>
    </row>
    <row r="288" spans="1:66" ht="12.75">
      <c r="B288" s="58" t="s">
        <v>504</v>
      </c>
      <c r="C288" s="58"/>
      <c r="D288" s="58"/>
      <c r="E288" s="58"/>
      <c r="F288" s="58"/>
      <c r="H288" s="2307" t="s">
        <v>2547</v>
      </c>
      <c r="I288" s="2307"/>
      <c r="J288" s="2307"/>
      <c r="K288" s="2307"/>
      <c r="L288" s="2307"/>
      <c r="M288" s="2307"/>
      <c r="N288" s="2307"/>
      <c r="O288" s="2307"/>
      <c r="P288" s="2307"/>
      <c r="Q288" s="2307"/>
      <c r="R288" s="2307"/>
      <c r="T288" s="58" t="s">
        <v>79</v>
      </c>
      <c r="V288" s="58"/>
      <c r="W288" s="58"/>
      <c r="X288" s="58"/>
      <c r="Y288" s="58"/>
      <c r="AA288" s="2307" t="s">
        <v>2550</v>
      </c>
      <c r="AB288" s="2307"/>
      <c r="AC288" s="2307"/>
      <c r="AD288" s="2307"/>
      <c r="AE288" s="2307"/>
      <c r="AF288" s="2307"/>
      <c r="AG288" s="2307"/>
      <c r="AH288" s="2307"/>
      <c r="AI288" s="2307"/>
      <c r="AJ288" s="2307"/>
      <c r="AK288" s="2307"/>
      <c r="BN288" s="61"/>
    </row>
    <row r="289" spans="2:66" ht="12.75" customHeight="1">
      <c r="B289" s="58" t="s">
        <v>92</v>
      </c>
      <c r="C289" s="58"/>
      <c r="D289" s="58"/>
      <c r="E289" s="58"/>
      <c r="F289" s="58"/>
      <c r="H289" s="2307" t="s">
        <v>2534</v>
      </c>
      <c r="I289" s="2307"/>
      <c r="J289" s="2307"/>
      <c r="K289" s="2307"/>
      <c r="L289" s="2307"/>
      <c r="M289" s="2307"/>
      <c r="N289" s="2307"/>
      <c r="O289" s="2307"/>
      <c r="P289" s="2307"/>
      <c r="Q289" s="2307"/>
      <c r="R289" s="2307"/>
      <c r="T289" s="58" t="s">
        <v>92</v>
      </c>
      <c r="V289" s="58"/>
      <c r="W289" s="58"/>
      <c r="X289" s="58"/>
      <c r="Y289" s="58"/>
      <c r="AA289" s="2307" t="s">
        <v>2551</v>
      </c>
      <c r="AB289" s="2307"/>
      <c r="AC289" s="2307"/>
      <c r="AD289" s="2307"/>
      <c r="AE289" s="2307"/>
      <c r="AF289" s="2307"/>
      <c r="AG289" s="2307"/>
      <c r="AH289" s="2307"/>
      <c r="AI289" s="2307"/>
      <c r="AJ289" s="2307"/>
      <c r="AK289" s="2307"/>
      <c r="BN289" s="61"/>
    </row>
    <row r="290" spans="2:66" ht="12.75" customHeight="1">
      <c r="B290" s="58" t="s">
        <v>93</v>
      </c>
      <c r="C290" s="58"/>
      <c r="D290" s="58"/>
      <c r="E290" s="58"/>
      <c r="F290" s="58"/>
      <c r="G290" s="58"/>
      <c r="H290" s="2387">
        <v>7142887600</v>
      </c>
      <c r="I290" s="2387"/>
      <c r="J290" s="2387"/>
      <c r="K290" s="2387"/>
      <c r="L290" s="2387"/>
      <c r="M290" s="2387"/>
      <c r="N290" s="7" t="s">
        <v>212</v>
      </c>
      <c r="O290" s="7"/>
      <c r="P290" s="2385">
        <v>250</v>
      </c>
      <c r="Q290" s="2385"/>
      <c r="R290" s="2385"/>
      <c r="S290" s="58"/>
      <c r="T290" s="58" t="s">
        <v>93</v>
      </c>
      <c r="V290" s="58"/>
      <c r="W290" s="58"/>
      <c r="X290" s="58"/>
      <c r="Y290" s="58"/>
      <c r="AA290" s="2387">
        <v>9495539100</v>
      </c>
      <c r="AB290" s="2387"/>
      <c r="AC290" s="2387"/>
      <c r="AD290" s="2387"/>
      <c r="AE290" s="2387"/>
      <c r="AF290" s="2387"/>
      <c r="AG290" s="7" t="s">
        <v>212</v>
      </c>
      <c r="AH290" s="7"/>
      <c r="AI290" s="2385">
        <v>327</v>
      </c>
      <c r="AJ290" s="2385"/>
      <c r="AK290" s="2385"/>
      <c r="BN290" s="61"/>
    </row>
    <row r="291" spans="2:66" ht="12.75" customHeight="1">
      <c r="B291" s="58" t="s">
        <v>94</v>
      </c>
      <c r="C291" s="58"/>
      <c r="D291" s="58"/>
      <c r="E291" s="58"/>
      <c r="F291" s="58"/>
      <c r="G291" s="58"/>
      <c r="H291" s="2089">
        <v>8665700726</v>
      </c>
      <c r="I291" s="2089"/>
      <c r="J291" s="2089"/>
      <c r="K291" s="2089"/>
      <c r="L291" s="2089"/>
      <c r="M291" s="2089"/>
      <c r="N291" s="60"/>
      <c r="O291" s="60"/>
      <c r="P291" s="62"/>
      <c r="Q291" s="62"/>
      <c r="R291" s="62"/>
      <c r="S291" s="58"/>
      <c r="T291" s="58" t="s">
        <v>94</v>
      </c>
      <c r="V291" s="58"/>
      <c r="W291" s="58"/>
      <c r="X291" s="58"/>
      <c r="Y291" s="58"/>
      <c r="AA291" s="2089"/>
      <c r="AB291" s="2089"/>
      <c r="AC291" s="2089"/>
      <c r="AD291" s="2089"/>
      <c r="AE291" s="2089"/>
      <c r="AF291" s="2089"/>
      <c r="AG291" s="60"/>
      <c r="AH291" s="60"/>
      <c r="AI291" s="62"/>
      <c r="AJ291" s="62"/>
      <c r="AK291" s="62"/>
      <c r="BN291" s="61"/>
    </row>
    <row r="292" spans="2:66" ht="12.75" customHeight="1">
      <c r="B292" s="58" t="s">
        <v>80</v>
      </c>
      <c r="C292" s="58"/>
      <c r="D292" s="58"/>
      <c r="E292" s="58"/>
      <c r="F292" s="58"/>
      <c r="G292" s="58"/>
      <c r="H292" s="2307" t="s">
        <v>2535</v>
      </c>
      <c r="I292" s="2307"/>
      <c r="J292" s="2307"/>
      <c r="K292" s="2307"/>
      <c r="L292" s="2307"/>
      <c r="M292" s="2307"/>
      <c r="N292" s="2044"/>
      <c r="O292" s="2044"/>
      <c r="P292" s="2044"/>
      <c r="Q292" s="2044"/>
      <c r="R292" s="2044"/>
      <c r="S292" s="58"/>
      <c r="T292" s="58" t="s">
        <v>80</v>
      </c>
      <c r="V292" s="58"/>
      <c r="W292" s="58"/>
      <c r="X292" s="58"/>
      <c r="Y292" s="58"/>
      <c r="AA292" s="2307" t="s">
        <v>2552</v>
      </c>
      <c r="AB292" s="2307"/>
      <c r="AC292" s="2307"/>
      <c r="AD292" s="2307"/>
      <c r="AE292" s="2307"/>
      <c r="AF292" s="2307"/>
      <c r="AG292" s="2044"/>
      <c r="AH292" s="2044"/>
      <c r="AI292" s="2044"/>
      <c r="AJ292" s="2044"/>
      <c r="AK292" s="2044"/>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44" t="s">
        <v>2553</v>
      </c>
      <c r="I294" s="2044"/>
      <c r="J294" s="2044"/>
      <c r="K294" s="2044"/>
      <c r="L294" s="2044"/>
      <c r="M294" s="2044"/>
      <c r="N294" s="2044"/>
      <c r="O294" s="2044"/>
      <c r="P294" s="2044"/>
      <c r="Q294" s="2044"/>
      <c r="R294" s="2044"/>
      <c r="T294" s="58" t="s">
        <v>373</v>
      </c>
      <c r="V294" s="58"/>
      <c r="W294" s="58"/>
      <c r="X294" s="58"/>
      <c r="Y294" s="58"/>
      <c r="AA294" s="2044" t="s">
        <v>2575</v>
      </c>
      <c r="AB294" s="2044"/>
      <c r="AC294" s="2044"/>
      <c r="AD294" s="2044"/>
      <c r="AE294" s="2044"/>
      <c r="AF294" s="2044"/>
      <c r="AG294" s="2044"/>
      <c r="AH294" s="2044"/>
      <c r="AI294" s="2044"/>
      <c r="AJ294" s="2044"/>
      <c r="AK294" s="2044"/>
      <c r="BN294" s="61"/>
    </row>
    <row r="295" spans="2:66" ht="12.75">
      <c r="B295" s="58" t="s">
        <v>503</v>
      </c>
      <c r="C295" s="58"/>
      <c r="D295" s="58"/>
      <c r="E295" s="58"/>
      <c r="F295" s="58"/>
      <c r="H295" s="2307" t="s">
        <v>2554</v>
      </c>
      <c r="I295" s="2307"/>
      <c r="J295" s="2307"/>
      <c r="K295" s="2307"/>
      <c r="L295" s="2307"/>
      <c r="M295" s="2307"/>
      <c r="N295" s="2307"/>
      <c r="O295" s="2307"/>
      <c r="P295" s="2307"/>
      <c r="Q295" s="2307"/>
      <c r="R295" s="2307"/>
      <c r="T295" s="58" t="s">
        <v>503</v>
      </c>
      <c r="V295" s="58"/>
      <c r="W295" s="58"/>
      <c r="X295" s="58"/>
      <c r="Y295" s="58"/>
      <c r="AA295" s="2307"/>
      <c r="AB295" s="2307"/>
      <c r="AC295" s="2307"/>
      <c r="AD295" s="2307"/>
      <c r="AE295" s="2307"/>
      <c r="AF295" s="2307"/>
      <c r="AG295" s="2307"/>
      <c r="AH295" s="2307"/>
      <c r="AI295" s="2307"/>
      <c r="AJ295" s="2307"/>
      <c r="AK295" s="2307"/>
      <c r="BN295" s="61"/>
    </row>
    <row r="296" spans="2:66" ht="12.75">
      <c r="B296" s="58" t="s">
        <v>504</v>
      </c>
      <c r="C296" s="58"/>
      <c r="D296" s="58"/>
      <c r="E296" s="58"/>
      <c r="F296" s="58"/>
      <c r="H296" s="2307" t="s">
        <v>2555</v>
      </c>
      <c r="I296" s="2307"/>
      <c r="J296" s="2307"/>
      <c r="K296" s="2307"/>
      <c r="L296" s="2307"/>
      <c r="M296" s="2307"/>
      <c r="N296" s="2307"/>
      <c r="O296" s="2307"/>
      <c r="P296" s="2307"/>
      <c r="Q296" s="2307"/>
      <c r="R296" s="2307"/>
      <c r="T296" s="58" t="s">
        <v>79</v>
      </c>
      <c r="V296" s="58"/>
      <c r="W296" s="58"/>
      <c r="X296" s="58"/>
      <c r="Y296" s="58"/>
      <c r="AA296" s="2307"/>
      <c r="AB296" s="2307"/>
      <c r="AC296" s="2307"/>
      <c r="AD296" s="2307"/>
      <c r="AE296" s="2307"/>
      <c r="AF296" s="2307"/>
      <c r="AG296" s="2307"/>
      <c r="AH296" s="2307"/>
      <c r="AI296" s="2307"/>
      <c r="AJ296" s="2307"/>
      <c r="AK296" s="2307"/>
      <c r="BN296" s="61"/>
    </row>
    <row r="297" spans="2:66" ht="12.75">
      <c r="B297" s="58" t="s">
        <v>92</v>
      </c>
      <c r="C297" s="58"/>
      <c r="D297" s="58"/>
      <c r="E297" s="58"/>
      <c r="F297" s="58"/>
      <c r="H297" s="2307" t="s">
        <v>2556</v>
      </c>
      <c r="I297" s="2307"/>
      <c r="J297" s="2307"/>
      <c r="K297" s="2307"/>
      <c r="L297" s="2307"/>
      <c r="M297" s="2307"/>
      <c r="N297" s="2307"/>
      <c r="O297" s="2307"/>
      <c r="P297" s="2307"/>
      <c r="Q297" s="2307"/>
      <c r="R297" s="2307"/>
      <c r="T297" s="58" t="s">
        <v>92</v>
      </c>
      <c r="V297" s="58"/>
      <c r="W297" s="58"/>
      <c r="X297" s="58"/>
      <c r="Y297" s="58"/>
      <c r="AA297" s="2307"/>
      <c r="AB297" s="2307"/>
      <c r="AC297" s="2307"/>
      <c r="AD297" s="2307"/>
      <c r="AE297" s="2307"/>
      <c r="AF297" s="2307"/>
      <c r="AG297" s="2307"/>
      <c r="AH297" s="2307"/>
      <c r="AI297" s="2307"/>
      <c r="AJ297" s="2307"/>
      <c r="AK297" s="2307"/>
      <c r="BN297" s="61"/>
    </row>
    <row r="298" spans="2:66" ht="12.75">
      <c r="B298" s="58" t="s">
        <v>93</v>
      </c>
      <c r="C298" s="58"/>
      <c r="D298" s="58"/>
      <c r="E298" s="58"/>
      <c r="F298" s="58"/>
      <c r="G298" s="58"/>
      <c r="H298" s="2387">
        <v>5108366336</v>
      </c>
      <c r="I298" s="2387"/>
      <c r="J298" s="2387"/>
      <c r="K298" s="2387"/>
      <c r="L298" s="2387"/>
      <c r="M298" s="2387"/>
      <c r="N298" s="7" t="s">
        <v>212</v>
      </c>
      <c r="O298" s="7"/>
      <c r="P298" s="2385"/>
      <c r="Q298" s="2385"/>
      <c r="R298" s="2385"/>
      <c r="S298" s="58"/>
      <c r="T298" s="58" t="s">
        <v>93</v>
      </c>
      <c r="V298" s="58"/>
      <c r="W298" s="58"/>
      <c r="X298" s="58"/>
      <c r="Y298" s="58"/>
      <c r="AA298" s="2387"/>
      <c r="AB298" s="2387"/>
      <c r="AC298" s="2387"/>
      <c r="AD298" s="2387"/>
      <c r="AE298" s="2387"/>
      <c r="AF298" s="2387"/>
      <c r="AG298" s="7" t="s">
        <v>212</v>
      </c>
      <c r="AH298" s="7"/>
      <c r="AI298" s="2385"/>
      <c r="AJ298" s="2385"/>
      <c r="AK298" s="2385"/>
      <c r="BN298" s="61"/>
    </row>
    <row r="299" spans="2:66" ht="12.75" customHeight="1">
      <c r="B299" s="58" t="s">
        <v>94</v>
      </c>
      <c r="C299" s="58"/>
      <c r="D299" s="58"/>
      <c r="E299" s="58"/>
      <c r="F299" s="58"/>
      <c r="G299" s="58"/>
      <c r="H299" s="2089">
        <v>5108361035</v>
      </c>
      <c r="I299" s="2089"/>
      <c r="J299" s="2089"/>
      <c r="K299" s="2089"/>
      <c r="L299" s="2089"/>
      <c r="M299" s="2089"/>
      <c r="N299" s="60"/>
      <c r="O299" s="60"/>
      <c r="P299" s="62"/>
      <c r="Q299" s="62"/>
      <c r="R299" s="62"/>
      <c r="S299" s="58"/>
      <c r="T299" s="58" t="s">
        <v>94</v>
      </c>
      <c r="V299" s="58"/>
      <c r="W299" s="58"/>
      <c r="X299" s="58"/>
      <c r="Y299" s="58"/>
      <c r="AA299" s="2089"/>
      <c r="AB299" s="2089"/>
      <c r="AC299" s="2089"/>
      <c r="AD299" s="2089"/>
      <c r="AE299" s="2089"/>
      <c r="AF299" s="2089"/>
      <c r="AG299" s="60"/>
      <c r="AH299" s="60"/>
      <c r="AI299" s="62"/>
      <c r="AJ299" s="62"/>
      <c r="AK299" s="62"/>
      <c r="BN299" s="61"/>
    </row>
    <row r="300" spans="2:66" ht="12.75" customHeight="1">
      <c r="B300" s="58" t="s">
        <v>80</v>
      </c>
      <c r="C300" s="58"/>
      <c r="D300" s="58"/>
      <c r="E300" s="58"/>
      <c r="F300" s="58"/>
      <c r="G300" s="58"/>
      <c r="H300" s="2307" t="s">
        <v>2557</v>
      </c>
      <c r="I300" s="2307"/>
      <c r="J300" s="2307"/>
      <c r="K300" s="2307"/>
      <c r="L300" s="2307"/>
      <c r="M300" s="2307"/>
      <c r="N300" s="2044"/>
      <c r="O300" s="2044"/>
      <c r="P300" s="2044"/>
      <c r="Q300" s="2044"/>
      <c r="R300" s="2044"/>
      <c r="S300" s="58"/>
      <c r="T300" s="58" t="s">
        <v>80</v>
      </c>
      <c r="V300" s="58"/>
      <c r="W300" s="58"/>
      <c r="X300" s="58"/>
      <c r="Y300" s="58"/>
      <c r="AA300" s="2307"/>
      <c r="AB300" s="2307"/>
      <c r="AC300" s="2307"/>
      <c r="AD300" s="2307"/>
      <c r="AE300" s="2307"/>
      <c r="AF300" s="2307"/>
      <c r="AG300" s="2044"/>
      <c r="AH300" s="2044"/>
      <c r="AI300" s="2044"/>
      <c r="AJ300" s="2044"/>
      <c r="AK300" s="2044"/>
      <c r="BN300" s="61"/>
    </row>
    <row r="301" spans="2:66" ht="12.75" customHeight="1">
      <c r="BN301" s="61"/>
    </row>
    <row r="302" spans="2:66" ht="12.75" customHeight="1">
      <c r="B302" s="58" t="s">
        <v>81</v>
      </c>
      <c r="C302" s="58"/>
      <c r="D302" s="58"/>
      <c r="E302" s="58"/>
      <c r="F302" s="58"/>
      <c r="H302" s="2044" t="s">
        <v>2553</v>
      </c>
      <c r="I302" s="2044"/>
      <c r="J302" s="2044"/>
      <c r="K302" s="2044"/>
      <c r="L302" s="2044"/>
      <c r="M302" s="2044"/>
      <c r="N302" s="2044"/>
      <c r="O302" s="2044"/>
      <c r="P302" s="2044"/>
      <c r="Q302" s="2044"/>
      <c r="R302" s="2044"/>
      <c r="T302" s="7" t="s">
        <v>942</v>
      </c>
      <c r="V302" s="58"/>
      <c r="W302" s="58"/>
      <c r="X302" s="58"/>
      <c r="Y302" s="58"/>
      <c r="AA302" s="2044" t="s">
        <v>2560</v>
      </c>
      <c r="AB302" s="2044"/>
      <c r="AC302" s="2044"/>
      <c r="AD302" s="2044"/>
      <c r="AE302" s="2044"/>
      <c r="AF302" s="2044"/>
      <c r="AG302" s="2044"/>
      <c r="AH302" s="2044"/>
      <c r="AI302" s="2044"/>
      <c r="AJ302" s="2044"/>
      <c r="AK302" s="2044"/>
      <c r="BN302" s="61"/>
    </row>
    <row r="303" spans="2:66" ht="12.75">
      <c r="B303" s="58" t="s">
        <v>503</v>
      </c>
      <c r="C303" s="58"/>
      <c r="D303" s="58"/>
      <c r="E303" s="58"/>
      <c r="F303" s="58"/>
      <c r="H303" s="2307" t="s">
        <v>2554</v>
      </c>
      <c r="I303" s="2307"/>
      <c r="J303" s="2307"/>
      <c r="K303" s="2307"/>
      <c r="L303" s="2307"/>
      <c r="M303" s="2307"/>
      <c r="N303" s="2307"/>
      <c r="O303" s="2307"/>
      <c r="P303" s="2307"/>
      <c r="Q303" s="2307"/>
      <c r="R303" s="2307"/>
      <c r="T303" s="58" t="s">
        <v>503</v>
      </c>
      <c r="V303" s="58"/>
      <c r="W303" s="58"/>
      <c r="X303" s="58"/>
      <c r="Y303" s="58"/>
      <c r="AA303" s="2307" t="s">
        <v>2561</v>
      </c>
      <c r="AB303" s="2307"/>
      <c r="AC303" s="2307"/>
      <c r="AD303" s="2307"/>
      <c r="AE303" s="2307"/>
      <c r="AF303" s="2307"/>
      <c r="AG303" s="2307"/>
      <c r="AH303" s="2307"/>
      <c r="AI303" s="2307"/>
      <c r="AJ303" s="2307"/>
      <c r="AK303" s="2307"/>
      <c r="BN303" s="61"/>
    </row>
    <row r="304" spans="2:66" ht="12.75">
      <c r="B304" s="58" t="s">
        <v>504</v>
      </c>
      <c r="C304" s="58"/>
      <c r="D304" s="58"/>
      <c r="E304" s="58"/>
      <c r="F304" s="58"/>
      <c r="H304" s="2307" t="s">
        <v>2555</v>
      </c>
      <c r="I304" s="2307"/>
      <c r="J304" s="2307"/>
      <c r="K304" s="2307"/>
      <c r="L304" s="2307"/>
      <c r="M304" s="2307"/>
      <c r="N304" s="2307"/>
      <c r="O304" s="2307"/>
      <c r="P304" s="2307"/>
      <c r="Q304" s="2307"/>
      <c r="R304" s="2307"/>
      <c r="T304" s="58" t="s">
        <v>79</v>
      </c>
      <c r="V304" s="58"/>
      <c r="W304" s="58"/>
      <c r="X304" s="58"/>
      <c r="Y304" s="58"/>
      <c r="AA304" s="2307" t="s">
        <v>2562</v>
      </c>
      <c r="AB304" s="2307"/>
      <c r="AC304" s="2307"/>
      <c r="AD304" s="2307"/>
      <c r="AE304" s="2307"/>
      <c r="AF304" s="2307"/>
      <c r="AG304" s="2307"/>
      <c r="AH304" s="2307"/>
      <c r="AI304" s="2307"/>
      <c r="AJ304" s="2307"/>
      <c r="AK304" s="2307"/>
      <c r="BN304" s="61"/>
    </row>
    <row r="305" spans="2:66" ht="12.75">
      <c r="B305" s="58" t="s">
        <v>92</v>
      </c>
      <c r="C305" s="58"/>
      <c r="D305" s="58"/>
      <c r="E305" s="58"/>
      <c r="F305" s="58"/>
      <c r="H305" s="2307" t="s">
        <v>2558</v>
      </c>
      <c r="I305" s="2307"/>
      <c r="J305" s="2307"/>
      <c r="K305" s="2307"/>
      <c r="L305" s="2307"/>
      <c r="M305" s="2307"/>
      <c r="N305" s="2307"/>
      <c r="O305" s="2307"/>
      <c r="P305" s="2307"/>
      <c r="Q305" s="2307"/>
      <c r="R305" s="2307"/>
      <c r="T305" s="58" t="s">
        <v>92</v>
      </c>
      <c r="V305" s="58"/>
      <c r="W305" s="58"/>
      <c r="X305" s="58"/>
      <c r="Y305" s="58"/>
      <c r="AA305" s="2307" t="s">
        <v>2563</v>
      </c>
      <c r="AB305" s="2307"/>
      <c r="AC305" s="2307"/>
      <c r="AD305" s="2307"/>
      <c r="AE305" s="2307"/>
      <c r="AF305" s="2307"/>
      <c r="AG305" s="2307"/>
      <c r="AH305" s="2307"/>
      <c r="AI305" s="2307"/>
      <c r="AJ305" s="2307"/>
      <c r="AK305" s="2307"/>
      <c r="BN305" s="61"/>
    </row>
    <row r="306" spans="2:66" ht="12.75">
      <c r="B306" s="58" t="s">
        <v>93</v>
      </c>
      <c r="C306" s="58"/>
      <c r="D306" s="58"/>
      <c r="E306" s="58"/>
      <c r="F306" s="58"/>
      <c r="G306" s="58"/>
      <c r="H306" s="2387">
        <v>5108366336</v>
      </c>
      <c r="I306" s="2387"/>
      <c r="J306" s="2387"/>
      <c r="K306" s="2387"/>
      <c r="L306" s="2387"/>
      <c r="M306" s="2387"/>
      <c r="N306" s="7" t="s">
        <v>212</v>
      </c>
      <c r="O306" s="7"/>
      <c r="P306" s="2385"/>
      <c r="Q306" s="2385"/>
      <c r="R306" s="2385"/>
      <c r="S306" s="58"/>
      <c r="T306" s="58" t="s">
        <v>93</v>
      </c>
      <c r="V306" s="58"/>
      <c r="W306" s="58"/>
      <c r="X306" s="58"/>
      <c r="Y306" s="58"/>
      <c r="AA306" s="2387">
        <v>7607613695</v>
      </c>
      <c r="AB306" s="2387"/>
      <c r="AC306" s="2387"/>
      <c r="AD306" s="2387"/>
      <c r="AE306" s="2387"/>
      <c r="AF306" s="2387"/>
      <c r="AG306" s="7" t="s">
        <v>212</v>
      </c>
      <c r="AH306" s="7"/>
      <c r="AI306" s="2385"/>
      <c r="AJ306" s="2385"/>
      <c r="AK306" s="2385"/>
      <c r="BN306" s="61"/>
    </row>
    <row r="307" spans="2:66" ht="12.75">
      <c r="B307" s="58" t="s">
        <v>94</v>
      </c>
      <c r="C307" s="58"/>
      <c r="D307" s="58"/>
      <c r="E307" s="58"/>
      <c r="F307" s="58"/>
      <c r="G307" s="58"/>
      <c r="H307" s="2089">
        <v>5108361035</v>
      </c>
      <c r="I307" s="2089"/>
      <c r="J307" s="2089"/>
      <c r="K307" s="2089"/>
      <c r="L307" s="2089"/>
      <c r="M307" s="2089"/>
      <c r="N307" s="60"/>
      <c r="O307" s="60"/>
      <c r="P307" s="62"/>
      <c r="Q307" s="62"/>
      <c r="R307" s="62"/>
      <c r="S307" s="58"/>
      <c r="T307" s="58" t="s">
        <v>94</v>
      </c>
      <c r="V307" s="58"/>
      <c r="W307" s="58"/>
      <c r="X307" s="58"/>
      <c r="Y307" s="58"/>
      <c r="AA307" s="2089">
        <v>7607613650</v>
      </c>
      <c r="AB307" s="2089"/>
      <c r="AC307" s="2089"/>
      <c r="AD307" s="2089"/>
      <c r="AE307" s="2089"/>
      <c r="AF307" s="2089"/>
      <c r="AG307" s="60"/>
      <c r="AH307" s="60"/>
      <c r="AI307" s="62"/>
      <c r="AJ307" s="62"/>
      <c r="AK307" s="62"/>
      <c r="BN307" s="61"/>
    </row>
    <row r="308" spans="2:66" ht="12.75">
      <c r="B308" s="58" t="s">
        <v>80</v>
      </c>
      <c r="C308" s="58"/>
      <c r="D308" s="58"/>
      <c r="E308" s="58"/>
      <c r="F308" s="58"/>
      <c r="G308" s="58"/>
      <c r="H308" s="2307" t="s">
        <v>2559</v>
      </c>
      <c r="I308" s="2307"/>
      <c r="J308" s="2307"/>
      <c r="K308" s="2307"/>
      <c r="L308" s="2307"/>
      <c r="M308" s="2307"/>
      <c r="N308" s="2044"/>
      <c r="O308" s="2044"/>
      <c r="P308" s="2044"/>
      <c r="Q308" s="2044"/>
      <c r="R308" s="2044"/>
      <c r="S308" s="58"/>
      <c r="T308" s="58" t="s">
        <v>80</v>
      </c>
      <c r="V308" s="58"/>
      <c r="W308" s="58"/>
      <c r="X308" s="58"/>
      <c r="Y308" s="58"/>
      <c r="AA308" s="2307" t="s">
        <v>2564</v>
      </c>
      <c r="AB308" s="2307"/>
      <c r="AC308" s="2307"/>
      <c r="AD308" s="2307"/>
      <c r="AE308" s="2307"/>
      <c r="AF308" s="2307"/>
      <c r="AG308" s="2044"/>
      <c r="AH308" s="2044"/>
      <c r="AI308" s="2044"/>
      <c r="AJ308" s="2044"/>
      <c r="AK308" s="2044"/>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44" t="s">
        <v>2565</v>
      </c>
      <c r="I310" s="2044"/>
      <c r="J310" s="2044"/>
      <c r="K310" s="2044"/>
      <c r="L310" s="2044"/>
      <c r="M310" s="2044"/>
      <c r="N310" s="2044"/>
      <c r="O310" s="2044"/>
      <c r="P310" s="2044"/>
      <c r="Q310" s="2044"/>
      <c r="R310" s="2044"/>
      <c r="S310" s="58"/>
      <c r="T310" s="58" t="s">
        <v>374</v>
      </c>
      <c r="V310" s="58"/>
      <c r="W310" s="58"/>
      <c r="X310" s="58"/>
      <c r="Y310" s="58"/>
      <c r="AA310" s="2044" t="s">
        <v>2571</v>
      </c>
      <c r="AB310" s="2044"/>
      <c r="AC310" s="2044"/>
      <c r="AD310" s="2044"/>
      <c r="AE310" s="2044"/>
      <c r="AF310" s="2044"/>
      <c r="AG310" s="2044"/>
      <c r="AH310" s="2044"/>
      <c r="AI310" s="2044"/>
      <c r="AJ310" s="2044"/>
      <c r="AK310" s="2044"/>
      <c r="BN310" s="61"/>
    </row>
    <row r="311" spans="2:66" ht="12.75">
      <c r="B311" s="58" t="s">
        <v>503</v>
      </c>
      <c r="C311" s="58"/>
      <c r="D311" s="58"/>
      <c r="E311" s="58"/>
      <c r="F311" s="58"/>
      <c r="H311" s="2307" t="s">
        <v>2566</v>
      </c>
      <c r="I311" s="2307"/>
      <c r="J311" s="2307"/>
      <c r="K311" s="2307"/>
      <c r="L311" s="2307"/>
      <c r="M311" s="2307"/>
      <c r="N311" s="2307"/>
      <c r="O311" s="2307"/>
      <c r="P311" s="2307"/>
      <c r="Q311" s="2307"/>
      <c r="R311" s="2307"/>
      <c r="S311" s="58"/>
      <c r="T311" s="58" t="s">
        <v>503</v>
      </c>
      <c r="V311" s="58"/>
      <c r="W311" s="58"/>
      <c r="X311" s="58"/>
      <c r="Y311" s="58"/>
      <c r="AA311" s="2307" t="s">
        <v>2572</v>
      </c>
      <c r="AB311" s="2307"/>
      <c r="AC311" s="2307"/>
      <c r="AD311" s="2307"/>
      <c r="AE311" s="2307"/>
      <c r="AF311" s="2307"/>
      <c r="AG311" s="2307"/>
      <c r="AH311" s="2307"/>
      <c r="AI311" s="2307"/>
      <c r="AJ311" s="2307"/>
      <c r="AK311" s="2307"/>
      <c r="BN311" s="61"/>
    </row>
    <row r="312" spans="2:66" ht="12.75" customHeight="1">
      <c r="B312" s="58" t="s">
        <v>504</v>
      </c>
      <c r="C312" s="58"/>
      <c r="D312" s="58"/>
      <c r="E312" s="58"/>
      <c r="F312" s="58"/>
      <c r="H312" s="2307" t="s">
        <v>2567</v>
      </c>
      <c r="I312" s="2307"/>
      <c r="J312" s="2307"/>
      <c r="K312" s="2307"/>
      <c r="L312" s="2307"/>
      <c r="M312" s="2307"/>
      <c r="N312" s="2307"/>
      <c r="O312" s="2307"/>
      <c r="P312" s="2307"/>
      <c r="Q312" s="2307"/>
      <c r="R312" s="2307"/>
      <c r="S312" s="58"/>
      <c r="T312" s="58" t="s">
        <v>79</v>
      </c>
      <c r="V312" s="58"/>
      <c r="W312" s="58"/>
      <c r="X312" s="58"/>
      <c r="Y312" s="58"/>
      <c r="AA312" s="2307" t="s">
        <v>2573</v>
      </c>
      <c r="AB312" s="2307"/>
      <c r="AC312" s="2307"/>
      <c r="AD312" s="2307"/>
      <c r="AE312" s="2307"/>
      <c r="AF312" s="2307"/>
      <c r="AG312" s="2307"/>
      <c r="AH312" s="2307"/>
      <c r="AI312" s="2307"/>
      <c r="AJ312" s="2307"/>
      <c r="AK312" s="2307"/>
      <c r="BN312" s="61"/>
    </row>
    <row r="313" spans="2:66" ht="12.75">
      <c r="B313" s="58" t="s">
        <v>92</v>
      </c>
      <c r="C313" s="58"/>
      <c r="D313" s="58"/>
      <c r="E313" s="58"/>
      <c r="F313" s="58"/>
      <c r="H313" s="2307" t="s">
        <v>2568</v>
      </c>
      <c r="I313" s="2307"/>
      <c r="J313" s="2307"/>
      <c r="K313" s="2307"/>
      <c r="L313" s="2307"/>
      <c r="M313" s="2307"/>
      <c r="N313" s="2307"/>
      <c r="O313" s="2307"/>
      <c r="P313" s="2307"/>
      <c r="Q313" s="2307"/>
      <c r="R313" s="2307"/>
      <c r="S313" s="58"/>
      <c r="T313" s="58" t="s">
        <v>92</v>
      </c>
      <c r="V313" s="58"/>
      <c r="W313" s="58"/>
      <c r="X313" s="58"/>
      <c r="Y313" s="58"/>
      <c r="AA313" s="2307" t="s">
        <v>2574</v>
      </c>
      <c r="AB313" s="2307"/>
      <c r="AC313" s="2307"/>
      <c r="AD313" s="2307"/>
      <c r="AE313" s="2307"/>
      <c r="AF313" s="2307"/>
      <c r="AG313" s="2307"/>
      <c r="AH313" s="2307"/>
      <c r="AI313" s="2307"/>
      <c r="AJ313" s="2307"/>
      <c r="AK313" s="2307"/>
      <c r="BN313" s="61"/>
    </row>
    <row r="314" spans="2:66" ht="12.75">
      <c r="B314" s="58" t="s">
        <v>93</v>
      </c>
      <c r="C314" s="58"/>
      <c r="D314" s="58"/>
      <c r="E314" s="58"/>
      <c r="F314" s="58"/>
      <c r="G314" s="58"/>
      <c r="H314" s="2387">
        <v>8183833079</v>
      </c>
      <c r="I314" s="2387"/>
      <c r="J314" s="2387"/>
      <c r="K314" s="2387"/>
      <c r="L314" s="2387"/>
      <c r="M314" s="2387"/>
      <c r="N314" s="7" t="s">
        <v>212</v>
      </c>
      <c r="O314" s="7"/>
      <c r="P314" s="2385"/>
      <c r="Q314" s="2385"/>
      <c r="R314" s="2385"/>
      <c r="S314" s="58"/>
      <c r="T314" s="58" t="s">
        <v>93</v>
      </c>
      <c r="V314" s="58"/>
      <c r="W314" s="58"/>
      <c r="X314" s="58"/>
      <c r="Y314" s="58"/>
      <c r="AA314" s="2387">
        <v>2132403144</v>
      </c>
      <c r="AB314" s="2387"/>
      <c r="AC314" s="2387"/>
      <c r="AD314" s="2387"/>
      <c r="AE314" s="2387"/>
      <c r="AF314" s="2387"/>
      <c r="AG314" s="7" t="s">
        <v>212</v>
      </c>
      <c r="AH314" s="7"/>
      <c r="AI314" s="2385"/>
      <c r="AJ314" s="2385"/>
      <c r="AK314" s="2385"/>
      <c r="BN314" s="61"/>
    </row>
    <row r="315" spans="2:66" ht="12.75">
      <c r="B315" s="58" t="s">
        <v>94</v>
      </c>
      <c r="C315" s="58"/>
      <c r="D315" s="58"/>
      <c r="E315" s="58"/>
      <c r="F315" s="58"/>
      <c r="G315" s="58"/>
      <c r="H315" s="2089">
        <v>8182760008</v>
      </c>
      <c r="I315" s="2089"/>
      <c r="J315" s="2089"/>
      <c r="K315" s="2089"/>
      <c r="L315" s="2089"/>
      <c r="M315" s="2089"/>
      <c r="N315" s="60"/>
      <c r="O315" s="60"/>
      <c r="P315" s="62"/>
      <c r="Q315" s="62"/>
      <c r="R315" s="62"/>
      <c r="S315" s="58"/>
      <c r="T315" s="58" t="s">
        <v>94</v>
      </c>
      <c r="V315" s="58"/>
      <c r="W315" s="58"/>
      <c r="X315" s="58"/>
      <c r="Y315" s="58"/>
      <c r="AA315" s="2089">
        <v>2132403144</v>
      </c>
      <c r="AB315" s="2089"/>
      <c r="AC315" s="2089"/>
      <c r="AD315" s="2089"/>
      <c r="AE315" s="2089"/>
      <c r="AF315" s="2089"/>
      <c r="AG315" s="60"/>
      <c r="AH315" s="60"/>
      <c r="AI315" s="62"/>
      <c r="AJ315" s="62"/>
      <c r="AK315" s="62"/>
      <c r="BN315" s="61"/>
    </row>
    <row r="316" spans="2:66" ht="12.75">
      <c r="B316" s="58" t="s">
        <v>80</v>
      </c>
      <c r="C316" s="58"/>
      <c r="D316" s="58"/>
      <c r="E316" s="58"/>
      <c r="F316" s="58"/>
      <c r="G316" s="58"/>
      <c r="H316" s="2307" t="s">
        <v>2569</v>
      </c>
      <c r="I316" s="2307"/>
      <c r="J316" s="2307"/>
      <c r="K316" s="2307"/>
      <c r="L316" s="2307"/>
      <c r="M316" s="2307"/>
      <c r="N316" s="2044"/>
      <c r="O316" s="2044"/>
      <c r="P316" s="2044"/>
      <c r="Q316" s="2044"/>
      <c r="R316" s="2044"/>
      <c r="S316" s="58"/>
      <c r="T316" s="58" t="s">
        <v>80</v>
      </c>
      <c r="V316" s="58"/>
      <c r="W316" s="58"/>
      <c r="X316" s="58"/>
      <c r="Y316" s="58"/>
      <c r="AA316" s="2307" t="s">
        <v>2570</v>
      </c>
      <c r="AB316" s="2307"/>
      <c r="AC316" s="2307"/>
      <c r="AD316" s="2307"/>
      <c r="AE316" s="2307"/>
      <c r="AF316" s="2307"/>
      <c r="AG316" s="2044"/>
      <c r="AH316" s="2044"/>
      <c r="AI316" s="2044"/>
      <c r="AJ316" s="2044"/>
      <c r="AK316" s="2044"/>
      <c r="BN316" s="61"/>
    </row>
    <row r="317" spans="2:66" ht="12.75">
      <c r="BN317" s="61"/>
    </row>
    <row r="318" spans="2:66" ht="12.75">
      <c r="B318" s="7" t="s">
        <v>976</v>
      </c>
      <c r="C318" s="58"/>
      <c r="D318" s="58"/>
      <c r="E318" s="58"/>
      <c r="F318" s="58"/>
      <c r="H318" s="2044" t="s">
        <v>2575</v>
      </c>
      <c r="I318" s="2044"/>
      <c r="J318" s="2044"/>
      <c r="K318" s="2044"/>
      <c r="L318" s="2044"/>
      <c r="M318" s="2044"/>
      <c r="N318" s="2044"/>
      <c r="O318" s="2044"/>
      <c r="P318" s="2044"/>
      <c r="Q318" s="2044"/>
      <c r="R318" s="2044"/>
      <c r="T318" s="58" t="s">
        <v>375</v>
      </c>
      <c r="V318" s="58"/>
      <c r="W318" s="58"/>
      <c r="X318" s="58"/>
      <c r="Y318" s="58"/>
      <c r="AA318" s="2044" t="s">
        <v>2576</v>
      </c>
      <c r="AB318" s="2044"/>
      <c r="AC318" s="2044"/>
      <c r="AD318" s="2044"/>
      <c r="AE318" s="2044"/>
      <c r="AF318" s="2044"/>
      <c r="AG318" s="2044"/>
      <c r="AH318" s="2044"/>
      <c r="AI318" s="2044"/>
      <c r="AJ318" s="2044"/>
      <c r="AK318" s="2044"/>
      <c r="BN318" s="61"/>
    </row>
    <row r="319" spans="2:66" ht="12.75">
      <c r="B319" s="58" t="s">
        <v>503</v>
      </c>
      <c r="C319" s="58"/>
      <c r="D319" s="58"/>
      <c r="E319" s="58"/>
      <c r="F319" s="58"/>
      <c r="H319" s="2307"/>
      <c r="I319" s="2307"/>
      <c r="J319" s="2307"/>
      <c r="K319" s="2307"/>
      <c r="L319" s="2307"/>
      <c r="M319" s="2307"/>
      <c r="N319" s="2307"/>
      <c r="O319" s="2307"/>
      <c r="P319" s="2307"/>
      <c r="Q319" s="2307"/>
      <c r="R319" s="2307"/>
      <c r="T319" s="58" t="s">
        <v>503</v>
      </c>
      <c r="V319" s="58"/>
      <c r="W319" s="58"/>
      <c r="X319" s="58"/>
      <c r="Y319" s="58"/>
      <c r="AA319" s="2307" t="s">
        <v>2577</v>
      </c>
      <c r="AB319" s="2307"/>
      <c r="AC319" s="2307"/>
      <c r="AD319" s="2307"/>
      <c r="AE319" s="2307"/>
      <c r="AF319" s="2307"/>
      <c r="AG319" s="2307"/>
      <c r="AH319" s="2307"/>
      <c r="AI319" s="2307"/>
      <c r="AJ319" s="2307"/>
      <c r="AK319" s="2307"/>
      <c r="BN319" s="61"/>
    </row>
    <row r="320" spans="2:66" ht="12.75">
      <c r="B320" s="58" t="s">
        <v>504</v>
      </c>
      <c r="C320" s="58"/>
      <c r="D320" s="58"/>
      <c r="E320" s="58"/>
      <c r="F320" s="58"/>
      <c r="H320" s="2307"/>
      <c r="I320" s="2307"/>
      <c r="J320" s="2307"/>
      <c r="K320" s="2307"/>
      <c r="L320" s="2307"/>
      <c r="M320" s="2307"/>
      <c r="N320" s="2307"/>
      <c r="O320" s="2307"/>
      <c r="P320" s="2307"/>
      <c r="Q320" s="2307"/>
      <c r="R320" s="2307"/>
      <c r="T320" s="58" t="s">
        <v>79</v>
      </c>
      <c r="V320" s="58"/>
      <c r="W320" s="58"/>
      <c r="X320" s="58"/>
      <c r="Y320" s="58"/>
      <c r="AA320" s="2307" t="s">
        <v>2578</v>
      </c>
      <c r="AB320" s="2307"/>
      <c r="AC320" s="2307"/>
      <c r="AD320" s="2307"/>
      <c r="AE320" s="2307"/>
      <c r="AF320" s="2307"/>
      <c r="AG320" s="2307"/>
      <c r="AH320" s="2307"/>
      <c r="AI320" s="2307"/>
      <c r="AJ320" s="2307"/>
      <c r="AK320" s="2307"/>
      <c r="BN320" s="61"/>
    </row>
    <row r="321" spans="1:66" ht="12.75" customHeight="1">
      <c r="A321" s="39"/>
      <c r="B321" s="58" t="s">
        <v>92</v>
      </c>
      <c r="C321" s="58"/>
      <c r="D321" s="58"/>
      <c r="E321" s="58"/>
      <c r="F321" s="58"/>
      <c r="H321" s="2307"/>
      <c r="I321" s="2307"/>
      <c r="J321" s="2307"/>
      <c r="K321" s="2307"/>
      <c r="L321" s="2307"/>
      <c r="M321" s="2307"/>
      <c r="N321" s="2307"/>
      <c r="O321" s="2307"/>
      <c r="P321" s="2307"/>
      <c r="Q321" s="2307"/>
      <c r="R321" s="2307"/>
      <c r="T321" s="58" t="s">
        <v>92</v>
      </c>
      <c r="V321" s="58"/>
      <c r="W321" s="58"/>
      <c r="X321" s="58"/>
      <c r="Y321" s="58"/>
      <c r="AA321" s="2307" t="s">
        <v>2579</v>
      </c>
      <c r="AB321" s="2307"/>
      <c r="AC321" s="2307"/>
      <c r="AD321" s="2307"/>
      <c r="AE321" s="2307"/>
      <c r="AF321" s="2307"/>
      <c r="AG321" s="2307"/>
      <c r="AH321" s="2307"/>
      <c r="AI321" s="2307"/>
      <c r="AJ321" s="2307"/>
      <c r="AK321" s="2307"/>
      <c r="AL321" s="39"/>
      <c r="BN321" s="61"/>
    </row>
    <row r="322" spans="1:66" ht="12.75">
      <c r="A322" s="39"/>
      <c r="B322" s="58" t="s">
        <v>93</v>
      </c>
      <c r="C322" s="58"/>
      <c r="D322" s="58"/>
      <c r="E322" s="58"/>
      <c r="F322" s="58"/>
      <c r="G322" s="58"/>
      <c r="H322" s="2387"/>
      <c r="I322" s="2387"/>
      <c r="J322" s="2387"/>
      <c r="K322" s="2387"/>
      <c r="L322" s="2387"/>
      <c r="M322" s="2387"/>
      <c r="N322" s="7" t="s">
        <v>212</v>
      </c>
      <c r="O322" s="7"/>
      <c r="P322" s="2385"/>
      <c r="Q322" s="2385"/>
      <c r="R322" s="2385"/>
      <c r="S322" s="58"/>
      <c r="T322" s="58" t="s">
        <v>93</v>
      </c>
      <c r="V322" s="58"/>
      <c r="W322" s="58"/>
      <c r="X322" s="58"/>
      <c r="Y322" s="58"/>
      <c r="AA322" s="2387">
        <v>8189141892</v>
      </c>
      <c r="AB322" s="2387"/>
      <c r="AC322" s="2387"/>
      <c r="AD322" s="2387"/>
      <c r="AE322" s="2387"/>
      <c r="AF322" s="2387"/>
      <c r="AG322" s="7" t="s">
        <v>212</v>
      </c>
      <c r="AH322" s="7"/>
      <c r="AI322" s="2385"/>
      <c r="AJ322" s="2385"/>
      <c r="AK322" s="2385"/>
      <c r="AL322" s="39"/>
      <c r="BN322" s="61"/>
    </row>
    <row r="323" spans="1:66" ht="12.75" customHeight="1">
      <c r="A323" s="39"/>
      <c r="B323" s="58" t="s">
        <v>94</v>
      </c>
      <c r="C323" s="58"/>
      <c r="D323" s="58"/>
      <c r="E323" s="58"/>
      <c r="F323" s="58"/>
      <c r="G323" s="58"/>
      <c r="H323" s="2089"/>
      <c r="I323" s="2089"/>
      <c r="J323" s="2089"/>
      <c r="K323" s="2089"/>
      <c r="L323" s="2089"/>
      <c r="M323" s="2089"/>
      <c r="N323" s="60"/>
      <c r="O323" s="60"/>
      <c r="P323" s="62"/>
      <c r="Q323" s="62"/>
      <c r="R323" s="62"/>
      <c r="S323" s="58"/>
      <c r="T323" s="58" t="s">
        <v>94</v>
      </c>
      <c r="V323" s="58"/>
      <c r="W323" s="58"/>
      <c r="X323" s="58"/>
      <c r="Y323" s="58"/>
      <c r="AA323" s="2089"/>
      <c r="AB323" s="2089"/>
      <c r="AC323" s="2089"/>
      <c r="AD323" s="2089"/>
      <c r="AE323" s="2089"/>
      <c r="AF323" s="2089"/>
      <c r="AG323" s="60"/>
      <c r="AH323" s="60"/>
      <c r="AI323" s="62"/>
      <c r="AJ323" s="62"/>
      <c r="AK323" s="62"/>
      <c r="AL323" s="39"/>
    </row>
    <row r="324" spans="1:66" ht="12.75">
      <c r="A324" s="39"/>
      <c r="B324" s="58" t="s">
        <v>80</v>
      </c>
      <c r="C324" s="58"/>
      <c r="D324" s="58"/>
      <c r="E324" s="58"/>
      <c r="F324" s="58"/>
      <c r="G324" s="58"/>
      <c r="H324" s="2307"/>
      <c r="I324" s="2307"/>
      <c r="J324" s="2307"/>
      <c r="K324" s="2307"/>
      <c r="L324" s="2307"/>
      <c r="M324" s="2307"/>
      <c r="N324" s="2044"/>
      <c r="O324" s="2044"/>
      <c r="P324" s="2044"/>
      <c r="Q324" s="2044"/>
      <c r="R324" s="2044"/>
      <c r="S324" s="58"/>
      <c r="T324" s="58" t="s">
        <v>80</v>
      </c>
      <c r="V324" s="58"/>
      <c r="W324" s="58"/>
      <c r="X324" s="58"/>
      <c r="Y324" s="58"/>
      <c r="AA324" s="2307" t="s">
        <v>2580</v>
      </c>
      <c r="AB324" s="2307"/>
      <c r="AC324" s="2307"/>
      <c r="AD324" s="2307"/>
      <c r="AE324" s="2307"/>
      <c r="AF324" s="2307"/>
      <c r="AG324" s="2044"/>
      <c r="AH324" s="2044"/>
      <c r="AI324" s="2044"/>
      <c r="AJ324" s="2044"/>
      <c r="AK324" s="2044"/>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044" t="s">
        <v>2576</v>
      </c>
      <c r="I326" s="2044"/>
      <c r="J326" s="2044"/>
      <c r="K326" s="2044"/>
      <c r="L326" s="2044"/>
      <c r="M326" s="2044"/>
      <c r="N326" s="2044"/>
      <c r="O326" s="2044"/>
      <c r="P326" s="2044"/>
      <c r="Q326" s="2044"/>
      <c r="R326" s="2044"/>
      <c r="T326" s="58" t="s">
        <v>377</v>
      </c>
      <c r="V326" s="58"/>
      <c r="W326" s="58"/>
      <c r="X326" s="58"/>
      <c r="Y326" s="58"/>
      <c r="AA326" s="2044" t="s">
        <v>2736</v>
      </c>
      <c r="AB326" s="2044"/>
      <c r="AC326" s="2044"/>
      <c r="AD326" s="2044"/>
      <c r="AE326" s="2044"/>
      <c r="AF326" s="2044"/>
      <c r="AG326" s="2044"/>
      <c r="AH326" s="2044"/>
      <c r="AI326" s="2044"/>
      <c r="AJ326" s="2044"/>
      <c r="AK326" s="2044"/>
      <c r="AL326" s="39"/>
    </row>
    <row r="327" spans="1:66" ht="12.75">
      <c r="A327" s="39"/>
      <c r="B327" s="58" t="s">
        <v>503</v>
      </c>
      <c r="C327" s="58"/>
      <c r="D327" s="58"/>
      <c r="E327" s="58"/>
      <c r="F327" s="58"/>
      <c r="H327" s="2307" t="s">
        <v>2577</v>
      </c>
      <c r="I327" s="2307"/>
      <c r="J327" s="2307"/>
      <c r="K327" s="2307"/>
      <c r="L327" s="2307"/>
      <c r="M327" s="2307"/>
      <c r="N327" s="2307"/>
      <c r="O327" s="2307"/>
      <c r="P327" s="2307"/>
      <c r="Q327" s="2307"/>
      <c r="R327" s="2307"/>
      <c r="T327" s="58" t="s">
        <v>503</v>
      </c>
      <c r="V327" s="58"/>
      <c r="W327" s="58"/>
      <c r="X327" s="58"/>
      <c r="Y327" s="58"/>
      <c r="AA327" s="2307" t="s">
        <v>2738</v>
      </c>
      <c r="AB327" s="2307"/>
      <c r="AC327" s="2307"/>
      <c r="AD327" s="2307"/>
      <c r="AE327" s="2307"/>
      <c r="AF327" s="2307"/>
      <c r="AG327" s="2307"/>
      <c r="AH327" s="2307"/>
      <c r="AI327" s="2307"/>
      <c r="AJ327" s="2307"/>
      <c r="AK327" s="2307"/>
      <c r="AL327" s="39"/>
    </row>
    <row r="328" spans="1:66" ht="12.75">
      <c r="A328" s="39"/>
      <c r="B328" s="58" t="s">
        <v>504</v>
      </c>
      <c r="C328" s="58"/>
      <c r="D328" s="58"/>
      <c r="E328" s="58"/>
      <c r="F328" s="58"/>
      <c r="H328" s="2307" t="s">
        <v>2578</v>
      </c>
      <c r="I328" s="2307"/>
      <c r="J328" s="2307"/>
      <c r="K328" s="2307"/>
      <c r="L328" s="2307"/>
      <c r="M328" s="2307"/>
      <c r="N328" s="2307"/>
      <c r="O328" s="2307"/>
      <c r="P328" s="2307"/>
      <c r="Q328" s="2307"/>
      <c r="R328" s="2307"/>
      <c r="T328" s="58" t="s">
        <v>79</v>
      </c>
      <c r="V328" s="58"/>
      <c r="W328" s="58"/>
      <c r="X328" s="58"/>
      <c r="Y328" s="58"/>
      <c r="AA328" s="2307" t="s">
        <v>2739</v>
      </c>
      <c r="AB328" s="2307"/>
      <c r="AC328" s="2307"/>
      <c r="AD328" s="2307"/>
      <c r="AE328" s="2307"/>
      <c r="AF328" s="2307"/>
      <c r="AG328" s="2307"/>
      <c r="AH328" s="2307"/>
      <c r="AI328" s="2307"/>
      <c r="AJ328" s="2307"/>
      <c r="AK328" s="2307"/>
      <c r="AL328" s="39"/>
    </row>
    <row r="329" spans="1:66" ht="12.75">
      <c r="A329" s="39"/>
      <c r="B329" s="58" t="s">
        <v>92</v>
      </c>
      <c r="C329" s="58"/>
      <c r="D329" s="58"/>
      <c r="E329" s="58"/>
      <c r="F329" s="58"/>
      <c r="H329" s="2307" t="s">
        <v>2579</v>
      </c>
      <c r="I329" s="2307"/>
      <c r="J329" s="2307"/>
      <c r="K329" s="2307"/>
      <c r="L329" s="2307"/>
      <c r="M329" s="2307"/>
      <c r="N329" s="2307"/>
      <c r="O329" s="2307"/>
      <c r="P329" s="2307"/>
      <c r="Q329" s="2307"/>
      <c r="R329" s="2307"/>
      <c r="T329" s="58" t="s">
        <v>92</v>
      </c>
      <c r="V329" s="58"/>
      <c r="W329" s="58"/>
      <c r="X329" s="58"/>
      <c r="Y329" s="58"/>
      <c r="AA329" s="2307" t="s">
        <v>2737</v>
      </c>
      <c r="AB329" s="2307"/>
      <c r="AC329" s="2307"/>
      <c r="AD329" s="2307"/>
      <c r="AE329" s="2307"/>
      <c r="AF329" s="2307"/>
      <c r="AG329" s="2307"/>
      <c r="AH329" s="2307"/>
      <c r="AI329" s="2307"/>
      <c r="AJ329" s="2307"/>
      <c r="AK329" s="2307"/>
      <c r="AL329" s="39"/>
    </row>
    <row r="330" spans="1:66" ht="12.75" customHeight="1">
      <c r="A330" s="39"/>
      <c r="B330" s="58" t="s">
        <v>93</v>
      </c>
      <c r="C330" s="58"/>
      <c r="D330" s="58"/>
      <c r="E330" s="58"/>
      <c r="F330" s="58"/>
      <c r="G330" s="58"/>
      <c r="H330" s="2387">
        <v>8189141892</v>
      </c>
      <c r="I330" s="2387"/>
      <c r="J330" s="2387"/>
      <c r="K330" s="2387"/>
      <c r="L330" s="2387"/>
      <c r="M330" s="2387"/>
      <c r="N330" s="7" t="s">
        <v>212</v>
      </c>
      <c r="O330" s="7"/>
      <c r="P330" s="2385"/>
      <c r="Q330" s="2385"/>
      <c r="R330" s="2385"/>
      <c r="S330" s="58"/>
      <c r="T330" s="58" t="s">
        <v>93</v>
      </c>
      <c r="V330" s="58"/>
      <c r="W330" s="58"/>
      <c r="X330" s="58"/>
      <c r="Y330" s="58"/>
      <c r="AA330" s="2387">
        <v>4154576035</v>
      </c>
      <c r="AB330" s="2387"/>
      <c r="AC330" s="2387"/>
      <c r="AD330" s="2387"/>
      <c r="AE330" s="2387"/>
      <c r="AF330" s="2387"/>
      <c r="AG330" s="7" t="s">
        <v>212</v>
      </c>
      <c r="AH330" s="7"/>
      <c r="AI330" s="2385"/>
      <c r="AJ330" s="2385"/>
      <c r="AK330" s="2385"/>
      <c r="AL330" s="39"/>
    </row>
    <row r="331" spans="1:66" ht="12.75">
      <c r="A331" s="39"/>
      <c r="B331" s="58" t="s">
        <v>94</v>
      </c>
      <c r="C331" s="58"/>
      <c r="D331" s="58"/>
      <c r="E331" s="58"/>
      <c r="F331" s="58"/>
      <c r="G331" s="58"/>
      <c r="H331" s="2089"/>
      <c r="I331" s="2089"/>
      <c r="J331" s="2089"/>
      <c r="K331" s="2089"/>
      <c r="L331" s="2089"/>
      <c r="M331" s="2089"/>
      <c r="N331" s="60"/>
      <c r="O331" s="60"/>
      <c r="P331" s="62"/>
      <c r="Q331" s="62"/>
      <c r="R331" s="62"/>
      <c r="S331" s="58"/>
      <c r="T331" s="58" t="s">
        <v>94</v>
      </c>
      <c r="V331" s="58"/>
      <c r="W331" s="58"/>
      <c r="X331" s="58"/>
      <c r="Y331" s="58"/>
      <c r="AA331" s="2089"/>
      <c r="AB331" s="2089"/>
      <c r="AC331" s="2089"/>
      <c r="AD331" s="2089"/>
      <c r="AE331" s="2089"/>
      <c r="AF331" s="2089"/>
      <c r="AG331" s="60"/>
      <c r="AH331" s="60"/>
      <c r="AI331" s="62"/>
      <c r="AJ331" s="62"/>
      <c r="AK331" s="62"/>
      <c r="AL331" s="39"/>
    </row>
    <row r="332" spans="1:66" ht="12.75">
      <c r="A332" s="39"/>
      <c r="B332" s="58" t="s">
        <v>80</v>
      </c>
      <c r="C332" s="58"/>
      <c r="D332" s="58"/>
      <c r="E332" s="58"/>
      <c r="F332" s="58"/>
      <c r="G332" s="58"/>
      <c r="H332" s="2307" t="s">
        <v>2580</v>
      </c>
      <c r="I332" s="2307"/>
      <c r="J332" s="2307"/>
      <c r="K332" s="2307"/>
      <c r="L332" s="2307"/>
      <c r="M332" s="2307"/>
      <c r="N332" s="2044"/>
      <c r="O332" s="2044"/>
      <c r="P332" s="2044"/>
      <c r="Q332" s="2044"/>
      <c r="R332" s="2044"/>
      <c r="S332" s="58"/>
      <c r="T332" s="58" t="s">
        <v>80</v>
      </c>
      <c r="V332" s="58"/>
      <c r="W332" s="58"/>
      <c r="X332" s="58"/>
      <c r="Y332" s="58"/>
      <c r="AA332" s="2307" t="s">
        <v>2740</v>
      </c>
      <c r="AB332" s="2307"/>
      <c r="AC332" s="2307"/>
      <c r="AD332" s="2307"/>
      <c r="AE332" s="2307"/>
      <c r="AF332" s="2307"/>
      <c r="AG332" s="2044"/>
      <c r="AH332" s="2044"/>
      <c r="AI332" s="2044"/>
      <c r="AJ332" s="2044"/>
      <c r="AK332" s="204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4" t="s">
        <v>2581</v>
      </c>
      <c r="I334" s="2044"/>
      <c r="J334" s="2044"/>
      <c r="K334" s="2044"/>
      <c r="L334" s="2044"/>
      <c r="M334" s="2044"/>
      <c r="N334" s="2044"/>
      <c r="O334" s="2044"/>
      <c r="P334" s="2044"/>
      <c r="Q334" s="2044"/>
      <c r="R334" s="2044"/>
      <c r="T334" s="405" t="s">
        <v>951</v>
      </c>
      <c r="V334" s="58"/>
      <c r="W334" s="58"/>
      <c r="X334" s="58"/>
      <c r="Y334" s="58"/>
      <c r="AA334" s="2044" t="s">
        <v>2585</v>
      </c>
      <c r="AB334" s="2044"/>
      <c r="AC334" s="2044"/>
      <c r="AD334" s="2044"/>
      <c r="AE334" s="2044"/>
      <c r="AF334" s="2044"/>
      <c r="AG334" s="2044"/>
      <c r="AH334" s="2044"/>
      <c r="AI334" s="2044"/>
      <c r="AJ334" s="2044"/>
      <c r="AK334" s="2044"/>
      <c r="AL334" s="39"/>
    </row>
    <row r="335" spans="1:66" ht="12.75" customHeight="1">
      <c r="B335" s="58" t="s">
        <v>503</v>
      </c>
      <c r="C335" s="240"/>
      <c r="D335" s="240"/>
      <c r="E335" s="240"/>
      <c r="F335" s="240"/>
      <c r="G335" s="3"/>
      <c r="H335" s="2307" t="s">
        <v>2582</v>
      </c>
      <c r="I335" s="2307"/>
      <c r="J335" s="2307"/>
      <c r="K335" s="2307"/>
      <c r="L335" s="2307"/>
      <c r="M335" s="2307"/>
      <c r="N335" s="2307"/>
      <c r="O335" s="2307"/>
      <c r="P335" s="2307"/>
      <c r="Q335" s="2307"/>
      <c r="R335" s="2307"/>
      <c r="T335" s="58" t="s">
        <v>503</v>
      </c>
      <c r="V335" s="58"/>
      <c r="W335" s="58"/>
      <c r="X335" s="58"/>
      <c r="Y335" s="58"/>
      <c r="AA335" s="2307" t="s">
        <v>2586</v>
      </c>
      <c r="AB335" s="2307"/>
      <c r="AC335" s="2307"/>
      <c r="AD335" s="2307"/>
      <c r="AE335" s="2307"/>
      <c r="AF335" s="2307"/>
      <c r="AG335" s="2307"/>
      <c r="AH335" s="2307"/>
      <c r="AI335" s="2307"/>
      <c r="AJ335" s="2307"/>
      <c r="AK335" s="2307"/>
      <c r="AL335" s="39"/>
    </row>
    <row r="336" spans="1:66" ht="12.75" customHeight="1">
      <c r="B336" s="58" t="s">
        <v>79</v>
      </c>
      <c r="C336" s="240"/>
      <c r="D336" s="240"/>
      <c r="E336" s="240"/>
      <c r="F336" s="240"/>
      <c r="G336" s="3"/>
      <c r="H336" s="2307" t="s">
        <v>2583</v>
      </c>
      <c r="I336" s="2307"/>
      <c r="J336" s="2307"/>
      <c r="K336" s="2307"/>
      <c r="L336" s="2307"/>
      <c r="M336" s="2307"/>
      <c r="N336" s="2307"/>
      <c r="O336" s="2307"/>
      <c r="P336" s="2307"/>
      <c r="Q336" s="2307"/>
      <c r="R336" s="2307"/>
      <c r="T336" s="58" t="s">
        <v>79</v>
      </c>
      <c r="V336" s="58"/>
      <c r="W336" s="58"/>
      <c r="X336" s="58"/>
      <c r="Y336" s="58"/>
      <c r="AA336" s="2307" t="s">
        <v>2547</v>
      </c>
      <c r="AB336" s="2307"/>
      <c r="AC336" s="2307"/>
      <c r="AD336" s="2307"/>
      <c r="AE336" s="2307"/>
      <c r="AF336" s="2307"/>
      <c r="AG336" s="2307"/>
      <c r="AH336" s="2307"/>
      <c r="AI336" s="2307"/>
      <c r="AJ336" s="2307"/>
      <c r="AK336" s="2307"/>
      <c r="AL336" s="39"/>
    </row>
    <row r="337" spans="1:66" ht="12.75" customHeight="1">
      <c r="A337" s="39"/>
      <c r="B337" s="58" t="s">
        <v>92</v>
      </c>
      <c r="C337" s="240"/>
      <c r="D337" s="240"/>
      <c r="E337" s="240"/>
      <c r="F337" s="240"/>
      <c r="G337" s="240"/>
      <c r="H337" s="2307" t="s">
        <v>2584</v>
      </c>
      <c r="I337" s="2307"/>
      <c r="J337" s="2307"/>
      <c r="K337" s="2307"/>
      <c r="L337" s="2307"/>
      <c r="M337" s="2307"/>
      <c r="N337" s="2307"/>
      <c r="O337" s="2307"/>
      <c r="P337" s="2307"/>
      <c r="Q337" s="2307"/>
      <c r="R337" s="2307"/>
      <c r="T337" s="58" t="s">
        <v>92</v>
      </c>
      <c r="V337" s="58"/>
      <c r="W337" s="58"/>
      <c r="X337" s="58"/>
      <c r="Y337" s="58"/>
      <c r="AA337" s="2307" t="s">
        <v>2587</v>
      </c>
      <c r="AB337" s="2307"/>
      <c r="AC337" s="2307"/>
      <c r="AD337" s="2307"/>
      <c r="AE337" s="2307"/>
      <c r="AF337" s="2307"/>
      <c r="AG337" s="2307"/>
      <c r="AH337" s="2307"/>
      <c r="AI337" s="2307"/>
      <c r="AJ337" s="2307"/>
      <c r="AK337" s="2307"/>
      <c r="AL337" s="39"/>
    </row>
    <row r="338" spans="1:66" ht="12.75" customHeight="1">
      <c r="A338" s="39"/>
      <c r="B338" s="58" t="s">
        <v>93</v>
      </c>
      <c r="C338" s="240"/>
      <c r="D338" s="240"/>
      <c r="E338" s="240"/>
      <c r="F338" s="240"/>
      <c r="G338" s="240"/>
      <c r="H338" s="2387">
        <v>7609301221</v>
      </c>
      <c r="I338" s="2387"/>
      <c r="J338" s="2387"/>
      <c r="K338" s="2387"/>
      <c r="L338" s="2387"/>
      <c r="M338" s="2387"/>
      <c r="N338" s="7" t="s">
        <v>212</v>
      </c>
      <c r="O338" s="7"/>
      <c r="P338" s="2385"/>
      <c r="Q338" s="2385"/>
      <c r="R338" s="2385"/>
      <c r="S338" s="58"/>
      <c r="T338" s="58" t="s">
        <v>93</v>
      </c>
      <c r="V338" s="58"/>
      <c r="W338" s="58"/>
      <c r="X338" s="58"/>
      <c r="Y338" s="58"/>
      <c r="AA338" s="2387">
        <v>7142887600</v>
      </c>
      <c r="AB338" s="2387"/>
      <c r="AC338" s="2387"/>
      <c r="AD338" s="2387"/>
      <c r="AE338" s="2387"/>
      <c r="AF338" s="2387"/>
      <c r="AG338" s="7" t="s">
        <v>212</v>
      </c>
      <c r="AH338" s="7"/>
      <c r="AI338" s="2385">
        <v>220</v>
      </c>
      <c r="AJ338" s="2385"/>
      <c r="AK338" s="2385"/>
      <c r="AL338" s="39"/>
    </row>
    <row r="339" spans="1:66" ht="12.75">
      <c r="A339" s="39"/>
      <c r="B339" s="58" t="s">
        <v>94</v>
      </c>
      <c r="C339" s="240"/>
      <c r="D339" s="240"/>
      <c r="E339" s="240"/>
      <c r="F339" s="240"/>
      <c r="G339" s="240"/>
      <c r="H339" s="2089">
        <v>7606833390</v>
      </c>
      <c r="I339" s="2089"/>
      <c r="J339" s="2089"/>
      <c r="K339" s="2089"/>
      <c r="L339" s="2089"/>
      <c r="M339" s="2089"/>
      <c r="N339" s="60"/>
      <c r="O339" s="60"/>
      <c r="P339" s="62"/>
      <c r="Q339" s="62"/>
      <c r="R339" s="62"/>
      <c r="S339" s="58"/>
      <c r="T339" s="58" t="s">
        <v>94</v>
      </c>
      <c r="V339" s="58"/>
      <c r="W339" s="58"/>
      <c r="X339" s="58"/>
      <c r="Y339" s="58"/>
      <c r="AA339" s="2089">
        <v>7145052314</v>
      </c>
      <c r="AB339" s="2089"/>
      <c r="AC339" s="2089"/>
      <c r="AD339" s="2089"/>
      <c r="AE339" s="2089"/>
      <c r="AF339" s="2089"/>
      <c r="AG339" s="60"/>
      <c r="AH339" s="60"/>
      <c r="AI339" s="62"/>
      <c r="AJ339" s="62"/>
      <c r="AK339" s="62"/>
      <c r="AL339" s="39"/>
    </row>
    <row r="340" spans="1:66" ht="12.75">
      <c r="A340" s="39"/>
      <c r="B340" s="58" t="s">
        <v>80</v>
      </c>
      <c r="C340" s="237"/>
      <c r="D340" s="237"/>
      <c r="E340" s="237"/>
      <c r="F340" s="237"/>
      <c r="G340" s="237"/>
      <c r="H340" s="2307"/>
      <c r="I340" s="2307"/>
      <c r="J340" s="2307"/>
      <c r="K340" s="2307"/>
      <c r="L340" s="2307"/>
      <c r="M340" s="2307"/>
      <c r="N340" s="2044"/>
      <c r="O340" s="2044"/>
      <c r="P340" s="2044"/>
      <c r="Q340" s="2044"/>
      <c r="R340" s="2044"/>
      <c r="S340" s="58"/>
      <c r="T340" s="58" t="s">
        <v>80</v>
      </c>
      <c r="V340" s="58"/>
      <c r="W340" s="58"/>
      <c r="X340" s="58"/>
      <c r="Y340" s="58"/>
      <c r="AA340" s="2307" t="s">
        <v>2588</v>
      </c>
      <c r="AB340" s="2307"/>
      <c r="AC340" s="2307"/>
      <c r="AD340" s="2307"/>
      <c r="AE340" s="2307"/>
      <c r="AF340" s="2307"/>
      <c r="AG340" s="2044"/>
      <c r="AH340" s="2044"/>
      <c r="AI340" s="2044"/>
      <c r="AJ340" s="2044"/>
      <c r="AK340" s="204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44" t="s">
        <v>625</v>
      </c>
      <c r="Q342" s="2044"/>
      <c r="R342" s="2044"/>
      <c r="S342" s="2044"/>
      <c r="T342" s="2044"/>
      <c r="U342" s="2044"/>
      <c r="V342" s="2044"/>
      <c r="W342" s="2044"/>
      <c r="X342" s="2044"/>
      <c r="Y342" s="2044"/>
      <c r="Z342" s="2044"/>
      <c r="AA342" s="2044"/>
      <c r="AB342" s="2044"/>
      <c r="AC342" s="2044"/>
      <c r="AD342" s="2044"/>
      <c r="AE342" s="2044"/>
      <c r="AF342" s="88"/>
      <c r="AG342" s="88"/>
      <c r="AH342" s="88"/>
      <c r="AI342" s="88"/>
      <c r="AJ342" s="88"/>
      <c r="AK342" s="88"/>
      <c r="AL342" s="39"/>
      <c r="BN342" s="12" t="s">
        <v>625</v>
      </c>
    </row>
    <row r="343" spans="1:66" ht="12.75">
      <c r="A343" s="3"/>
      <c r="B343" s="60"/>
      <c r="C343" s="60"/>
      <c r="D343" s="60"/>
      <c r="E343" s="60"/>
      <c r="F343" s="60"/>
      <c r="G343" s="3"/>
      <c r="H343" s="88"/>
      <c r="I343" s="7" t="s">
        <v>503</v>
      </c>
      <c r="P343" s="2307"/>
      <c r="Q343" s="2307"/>
      <c r="R343" s="2307"/>
      <c r="S343" s="2307"/>
      <c r="T343" s="2307"/>
      <c r="U343" s="2307"/>
      <c r="V343" s="2307"/>
      <c r="W343" s="2307"/>
      <c r="X343" s="2307"/>
      <c r="Y343" s="2307"/>
      <c r="Z343" s="2307"/>
      <c r="AA343" s="2307"/>
      <c r="AB343" s="2307"/>
      <c r="AC343" s="2307"/>
      <c r="AD343" s="2307"/>
      <c r="AE343" s="2307"/>
      <c r="AF343" s="88"/>
      <c r="AG343" s="88"/>
      <c r="AH343" s="88"/>
      <c r="AI343" s="88"/>
      <c r="AJ343" s="88"/>
      <c r="AK343" s="88"/>
      <c r="AL343" s="39"/>
      <c r="BN343" s="12" t="s">
        <v>705</v>
      </c>
    </row>
    <row r="344" spans="1:66" ht="12.75">
      <c r="A344" s="3"/>
      <c r="B344" s="60"/>
      <c r="C344" s="60"/>
      <c r="D344" s="60"/>
      <c r="E344" s="60"/>
      <c r="F344" s="60"/>
      <c r="G344" s="3"/>
      <c r="H344" s="88"/>
      <c r="I344" s="7" t="s">
        <v>79</v>
      </c>
      <c r="P344" s="2307"/>
      <c r="Q344" s="2307"/>
      <c r="R344" s="2307"/>
      <c r="S344" s="2307"/>
      <c r="T344" s="2307"/>
      <c r="U344" s="2307"/>
      <c r="V344" s="2307"/>
      <c r="W344" s="2307"/>
      <c r="X344" s="2307"/>
      <c r="Y344" s="2307"/>
      <c r="Z344" s="2307"/>
      <c r="AA344" s="2307"/>
      <c r="AB344" s="2307"/>
      <c r="AC344" s="2307"/>
      <c r="AD344" s="2307"/>
      <c r="AE344" s="2307"/>
      <c r="AF344" s="88"/>
      <c r="AG344" s="88"/>
      <c r="AH344" s="88"/>
      <c r="AI344" s="88"/>
      <c r="AJ344" s="88"/>
      <c r="AK344" s="88"/>
      <c r="AL344" s="39"/>
      <c r="BN344" s="12" t="s">
        <v>577</v>
      </c>
    </row>
    <row r="345" spans="1:66" ht="12.75">
      <c r="A345" s="3"/>
      <c r="B345" s="60"/>
      <c r="C345" s="60"/>
      <c r="D345" s="60"/>
      <c r="E345" s="60"/>
      <c r="F345" s="60"/>
      <c r="G345" s="60"/>
      <c r="H345" s="88"/>
      <c r="I345" s="7" t="s">
        <v>92</v>
      </c>
      <c r="P345" s="2307"/>
      <c r="Q345" s="2307"/>
      <c r="R345" s="2307"/>
      <c r="S345" s="2307"/>
      <c r="T345" s="2307"/>
      <c r="U345" s="2307"/>
      <c r="V345" s="2307"/>
      <c r="W345" s="2307"/>
      <c r="X345" s="2307"/>
      <c r="Y345" s="2307"/>
      <c r="Z345" s="2307"/>
      <c r="AA345" s="2307"/>
      <c r="AB345" s="2307"/>
      <c r="AC345" s="2307"/>
      <c r="AD345" s="2307"/>
      <c r="AE345" s="2307"/>
      <c r="AF345" s="88"/>
      <c r="AG345" s="88"/>
      <c r="AH345" s="88"/>
      <c r="AI345" s="88"/>
      <c r="AJ345" s="88"/>
      <c r="AK345" s="88"/>
      <c r="AL345" s="39"/>
    </row>
    <row r="346" spans="1:66" ht="12.75">
      <c r="A346" s="3"/>
      <c r="B346" s="60"/>
      <c r="C346" s="60"/>
      <c r="D346" s="60"/>
      <c r="E346" s="60"/>
      <c r="F346" s="60"/>
      <c r="G346" s="60"/>
      <c r="H346" s="465"/>
      <c r="I346" s="7" t="s">
        <v>93</v>
      </c>
      <c r="P346" s="2089"/>
      <c r="Q346" s="2089"/>
      <c r="R346" s="2089"/>
      <c r="S346" s="2089"/>
      <c r="T346" s="2089"/>
      <c r="U346" s="2089"/>
      <c r="V346" s="2089"/>
      <c r="W346" s="2089"/>
      <c r="X346" s="2089"/>
      <c r="Y346" s="2089"/>
      <c r="Z346" s="2089"/>
      <c r="AA346" s="7" t="s">
        <v>212</v>
      </c>
      <c r="AB346" s="7"/>
      <c r="AC346" s="2098"/>
      <c r="AD346" s="2098"/>
      <c r="AE346" s="2098"/>
      <c r="AF346" s="465"/>
      <c r="AG346" s="60"/>
      <c r="AH346" s="60"/>
      <c r="AI346" s="406"/>
      <c r="AJ346" s="406"/>
      <c r="AK346" s="406"/>
      <c r="AL346" s="39"/>
    </row>
    <row r="347" spans="1:66" ht="12.75" customHeight="1">
      <c r="A347" s="3"/>
      <c r="B347" s="60"/>
      <c r="C347" s="60"/>
      <c r="D347" s="60"/>
      <c r="E347" s="60"/>
      <c r="F347" s="60"/>
      <c r="G347" s="60"/>
      <c r="H347" s="465"/>
      <c r="I347" s="7" t="s">
        <v>94</v>
      </c>
      <c r="P347" s="2089"/>
      <c r="Q347" s="2089"/>
      <c r="R347" s="2089"/>
      <c r="S347" s="2089"/>
      <c r="T347" s="2089"/>
      <c r="U347" s="2089"/>
      <c r="V347" s="2089"/>
      <c r="W347" s="2089"/>
      <c r="X347" s="2089"/>
      <c r="Y347" s="2089"/>
      <c r="Z347" s="2089"/>
      <c r="AF347" s="465"/>
      <c r="AG347" s="60"/>
      <c r="AH347" s="60"/>
      <c r="AI347" s="62"/>
      <c r="AJ347" s="62"/>
      <c r="AK347" s="62"/>
      <c r="AL347" s="39"/>
    </row>
    <row r="348" spans="1:66" ht="12.75">
      <c r="A348" s="3"/>
      <c r="B348" s="60"/>
      <c r="C348" s="406"/>
      <c r="D348" s="406"/>
      <c r="E348" s="406"/>
      <c r="F348" s="406"/>
      <c r="G348" s="406"/>
      <c r="H348" s="88"/>
      <c r="I348" s="7" t="s">
        <v>80</v>
      </c>
      <c r="P348" s="2044"/>
      <c r="Q348" s="2044"/>
      <c r="R348" s="2044"/>
      <c r="S348" s="2044"/>
      <c r="T348" s="2044"/>
      <c r="U348" s="2044"/>
      <c r="V348" s="2044"/>
      <c r="W348" s="2044"/>
      <c r="X348" s="2044"/>
      <c r="Y348" s="2044"/>
      <c r="Z348" s="2044"/>
      <c r="AA348" s="2044"/>
      <c r="AB348" s="2044"/>
      <c r="AC348" s="2044"/>
      <c r="AD348" s="2044"/>
      <c r="AE348" s="204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425" t="s">
        <v>574</v>
      </c>
      <c r="B350" s="2425"/>
      <c r="C350" s="2425"/>
      <c r="D350" s="2425"/>
      <c r="E350" s="2425"/>
      <c r="F350" s="2425"/>
      <c r="G350" s="2425"/>
      <c r="H350" s="2425"/>
      <c r="I350" s="2425"/>
      <c r="J350" s="2425"/>
      <c r="K350" s="2425"/>
      <c r="L350" s="2425"/>
      <c r="M350" s="2425"/>
      <c r="N350" s="2425"/>
      <c r="O350" s="2425"/>
      <c r="P350" s="2425"/>
      <c r="Q350" s="2425"/>
      <c r="R350" s="2425"/>
      <c r="S350" s="2425"/>
      <c r="T350" s="2425"/>
      <c r="U350" s="2425"/>
      <c r="V350" s="2425"/>
      <c r="W350" s="2425"/>
      <c r="X350" s="2425"/>
      <c r="Y350" s="2425"/>
      <c r="Z350" s="2425"/>
      <c r="AA350" s="2425"/>
      <c r="AB350" s="2425"/>
      <c r="AC350" s="2425"/>
      <c r="AD350" s="2425"/>
      <c r="AE350" s="2425"/>
      <c r="AF350" s="2425"/>
      <c r="AG350" s="2425"/>
      <c r="AH350" s="2425"/>
      <c r="AI350" s="2425"/>
      <c r="AJ350" s="2425"/>
      <c r="AK350" s="2425"/>
      <c r="AL350" s="2425"/>
      <c r="AM350" s="144"/>
      <c r="AN350" s="144"/>
      <c r="AO350" s="144"/>
      <c r="AP350" s="144"/>
      <c r="AQ350" s="144"/>
      <c r="AR350" s="144"/>
      <c r="AS350" s="144"/>
      <c r="AT350" s="144"/>
      <c r="AU350" s="144"/>
      <c r="AV350" s="144"/>
      <c r="AW350" s="144"/>
      <c r="AX350" s="144"/>
      <c r="AY350" s="144"/>
    </row>
    <row r="351" spans="1:66" ht="13.5" thickBot="1">
      <c r="A351" s="2426"/>
      <c r="B351" s="2426"/>
      <c r="C351" s="2426"/>
      <c r="D351" s="2426"/>
      <c r="E351" s="2426"/>
      <c r="F351" s="2426"/>
      <c r="G351" s="2426"/>
      <c r="H351" s="2426"/>
      <c r="I351" s="2426"/>
      <c r="J351" s="2426"/>
      <c r="K351" s="2426"/>
      <c r="L351" s="2426"/>
      <c r="M351" s="2426"/>
      <c r="N351" s="2426"/>
      <c r="O351" s="2426"/>
      <c r="P351" s="2426"/>
      <c r="Q351" s="2426"/>
      <c r="R351" s="2426"/>
      <c r="S351" s="2426"/>
      <c r="T351" s="2426"/>
      <c r="U351" s="2426"/>
      <c r="V351" s="2426"/>
      <c r="W351" s="2426"/>
      <c r="X351" s="2426"/>
      <c r="Y351" s="2426"/>
      <c r="Z351" s="2426"/>
      <c r="AA351" s="2426"/>
      <c r="AB351" s="2426"/>
      <c r="AC351" s="2426"/>
      <c r="AD351" s="2426"/>
      <c r="AE351" s="2426"/>
      <c r="AF351" s="2426"/>
      <c r="AG351" s="2426"/>
      <c r="AH351" s="2426"/>
      <c r="AI351" s="2426"/>
      <c r="AJ351" s="2426"/>
      <c r="AK351" s="2426"/>
      <c r="AL351" s="242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378</v>
      </c>
      <c r="M354" s="2062" t="s">
        <v>577</v>
      </c>
      <c r="N354" s="2062"/>
      <c r="P354" s="12" t="s">
        <v>2003</v>
      </c>
      <c r="AJ354" s="2062" t="s">
        <v>577</v>
      </c>
      <c r="AK354" s="2062"/>
    </row>
    <row r="355" spans="1:37" ht="12.75" customHeight="1">
      <c r="D355" s="58" t="s">
        <v>1992</v>
      </c>
      <c r="M355" s="2062" t="s">
        <v>625</v>
      </c>
      <c r="N355" s="2062"/>
      <c r="P355" s="58" t="s">
        <v>2217</v>
      </c>
      <c r="AJ355" s="2075">
        <v>44</v>
      </c>
      <c r="AK355" s="2075"/>
    </row>
    <row r="356" spans="1:37" ht="12.75" customHeight="1">
      <c r="D356" s="12" t="s">
        <v>744</v>
      </c>
      <c r="M356" s="2062" t="s">
        <v>625</v>
      </c>
      <c r="N356" s="2062"/>
      <c r="P356" s="719" t="s">
        <v>2002</v>
      </c>
      <c r="AJ356" s="2062" t="s">
        <v>577</v>
      </c>
      <c r="AK356" s="2062"/>
    </row>
    <row r="357" spans="1:37" ht="12.75" customHeight="1">
      <c r="D357" s="12" t="s">
        <v>745</v>
      </c>
      <c r="M357" s="2062" t="s">
        <v>577</v>
      </c>
      <c r="N357" s="2062"/>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62" t="s">
        <v>577</v>
      </c>
      <c r="O362" s="2062"/>
      <c r="P362" s="69"/>
      <c r="Q362" s="69"/>
      <c r="R362" s="69"/>
      <c r="S362" s="69"/>
      <c r="T362" s="69"/>
      <c r="U362" s="69"/>
      <c r="V362" s="69"/>
      <c r="W362" s="69"/>
      <c r="X362" s="69"/>
      <c r="Y362" s="70"/>
      <c r="Z362" s="70"/>
      <c r="AC362" s="69"/>
      <c r="AD362" s="69"/>
      <c r="AE362" s="69"/>
    </row>
    <row r="363" spans="1:37" ht="12.75" customHeight="1">
      <c r="E363" s="12" t="s">
        <v>380</v>
      </c>
      <c r="Y363" s="2062" t="s">
        <v>625</v>
      </c>
      <c r="Z363" s="2062"/>
    </row>
    <row r="364" spans="1:37" ht="12.75" customHeight="1">
      <c r="D364" s="7" t="s">
        <v>1058</v>
      </c>
      <c r="Q364" s="2044" t="s">
        <v>2713</v>
      </c>
      <c r="R364" s="2044"/>
      <c r="S364" s="2044"/>
      <c r="T364" s="2044"/>
      <c r="U364" s="2044"/>
      <c r="V364" s="2044"/>
      <c r="W364" s="2044"/>
      <c r="X364" s="2044"/>
      <c r="Y364" s="2044"/>
      <c r="Z364" s="2044"/>
      <c r="AA364" s="2044"/>
      <c r="AB364" s="2044"/>
      <c r="AC364" s="2044"/>
      <c r="AD364" s="2044"/>
      <c r="AE364" s="2044"/>
      <c r="AF364" s="2044"/>
      <c r="AG364" s="2044"/>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62" t="s">
        <v>577</v>
      </c>
      <c r="K366" s="2062"/>
      <c r="L366" s="69"/>
      <c r="M366" s="69"/>
      <c r="N366" s="69"/>
      <c r="O366" s="69"/>
      <c r="P366" s="69"/>
      <c r="Q366" s="69"/>
      <c r="R366" s="69"/>
      <c r="S366" s="69"/>
      <c r="T366" s="69"/>
      <c r="U366" s="69"/>
      <c r="V366" s="69"/>
      <c r="W366" s="69"/>
      <c r="X366" s="69"/>
      <c r="Y366" s="69"/>
      <c r="Z366" s="69"/>
      <c r="AC366" s="69"/>
      <c r="AD366" s="69"/>
      <c r="AE366" s="69"/>
    </row>
    <row r="367" spans="1:37" ht="12.75" customHeight="1">
      <c r="E367" s="2384" t="s">
        <v>746</v>
      </c>
      <c r="F367" s="2384"/>
      <c r="G367" s="2384"/>
      <c r="H367" s="2384"/>
      <c r="I367" s="2384"/>
      <c r="J367" s="2384"/>
      <c r="K367" s="2384"/>
      <c r="L367" s="2384"/>
      <c r="M367" s="2384"/>
      <c r="N367" s="2384"/>
      <c r="O367" s="2384"/>
      <c r="P367" s="2384"/>
      <c r="Q367" s="2384"/>
      <c r="R367" s="2384"/>
      <c r="S367" s="2384"/>
      <c r="T367" s="2384"/>
      <c r="U367" s="2384"/>
      <c r="V367" s="2384"/>
      <c r="W367" s="2384"/>
      <c r="X367" s="2384"/>
      <c r="Y367" s="2384"/>
      <c r="Z367" s="2384"/>
      <c r="AA367" s="2384"/>
      <c r="AB367" s="2384"/>
      <c r="AC367" s="2384"/>
      <c r="AD367" s="2384"/>
      <c r="AE367" s="2384"/>
      <c r="AF367" s="2384"/>
      <c r="AG367" s="2384"/>
      <c r="AH367" s="2384"/>
    </row>
    <row r="368" spans="1:37" ht="12.75" customHeight="1">
      <c r="E368" s="2384"/>
      <c r="F368" s="2384"/>
      <c r="G368" s="2384"/>
      <c r="H368" s="2384"/>
      <c r="I368" s="2384"/>
      <c r="J368" s="2384"/>
      <c r="K368" s="2384"/>
      <c r="L368" s="2384"/>
      <c r="M368" s="2384"/>
      <c r="N368" s="2384"/>
      <c r="O368" s="2384"/>
      <c r="P368" s="2384"/>
      <c r="Q368" s="2384"/>
      <c r="R368" s="2384"/>
      <c r="S368" s="2384"/>
      <c r="T368" s="2384"/>
      <c r="U368" s="2384"/>
      <c r="V368" s="2384"/>
      <c r="W368" s="2384"/>
      <c r="X368" s="2384"/>
      <c r="Y368" s="2384"/>
      <c r="Z368" s="2384"/>
      <c r="AA368" s="2384"/>
      <c r="AB368" s="2384"/>
      <c r="AC368" s="2384"/>
      <c r="AD368" s="2384"/>
      <c r="AE368" s="2384"/>
      <c r="AF368" s="2384"/>
      <c r="AG368" s="2384"/>
      <c r="AH368" s="2384"/>
    </row>
    <row r="369" spans="1:36" ht="12.75" customHeight="1">
      <c r="E369" s="7" t="s">
        <v>478</v>
      </c>
      <c r="F369" s="7"/>
      <c r="G369" s="7"/>
      <c r="H369" s="7"/>
      <c r="I369" s="7"/>
      <c r="J369" s="7"/>
      <c r="K369" s="7"/>
      <c r="L369" s="7"/>
      <c r="N369" s="2586" t="s">
        <v>2677</v>
      </c>
      <c r="O369" s="2381"/>
      <c r="P369" s="2381"/>
      <c r="Q369" s="2381"/>
      <c r="R369" s="7"/>
      <c r="U369" s="7" t="s">
        <v>479</v>
      </c>
      <c r="V369" s="7"/>
      <c r="W369" s="7"/>
      <c r="X369" s="7"/>
      <c r="Y369" s="7"/>
      <c r="Z369" s="7"/>
      <c r="AA369" s="7"/>
      <c r="AB369" s="7"/>
      <c r="AC369" s="2381">
        <v>1</v>
      </c>
      <c r="AD369" s="2381"/>
      <c r="AE369" s="2381"/>
      <c r="AF369" s="2381"/>
    </row>
    <row r="370" spans="1:36" ht="12.75" customHeight="1">
      <c r="E370" s="7" t="s">
        <v>480</v>
      </c>
      <c r="F370" s="7"/>
      <c r="G370" s="7"/>
      <c r="H370" s="7"/>
      <c r="I370" s="7"/>
      <c r="J370" s="7"/>
      <c r="K370" s="7"/>
      <c r="L370" s="7"/>
      <c r="N370" s="2381">
        <v>1</v>
      </c>
      <c r="O370" s="2381"/>
      <c r="P370" s="2381"/>
      <c r="Q370" s="2381"/>
      <c r="R370" s="7"/>
      <c r="U370" s="7" t="s">
        <v>0</v>
      </c>
      <c r="V370" s="7"/>
      <c r="W370" s="7"/>
      <c r="X370" s="7"/>
      <c r="Y370" s="7"/>
      <c r="Z370" s="7"/>
      <c r="AA370" s="7"/>
      <c r="AB370" s="7"/>
      <c r="AC370" s="2381">
        <v>2</v>
      </c>
      <c r="AD370" s="2381"/>
      <c r="AE370" s="2381"/>
      <c r="AF370" s="2381"/>
    </row>
    <row r="371" spans="1:36" ht="12.75" customHeight="1">
      <c r="E371" s="7" t="s">
        <v>1</v>
      </c>
      <c r="F371" s="7"/>
      <c r="G371" s="7"/>
      <c r="H371" s="7"/>
      <c r="I371" s="7"/>
      <c r="J371" s="7"/>
      <c r="K371" s="7"/>
      <c r="L371" s="7"/>
      <c r="N371" s="2381">
        <v>1</v>
      </c>
      <c r="O371" s="2381"/>
      <c r="P371" s="2381"/>
      <c r="Q371" s="2381"/>
      <c r="R371" s="7"/>
      <c r="V371" s="7"/>
      <c r="W371" s="7"/>
      <c r="X371" s="7"/>
      <c r="Y371" s="7"/>
      <c r="Z371" s="7"/>
      <c r="AA371" s="7"/>
      <c r="AB371" s="7"/>
    </row>
    <row r="372" spans="1:36" ht="12.75" customHeight="1">
      <c r="E372" s="7" t="s">
        <v>2</v>
      </c>
      <c r="F372" s="7"/>
      <c r="G372" s="7"/>
      <c r="H372" s="7"/>
      <c r="I372" s="7"/>
      <c r="J372" s="7"/>
      <c r="K372" s="7"/>
      <c r="L372" s="7"/>
      <c r="N372" s="2589" t="s">
        <v>2745</v>
      </c>
      <c r="O372" s="2590"/>
      <c r="P372" s="2590"/>
      <c r="Q372" s="2590"/>
      <c r="R372" s="2590"/>
      <c r="S372" s="2590"/>
      <c r="T372" s="2590"/>
      <c r="U372" s="2590"/>
      <c r="V372" s="2590"/>
      <c r="W372" s="2590"/>
      <c r="X372" s="2590"/>
      <c r="Y372" s="2590"/>
      <c r="Z372" s="2590"/>
      <c r="AA372" s="2590"/>
      <c r="AB372" s="2590"/>
      <c r="AC372" s="2590"/>
      <c r="AD372" s="2590"/>
      <c r="AE372" s="2590"/>
      <c r="AF372" s="2590"/>
    </row>
    <row r="373" spans="1:36" ht="12.75" customHeight="1">
      <c r="E373" s="7"/>
      <c r="F373" s="7"/>
      <c r="G373" s="7"/>
      <c r="H373" s="7"/>
      <c r="I373" s="7"/>
      <c r="J373" s="7"/>
      <c r="K373" s="7"/>
      <c r="L373" s="7"/>
      <c r="N373" s="2591"/>
      <c r="O373" s="2591"/>
      <c r="P373" s="2591"/>
      <c r="Q373" s="2591"/>
      <c r="R373" s="2591"/>
      <c r="S373" s="2591"/>
      <c r="T373" s="2591"/>
      <c r="U373" s="2591"/>
      <c r="V373" s="2591"/>
      <c r="W373" s="2591"/>
      <c r="X373" s="2591"/>
      <c r="Y373" s="2591"/>
      <c r="Z373" s="2591"/>
      <c r="AA373" s="2591"/>
      <c r="AB373" s="2591"/>
      <c r="AC373" s="2591"/>
      <c r="AD373" s="2591"/>
      <c r="AE373" s="2591"/>
      <c r="AF373" s="2591"/>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461"/>
      <c r="T376" s="2461"/>
      <c r="U376" s="4" t="s">
        <v>315</v>
      </c>
      <c r="V376" s="2461"/>
      <c r="W376" s="2461"/>
      <c r="Y376" s="25" t="s">
        <v>313</v>
      </c>
      <c r="AA376" s="25"/>
      <c r="AB376" s="25" t="s">
        <v>314</v>
      </c>
      <c r="AD376" s="2461"/>
      <c r="AE376" s="2461"/>
      <c r="AF376" s="4" t="s">
        <v>315</v>
      </c>
      <c r="AG376" s="2461"/>
      <c r="AH376" s="2461"/>
    </row>
    <row r="377" spans="1:36" ht="12.75" customHeight="1">
      <c r="E377" s="7" t="s">
        <v>1089</v>
      </c>
      <c r="F377" s="7"/>
      <c r="G377" s="7"/>
      <c r="H377" s="7"/>
      <c r="I377" s="7"/>
      <c r="J377" s="7"/>
      <c r="K377" s="7"/>
      <c r="L377" s="7"/>
      <c r="N377" s="2461"/>
      <c r="O377" s="2461"/>
      <c r="P377" s="2461"/>
    </row>
    <row r="378" spans="1:36" ht="12.75" customHeight="1">
      <c r="E378" s="382" t="s">
        <v>1090</v>
      </c>
      <c r="F378" s="7"/>
      <c r="G378" s="7"/>
      <c r="H378" s="7"/>
      <c r="I378" s="7"/>
      <c r="J378" s="7"/>
      <c r="K378" s="7"/>
      <c r="L378" s="7"/>
      <c r="AG378" s="2455" t="s">
        <v>625</v>
      </c>
      <c r="AH378" s="2455"/>
    </row>
    <row r="379" spans="1:36" ht="12.75" customHeight="1">
      <c r="E379" s="7"/>
      <c r="F379" s="7"/>
      <c r="G379" s="7" t="s">
        <v>1111</v>
      </c>
      <c r="H379" s="7"/>
      <c r="I379" s="7"/>
      <c r="J379" s="7"/>
      <c r="K379" s="7"/>
      <c r="L379" s="7"/>
      <c r="AG379" s="2455" t="s">
        <v>625</v>
      </c>
      <c r="AH379" s="2455"/>
    </row>
    <row r="380" spans="1:36" ht="12.75" customHeight="1">
      <c r="E380" s="7"/>
      <c r="F380" s="7"/>
      <c r="G380" s="509" t="s">
        <v>1091</v>
      </c>
      <c r="H380" s="7"/>
      <c r="I380" s="7"/>
      <c r="J380" s="7"/>
      <c r="K380" s="7"/>
      <c r="L380" s="7"/>
      <c r="V380" s="2062" t="s">
        <v>625</v>
      </c>
      <c r="W380" s="2062"/>
      <c r="Y380" s="35" t="s">
        <v>1060</v>
      </c>
    </row>
    <row r="381" spans="1:36" ht="12.75" customHeight="1">
      <c r="E381" s="7" t="s">
        <v>1061</v>
      </c>
      <c r="F381" s="7"/>
      <c r="G381" s="7"/>
      <c r="H381" s="7"/>
      <c r="I381" s="7"/>
      <c r="J381" s="7"/>
      <c r="K381" s="7"/>
      <c r="L381" s="7"/>
      <c r="V381" s="2062" t="s">
        <v>625</v>
      </c>
      <c r="W381" s="2062"/>
      <c r="Y381" s="7" t="s">
        <v>1062</v>
      </c>
    </row>
    <row r="382" spans="1:36" ht="12.75" customHeight="1"/>
    <row r="383" spans="1:36" ht="12.75" customHeight="1">
      <c r="A383" s="50" t="s">
        <v>82</v>
      </c>
      <c r="B383" s="50"/>
    </row>
    <row r="384" spans="1:36" ht="12.75" customHeight="1">
      <c r="D384" s="12" t="s">
        <v>448</v>
      </c>
      <c r="J384" s="2044" t="s">
        <v>2716</v>
      </c>
      <c r="K384" s="2044"/>
      <c r="L384" s="2044"/>
      <c r="M384" s="2044"/>
      <c r="N384" s="2044"/>
      <c r="O384" s="2044"/>
      <c r="P384" s="2044"/>
      <c r="Q384" s="2044"/>
      <c r="R384" s="2044"/>
      <c r="S384" s="2044"/>
      <c r="T384" s="2044"/>
      <c r="U384" s="2044"/>
      <c r="V384" s="14" t="s">
        <v>88</v>
      </c>
      <c r="W384" s="14"/>
      <c r="X384" s="14"/>
      <c r="Y384" s="14"/>
      <c r="Z384" s="14"/>
      <c r="AA384" s="14"/>
      <c r="AB384" s="14"/>
      <c r="AC384" s="2044"/>
      <c r="AD384" s="2044"/>
      <c r="AE384" s="2044"/>
      <c r="AF384" s="2044"/>
      <c r="AG384" s="2044"/>
      <c r="AH384" s="2044"/>
      <c r="AI384" s="2044"/>
      <c r="AJ384" s="2044"/>
    </row>
    <row r="385" spans="1:96" ht="12.75" customHeight="1">
      <c r="A385" s="719"/>
      <c r="B385" s="719"/>
      <c r="C385" s="719"/>
      <c r="D385" s="58" t="s">
        <v>1381</v>
      </c>
      <c r="E385" s="719"/>
      <c r="F385" s="719"/>
      <c r="G385" s="719"/>
      <c r="H385" s="719"/>
      <c r="I385" s="719"/>
      <c r="J385" s="2307"/>
      <c r="K385" s="2307"/>
      <c r="L385" s="2307"/>
      <c r="M385" s="2307"/>
      <c r="N385" s="2307"/>
      <c r="O385" s="2307"/>
      <c r="P385" s="2307"/>
      <c r="Q385" s="2307"/>
      <c r="R385" s="2307"/>
      <c r="S385" s="2307"/>
      <c r="T385" s="2307"/>
      <c r="U385" s="2307"/>
      <c r="V385" s="58" t="s">
        <v>1381</v>
      </c>
      <c r="W385" s="14"/>
      <c r="X385" s="14"/>
      <c r="Y385" s="14"/>
      <c r="Z385" s="14"/>
      <c r="AA385" s="14"/>
      <c r="AB385" s="14"/>
      <c r="AC385" s="2044"/>
      <c r="AD385" s="2044"/>
      <c r="AE385" s="2044"/>
      <c r="AF385" s="2044"/>
      <c r="AG385" s="2044"/>
      <c r="AH385" s="2044"/>
      <c r="AI385" s="2044"/>
      <c r="AJ385" s="2044"/>
      <c r="AK385" s="719"/>
      <c r="AL385" s="719"/>
    </row>
    <row r="386" spans="1:96" ht="12.75" customHeight="1">
      <c r="A386" s="719"/>
      <c r="B386" s="719"/>
      <c r="C386" s="719"/>
      <c r="D386" s="58" t="s">
        <v>463</v>
      </c>
      <c r="E386" s="719"/>
      <c r="F386" s="719"/>
      <c r="G386" s="719"/>
      <c r="H386" s="719"/>
      <c r="I386" s="719"/>
      <c r="J386" s="2307"/>
      <c r="K386" s="2307"/>
      <c r="L386" s="2307"/>
      <c r="M386" s="2307"/>
      <c r="N386" s="2307"/>
      <c r="O386" s="2307"/>
      <c r="P386" s="2307"/>
      <c r="Q386" s="2307"/>
      <c r="R386" s="2307"/>
      <c r="S386" s="2307"/>
      <c r="T386" s="2307"/>
      <c r="U386" s="2307"/>
      <c r="V386" s="58" t="s">
        <v>463</v>
      </c>
      <c r="W386" s="14"/>
      <c r="X386" s="14"/>
      <c r="Y386" s="14"/>
      <c r="Z386" s="14"/>
      <c r="AA386" s="14"/>
      <c r="AB386" s="14"/>
      <c r="AC386" s="2044"/>
      <c r="AD386" s="2044"/>
      <c r="AE386" s="2044"/>
      <c r="AF386" s="2044"/>
      <c r="AG386" s="2044"/>
      <c r="AH386" s="2044"/>
      <c r="AI386" s="2044"/>
      <c r="AJ386" s="2044"/>
      <c r="AK386" s="719"/>
      <c r="AL386" s="719"/>
    </row>
    <row r="387" spans="1:96" ht="12.75" customHeight="1">
      <c r="A387" s="719"/>
      <c r="B387" s="719"/>
      <c r="C387" s="719"/>
      <c r="D387" s="479" t="s">
        <v>1377</v>
      </c>
      <c r="E387" s="719"/>
      <c r="F387" s="719"/>
      <c r="G387" s="719"/>
      <c r="H387" s="719"/>
      <c r="I387" s="88"/>
      <c r="J387" s="2273"/>
      <c r="K387" s="2273"/>
      <c r="L387" s="2273"/>
      <c r="M387" s="2273"/>
      <c r="N387" s="2273"/>
      <c r="O387" s="2273"/>
      <c r="P387" s="2273"/>
      <c r="Q387" s="2273"/>
      <c r="R387" s="2273"/>
      <c r="S387" s="2273"/>
      <c r="T387" s="2273"/>
      <c r="U387" s="2273"/>
      <c r="V387" s="2044"/>
      <c r="W387" s="2044"/>
      <c r="X387" s="2044"/>
      <c r="Y387" s="2044"/>
      <c r="Z387" s="2044"/>
      <c r="AA387" s="2044"/>
      <c r="AB387" s="2044"/>
      <c r="AC387" s="2044"/>
      <c r="AD387" s="2044"/>
      <c r="AE387" s="2044"/>
      <c r="AF387" s="2044"/>
      <c r="AG387" s="2044"/>
      <c r="AH387" s="2044"/>
      <c r="AI387" s="2044"/>
      <c r="AJ387" s="2044"/>
      <c r="AK387" s="719"/>
      <c r="AL387" s="719"/>
    </row>
    <row r="388" spans="1:96" ht="12.75" customHeight="1">
      <c r="D388" s="12" t="s">
        <v>4</v>
      </c>
      <c r="Q388" s="2468"/>
      <c r="R388" s="2468"/>
      <c r="S388" s="2468"/>
      <c r="T388" s="2468"/>
      <c r="U388" s="2468"/>
      <c r="V388" s="12" t="s">
        <v>318</v>
      </c>
      <c r="AI388" s="2062"/>
      <c r="AJ388" s="2062"/>
    </row>
    <row r="389" spans="1:96" ht="12.75" customHeight="1">
      <c r="D389" s="12" t="s">
        <v>5</v>
      </c>
      <c r="Q389" s="2382"/>
      <c r="R389" s="2383"/>
      <c r="S389" s="2383"/>
      <c r="T389" s="2383"/>
      <c r="U389" s="2383"/>
      <c r="W389" s="33" t="s">
        <v>78</v>
      </c>
      <c r="AG389" s="2506"/>
      <c r="AH389" s="2506"/>
      <c r="AI389" s="2506"/>
      <c r="AJ389" s="2506"/>
    </row>
    <row r="390" spans="1:96" ht="12.75" customHeight="1">
      <c r="D390" s="12" t="s">
        <v>447</v>
      </c>
      <c r="Q390" s="2507"/>
      <c r="R390" s="2507"/>
      <c r="S390" s="2507"/>
      <c r="T390" s="2507"/>
      <c r="U390" s="2507"/>
      <c r="V390" s="58" t="s">
        <v>1380</v>
      </c>
      <c r="AG390" s="2588"/>
      <c r="AH390" s="2588"/>
      <c r="AI390" s="2588"/>
      <c r="AJ390" s="2588"/>
    </row>
    <row r="391" spans="1:96" ht="12.75" customHeight="1">
      <c r="D391" s="12" t="s">
        <v>93</v>
      </c>
      <c r="I391" s="2387"/>
      <c r="J391" s="2387"/>
      <c r="K391" s="2387"/>
      <c r="L391" s="2387"/>
      <c r="M391" s="2387"/>
      <c r="N391" s="2387"/>
      <c r="Q391" s="57" t="s">
        <v>212</v>
      </c>
      <c r="S391" s="2467"/>
      <c r="T391" s="2467"/>
      <c r="U391" s="2467"/>
      <c r="V391" s="12" t="s">
        <v>77</v>
      </c>
      <c r="AI391" s="2062"/>
      <c r="AJ391" s="2062"/>
    </row>
    <row r="392" spans="1:96" ht="12.75" customHeight="1">
      <c r="D392" s="12" t="s">
        <v>319</v>
      </c>
      <c r="Q392" s="2587"/>
      <c r="R392" s="2220"/>
      <c r="S392" s="2220"/>
      <c r="T392" s="2220"/>
      <c r="U392" s="2220"/>
      <c r="V392" s="12" t="s">
        <v>320</v>
      </c>
      <c r="AG392" s="2587"/>
      <c r="AH392" s="2506"/>
      <c r="AI392" s="2506"/>
      <c r="AJ392" s="2506"/>
    </row>
    <row r="393" spans="1:96" ht="12.75" customHeight="1">
      <c r="D393" s="12" t="s">
        <v>321</v>
      </c>
      <c r="Q393" s="2520"/>
      <c r="R393" s="2520"/>
      <c r="S393" s="2520"/>
      <c r="T393" s="2520"/>
      <c r="U393" s="2520"/>
      <c r="V393" s="719" t="s">
        <v>1357</v>
      </c>
      <c r="AG393" s="2506"/>
      <c r="AH393" s="2506"/>
      <c r="AI393" s="2506"/>
      <c r="AJ393" s="2506"/>
    </row>
    <row r="394" spans="1:96" ht="12.75">
      <c r="D394" s="719" t="s">
        <v>1356</v>
      </c>
      <c r="V394" s="719"/>
      <c r="AG394" s="2506"/>
      <c r="AH394" s="2506"/>
      <c r="AI394" s="2506"/>
      <c r="AJ394" s="2506"/>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2021</v>
      </c>
      <c r="AG396" s="748"/>
      <c r="AH396" s="748"/>
      <c r="AI396" s="2062" t="s">
        <v>705</v>
      </c>
      <c r="AJ396" s="2062"/>
      <c r="AM396" s="39"/>
      <c r="AN396" s="39"/>
      <c r="AO396" s="39"/>
      <c r="AP396" s="39"/>
      <c r="AQ396" s="39"/>
      <c r="AR396" s="39"/>
      <c r="AS396" s="39"/>
      <c r="AT396" s="39"/>
      <c r="AU396" s="39"/>
      <c r="AV396" s="39"/>
      <c r="AW396" s="39"/>
      <c r="AX396" s="39"/>
      <c r="AY396" s="39"/>
      <c r="CR396" s="25"/>
    </row>
    <row r="397" spans="1:96" s="719" customFormat="1" ht="12.75">
      <c r="D397" s="58" t="s">
        <v>2023</v>
      </c>
      <c r="T397" s="2564"/>
      <c r="U397" s="2564"/>
      <c r="V397" s="2564"/>
      <c r="W397" s="2564"/>
      <c r="X397" s="2564"/>
      <c r="Y397" s="2564"/>
      <c r="Z397" s="2564"/>
      <c r="AA397" s="2564"/>
      <c r="AB397" s="2564"/>
      <c r="AC397" s="2564"/>
      <c r="AD397" s="2564"/>
      <c r="AE397" s="2564"/>
      <c r="AF397" s="2564"/>
      <c r="AG397" s="2564"/>
      <c r="AH397" s="2564"/>
      <c r="AI397" s="2564"/>
      <c r="AJ397" s="2564"/>
      <c r="AM397" s="39"/>
      <c r="AN397" s="39"/>
      <c r="AO397" s="39"/>
      <c r="AP397" s="39"/>
      <c r="AQ397" s="39"/>
      <c r="AR397" s="39"/>
      <c r="AS397" s="39"/>
      <c r="AT397" s="39"/>
      <c r="AU397" s="39"/>
      <c r="AV397" s="39"/>
      <c r="AW397" s="39"/>
      <c r="AX397" s="39"/>
      <c r="AY397" s="39"/>
      <c r="CR397" s="25"/>
    </row>
    <row r="398" spans="1:96" s="719" customFormat="1" ht="12.75">
      <c r="D398" s="58" t="s">
        <v>2022</v>
      </c>
      <c r="T398" s="2564"/>
      <c r="U398" s="2564"/>
      <c r="V398" s="2564"/>
      <c r="W398" s="2564"/>
      <c r="X398" s="2564"/>
      <c r="Y398" s="2564"/>
      <c r="Z398" s="2564"/>
      <c r="AA398" s="2564"/>
      <c r="AB398" s="2564"/>
      <c r="AC398" s="2564"/>
      <c r="AD398" s="2564"/>
      <c r="AE398" s="2564"/>
      <c r="AF398" s="2564"/>
      <c r="AG398" s="2564"/>
      <c r="AH398" s="2564"/>
      <c r="AI398" s="2564"/>
      <c r="AJ398" s="2564"/>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2015</v>
      </c>
      <c r="E400" s="719"/>
      <c r="F400" s="719"/>
      <c r="G400" s="719"/>
      <c r="H400" s="719"/>
      <c r="I400" s="719"/>
      <c r="J400" s="719"/>
      <c r="K400" s="719"/>
      <c r="L400" s="719"/>
      <c r="M400" s="719"/>
      <c r="N400" s="719"/>
      <c r="O400" s="719"/>
      <c r="P400" s="719"/>
      <c r="Q400" s="719"/>
      <c r="R400" s="719"/>
      <c r="S400" s="2564" t="s">
        <v>705</v>
      </c>
      <c r="T400" s="2564"/>
      <c r="U400" s="2564"/>
      <c r="V400" s="479" t="s">
        <v>2016</v>
      </c>
      <c r="W400" s="719"/>
      <c r="X400" s="719"/>
      <c r="Y400" s="719"/>
      <c r="Z400" s="719"/>
      <c r="AA400" s="719"/>
      <c r="AB400" s="39"/>
      <c r="AC400" s="39"/>
      <c r="AD400" s="39"/>
      <c r="AE400" s="39"/>
      <c r="AF400" s="39"/>
      <c r="AG400" s="2553"/>
      <c r="AH400" s="2553"/>
      <c r="AI400" s="2553"/>
      <c r="AJ400" s="2553"/>
      <c r="AK400" s="39"/>
      <c r="AL400" s="719"/>
    </row>
    <row r="401" spans="1:96" s="719" customFormat="1" ht="12.75">
      <c r="D401" s="58" t="s">
        <v>2012</v>
      </c>
      <c r="S401" s="2564" t="s">
        <v>625</v>
      </c>
      <c r="T401" s="2564"/>
      <c r="U401" s="2564"/>
      <c r="V401" s="479" t="s">
        <v>2018</v>
      </c>
      <c r="AB401" s="39"/>
      <c r="AC401" s="39"/>
      <c r="AD401" s="39"/>
      <c r="AE401" s="2557"/>
      <c r="AF401" s="2557"/>
      <c r="AG401" s="2557"/>
      <c r="AH401" s="2557"/>
      <c r="AI401" s="2557"/>
      <c r="AJ401" s="2557"/>
      <c r="AK401" s="39"/>
      <c r="AM401" s="39"/>
      <c r="AN401" s="39"/>
      <c r="AO401" s="39"/>
      <c r="AP401" s="39"/>
      <c r="AQ401" s="39"/>
      <c r="AR401" s="39"/>
      <c r="AS401" s="39"/>
      <c r="AT401" s="39"/>
      <c r="AU401" s="39"/>
      <c r="AV401" s="39"/>
      <c r="AW401" s="39"/>
      <c r="AX401" s="39"/>
      <c r="AY401" s="39"/>
      <c r="CR401" s="25"/>
    </row>
    <row r="402" spans="1:96" s="719" customFormat="1" ht="12.75">
      <c r="D402" s="58" t="s">
        <v>2014</v>
      </c>
      <c r="K402" s="2558"/>
      <c r="L402" s="2558"/>
      <c r="M402" s="2558"/>
      <c r="N402" s="2558"/>
      <c r="O402" s="2558"/>
      <c r="P402" s="2558"/>
      <c r="Q402" s="2558"/>
      <c r="R402" s="2558"/>
      <c r="S402" s="2558"/>
      <c r="T402" s="2558"/>
      <c r="U402" s="2558"/>
      <c r="V402" s="2558"/>
      <c r="W402" s="2558"/>
      <c r="X402" s="2558"/>
      <c r="Y402" s="2558"/>
      <c r="Z402" s="2558"/>
      <c r="AA402" s="2558"/>
      <c r="AB402" s="2558"/>
      <c r="AC402" s="2558"/>
      <c r="AD402" s="2558"/>
      <c r="AE402" s="2558"/>
      <c r="AF402" s="2558"/>
      <c r="AG402" s="2558"/>
      <c r="AH402" s="2558"/>
      <c r="AI402" s="2558"/>
      <c r="AJ402" s="2558"/>
      <c r="AK402" s="39"/>
      <c r="AM402" s="39"/>
      <c r="AN402" s="39"/>
      <c r="AO402" s="39"/>
      <c r="AP402" s="39"/>
      <c r="AQ402" s="39"/>
      <c r="AR402" s="39"/>
      <c r="AS402" s="39"/>
      <c r="AT402" s="39"/>
      <c r="AU402" s="39"/>
      <c r="AV402" s="39"/>
      <c r="AW402" s="39"/>
      <c r="AX402" s="39"/>
      <c r="AY402" s="39"/>
      <c r="CR402" s="25"/>
    </row>
    <row r="403" spans="1:96" s="719" customFormat="1" ht="12.75">
      <c r="D403" s="58" t="s">
        <v>2017</v>
      </c>
      <c r="K403" s="2558"/>
      <c r="L403" s="2558"/>
      <c r="M403" s="2558"/>
      <c r="N403" s="2558"/>
      <c r="O403" s="2558"/>
      <c r="P403" s="2558"/>
      <c r="Q403" s="2558"/>
      <c r="R403" s="2558"/>
      <c r="S403" s="2558"/>
      <c r="T403" s="2558"/>
      <c r="U403" s="2558"/>
      <c r="V403" s="2558"/>
      <c r="W403" s="2558"/>
      <c r="X403" s="2558"/>
      <c r="Y403" s="2558"/>
      <c r="Z403" s="2558"/>
      <c r="AA403" s="2558"/>
      <c r="AB403" s="2558"/>
      <c r="AC403" s="2558"/>
      <c r="AD403" s="2558"/>
      <c r="AE403" s="2558"/>
      <c r="AF403" s="2558"/>
      <c r="AG403" s="2558"/>
      <c r="AH403" s="2558"/>
      <c r="AI403" s="2558"/>
      <c r="AJ403" s="2558"/>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8"/>
      <c r="F404" s="1518"/>
      <c r="G404" s="1518"/>
      <c r="H404" s="1518"/>
      <c r="I404" s="1518"/>
      <c r="J404" s="1518"/>
      <c r="K404" s="1518"/>
      <c r="L404" s="1518"/>
      <c r="M404" s="1518"/>
      <c r="N404" s="1518"/>
      <c r="O404" s="1518"/>
      <c r="P404" s="1518"/>
      <c r="Q404" s="1518"/>
      <c r="R404" s="1518"/>
      <c r="S404" s="2560" t="s">
        <v>2616</v>
      </c>
      <c r="T404" s="2560"/>
      <c r="U404" s="2560"/>
      <c r="V404" s="2560"/>
      <c r="W404" s="2560"/>
      <c r="X404" s="2560"/>
      <c r="Y404" s="2560"/>
      <c r="Z404" s="2560"/>
      <c r="AA404" s="2560"/>
      <c r="AB404" s="2560"/>
      <c r="AC404" s="2560"/>
      <c r="AD404" s="2560"/>
      <c r="AE404" s="2560"/>
      <c r="AF404" s="2560"/>
      <c r="AG404" s="2560"/>
      <c r="AH404" s="2560"/>
      <c r="AI404" s="2560"/>
      <c r="AJ404" s="2560"/>
      <c r="AK404" s="39"/>
      <c r="AL404" s="39"/>
      <c r="AM404" s="39"/>
      <c r="AN404" s="39"/>
      <c r="AO404" s="39"/>
      <c r="AP404" s="39"/>
      <c r="AQ404" s="39"/>
      <c r="AR404" s="39"/>
      <c r="AS404" s="39"/>
      <c r="AT404" s="39"/>
      <c r="AU404" s="39"/>
      <c r="AV404" s="39"/>
      <c r="AW404" s="39"/>
      <c r="AX404" s="39"/>
      <c r="AY404" s="39"/>
      <c r="CR404" s="25"/>
    </row>
    <row r="405" spans="1:96" s="719" customFormat="1" ht="12.75">
      <c r="D405" s="2559" t="s">
        <v>2019</v>
      </c>
      <c r="E405" s="2559"/>
      <c r="F405" s="2559"/>
      <c r="G405" s="2559"/>
      <c r="H405" s="2559"/>
      <c r="I405" s="2559"/>
      <c r="J405" s="2559"/>
      <c r="K405" s="2559"/>
      <c r="L405" s="2559"/>
      <c r="M405" s="2559"/>
      <c r="N405" s="2559"/>
      <c r="O405" s="2559"/>
      <c r="P405" s="2559"/>
      <c r="Q405" s="2559"/>
      <c r="R405" s="2559"/>
      <c r="S405" s="2559"/>
      <c r="T405" s="2559"/>
      <c r="U405" s="2559"/>
      <c r="V405" s="2559"/>
      <c r="W405" s="2559"/>
      <c r="X405" s="2559"/>
      <c r="Y405" s="2559"/>
      <c r="Z405" s="2559"/>
      <c r="AA405" s="2559"/>
      <c r="AB405" s="2559"/>
      <c r="AC405" s="2559"/>
      <c r="AD405" s="2559"/>
      <c r="AE405" s="2559"/>
      <c r="AF405" s="2559"/>
      <c r="AG405" s="2559"/>
      <c r="AH405" s="2559"/>
      <c r="AI405" s="2559"/>
      <c r="AJ405" s="2559"/>
      <c r="AK405" s="39"/>
      <c r="AL405" s="39"/>
      <c r="AM405" s="39"/>
      <c r="AN405" s="39"/>
      <c r="AO405" s="39"/>
      <c r="AP405" s="39"/>
      <c r="AQ405" s="39"/>
      <c r="AR405" s="39"/>
      <c r="AS405" s="39"/>
      <c r="AT405" s="39"/>
      <c r="AU405" s="39"/>
      <c r="AV405" s="39"/>
      <c r="AW405" s="39"/>
      <c r="AX405" s="39"/>
      <c r="AY405" s="39"/>
      <c r="CR405" s="25"/>
    </row>
    <row r="406" spans="1:96" s="719" customFormat="1" ht="12.75">
      <c r="D406" s="2559"/>
      <c r="E406" s="2559"/>
      <c r="F406" s="2559"/>
      <c r="G406" s="2559"/>
      <c r="H406" s="2559"/>
      <c r="I406" s="2559"/>
      <c r="J406" s="2559"/>
      <c r="K406" s="2559"/>
      <c r="L406" s="2559"/>
      <c r="M406" s="2559"/>
      <c r="N406" s="2559"/>
      <c r="O406" s="2559"/>
      <c r="P406" s="2559"/>
      <c r="Q406" s="2559"/>
      <c r="R406" s="2559"/>
      <c r="S406" s="2559"/>
      <c r="T406" s="2559"/>
      <c r="U406" s="2559"/>
      <c r="V406" s="2559"/>
      <c r="W406" s="2559"/>
      <c r="X406" s="2559"/>
      <c r="Y406" s="2559"/>
      <c r="Z406" s="2559"/>
      <c r="AA406" s="2559"/>
      <c r="AB406" s="2559"/>
      <c r="AC406" s="2559"/>
      <c r="AD406" s="2559"/>
      <c r="AE406" s="2559"/>
      <c r="AF406" s="2559"/>
      <c r="AG406" s="2559"/>
      <c r="AH406" s="2559"/>
      <c r="AI406" s="2559"/>
      <c r="AJ406" s="2559"/>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315" t="s">
        <v>2617</v>
      </c>
      <c r="J409" s="2315"/>
      <c r="K409" s="2315"/>
      <c r="L409" s="2315"/>
      <c r="M409" s="2315"/>
      <c r="N409" s="2315"/>
      <c r="O409" s="2315"/>
      <c r="P409" s="2315"/>
      <c r="Q409" s="2315"/>
      <c r="R409" s="2315"/>
      <c r="S409" s="2315"/>
      <c r="T409" s="2315"/>
      <c r="U409" s="2315"/>
      <c r="V409" s="2315"/>
      <c r="W409" s="2315"/>
      <c r="X409" s="2315"/>
      <c r="Y409" s="2315"/>
      <c r="Z409" s="2315"/>
      <c r="AA409" s="2315"/>
      <c r="AB409" s="2315"/>
      <c r="AC409" s="2315"/>
      <c r="AD409" s="2315"/>
      <c r="AE409" s="2315"/>
    </row>
    <row r="410" spans="1:96" ht="12.75" customHeight="1">
      <c r="C410" s="25"/>
      <c r="D410" s="25"/>
      <c r="E410" s="12" t="s">
        <v>111</v>
      </c>
      <c r="F410" s="25"/>
      <c r="G410" s="25"/>
      <c r="H410" s="25"/>
      <c r="I410" s="25"/>
      <c r="J410" s="25"/>
      <c r="K410" s="25"/>
      <c r="L410" s="25"/>
      <c r="M410" s="25"/>
      <c r="N410" s="25"/>
      <c r="O410" s="25"/>
      <c r="P410" s="719"/>
      <c r="Q410" s="719"/>
      <c r="R410" s="2062" t="s">
        <v>625</v>
      </c>
      <c r="S410" s="2062"/>
      <c r="T410" s="12" t="s">
        <v>603</v>
      </c>
      <c r="U410" s="719"/>
      <c r="V410" s="719"/>
      <c r="W410" s="719"/>
      <c r="X410" s="719"/>
      <c r="Y410" s="719"/>
      <c r="Z410" s="719"/>
      <c r="AA410" s="719"/>
      <c r="AB410" s="719"/>
      <c r="AC410" s="719"/>
      <c r="AD410" s="2381">
        <v>0</v>
      </c>
      <c r="AE410" s="2381"/>
      <c r="AF410" s="719"/>
    </row>
    <row r="411" spans="1:96" ht="12.75">
      <c r="C411" s="25"/>
      <c r="E411" s="12" t="s">
        <v>112</v>
      </c>
      <c r="F411" s="719"/>
      <c r="G411" s="719"/>
      <c r="H411" s="719"/>
      <c r="I411" s="719"/>
      <c r="J411" s="719"/>
      <c r="K411" s="719"/>
      <c r="L411" s="719"/>
      <c r="M411" s="719"/>
      <c r="N411" s="25"/>
      <c r="O411" s="25"/>
      <c r="P411" s="719"/>
      <c r="Q411" s="719"/>
      <c r="R411" s="2062" t="s">
        <v>577</v>
      </c>
      <c r="S411" s="2062"/>
      <c r="T411" s="12" t="s">
        <v>603</v>
      </c>
      <c r="U411" s="719"/>
      <c r="V411" s="719"/>
      <c r="W411" s="719"/>
      <c r="X411" s="719"/>
      <c r="Y411" s="719"/>
      <c r="Z411" s="719"/>
      <c r="AA411" s="719"/>
      <c r="AB411" s="719"/>
      <c r="AC411" s="719"/>
      <c r="AD411" s="2381">
        <v>3</v>
      </c>
      <c r="AE411" s="2381"/>
      <c r="AF411" s="719"/>
    </row>
    <row r="412" spans="1:96" ht="12.75" customHeight="1">
      <c r="C412" s="25"/>
      <c r="E412" s="12" t="s">
        <v>113</v>
      </c>
      <c r="F412" s="719"/>
      <c r="G412" s="719"/>
      <c r="H412" s="719"/>
      <c r="I412" s="719"/>
      <c r="J412" s="719"/>
      <c r="K412" s="719"/>
      <c r="L412" s="719"/>
      <c r="M412" s="719"/>
      <c r="N412" s="25"/>
      <c r="O412" s="25"/>
      <c r="P412" s="719"/>
      <c r="Q412" s="719"/>
      <c r="R412" s="719"/>
      <c r="S412" s="2062" t="s">
        <v>625</v>
      </c>
      <c r="T412" s="2062"/>
      <c r="U412" s="719"/>
      <c r="V412" s="719"/>
      <c r="W412" s="719"/>
      <c r="X412" s="719"/>
      <c r="Y412" s="719"/>
      <c r="Z412" s="719"/>
      <c r="AA412" s="719"/>
      <c r="AB412" s="719"/>
      <c r="AC412" s="719"/>
      <c r="AD412" s="719"/>
      <c r="AE412" s="719"/>
      <c r="AF412" s="719"/>
    </row>
    <row r="413" spans="1:96" ht="12.75" customHeight="1">
      <c r="E413" s="12" t="s">
        <v>175</v>
      </c>
      <c r="F413" s="719"/>
      <c r="G413" s="719"/>
      <c r="H413" s="2518" t="s">
        <v>343</v>
      </c>
      <c r="I413" s="2518"/>
      <c r="J413" s="2518"/>
      <c r="K413" s="2518"/>
      <c r="L413" s="2518"/>
      <c r="M413" s="2518"/>
      <c r="N413" s="2518"/>
      <c r="O413" s="2518"/>
      <c r="P413" s="2518"/>
      <c r="Q413" s="2518"/>
      <c r="R413" s="2518"/>
      <c r="S413" s="2518"/>
      <c r="T413" s="2518"/>
      <c r="U413" s="2518"/>
      <c r="V413" s="2518"/>
      <c r="W413" s="2518"/>
      <c r="X413" s="2518"/>
      <c r="Y413" s="2518"/>
      <c r="Z413" s="2518"/>
      <c r="AA413" s="2518"/>
      <c r="AB413" s="2518"/>
      <c r="AC413" s="2518"/>
      <c r="AD413" s="2518"/>
      <c r="AE413" s="2518"/>
      <c r="AF413" s="719"/>
    </row>
    <row r="414" spans="1:96" ht="12.75" customHeight="1">
      <c r="E414" s="25"/>
      <c r="F414" s="719"/>
      <c r="G414" s="719"/>
      <c r="H414" s="2519"/>
      <c r="I414" s="2519"/>
      <c r="J414" s="2519"/>
      <c r="K414" s="2519"/>
      <c r="L414" s="2519"/>
      <c r="M414" s="2519"/>
      <c r="N414" s="2519"/>
      <c r="O414" s="2519"/>
      <c r="P414" s="2519"/>
      <c r="Q414" s="2519"/>
      <c r="R414" s="2519"/>
      <c r="S414" s="2519"/>
      <c r="T414" s="2519"/>
      <c r="U414" s="2519"/>
      <c r="V414" s="2519"/>
      <c r="W414" s="2519"/>
      <c r="X414" s="2519"/>
      <c r="Y414" s="2519"/>
      <c r="Z414" s="2519"/>
      <c r="AA414" s="2519"/>
      <c r="AB414" s="2519"/>
      <c r="AC414" s="2519"/>
      <c r="AD414" s="2519"/>
      <c r="AE414" s="2519"/>
      <c r="AF414" s="719"/>
    </row>
    <row r="415" spans="1:96" ht="12.75" customHeight="1"/>
    <row r="416" spans="1:96" ht="12.75" customHeight="1">
      <c r="A416" s="50" t="s">
        <v>624</v>
      </c>
      <c r="B416" s="50"/>
      <c r="C416" s="50"/>
      <c r="D416" s="50" t="s">
        <v>119</v>
      </c>
      <c r="AF416" s="50" t="s">
        <v>1035</v>
      </c>
    </row>
    <row r="417" spans="1:96" ht="12.75" customHeight="1">
      <c r="E417" s="2461"/>
      <c r="F417" s="2461"/>
      <c r="G417" s="2461"/>
      <c r="H417" s="23" t="s">
        <v>120</v>
      </c>
      <c r="I417" s="2461"/>
      <c r="J417" s="2461"/>
      <c r="K417" s="2461"/>
      <c r="L417" s="12" t="s">
        <v>121</v>
      </c>
      <c r="N417" s="141" t="s">
        <v>609</v>
      </c>
      <c r="P417" s="2456">
        <v>4.28</v>
      </c>
      <c r="Q417" s="2456"/>
      <c r="R417" s="2456"/>
      <c r="S417" s="12" t="s">
        <v>122</v>
      </c>
      <c r="W417" s="2593">
        <f>IF(E417&gt;0,(E417*I417),(P417*43560))</f>
        <v>186436.80000000002</v>
      </c>
      <c r="X417" s="2593"/>
      <c r="Y417" s="2593"/>
      <c r="Z417" s="12" t="s">
        <v>123</v>
      </c>
      <c r="AF417" s="2517">
        <f>IF(P417&gt;0,(AG436/P417),(AG436/(W417/43560)))</f>
        <v>20.794392523364486</v>
      </c>
      <c r="AG417" s="2517"/>
      <c r="AH417" s="2517"/>
      <c r="AM417" s="239"/>
    </row>
    <row r="418" spans="1:96" ht="12.75">
      <c r="E418" s="12" t="s">
        <v>54</v>
      </c>
    </row>
    <row r="419" spans="1:96" ht="12.75" customHeight="1">
      <c r="E419" s="2577"/>
      <c r="F419" s="2577"/>
      <c r="G419" s="2577"/>
      <c r="H419" s="2577"/>
      <c r="I419" s="2577"/>
      <c r="J419" s="2577"/>
      <c r="K419" s="2577"/>
      <c r="L419" s="2577"/>
      <c r="M419" s="2577"/>
      <c r="N419" s="2577"/>
      <c r="O419" s="2577"/>
      <c r="P419" s="2577"/>
      <c r="Q419" s="2577"/>
      <c r="R419" s="2577"/>
      <c r="S419" s="2577"/>
      <c r="T419" s="2577"/>
      <c r="U419" s="2577"/>
      <c r="V419" s="2577"/>
      <c r="W419" s="2577"/>
      <c r="X419" s="2577"/>
      <c r="Y419" s="2577"/>
      <c r="Z419" s="2577"/>
      <c r="AA419" s="2577"/>
      <c r="AB419" s="2577"/>
      <c r="AC419" s="2577"/>
      <c r="AD419" s="2577"/>
      <c r="AE419" s="2577"/>
      <c r="AF419" s="2577"/>
      <c r="AG419" s="2577"/>
      <c r="AH419" s="2577"/>
      <c r="AI419" s="2577"/>
      <c r="AJ419" s="2577"/>
    </row>
    <row r="420" spans="1:96" s="39" customFormat="1" ht="12.75" customHeight="1">
      <c r="E420" s="254" t="s">
        <v>2234</v>
      </c>
      <c r="F420" s="1806"/>
      <c r="G420" s="1806"/>
      <c r="H420" s="1806"/>
      <c r="I420" s="2388">
        <v>4.28</v>
      </c>
      <c r="J420" s="2388"/>
      <c r="K420" s="2388"/>
      <c r="L420" s="1806"/>
      <c r="M420" s="254"/>
      <c r="N420" s="1806"/>
      <c r="O420" s="1806"/>
      <c r="P420" s="2329">
        <f>(CS637+CS645+CS661)/I420</f>
        <v>47.429906542056074</v>
      </c>
      <c r="Q420" s="2329"/>
      <c r="R420" s="2329"/>
      <c r="S420" s="254" t="s">
        <v>2235</v>
      </c>
      <c r="T420" s="1806"/>
      <c r="U420" s="1806"/>
      <c r="V420" s="1806"/>
      <c r="W420" s="1806"/>
      <c r="X420" s="1806"/>
      <c r="Y420" s="1806"/>
      <c r="Z420" s="1806"/>
      <c r="AA420" s="1806"/>
      <c r="AB420" s="1806"/>
      <c r="AC420" s="1806"/>
      <c r="AD420" s="1806"/>
      <c r="AE420" s="1806"/>
      <c r="AF420" s="1806"/>
      <c r="AG420" s="1806"/>
      <c r="AH420" s="1806"/>
      <c r="AI420" s="1806"/>
      <c r="AJ420" s="1806"/>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62">
        <v>8</v>
      </c>
      <c r="Q423" s="2062"/>
      <c r="S423" s="12" t="s">
        <v>195</v>
      </c>
      <c r="AE423" s="2062">
        <v>6</v>
      </c>
      <c r="AF423" s="2062"/>
    </row>
    <row r="424" spans="1:96" ht="12.75">
      <c r="E424" s="12" t="s">
        <v>196</v>
      </c>
      <c r="P424" s="2062">
        <v>1</v>
      </c>
      <c r="Q424" s="2062"/>
      <c r="S424" s="12" t="s">
        <v>136</v>
      </c>
      <c r="AE424" s="2062" t="s">
        <v>625</v>
      </c>
      <c r="AF424" s="2062"/>
    </row>
    <row r="425" spans="1:96" ht="12.75">
      <c r="F425" s="67" t="s">
        <v>137</v>
      </c>
    </row>
    <row r="426" spans="1:96" ht="12.75">
      <c r="F426" s="2478"/>
      <c r="G426" s="2478"/>
      <c r="H426" s="2478"/>
      <c r="I426" s="2478"/>
      <c r="J426" s="2478"/>
      <c r="K426" s="2478"/>
      <c r="L426" s="2478"/>
      <c r="M426" s="2478"/>
      <c r="N426" s="2478"/>
      <c r="O426" s="2478"/>
      <c r="P426" s="2478"/>
      <c r="Q426" s="2478"/>
      <c r="R426" s="2478"/>
      <c r="S426" s="2478"/>
      <c r="T426" s="2478"/>
      <c r="U426" s="2478"/>
      <c r="V426" s="2478"/>
      <c r="W426" s="2478"/>
      <c r="X426" s="2478"/>
      <c r="Y426" s="2478"/>
      <c r="Z426" s="2478"/>
      <c r="AA426" s="2478"/>
      <c r="AB426" s="2478"/>
      <c r="AC426" s="2478"/>
      <c r="AD426" s="2478"/>
      <c r="AE426" s="2478"/>
      <c r="AF426" s="2478"/>
      <c r="AG426" s="2478"/>
      <c r="AH426" s="2478"/>
    </row>
    <row r="427" spans="1:96" ht="12.75" customHeight="1">
      <c r="F427" s="2479"/>
      <c r="G427" s="2479"/>
      <c r="H427" s="2479"/>
      <c r="I427" s="2479"/>
      <c r="J427" s="2479"/>
      <c r="K427" s="2479"/>
      <c r="L427" s="2479"/>
      <c r="M427" s="2479"/>
      <c r="N427" s="2479"/>
      <c r="O427" s="2479"/>
      <c r="P427" s="2479"/>
      <c r="Q427" s="2479"/>
      <c r="R427" s="2479"/>
      <c r="S427" s="2479"/>
      <c r="T427" s="2479"/>
      <c r="U427" s="2479"/>
      <c r="V427" s="2479"/>
      <c r="W427" s="2479"/>
      <c r="X427" s="2479"/>
      <c r="Y427" s="2479"/>
      <c r="Z427" s="2479"/>
      <c r="AA427" s="2479"/>
      <c r="AB427" s="2479"/>
      <c r="AC427" s="2479"/>
      <c r="AD427" s="2479"/>
      <c r="AE427" s="2479"/>
      <c r="AF427" s="2479"/>
      <c r="AG427" s="2479"/>
      <c r="AH427" s="2479"/>
    </row>
    <row r="428" spans="1:96" ht="12.75" customHeight="1">
      <c r="E428" s="12" t="s">
        <v>642</v>
      </c>
      <c r="N428" s="39"/>
      <c r="O428" s="39"/>
      <c r="P428" s="235"/>
      <c r="Q428" s="2062" t="s">
        <v>577</v>
      </c>
      <c r="R428" s="2062"/>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62" t="s">
        <v>625</v>
      </c>
      <c r="AG429" s="2585"/>
    </row>
    <row r="430" spans="1:96" ht="12.75" customHeight="1">
      <c r="S430" s="25"/>
      <c r="T430" s="25"/>
    </row>
    <row r="431" spans="1:96" ht="12.75" customHeight="1">
      <c r="A431" s="50"/>
      <c r="B431" s="50"/>
      <c r="C431" s="50"/>
      <c r="E431" s="7" t="s">
        <v>317</v>
      </c>
      <c r="Z431" s="2062" t="s">
        <v>577</v>
      </c>
      <c r="AA431" s="206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62" t="s">
        <v>705</v>
      </c>
      <c r="AA433" s="2062"/>
    </row>
    <row r="434" spans="1:110" ht="12.75" customHeight="1"/>
    <row r="435" spans="1:110" ht="12.75" customHeight="1">
      <c r="A435" s="50" t="s">
        <v>499</v>
      </c>
      <c r="B435" s="50"/>
      <c r="C435" s="50"/>
      <c r="D435" s="50" t="s">
        <v>821</v>
      </c>
      <c r="AF435" s="80"/>
    </row>
    <row r="436" spans="1:110" ht="12.75" customHeight="1">
      <c r="D436" s="2290" t="s">
        <v>46</v>
      </c>
      <c r="E436" s="2291"/>
      <c r="F436" s="2291"/>
      <c r="G436" s="2291"/>
      <c r="H436" s="2291"/>
      <c r="I436" s="2291"/>
      <c r="J436" s="2291"/>
      <c r="K436" s="2291"/>
      <c r="L436" s="2291"/>
      <c r="M436" s="2291"/>
      <c r="N436" s="2291"/>
      <c r="O436" s="2291"/>
      <c r="P436" s="2291"/>
      <c r="Q436" s="2291"/>
      <c r="R436" s="2291"/>
      <c r="S436" s="2291"/>
      <c r="T436" s="2291"/>
      <c r="U436" s="2291"/>
      <c r="V436" s="2291"/>
      <c r="W436" s="2291"/>
      <c r="X436" s="2291"/>
      <c r="Y436" s="2291"/>
      <c r="Z436" s="2291"/>
      <c r="AA436" s="2291"/>
      <c r="AB436" s="2291"/>
      <c r="AC436" s="2291"/>
      <c r="AD436" s="2291"/>
      <c r="AE436" s="2291"/>
      <c r="AF436" s="2578"/>
      <c r="AG436" s="2554">
        <v>89</v>
      </c>
      <c r="AH436" s="2554"/>
      <c r="AI436" s="2554"/>
      <c r="AJ436" s="2554"/>
    </row>
    <row r="437" spans="1:110" ht="12.75" customHeight="1">
      <c r="D437" s="2524" t="s">
        <v>1436</v>
      </c>
      <c r="E437" s="2525"/>
      <c r="F437" s="2525"/>
      <c r="G437" s="2525"/>
      <c r="H437" s="2525"/>
      <c r="I437" s="2525"/>
      <c r="J437" s="2525"/>
      <c r="K437" s="2525"/>
      <c r="L437" s="2525"/>
      <c r="M437" s="2525"/>
      <c r="N437" s="2525"/>
      <c r="O437" s="2525"/>
      <c r="P437" s="2525"/>
      <c r="Q437" s="2525"/>
      <c r="R437" s="2525"/>
      <c r="S437" s="2525"/>
      <c r="T437" s="2525"/>
      <c r="U437" s="2525"/>
      <c r="V437" s="2525"/>
      <c r="W437" s="2525"/>
      <c r="X437" s="2525"/>
      <c r="Y437" s="2525"/>
      <c r="Z437" s="2525"/>
      <c r="AA437" s="2525"/>
      <c r="AB437" s="2525"/>
      <c r="AC437" s="2525"/>
      <c r="AD437" s="2525"/>
      <c r="AE437" s="2525"/>
      <c r="AF437" s="2526"/>
      <c r="AG437" s="2597"/>
      <c r="AH437" s="2301"/>
      <c r="AI437" s="2301"/>
      <c r="AJ437" s="2301"/>
    </row>
    <row r="438" spans="1:110" ht="12.75" customHeight="1">
      <c r="D438" s="2524" t="s">
        <v>1144</v>
      </c>
      <c r="E438" s="2525"/>
      <c r="F438" s="2525"/>
      <c r="G438" s="2525"/>
      <c r="H438" s="2525"/>
      <c r="I438" s="2525"/>
      <c r="J438" s="2525"/>
      <c r="K438" s="2525"/>
      <c r="L438" s="2525"/>
      <c r="M438" s="2525"/>
      <c r="N438" s="2525"/>
      <c r="O438" s="2525"/>
      <c r="P438" s="2525"/>
      <c r="Q438" s="2525"/>
      <c r="R438" s="2525"/>
      <c r="S438" s="2525"/>
      <c r="T438" s="2525"/>
      <c r="U438" s="2525"/>
      <c r="V438" s="2525"/>
      <c r="W438" s="2525"/>
      <c r="X438" s="2525"/>
      <c r="Y438" s="2525"/>
      <c r="Z438" s="2525"/>
      <c r="AA438" s="2525"/>
      <c r="AB438" s="2525"/>
      <c r="AC438" s="2525"/>
      <c r="AD438" s="2525"/>
      <c r="AE438" s="2525"/>
      <c r="AF438" s="2526"/>
      <c r="AG438" s="2554">
        <v>88</v>
      </c>
      <c r="AH438" s="2554"/>
      <c r="AI438" s="2554"/>
      <c r="AJ438" s="2554"/>
    </row>
    <row r="439" spans="1:110" ht="12.75" customHeight="1">
      <c r="D439" s="2524" t="s">
        <v>1145</v>
      </c>
      <c r="E439" s="2525"/>
      <c r="F439" s="2525"/>
      <c r="G439" s="2525"/>
      <c r="H439" s="2525"/>
      <c r="I439" s="2525"/>
      <c r="J439" s="2525"/>
      <c r="K439" s="2525"/>
      <c r="L439" s="2525"/>
      <c r="M439" s="2525"/>
      <c r="N439" s="2525"/>
      <c r="O439" s="2525"/>
      <c r="P439" s="2525"/>
      <c r="Q439" s="2525"/>
      <c r="R439" s="2525"/>
      <c r="S439" s="2525"/>
      <c r="T439" s="2525"/>
      <c r="U439" s="2525"/>
      <c r="V439" s="2525"/>
      <c r="W439" s="2525"/>
      <c r="X439" s="2525"/>
      <c r="Y439" s="2525"/>
      <c r="Z439" s="2525"/>
      <c r="AA439" s="2525"/>
      <c r="AB439" s="2525"/>
      <c r="AC439" s="2525"/>
      <c r="AD439" s="2525"/>
      <c r="AE439" s="2525"/>
      <c r="AF439" s="2526"/>
      <c r="AG439" s="2554">
        <v>88</v>
      </c>
      <c r="AH439" s="2554"/>
      <c r="AI439" s="2554"/>
      <c r="AJ439" s="2554"/>
    </row>
    <row r="440" spans="1:110" ht="12.75" customHeight="1">
      <c r="D440" s="2524" t="s">
        <v>1147</v>
      </c>
      <c r="E440" s="2525"/>
      <c r="F440" s="2525"/>
      <c r="G440" s="2525"/>
      <c r="H440" s="2525"/>
      <c r="I440" s="2525"/>
      <c r="J440" s="2525"/>
      <c r="K440" s="2525"/>
      <c r="L440" s="2525"/>
      <c r="M440" s="2525"/>
      <c r="N440" s="2525"/>
      <c r="O440" s="2525"/>
      <c r="P440" s="2525"/>
      <c r="Q440" s="2525"/>
      <c r="R440" s="2525"/>
      <c r="S440" s="2525"/>
      <c r="T440" s="2525"/>
      <c r="U440" s="2525"/>
      <c r="V440" s="2525"/>
      <c r="W440" s="2525"/>
      <c r="X440" s="2525"/>
      <c r="Y440" s="2525"/>
      <c r="Z440" s="2525"/>
      <c r="AA440" s="2525"/>
      <c r="AB440" s="2525"/>
      <c r="AC440" s="2525"/>
      <c r="AD440" s="2525"/>
      <c r="AE440" s="2525"/>
      <c r="AF440" s="2526"/>
      <c r="AG440" s="2555">
        <f>IF(ISERROR(AG439/AG438),"",AG439/AG438)</f>
        <v>1</v>
      </c>
      <c r="AH440" s="2555"/>
      <c r="AI440" s="2555"/>
      <c r="AJ440" s="2555"/>
    </row>
    <row r="441" spans="1:110" ht="12.75" customHeight="1">
      <c r="D441" s="2524" t="s">
        <v>1146</v>
      </c>
      <c r="E441" s="2525"/>
      <c r="F441" s="2525"/>
      <c r="G441" s="2525"/>
      <c r="H441" s="2525"/>
      <c r="I441" s="2525"/>
      <c r="J441" s="2525"/>
      <c r="K441" s="2525"/>
      <c r="L441" s="2525"/>
      <c r="M441" s="2525"/>
      <c r="N441" s="2525"/>
      <c r="O441" s="2525"/>
      <c r="P441" s="2525"/>
      <c r="Q441" s="2525"/>
      <c r="R441" s="2525"/>
      <c r="S441" s="2525"/>
      <c r="T441" s="2525"/>
      <c r="U441" s="2525"/>
      <c r="V441" s="2525"/>
      <c r="W441" s="2525"/>
      <c r="X441" s="2525"/>
      <c r="Y441" s="2525"/>
      <c r="Z441" s="2525"/>
      <c r="AA441" s="2525"/>
      <c r="AB441" s="2525"/>
      <c r="AC441" s="2525"/>
      <c r="AD441" s="2525"/>
      <c r="AE441" s="2525"/>
      <c r="AF441" s="2526"/>
      <c r="AG441" s="2592">
        <v>85626</v>
      </c>
      <c r="AH441" s="2457"/>
      <c r="AI441" s="2457"/>
      <c r="AJ441" s="2457"/>
    </row>
    <row r="442" spans="1:110" ht="12.75" customHeight="1">
      <c r="D442" s="2524" t="s">
        <v>1148</v>
      </c>
      <c r="E442" s="2525"/>
      <c r="F442" s="2525"/>
      <c r="G442" s="2525"/>
      <c r="H442" s="2525"/>
      <c r="I442" s="2525"/>
      <c r="J442" s="2525"/>
      <c r="K442" s="2525"/>
      <c r="L442" s="2525"/>
      <c r="M442" s="2525"/>
      <c r="N442" s="2525"/>
      <c r="O442" s="2525"/>
      <c r="P442" s="2525"/>
      <c r="Q442" s="2525"/>
      <c r="R442" s="2525"/>
      <c r="S442" s="2525"/>
      <c r="T442" s="2525"/>
      <c r="U442" s="2525"/>
      <c r="V442" s="2525"/>
      <c r="W442" s="2525"/>
      <c r="X442" s="2525"/>
      <c r="Y442" s="2525"/>
      <c r="Z442" s="2525"/>
      <c r="AA442" s="2525"/>
      <c r="AB442" s="2525"/>
      <c r="AC442" s="2525"/>
      <c r="AD442" s="2525"/>
      <c r="AE442" s="2525"/>
      <c r="AF442" s="2526"/>
      <c r="AG442" s="2457">
        <v>85626</v>
      </c>
      <c r="AH442" s="2457"/>
      <c r="AI442" s="2457"/>
      <c r="AJ442" s="2457"/>
    </row>
    <row r="443" spans="1:110" ht="12.75" customHeight="1">
      <c r="D443" s="2524" t="s">
        <v>1149</v>
      </c>
      <c r="E443" s="2525"/>
      <c r="F443" s="2525"/>
      <c r="G443" s="2525"/>
      <c r="H443" s="2525"/>
      <c r="I443" s="2525"/>
      <c r="J443" s="2525"/>
      <c r="K443" s="2525"/>
      <c r="L443" s="2525"/>
      <c r="M443" s="2525"/>
      <c r="N443" s="2525"/>
      <c r="O443" s="2525"/>
      <c r="P443" s="2525"/>
      <c r="Q443" s="2525"/>
      <c r="R443" s="2525"/>
      <c r="S443" s="2525"/>
      <c r="T443" s="2525"/>
      <c r="U443" s="2525"/>
      <c r="V443" s="2525"/>
      <c r="W443" s="2525"/>
      <c r="X443" s="2525"/>
      <c r="Y443" s="2525"/>
      <c r="Z443" s="2525"/>
      <c r="AA443" s="2525"/>
      <c r="AB443" s="2525"/>
      <c r="AC443" s="2525"/>
      <c r="AD443" s="2525"/>
      <c r="AE443" s="2525"/>
      <c r="AF443" s="2526"/>
      <c r="AG443" s="2555">
        <f>IF(ISERROR(AG442/AG441),"",AG442/AG441)</f>
        <v>1</v>
      </c>
      <c r="AH443" s="2555"/>
      <c r="AI443" s="2555"/>
      <c r="AJ443" s="2555"/>
    </row>
    <row r="444" spans="1:110" ht="12.75" customHeight="1">
      <c r="D444" s="2524" t="s">
        <v>1150</v>
      </c>
      <c r="E444" s="2525"/>
      <c r="F444" s="2525"/>
      <c r="G444" s="2525"/>
      <c r="H444" s="2525"/>
      <c r="I444" s="2525"/>
      <c r="J444" s="2525"/>
      <c r="K444" s="2525"/>
      <c r="L444" s="2525"/>
      <c r="M444" s="2525"/>
      <c r="N444" s="2525"/>
      <c r="O444" s="2525"/>
      <c r="P444" s="2525"/>
      <c r="Q444" s="2525"/>
      <c r="R444" s="2525"/>
      <c r="S444" s="2525"/>
      <c r="T444" s="2525"/>
      <c r="U444" s="2525"/>
      <c r="V444" s="2525"/>
      <c r="W444" s="2525"/>
      <c r="X444" s="2525"/>
      <c r="Y444" s="2525"/>
      <c r="Z444" s="2525"/>
      <c r="AA444" s="2525"/>
      <c r="AB444" s="2525"/>
      <c r="AC444" s="2525"/>
      <c r="AD444" s="2525"/>
      <c r="AE444" s="2525"/>
      <c r="AF444" s="2526"/>
      <c r="AG444" s="2555">
        <f>MIN(IF(AG440&gt;AG443,AG443,AG440),1)</f>
        <v>1</v>
      </c>
      <c r="AH444" s="2555"/>
      <c r="AI444" s="2555"/>
      <c r="AJ444" s="2555"/>
    </row>
    <row r="445" spans="1:110" ht="12.75" customHeight="1">
      <c r="D445" s="2524" t="s">
        <v>1411</v>
      </c>
      <c r="E445" s="2291"/>
      <c r="F445" s="2291"/>
      <c r="G445" s="2291"/>
      <c r="H445" s="2291"/>
      <c r="I445" s="2291"/>
      <c r="J445" s="2291"/>
      <c r="K445" s="2291"/>
      <c r="L445" s="2291"/>
      <c r="M445" s="2291"/>
      <c r="N445" s="2291"/>
      <c r="O445" s="2291"/>
      <c r="P445" s="2291"/>
      <c r="Q445" s="2291"/>
      <c r="R445" s="2291"/>
      <c r="S445" s="2291"/>
      <c r="T445" s="2291"/>
      <c r="U445" s="2291"/>
      <c r="V445" s="2291"/>
      <c r="W445" s="2291"/>
      <c r="X445" s="2291"/>
      <c r="Y445" s="2291"/>
      <c r="Z445" s="2291"/>
      <c r="AA445" s="2291"/>
      <c r="AB445" s="2291"/>
      <c r="AC445" s="2291"/>
      <c r="AD445" s="2291"/>
      <c r="AE445" s="2291"/>
      <c r="AF445" s="2578"/>
      <c r="AG445" s="2457">
        <v>3344</v>
      </c>
      <c r="AH445" s="2457"/>
      <c r="AI445" s="2457"/>
      <c r="AJ445" s="2457"/>
    </row>
    <row r="446" spans="1:110" ht="12.75" customHeight="1">
      <c r="D446" s="2290" t="s">
        <v>601</v>
      </c>
      <c r="E446" s="2291"/>
      <c r="F446" s="2291"/>
      <c r="G446" s="2291"/>
      <c r="H446" s="2291"/>
      <c r="I446" s="2291"/>
      <c r="J446" s="2291"/>
      <c r="K446" s="2291"/>
      <c r="L446" s="2291"/>
      <c r="M446" s="2291"/>
      <c r="N446" s="2291"/>
      <c r="O446" s="2291"/>
      <c r="P446" s="2291"/>
      <c r="Q446" s="2291"/>
      <c r="R446" s="2291"/>
      <c r="S446" s="2291"/>
      <c r="T446" s="2291"/>
      <c r="U446" s="2291"/>
      <c r="V446" s="2291"/>
      <c r="W446" s="2291"/>
      <c r="X446" s="2291"/>
      <c r="Y446" s="2291"/>
      <c r="Z446" s="2291"/>
      <c r="AA446" s="2291"/>
      <c r="AB446" s="2291"/>
      <c r="AC446" s="2291"/>
      <c r="AD446" s="2291"/>
      <c r="AE446" s="2291"/>
      <c r="AF446" s="2578"/>
      <c r="AG446" s="2457">
        <v>0</v>
      </c>
      <c r="AH446" s="2457"/>
      <c r="AI446" s="2457"/>
      <c r="AJ446" s="245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4" customHeight="1">
      <c r="D447" s="2524" t="s">
        <v>1412</v>
      </c>
      <c r="E447" s="2291"/>
      <c r="F447" s="2291"/>
      <c r="G447" s="2291"/>
      <c r="H447" s="2291"/>
      <c r="I447" s="2291"/>
      <c r="J447" s="2291"/>
      <c r="K447" s="2291"/>
      <c r="L447" s="2291"/>
      <c r="M447" s="2291"/>
      <c r="N447" s="2291"/>
      <c r="O447" s="2291"/>
      <c r="P447" s="2291"/>
      <c r="Q447" s="2291"/>
      <c r="R447" s="2291"/>
      <c r="S447" s="2291"/>
      <c r="T447" s="2291"/>
      <c r="U447" s="2291"/>
      <c r="V447" s="2291"/>
      <c r="W447" s="2291"/>
      <c r="X447" s="2291"/>
      <c r="Y447" s="2291"/>
      <c r="Z447" s="2291"/>
      <c r="AA447" s="2291"/>
      <c r="AB447" s="2291"/>
      <c r="AC447" s="2291"/>
      <c r="AD447" s="2291"/>
      <c r="AE447" s="2291"/>
      <c r="AF447" s="2578"/>
      <c r="AG447" s="2457">
        <v>1937</v>
      </c>
      <c r="AH447" s="2457"/>
      <c r="AI447" s="2457"/>
      <c r="AJ447" s="245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524" t="s">
        <v>1151</v>
      </c>
      <c r="E448" s="2291"/>
      <c r="F448" s="2291"/>
      <c r="G448" s="2291"/>
      <c r="H448" s="2291"/>
      <c r="I448" s="2291"/>
      <c r="J448" s="2291"/>
      <c r="K448" s="2291"/>
      <c r="L448" s="2291"/>
      <c r="M448" s="2291"/>
      <c r="N448" s="2291"/>
      <c r="O448" s="2291"/>
      <c r="P448" s="2291"/>
      <c r="Q448" s="2291"/>
      <c r="R448" s="2291"/>
      <c r="S448" s="2291"/>
      <c r="T448" s="2291"/>
      <c r="U448" s="2291"/>
      <c r="V448" s="2291"/>
      <c r="W448" s="2291"/>
      <c r="X448" s="2291"/>
      <c r="Y448" s="2291"/>
      <c r="Z448" s="2291"/>
      <c r="AA448" s="2291"/>
      <c r="AB448" s="2291"/>
      <c r="AC448" s="2291"/>
      <c r="AD448" s="2291"/>
      <c r="AE448" s="2291"/>
      <c r="AF448" s="2578"/>
      <c r="AG448" s="2457">
        <v>0</v>
      </c>
      <c r="AH448" s="2457"/>
      <c r="AI448" s="2457"/>
      <c r="AJ448" s="245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510" t="s">
        <v>1152</v>
      </c>
      <c r="E449" s="2511"/>
      <c r="F449" s="2511"/>
      <c r="G449" s="2511"/>
      <c r="H449" s="2511"/>
      <c r="I449" s="2511"/>
      <c r="J449" s="2511"/>
      <c r="K449" s="2511"/>
      <c r="L449" s="2511"/>
      <c r="M449" s="2511"/>
      <c r="N449" s="2511"/>
      <c r="O449" s="2511"/>
      <c r="P449" s="2511"/>
      <c r="Q449" s="2511"/>
      <c r="R449" s="2511"/>
      <c r="S449" s="2511"/>
      <c r="T449" s="2511"/>
      <c r="U449" s="2511"/>
      <c r="V449" s="2511"/>
      <c r="W449" s="2511"/>
      <c r="X449" s="2511"/>
      <c r="Y449" s="2511"/>
      <c r="Z449" s="2511"/>
      <c r="AA449" s="2511"/>
      <c r="AB449" s="2511"/>
      <c r="AC449" s="2511"/>
      <c r="AD449" s="2511"/>
      <c r="AE449" s="2511"/>
      <c r="AF449" s="2512"/>
      <c r="AG449" s="2584">
        <f>AG441+AG445+AG447+AG448</f>
        <v>90907</v>
      </c>
      <c r="AH449" s="2584"/>
      <c r="AI449" s="2584"/>
      <c r="AJ449" s="258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13" t="s">
        <v>1413</v>
      </c>
      <c r="E450" s="2513"/>
      <c r="F450" s="2513"/>
      <c r="G450" s="2513"/>
      <c r="H450" s="2513"/>
      <c r="I450" s="2513"/>
      <c r="J450" s="2513"/>
      <c r="K450" s="2513"/>
      <c r="L450" s="2513"/>
      <c r="M450" s="2513"/>
      <c r="N450" s="2513"/>
      <c r="O450" s="2513"/>
      <c r="P450" s="2513"/>
      <c r="Q450" s="2513"/>
      <c r="R450" s="2513"/>
      <c r="S450" s="2513"/>
      <c r="T450" s="2513"/>
      <c r="U450" s="2513"/>
      <c r="V450" s="2513"/>
      <c r="W450" s="2513"/>
      <c r="X450" s="2513"/>
      <c r="Y450" s="2513"/>
      <c r="Z450" s="2513"/>
      <c r="AA450" s="2513"/>
      <c r="AB450" s="2513"/>
      <c r="AC450" s="2513"/>
      <c r="AD450" s="2513"/>
      <c r="AE450" s="2513"/>
      <c r="AF450" s="2513"/>
      <c r="AG450" s="2513"/>
      <c r="AH450" s="2513"/>
      <c r="AI450" s="2513"/>
      <c r="AJ450" s="251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14"/>
      <c r="E451" s="2514"/>
      <c r="F451" s="2514"/>
      <c r="G451" s="2514"/>
      <c r="H451" s="2514"/>
      <c r="I451" s="2514"/>
      <c r="J451" s="2514"/>
      <c r="K451" s="2514"/>
      <c r="L451" s="2514"/>
      <c r="M451" s="2514"/>
      <c r="N451" s="2514"/>
      <c r="O451" s="2514"/>
      <c r="P451" s="2514"/>
      <c r="Q451" s="2514"/>
      <c r="R451" s="2514"/>
      <c r="S451" s="2514"/>
      <c r="T451" s="2514"/>
      <c r="U451" s="2514"/>
      <c r="V451" s="2514"/>
      <c r="W451" s="2514"/>
      <c r="X451" s="2514"/>
      <c r="Y451" s="2514"/>
      <c r="Z451" s="2514"/>
      <c r="AA451" s="2514"/>
      <c r="AB451" s="2514"/>
      <c r="AC451" s="2514"/>
      <c r="AD451" s="2514"/>
      <c r="AE451" s="2514"/>
      <c r="AF451" s="2514"/>
      <c r="AG451" s="2514"/>
      <c r="AH451" s="2514"/>
      <c r="AI451" s="2514"/>
      <c r="AJ451" s="251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56">
        <f>'Sources and Uses Budget'!B105/Application!AG436</f>
        <v>607300.6516853933</v>
      </c>
      <c r="AD453" s="2556"/>
      <c r="AE453" s="2556"/>
      <c r="AF453" s="255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56">
        <f>'Sources and Uses Budget'!C105/Application!AG436</f>
        <v>607300.6516853933</v>
      </c>
      <c r="AD454" s="2556"/>
      <c r="AE454" s="2556"/>
      <c r="AF454" s="255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56">
        <f>('Sources and Uses Budget'!$S$107+'Sources and Uses Budget'!$T$107)/Application!AG436</f>
        <v>458789.80898876407</v>
      </c>
      <c r="AD455" s="2556"/>
      <c r="AE455" s="2556"/>
      <c r="AF455" s="255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58" t="s">
        <v>730</v>
      </c>
      <c r="E464" s="2459"/>
      <c r="F464" s="2459"/>
      <c r="G464" s="2459"/>
      <c r="H464" s="2459"/>
      <c r="I464" s="2459"/>
      <c r="J464" s="2459"/>
      <c r="K464" s="2459"/>
      <c r="L464" s="2459"/>
      <c r="M464" s="2459"/>
      <c r="N464" s="2459"/>
      <c r="O464" s="2459"/>
      <c r="P464" s="2459"/>
      <c r="Q464" s="2459"/>
      <c r="R464" s="2459"/>
      <c r="S464" s="2459"/>
      <c r="T464" s="2459"/>
      <c r="U464" s="2459"/>
      <c r="V464" s="2460"/>
      <c r="W464" s="2451" t="s">
        <v>625</v>
      </c>
      <c r="X464" s="2452"/>
      <c r="Y464" s="245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58" t="s">
        <v>731</v>
      </c>
      <c r="E465" s="2459"/>
      <c r="F465" s="2459"/>
      <c r="G465" s="2459"/>
      <c r="H465" s="2459"/>
      <c r="I465" s="2459"/>
      <c r="J465" s="2459"/>
      <c r="K465" s="2459"/>
      <c r="L465" s="2459"/>
      <c r="M465" s="2459"/>
      <c r="N465" s="2459"/>
      <c r="O465" s="2459"/>
      <c r="P465" s="2459"/>
      <c r="Q465" s="2459"/>
      <c r="R465" s="2459"/>
      <c r="S465" s="2459"/>
      <c r="T465" s="2459"/>
      <c r="U465" s="2459"/>
      <c r="V465" s="2460"/>
      <c r="W465" s="2451" t="s">
        <v>625</v>
      </c>
      <c r="X465" s="2452"/>
      <c r="Y465" s="245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58" t="s">
        <v>732</v>
      </c>
      <c r="E466" s="2459"/>
      <c r="F466" s="2459"/>
      <c r="G466" s="2459"/>
      <c r="H466" s="2459"/>
      <c r="I466" s="2459"/>
      <c r="J466" s="2459"/>
      <c r="K466" s="2459"/>
      <c r="L466" s="2459"/>
      <c r="M466" s="2459"/>
      <c r="N466" s="2459"/>
      <c r="O466" s="2459"/>
      <c r="P466" s="2459"/>
      <c r="Q466" s="2459"/>
      <c r="R466" s="2459"/>
      <c r="S466" s="2459"/>
      <c r="T466" s="2459"/>
      <c r="U466" s="2459"/>
      <c r="V466" s="2460"/>
      <c r="W466" s="2451" t="s">
        <v>625</v>
      </c>
      <c r="X466" s="2452"/>
      <c r="Y466" s="245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58" t="s">
        <v>733</v>
      </c>
      <c r="E467" s="2459"/>
      <c r="F467" s="2459"/>
      <c r="G467" s="2459"/>
      <c r="H467" s="2459"/>
      <c r="I467" s="2459"/>
      <c r="J467" s="2459"/>
      <c r="K467" s="2459"/>
      <c r="L467" s="2459"/>
      <c r="M467" s="2459"/>
      <c r="N467" s="2459"/>
      <c r="O467" s="2459"/>
      <c r="P467" s="2459"/>
      <c r="Q467" s="2459"/>
      <c r="R467" s="2459"/>
      <c r="S467" s="2459"/>
      <c r="T467" s="2459"/>
      <c r="U467" s="2459"/>
      <c r="V467" s="2460"/>
      <c r="W467" s="2451" t="s">
        <v>625</v>
      </c>
      <c r="X467" s="2452"/>
      <c r="Y467" s="245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58" t="s">
        <v>945</v>
      </c>
      <c r="E468" s="2459"/>
      <c r="F468" s="2459"/>
      <c r="G468" s="2459"/>
      <c r="H468" s="2459"/>
      <c r="I468" s="2459"/>
      <c r="J468" s="2459"/>
      <c r="K468" s="2459"/>
      <c r="L468" s="2459"/>
      <c r="M468" s="2459"/>
      <c r="N468" s="2459"/>
      <c r="O468" s="2459"/>
      <c r="P468" s="2459"/>
      <c r="Q468" s="2459"/>
      <c r="R468" s="2459"/>
      <c r="S468" s="2459"/>
      <c r="T468" s="2459"/>
      <c r="U468" s="2459"/>
      <c r="V468" s="2460"/>
      <c r="W468" s="2451" t="s">
        <v>625</v>
      </c>
      <c r="X468" s="2452"/>
      <c r="Y468" s="245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58" t="s">
        <v>734</v>
      </c>
      <c r="E469" s="2459"/>
      <c r="F469" s="2459"/>
      <c r="G469" s="2459"/>
      <c r="H469" s="2459"/>
      <c r="I469" s="2459"/>
      <c r="J469" s="2459"/>
      <c r="K469" s="2459"/>
      <c r="L469" s="2459"/>
      <c r="M469" s="2459"/>
      <c r="N469" s="2459"/>
      <c r="O469" s="2459"/>
      <c r="P469" s="2459"/>
      <c r="Q469" s="2459"/>
      <c r="R469" s="2459"/>
      <c r="S469" s="2459"/>
      <c r="T469" s="2459"/>
      <c r="U469" s="2459"/>
      <c r="V469" s="2460"/>
      <c r="W469" s="2451" t="s">
        <v>625</v>
      </c>
      <c r="X469" s="2452"/>
      <c r="Y469" s="245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58" t="s">
        <v>1118</v>
      </c>
      <c r="E470" s="2459"/>
      <c r="F470" s="2459"/>
      <c r="G470" s="2459"/>
      <c r="H470" s="2459"/>
      <c r="I470" s="2459"/>
      <c r="J470" s="2459"/>
      <c r="K470" s="2459"/>
      <c r="L470" s="2459"/>
      <c r="M470" s="2459"/>
      <c r="N470" s="2459"/>
      <c r="O470" s="2459"/>
      <c r="P470" s="2459"/>
      <c r="Q470" s="2459"/>
      <c r="R470" s="2459"/>
      <c r="S470" s="2459"/>
      <c r="T470" s="2459"/>
      <c r="U470" s="2459"/>
      <c r="V470" s="2460"/>
      <c r="W470" s="2451" t="s">
        <v>625</v>
      </c>
      <c r="X470" s="2452"/>
      <c r="Y470" s="245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83" t="s">
        <v>2007</v>
      </c>
      <c r="E471" s="2459"/>
      <c r="F471" s="2459"/>
      <c r="G471" s="2459"/>
      <c r="H471" s="2459"/>
      <c r="I471" s="2459"/>
      <c r="J471" s="2459"/>
      <c r="K471" s="2459"/>
      <c r="L471" s="2459"/>
      <c r="M471" s="2459"/>
      <c r="N471" s="2459"/>
      <c r="O471" s="2459"/>
      <c r="P471" s="2459"/>
      <c r="Q471" s="2459"/>
      <c r="R471" s="2459"/>
      <c r="S471" s="2459"/>
      <c r="T471" s="2459"/>
      <c r="U471" s="2459"/>
      <c r="V471" s="2460"/>
      <c r="W471" s="2576">
        <v>16</v>
      </c>
      <c r="X471" s="2452"/>
      <c r="Y471" s="245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80" t="s">
        <v>2680</v>
      </c>
      <c r="H472" s="2581"/>
      <c r="I472" s="2581"/>
      <c r="J472" s="2581"/>
      <c r="K472" s="2581"/>
      <c r="L472" s="2581"/>
      <c r="M472" s="2581"/>
      <c r="N472" s="2581"/>
      <c r="O472" s="2581"/>
      <c r="P472" s="2581"/>
      <c r="Q472" s="2581"/>
      <c r="R472" s="2581"/>
      <c r="S472" s="2581"/>
      <c r="T472" s="2581"/>
      <c r="U472" s="2581"/>
      <c r="V472" s="2582"/>
      <c r="W472" s="2451">
        <v>11</v>
      </c>
      <c r="X472" s="2452"/>
      <c r="Y472" s="245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425" t="s">
        <v>868</v>
      </c>
      <c r="B478" s="2425"/>
      <c r="C478" s="2425"/>
      <c r="D478" s="2425"/>
      <c r="E478" s="2425"/>
      <c r="F478" s="2425"/>
      <c r="G478" s="2425"/>
      <c r="H478" s="2425"/>
      <c r="I478" s="2425"/>
      <c r="J478" s="2425"/>
      <c r="K478" s="2425"/>
      <c r="L478" s="2425"/>
      <c r="M478" s="2425"/>
      <c r="N478" s="2425"/>
      <c r="O478" s="2425"/>
      <c r="P478" s="2425"/>
      <c r="Q478" s="2425"/>
      <c r="R478" s="2425"/>
      <c r="S478" s="2425"/>
      <c r="T478" s="2425"/>
      <c r="U478" s="2425"/>
      <c r="V478" s="2425"/>
      <c r="W478" s="2425"/>
      <c r="X478" s="2425"/>
      <c r="Y478" s="2425"/>
      <c r="Z478" s="2425"/>
      <c r="AA478" s="2425"/>
      <c r="AB478" s="2425"/>
      <c r="AC478" s="2425"/>
      <c r="AD478" s="2425"/>
      <c r="AE478" s="2425"/>
      <c r="AF478" s="2425"/>
      <c r="AG478" s="2425"/>
      <c r="AH478" s="2425"/>
      <c r="AI478" s="2425"/>
      <c r="AJ478" s="2425"/>
      <c r="AK478" s="2425"/>
      <c r="AL478" s="242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426"/>
      <c r="B479" s="2426"/>
      <c r="C479" s="2426"/>
      <c r="D479" s="2426"/>
      <c r="E479" s="2426"/>
      <c r="F479" s="2426"/>
      <c r="G479" s="2426"/>
      <c r="H479" s="2426"/>
      <c r="I479" s="2426"/>
      <c r="J479" s="2426"/>
      <c r="K479" s="2426"/>
      <c r="L479" s="2426"/>
      <c r="M479" s="2426"/>
      <c r="N479" s="2426"/>
      <c r="O479" s="2426"/>
      <c r="P479" s="2426"/>
      <c r="Q479" s="2426"/>
      <c r="R479" s="2426"/>
      <c r="S479" s="2426"/>
      <c r="T479" s="2426"/>
      <c r="U479" s="2426"/>
      <c r="V479" s="2426"/>
      <c r="W479" s="2426"/>
      <c r="X479" s="2426"/>
      <c r="Y479" s="2426"/>
      <c r="Z479" s="2426"/>
      <c r="AA479" s="2426"/>
      <c r="AB479" s="2426"/>
      <c r="AC479" s="2426"/>
      <c r="AD479" s="2426"/>
      <c r="AE479" s="2426"/>
      <c r="AF479" s="2426"/>
      <c r="AG479" s="2426"/>
      <c r="AH479" s="2426"/>
      <c r="AI479" s="2426"/>
      <c r="AJ479" s="2426"/>
      <c r="AK479" s="2426"/>
      <c r="AL479" s="242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515" t="s">
        <v>869</v>
      </c>
      <c r="U483" s="2516"/>
      <c r="V483" s="2516"/>
      <c r="W483" s="2516"/>
      <c r="X483" s="2516"/>
      <c r="Y483" s="2516"/>
      <c r="Z483" s="2516"/>
      <c r="AA483" s="2516"/>
      <c r="AB483" s="2516"/>
      <c r="AC483" s="2516"/>
      <c r="AD483" s="2516"/>
      <c r="AE483" s="2516"/>
      <c r="AF483" s="2516"/>
      <c r="AG483" s="2516"/>
      <c r="AH483" s="254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62" t="s">
        <v>36</v>
      </c>
      <c r="U484" s="2462"/>
      <c r="V484" s="2462"/>
      <c r="W484" s="2462"/>
      <c r="X484" s="2462"/>
      <c r="Y484" s="2462" t="s">
        <v>37</v>
      </c>
      <c r="Z484" s="2462"/>
      <c r="AA484" s="2462"/>
      <c r="AB484" s="2462"/>
      <c r="AC484" s="2462"/>
      <c r="AD484" s="2462" t="s">
        <v>347</v>
      </c>
      <c r="AE484" s="2462"/>
      <c r="AF484" s="2462"/>
      <c r="AG484" s="2462"/>
      <c r="AH484" s="246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62"/>
      <c r="U485" s="2462"/>
      <c r="V485" s="2462"/>
      <c r="W485" s="2462"/>
      <c r="X485" s="2462"/>
      <c r="Y485" s="2462"/>
      <c r="Z485" s="2462"/>
      <c r="AA485" s="2462"/>
      <c r="AB485" s="2462"/>
      <c r="AC485" s="2462"/>
      <c r="AD485" s="2462"/>
      <c r="AE485" s="2462"/>
      <c r="AF485" s="2462"/>
      <c r="AG485" s="2462"/>
      <c r="AH485" s="246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2509">
        <v>0</v>
      </c>
      <c r="U486" s="2509"/>
      <c r="V486" s="2509"/>
      <c r="W486" s="2509"/>
      <c r="X486" s="2509"/>
      <c r="Y486" s="2509">
        <v>0</v>
      </c>
      <c r="Z486" s="2509"/>
      <c r="AA486" s="2509"/>
      <c r="AB486" s="2509"/>
      <c r="AC486" s="2509"/>
      <c r="AD486" s="2509">
        <v>42927</v>
      </c>
      <c r="AE486" s="2509"/>
      <c r="AF486" s="2509"/>
      <c r="AG486" s="2509"/>
      <c r="AH486" s="250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2509">
        <v>0</v>
      </c>
      <c r="U487" s="2509"/>
      <c r="V487" s="2509"/>
      <c r="W487" s="2509"/>
      <c r="X487" s="2509"/>
      <c r="Y487" s="2509">
        <v>0</v>
      </c>
      <c r="Z487" s="2509"/>
      <c r="AA487" s="2509"/>
      <c r="AB487" s="2509"/>
      <c r="AC487" s="2509"/>
      <c r="AD487" s="2509" t="s">
        <v>625</v>
      </c>
      <c r="AE487" s="2509"/>
      <c r="AF487" s="2509"/>
      <c r="AG487" s="2509"/>
      <c r="AH487" s="250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2509">
        <v>0</v>
      </c>
      <c r="U488" s="2509"/>
      <c r="V488" s="2509"/>
      <c r="W488" s="2509"/>
      <c r="X488" s="2509"/>
      <c r="Y488" s="2509">
        <v>0</v>
      </c>
      <c r="Z488" s="2509"/>
      <c r="AA488" s="2509"/>
      <c r="AB488" s="2509"/>
      <c r="AC488" s="2509"/>
      <c r="AD488" s="2509" t="s">
        <v>625</v>
      </c>
      <c r="AE488" s="2509"/>
      <c r="AF488" s="2509"/>
      <c r="AG488" s="2509"/>
      <c r="AH488" s="250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2509">
        <v>0</v>
      </c>
      <c r="U489" s="2509"/>
      <c r="V489" s="2509"/>
      <c r="W489" s="2509"/>
      <c r="X489" s="2509"/>
      <c r="Y489" s="2509">
        <v>0</v>
      </c>
      <c r="Z489" s="2509"/>
      <c r="AA489" s="2509"/>
      <c r="AB489" s="2509"/>
      <c r="AC489" s="2509"/>
      <c r="AD489" s="2509" t="s">
        <v>625</v>
      </c>
      <c r="AE489" s="2509"/>
      <c r="AF489" s="2509"/>
      <c r="AG489" s="2509"/>
      <c r="AH489" s="250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2509">
        <v>0</v>
      </c>
      <c r="U490" s="2509"/>
      <c r="V490" s="2509"/>
      <c r="W490" s="2509"/>
      <c r="X490" s="2509"/>
      <c r="Y490" s="2509">
        <v>0</v>
      </c>
      <c r="Z490" s="2509"/>
      <c r="AA490" s="2509"/>
      <c r="AB490" s="2509"/>
      <c r="AC490" s="2509"/>
      <c r="AD490" s="2509" t="s">
        <v>625</v>
      </c>
      <c r="AE490" s="2509"/>
      <c r="AF490" s="2509"/>
      <c r="AG490" s="2509"/>
      <c r="AH490" s="250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2509">
        <v>0</v>
      </c>
      <c r="U491" s="2509"/>
      <c r="V491" s="2509"/>
      <c r="W491" s="2509"/>
      <c r="X491" s="2509"/>
      <c r="Y491" s="2509">
        <v>0</v>
      </c>
      <c r="Z491" s="2509"/>
      <c r="AA491" s="2509"/>
      <c r="AB491" s="2509"/>
      <c r="AC491" s="2509"/>
      <c r="AD491" s="2509" t="s">
        <v>625</v>
      </c>
      <c r="AE491" s="2509"/>
      <c r="AF491" s="2509"/>
      <c r="AG491" s="2509"/>
      <c r="AH491" s="250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2509">
        <v>0</v>
      </c>
      <c r="U492" s="2509"/>
      <c r="V492" s="2509"/>
      <c r="W492" s="2509"/>
      <c r="X492" s="2509"/>
      <c r="Y492" s="2509">
        <v>0</v>
      </c>
      <c r="Z492" s="2509"/>
      <c r="AA492" s="2509"/>
      <c r="AB492" s="2509"/>
      <c r="AC492" s="2509"/>
      <c r="AD492" s="2509">
        <v>42927</v>
      </c>
      <c r="AE492" s="2509"/>
      <c r="AF492" s="2509"/>
      <c r="AG492" s="2509"/>
      <c r="AH492" s="2509"/>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509">
        <v>0</v>
      </c>
      <c r="U493" s="2509"/>
      <c r="V493" s="2509"/>
      <c r="W493" s="2509"/>
      <c r="X493" s="2509"/>
      <c r="Y493" s="2509">
        <v>0</v>
      </c>
      <c r="Z493" s="2509"/>
      <c r="AA493" s="2509"/>
      <c r="AB493" s="2509"/>
      <c r="AC493" s="2509"/>
      <c r="AD493" s="2509" t="s">
        <v>625</v>
      </c>
      <c r="AE493" s="2509"/>
      <c r="AF493" s="2509"/>
      <c r="AG493" s="2509"/>
      <c r="AH493" s="250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509">
        <v>0</v>
      </c>
      <c r="U494" s="2509"/>
      <c r="V494" s="2509"/>
      <c r="W494" s="2509"/>
      <c r="X494" s="2509"/>
      <c r="Y494" s="2509">
        <v>0</v>
      </c>
      <c r="Z494" s="2509"/>
      <c r="AA494" s="2509"/>
      <c r="AB494" s="2509"/>
      <c r="AC494" s="2509"/>
      <c r="AD494" s="2509" t="s">
        <v>625</v>
      </c>
      <c r="AE494" s="2509"/>
      <c r="AF494" s="2509"/>
      <c r="AG494" s="2509"/>
      <c r="AH494" s="250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509">
        <v>0</v>
      </c>
      <c r="U495" s="2509"/>
      <c r="V495" s="2509"/>
      <c r="W495" s="2509"/>
      <c r="X495" s="2509"/>
      <c r="Y495" s="2509">
        <v>0</v>
      </c>
      <c r="Z495" s="2509"/>
      <c r="AA495" s="2509"/>
      <c r="AB495" s="2509"/>
      <c r="AC495" s="2509"/>
      <c r="AD495" s="2509">
        <v>42927</v>
      </c>
      <c r="AE495" s="2509"/>
      <c r="AF495" s="2509"/>
      <c r="AG495" s="2509"/>
      <c r="AH495" s="250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21" t="s">
        <v>413</v>
      </c>
      <c r="R497" s="2522"/>
      <c r="S497" s="2522"/>
      <c r="T497" s="2522"/>
      <c r="U497" s="2522"/>
      <c r="V497" s="2522"/>
      <c r="W497" s="2522"/>
      <c r="X497" s="2522"/>
      <c r="Y497" s="2522"/>
      <c r="Z497" s="2522"/>
      <c r="AA497" s="2522"/>
      <c r="AB497" s="2522"/>
      <c r="AC497" s="2522"/>
      <c r="AD497" s="2522"/>
      <c r="AE497" s="2522"/>
      <c r="AF497" s="2522"/>
      <c r="AG497" s="2522"/>
      <c r="AH497" s="2522"/>
      <c r="AI497" s="2522"/>
      <c r="AJ497" s="2522"/>
      <c r="AK497" s="252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401" t="s">
        <v>2729</v>
      </c>
      <c r="R498" s="2307"/>
      <c r="S498" s="2307"/>
      <c r="T498" s="2307"/>
      <c r="U498" s="2307"/>
      <c r="V498" s="2307"/>
      <c r="W498" s="2307"/>
      <c r="X498" s="2307"/>
      <c r="Y498" s="2307"/>
      <c r="Z498" s="2307"/>
      <c r="AA498" s="2307"/>
      <c r="AB498" s="2307"/>
      <c r="AC498" s="2307"/>
      <c r="AD498" s="2307"/>
      <c r="AE498" s="2307"/>
      <c r="AF498" s="2307"/>
      <c r="AG498" s="2307"/>
      <c r="AH498" s="2307"/>
      <c r="AI498" s="2307"/>
      <c r="AJ498" s="2307"/>
      <c r="AK498" s="240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401" t="s">
        <v>2728</v>
      </c>
      <c r="R499" s="2307"/>
      <c r="S499" s="2307"/>
      <c r="T499" s="2307"/>
      <c r="U499" s="2307"/>
      <c r="V499" s="2307"/>
      <c r="W499" s="2307"/>
      <c r="X499" s="2307"/>
      <c r="Y499" s="2307"/>
      <c r="Z499" s="2307"/>
      <c r="AA499" s="2307"/>
      <c r="AB499" s="2307"/>
      <c r="AC499" s="2307"/>
      <c r="AD499" s="2307"/>
      <c r="AE499" s="2307"/>
      <c r="AF499" s="2307"/>
      <c r="AG499" s="2307"/>
      <c r="AH499" s="2307"/>
      <c r="AI499" s="2307"/>
      <c r="AJ499" s="2307"/>
      <c r="AK499" s="2402"/>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401" t="s">
        <v>2728</v>
      </c>
      <c r="R500" s="2307"/>
      <c r="S500" s="2307"/>
      <c r="T500" s="2307"/>
      <c r="U500" s="2307"/>
      <c r="V500" s="2307"/>
      <c r="W500" s="2307"/>
      <c r="X500" s="2307"/>
      <c r="Y500" s="2307"/>
      <c r="Z500" s="2307"/>
      <c r="AA500" s="2307"/>
      <c r="AB500" s="2307"/>
      <c r="AC500" s="2307"/>
      <c r="AD500" s="2307"/>
      <c r="AE500" s="2307"/>
      <c r="AF500" s="2307"/>
      <c r="AG500" s="2307"/>
      <c r="AH500" s="2307"/>
      <c r="AI500" s="2307"/>
      <c r="AJ500" s="2307"/>
      <c r="AK500" s="2402"/>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41" t="s">
        <v>417</v>
      </c>
      <c r="C501" s="2542"/>
      <c r="D501" s="2542"/>
      <c r="E501" s="2542"/>
      <c r="F501" s="2542"/>
      <c r="G501" s="2542"/>
      <c r="H501" s="2542"/>
      <c r="I501" s="2542"/>
      <c r="J501" s="2542"/>
      <c r="K501" s="2542"/>
      <c r="L501" s="2542"/>
      <c r="M501" s="2542"/>
      <c r="N501" s="2542"/>
      <c r="O501" s="2542"/>
      <c r="P501" s="2543"/>
      <c r="Q501" s="2549" t="s">
        <v>705</v>
      </c>
      <c r="R501" s="2550"/>
      <c r="S501" s="2309" t="s">
        <v>171</v>
      </c>
      <c r="T501" s="2310"/>
      <c r="U501" s="2310"/>
      <c r="V501" s="2310"/>
      <c r="W501" s="2310"/>
      <c r="X501" s="2310"/>
      <c r="Y501" s="2310"/>
      <c r="Z501" s="2310"/>
      <c r="AA501" s="2310"/>
      <c r="AB501" s="2310"/>
      <c r="AC501" s="2310"/>
      <c r="AD501" s="2310"/>
      <c r="AE501" s="2310"/>
      <c r="AF501" s="2310"/>
      <c r="AG501" s="2310"/>
      <c r="AH501" s="2310"/>
      <c r="AI501" s="2310"/>
      <c r="AJ501" s="2310"/>
      <c r="AK501" s="231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44"/>
      <c r="C502" s="2545"/>
      <c r="D502" s="2545"/>
      <c r="E502" s="2545"/>
      <c r="F502" s="2545"/>
      <c r="G502" s="2545"/>
      <c r="H502" s="2545"/>
      <c r="I502" s="2545"/>
      <c r="J502" s="2545"/>
      <c r="K502" s="2545"/>
      <c r="L502" s="2545"/>
      <c r="M502" s="2545"/>
      <c r="N502" s="2545"/>
      <c r="O502" s="2545"/>
      <c r="P502" s="2546"/>
      <c r="Q502" s="2551"/>
      <c r="R502" s="2552"/>
      <c r="S502" s="2312"/>
      <c r="T502" s="2313"/>
      <c r="U502" s="2313"/>
      <c r="V502" s="2313"/>
      <c r="W502" s="2313"/>
      <c r="X502" s="2313"/>
      <c r="Y502" s="2313"/>
      <c r="Z502" s="2313"/>
      <c r="AA502" s="2313"/>
      <c r="AB502" s="2313"/>
      <c r="AC502" s="2313"/>
      <c r="AD502" s="2313"/>
      <c r="AE502" s="2313"/>
      <c r="AF502" s="2313"/>
      <c r="AG502" s="2313"/>
      <c r="AH502" s="2313"/>
      <c r="AI502" s="2313"/>
      <c r="AJ502" s="2313"/>
      <c r="AK502" s="231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2" t="s">
        <v>2027</v>
      </c>
      <c r="C503" s="1490"/>
      <c r="D503" s="1490"/>
      <c r="E503" s="1490"/>
      <c r="F503" s="1490"/>
      <c r="G503" s="1490"/>
      <c r="H503" s="1490"/>
      <c r="I503" s="1490"/>
      <c r="J503" s="1490"/>
      <c r="K503" s="1490"/>
      <c r="L503" s="1490"/>
      <c r="M503" s="1490"/>
      <c r="N503" s="1490"/>
      <c r="O503" s="1490"/>
      <c r="P503" s="1490"/>
      <c r="Q503" s="2594" t="s">
        <v>705</v>
      </c>
      <c r="R503" s="2595"/>
      <c r="S503" s="2595"/>
      <c r="T503" s="2595"/>
      <c r="U503" s="2595"/>
      <c r="V503" s="2595"/>
      <c r="W503" s="2595"/>
      <c r="X503" s="2595"/>
      <c r="Y503" s="2595"/>
      <c r="Z503" s="2595"/>
      <c r="AA503" s="2595"/>
      <c r="AB503" s="2595"/>
      <c r="AC503" s="2595"/>
      <c r="AD503" s="2595"/>
      <c r="AE503" s="2595"/>
      <c r="AF503" s="2595"/>
      <c r="AG503" s="2595"/>
      <c r="AH503" s="2595"/>
      <c r="AI503" s="2595"/>
      <c r="AJ503" s="2595"/>
      <c r="AK503" s="259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508" t="s">
        <v>2619</v>
      </c>
      <c r="R504" s="2307"/>
      <c r="S504" s="2307"/>
      <c r="T504" s="2307"/>
      <c r="U504" s="2307"/>
      <c r="V504" s="2307"/>
      <c r="W504" s="2307"/>
      <c r="X504" s="2307"/>
      <c r="Y504" s="2307"/>
      <c r="Z504" s="2307"/>
      <c r="AA504" s="2307"/>
      <c r="AB504" s="2307"/>
      <c r="AC504" s="2307"/>
      <c r="AD504" s="2307"/>
      <c r="AE504" s="2307"/>
      <c r="AF504" s="2307"/>
      <c r="AG504" s="2307"/>
      <c r="AH504" s="2307"/>
      <c r="AI504" s="2307"/>
      <c r="AJ504" s="2307"/>
      <c r="AK504" s="240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508" t="s">
        <v>2618</v>
      </c>
      <c r="R505" s="2307"/>
      <c r="S505" s="2307"/>
      <c r="T505" s="2307"/>
      <c r="U505" s="2307"/>
      <c r="V505" s="2307"/>
      <c r="W505" s="2307"/>
      <c r="X505" s="2307"/>
      <c r="Y505" s="2307"/>
      <c r="Z505" s="2307"/>
      <c r="AA505" s="2307"/>
      <c r="AB505" s="2307"/>
      <c r="AC505" s="2307"/>
      <c r="AD505" s="2307"/>
      <c r="AE505" s="2307"/>
      <c r="AF505" s="2307"/>
      <c r="AG505" s="2307"/>
      <c r="AH505" s="2307"/>
      <c r="AI505" s="2307"/>
      <c r="AJ505" s="2307"/>
      <c r="AK505" s="240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401">
        <v>169</v>
      </c>
      <c r="R506" s="2307"/>
      <c r="S506" s="2307"/>
      <c r="T506" s="2307"/>
      <c r="U506" s="2307"/>
      <c r="V506" s="2307"/>
      <c r="W506" s="2307"/>
      <c r="X506" s="2307"/>
      <c r="Y506" s="2307"/>
      <c r="Z506" s="2307"/>
      <c r="AA506" s="2307"/>
      <c r="AB506" s="2307"/>
      <c r="AC506" s="2307"/>
      <c r="AD506" s="2307"/>
      <c r="AE506" s="2307"/>
      <c r="AF506" s="2307"/>
      <c r="AG506" s="2307"/>
      <c r="AH506" s="2307"/>
      <c r="AI506" s="2307"/>
      <c r="AJ506" s="2307"/>
      <c r="AK506" s="240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2025</v>
      </c>
      <c r="C507" s="77"/>
      <c r="D507" s="77"/>
      <c r="E507" s="77"/>
      <c r="F507" s="77"/>
      <c r="G507" s="77"/>
      <c r="H507" s="77"/>
      <c r="I507" s="77"/>
      <c r="J507" s="77"/>
      <c r="K507" s="77"/>
      <c r="L507" s="77"/>
      <c r="M507" s="2074">
        <v>95</v>
      </c>
      <c r="N507" s="2075"/>
      <c r="O507" s="2075"/>
      <c r="P507" s="2076"/>
      <c r="Q507" s="1520" t="s">
        <v>2026</v>
      </c>
      <c r="R507" s="1521"/>
      <c r="S507" s="1521"/>
      <c r="T507" s="1521"/>
      <c r="U507" s="1521"/>
      <c r="V507" s="1521"/>
      <c r="W507" s="1521"/>
      <c r="X507" s="1521"/>
      <c r="Y507" s="1521"/>
      <c r="Z507" s="1521"/>
      <c r="AA507" s="1521"/>
      <c r="AB507" s="1521"/>
      <c r="AC507" s="1521"/>
      <c r="AD507" s="1521"/>
      <c r="AE507" s="1521"/>
      <c r="AF507" s="1521"/>
      <c r="AG507" s="1521"/>
      <c r="AH507" s="2074">
        <v>74</v>
      </c>
      <c r="AI507" s="2075"/>
      <c r="AJ507" s="2075"/>
      <c r="AK507" s="207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21" t="s">
        <v>421</v>
      </c>
      <c r="AD511" s="2522"/>
      <c r="AE511" s="2522"/>
      <c r="AF511" s="2522"/>
      <c r="AG511" s="2522"/>
      <c r="AH511" s="2522"/>
      <c r="AI511" s="2522"/>
      <c r="AJ511" s="2522"/>
      <c r="AK511" s="252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515" t="s">
        <v>422</v>
      </c>
      <c r="AD512" s="2516"/>
      <c r="AE512" s="2516"/>
      <c r="AF512" s="2516"/>
      <c r="AG512" s="82" t="s">
        <v>423</v>
      </c>
      <c r="AH512" s="2516" t="s">
        <v>424</v>
      </c>
      <c r="AI512" s="2516"/>
      <c r="AJ512" s="2516"/>
      <c r="AK512" s="254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27" t="s">
        <v>425</v>
      </c>
      <c r="C513" s="2528"/>
      <c r="D513" s="2528"/>
      <c r="E513" s="2528"/>
      <c r="F513" s="2528"/>
      <c r="G513" s="2528"/>
      <c r="H513" s="2529"/>
      <c r="I513" s="72" t="s">
        <v>426</v>
      </c>
      <c r="J513" s="72"/>
      <c r="K513" s="72"/>
      <c r="L513" s="72"/>
      <c r="M513" s="72"/>
      <c r="N513" s="72"/>
      <c r="O513" s="72"/>
      <c r="P513" s="72"/>
      <c r="Q513" s="72"/>
      <c r="R513" s="72"/>
      <c r="S513" s="72"/>
      <c r="T513" s="72"/>
      <c r="U513" s="72"/>
      <c r="V513" s="72"/>
      <c r="W513" s="72"/>
      <c r="X513" s="25"/>
      <c r="Y513" s="25"/>
      <c r="AC513" s="2466">
        <v>8</v>
      </c>
      <c r="AD513" s="2381"/>
      <c r="AE513" s="2381"/>
      <c r="AF513" s="2381"/>
      <c r="AG513" s="75" t="s">
        <v>423</v>
      </c>
      <c r="AH513" s="2273">
        <v>2012</v>
      </c>
      <c r="AI513" s="2273"/>
      <c r="AJ513" s="2273"/>
      <c r="AK513" s="227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30"/>
      <c r="C514" s="2531"/>
      <c r="D514" s="2531"/>
      <c r="E514" s="2531"/>
      <c r="F514" s="2531"/>
      <c r="G514" s="2531"/>
      <c r="H514" s="2532"/>
      <c r="I514" s="80" t="s">
        <v>427</v>
      </c>
      <c r="J514" s="80"/>
      <c r="K514" s="80"/>
      <c r="L514" s="80"/>
      <c r="M514" s="80"/>
      <c r="N514" s="80"/>
      <c r="O514" s="80"/>
      <c r="P514" s="80"/>
      <c r="Q514" s="80"/>
      <c r="R514" s="80"/>
      <c r="S514" s="80"/>
      <c r="T514" s="80"/>
      <c r="U514" s="80"/>
      <c r="V514" s="80"/>
      <c r="W514" s="80"/>
      <c r="X514" s="80"/>
      <c r="Y514" s="80"/>
      <c r="Z514" s="80"/>
      <c r="AA514" s="80"/>
      <c r="AB514" s="80"/>
      <c r="AC514" s="2466">
        <v>10</v>
      </c>
      <c r="AD514" s="2381"/>
      <c r="AE514" s="2381"/>
      <c r="AF514" s="2381"/>
      <c r="AG514" s="65" t="s">
        <v>423</v>
      </c>
      <c r="AH514" s="2273">
        <v>2013</v>
      </c>
      <c r="AI514" s="2273"/>
      <c r="AJ514" s="2273"/>
      <c r="AK514" s="227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27" t="s">
        <v>428</v>
      </c>
      <c r="C515" s="2528"/>
      <c r="D515" s="2528"/>
      <c r="E515" s="2528"/>
      <c r="F515" s="2528"/>
      <c r="G515" s="2528"/>
      <c r="H515" s="2529"/>
      <c r="I515" s="72" t="s">
        <v>429</v>
      </c>
      <c r="J515" s="72"/>
      <c r="K515" s="72"/>
      <c r="L515" s="72"/>
      <c r="M515" s="72"/>
      <c r="N515" s="72"/>
      <c r="O515" s="72"/>
      <c r="P515" s="72"/>
      <c r="Q515" s="72"/>
      <c r="R515" s="72"/>
      <c r="S515" s="72"/>
      <c r="T515" s="72"/>
      <c r="U515" s="72"/>
      <c r="V515" s="72"/>
      <c r="W515" s="72"/>
      <c r="X515" s="25"/>
      <c r="Y515" s="25"/>
      <c r="AC515" s="2466" t="s">
        <v>625</v>
      </c>
      <c r="AD515" s="2381"/>
      <c r="AE515" s="2381"/>
      <c r="AF515" s="2381"/>
      <c r="AG515" s="75" t="s">
        <v>423</v>
      </c>
      <c r="AH515" s="2273"/>
      <c r="AI515" s="2273"/>
      <c r="AJ515" s="2273"/>
      <c r="AK515" s="227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30"/>
      <c r="C516" s="2531"/>
      <c r="D516" s="2531"/>
      <c r="E516" s="2531"/>
      <c r="F516" s="2531"/>
      <c r="G516" s="2531"/>
      <c r="H516" s="2532"/>
      <c r="I516" s="25" t="s">
        <v>430</v>
      </c>
      <c r="J516" s="25"/>
      <c r="K516" s="25"/>
      <c r="L516" s="25"/>
      <c r="M516" s="25"/>
      <c r="N516" s="25"/>
      <c r="O516" s="25"/>
      <c r="P516" s="25"/>
      <c r="Q516" s="25"/>
      <c r="R516" s="25"/>
      <c r="S516" s="25"/>
      <c r="T516" s="25"/>
      <c r="U516" s="25"/>
      <c r="V516" s="25"/>
      <c r="W516" s="25"/>
      <c r="X516" s="25"/>
      <c r="Y516" s="25"/>
      <c r="AC516" s="2466" t="s">
        <v>625</v>
      </c>
      <c r="AD516" s="2381"/>
      <c r="AE516" s="2381"/>
      <c r="AF516" s="2381"/>
      <c r="AG516" s="75" t="s">
        <v>423</v>
      </c>
      <c r="AH516" s="2273"/>
      <c r="AI516" s="2273"/>
      <c r="AJ516" s="2273"/>
      <c r="AK516" s="227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30"/>
      <c r="C517" s="2531"/>
      <c r="D517" s="2531"/>
      <c r="E517" s="2531"/>
      <c r="F517" s="2531"/>
      <c r="G517" s="2531"/>
      <c r="H517" s="2532"/>
      <c r="I517" s="25" t="s">
        <v>431</v>
      </c>
      <c r="J517" s="25"/>
      <c r="K517" s="25"/>
      <c r="L517" s="25"/>
      <c r="M517" s="25"/>
      <c r="N517" s="25"/>
      <c r="O517" s="25"/>
      <c r="P517" s="25"/>
      <c r="Q517" s="25"/>
      <c r="R517" s="25"/>
      <c r="S517" s="25"/>
      <c r="T517" s="25"/>
      <c r="U517" s="25"/>
      <c r="V517" s="25"/>
      <c r="W517" s="25"/>
      <c r="X517" s="25"/>
      <c r="Y517" s="25"/>
      <c r="AC517" s="2466">
        <v>4</v>
      </c>
      <c r="AD517" s="2381"/>
      <c r="AE517" s="2381"/>
      <c r="AF517" s="2381"/>
      <c r="AG517" s="75" t="s">
        <v>423</v>
      </c>
      <c r="AH517" s="2273">
        <v>2017</v>
      </c>
      <c r="AI517" s="2273"/>
      <c r="AJ517" s="2273"/>
      <c r="AK517" s="227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530"/>
      <c r="C518" s="2531"/>
      <c r="D518" s="2531"/>
      <c r="E518" s="2531"/>
      <c r="F518" s="2531"/>
      <c r="G518" s="2531"/>
      <c r="H518" s="2532"/>
      <c r="I518" s="25" t="s">
        <v>432</v>
      </c>
      <c r="J518" s="25"/>
      <c r="K518" s="25"/>
      <c r="L518" s="25"/>
      <c r="M518" s="25"/>
      <c r="N518" s="25"/>
      <c r="O518" s="25"/>
      <c r="P518" s="25"/>
      <c r="Q518" s="25"/>
      <c r="R518" s="25"/>
      <c r="S518" s="25"/>
      <c r="T518" s="25"/>
      <c r="U518" s="25"/>
      <c r="V518" s="25"/>
      <c r="W518" s="25"/>
      <c r="X518" s="25"/>
      <c r="Y518" s="25"/>
      <c r="AC518" s="2466">
        <v>2</v>
      </c>
      <c r="AD518" s="2381"/>
      <c r="AE518" s="2381"/>
      <c r="AF518" s="2381"/>
      <c r="AG518" s="75" t="s">
        <v>423</v>
      </c>
      <c r="AH518" s="2273">
        <v>2022</v>
      </c>
      <c r="AI518" s="2273"/>
      <c r="AJ518" s="2273"/>
      <c r="AK518" s="227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30"/>
      <c r="C519" s="2531"/>
      <c r="D519" s="2531"/>
      <c r="E519" s="2531"/>
      <c r="F519" s="2531"/>
      <c r="G519" s="2531"/>
      <c r="H519" s="2532"/>
      <c r="I519" s="177" t="s">
        <v>433</v>
      </c>
      <c r="J519" s="25"/>
      <c r="K519" s="25"/>
      <c r="L519" s="25"/>
      <c r="M519" s="25"/>
      <c r="N519" s="25"/>
      <c r="O519" s="25"/>
      <c r="P519" s="25"/>
      <c r="Q519" s="25"/>
      <c r="R519" s="25"/>
      <c r="S519" s="25"/>
      <c r="T519" s="25"/>
      <c r="U519" s="25"/>
      <c r="V519" s="25"/>
      <c r="W519" s="25"/>
      <c r="X519" s="25"/>
      <c r="Y519" s="25"/>
      <c r="AC519" s="2210">
        <v>2</v>
      </c>
      <c r="AD519" s="2211"/>
      <c r="AE519" s="2211"/>
      <c r="AF519" s="2211"/>
      <c r="AG519" s="75" t="s">
        <v>423</v>
      </c>
      <c r="AH519" s="2273">
        <v>2022</v>
      </c>
      <c r="AI519" s="2273"/>
      <c r="AJ519" s="2273"/>
      <c r="AK519" s="227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30"/>
      <c r="C520" s="2531"/>
      <c r="D520" s="2531"/>
      <c r="E520" s="2531"/>
      <c r="F520" s="2531"/>
      <c r="G520" s="2531"/>
      <c r="H520" s="2532"/>
      <c r="I520" s="1523" t="s">
        <v>175</v>
      </c>
      <c r="J520" s="80"/>
      <c r="K520" s="80"/>
      <c r="L520" s="2565" t="s">
        <v>2620</v>
      </c>
      <c r="M520" s="2564"/>
      <c r="N520" s="2564"/>
      <c r="O520" s="2564"/>
      <c r="P520" s="2564"/>
      <c r="Q520" s="2564"/>
      <c r="R520" s="2564"/>
      <c r="S520" s="2564"/>
      <c r="T520" s="2564"/>
      <c r="U520" s="2564"/>
      <c r="V520" s="2564"/>
      <c r="W520" s="2564"/>
      <c r="X520" s="2564"/>
      <c r="Y520" s="2564"/>
      <c r="Z520" s="2564"/>
      <c r="AA520" s="2564"/>
      <c r="AB520" s="2566"/>
      <c r="AC520" s="2466">
        <v>4</v>
      </c>
      <c r="AD520" s="2381"/>
      <c r="AE520" s="2381"/>
      <c r="AF520" s="2381"/>
      <c r="AG520" s="1494" t="s">
        <v>423</v>
      </c>
      <c r="AH520" s="2273">
        <v>2017</v>
      </c>
      <c r="AI520" s="2273"/>
      <c r="AJ520" s="2273"/>
      <c r="AK520" s="227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5"/>
      <c r="C521" s="1486"/>
      <c r="D521" s="1486"/>
      <c r="E521" s="1486"/>
      <c r="F521" s="1486"/>
      <c r="G521" s="1486"/>
      <c r="H521" s="1487"/>
      <c r="I521" s="240" t="s">
        <v>2031</v>
      </c>
      <c r="J521" s="25"/>
      <c r="K521" s="25"/>
      <c r="L521" s="25"/>
      <c r="M521" s="25"/>
      <c r="N521" s="25"/>
      <c r="O521" s="25"/>
      <c r="P521" s="25"/>
      <c r="Q521" s="25"/>
      <c r="R521" s="25"/>
      <c r="S521" s="25"/>
      <c r="T521" s="25"/>
      <c r="U521" s="25"/>
      <c r="V521" s="25"/>
      <c r="W521" s="25"/>
      <c r="X521" s="25"/>
      <c r="Y521" s="25"/>
      <c r="AC521" s="2554" t="s">
        <v>705</v>
      </c>
      <c r="AD521" s="2554"/>
      <c r="AE521" s="2554"/>
      <c r="AF521" s="2554"/>
      <c r="AG521" s="1786"/>
      <c r="AH521" s="2598"/>
      <c r="AI521" s="2598"/>
      <c r="AJ521" s="2598"/>
      <c r="AK521" s="259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5"/>
      <c r="C522" s="1486"/>
      <c r="D522" s="1486"/>
      <c r="E522" s="1486"/>
      <c r="F522" s="1486"/>
      <c r="G522" s="1486"/>
      <c r="H522" s="1487"/>
      <c r="I522" s="687" t="s">
        <v>2028</v>
      </c>
      <c r="J522" s="25"/>
      <c r="K522" s="25"/>
      <c r="L522" s="25"/>
      <c r="M522" s="25"/>
      <c r="N522" s="25"/>
      <c r="O522" s="25"/>
      <c r="P522" s="25"/>
      <c r="Q522" s="25"/>
      <c r="R522" s="25"/>
      <c r="S522" s="25"/>
      <c r="T522" s="25"/>
      <c r="U522" s="25"/>
      <c r="V522" s="25"/>
      <c r="W522" s="25"/>
      <c r="X522" s="25"/>
      <c r="Y522" s="25"/>
      <c r="AC522" s="2210"/>
      <c r="AD522" s="2211"/>
      <c r="AE522" s="2211"/>
      <c r="AF522" s="2212"/>
      <c r="AG522" s="1786"/>
      <c r="AH522" s="2598"/>
      <c r="AI522" s="2598"/>
      <c r="AJ522" s="2598"/>
      <c r="AK522" s="259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5"/>
      <c r="C523" s="1486"/>
      <c r="D523" s="1486"/>
      <c r="E523" s="1486"/>
      <c r="F523" s="1486"/>
      <c r="G523" s="1486"/>
      <c r="H523" s="1487"/>
      <c r="I523" s="687" t="s">
        <v>2029</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5"/>
      <c r="C524" s="1486"/>
      <c r="D524" s="1486"/>
      <c r="E524" s="1486"/>
      <c r="F524" s="1486"/>
      <c r="G524" s="1486"/>
      <c r="H524" s="1487"/>
      <c r="I524" s="1524" t="s">
        <v>2030</v>
      </c>
      <c r="J524" s="80"/>
      <c r="K524" s="80"/>
      <c r="L524" s="80"/>
      <c r="M524" s="80"/>
      <c r="N524" s="80"/>
      <c r="O524" s="80"/>
      <c r="P524" s="80"/>
      <c r="Q524" s="80"/>
      <c r="R524" s="80"/>
      <c r="S524" s="80"/>
      <c r="T524" s="80"/>
      <c r="U524" s="80"/>
      <c r="V524" s="80"/>
      <c r="W524" s="80"/>
      <c r="X524" s="80"/>
      <c r="Y524" s="80"/>
      <c r="Z524" s="80"/>
      <c r="AA524" s="80"/>
      <c r="AB524" s="80"/>
      <c r="AC524" s="2600">
        <v>0</v>
      </c>
      <c r="AD524" s="2601"/>
      <c r="AE524" s="2601"/>
      <c r="AF524" s="2602"/>
      <c r="AG524" s="1787"/>
      <c r="AH524" s="2603"/>
      <c r="AI524" s="2603"/>
      <c r="AJ524" s="2603"/>
      <c r="AK524" s="260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5"/>
      <c r="C525" s="1486"/>
      <c r="D525" s="1486"/>
      <c r="E525" s="1486"/>
      <c r="F525" s="1486"/>
      <c r="G525" s="1486"/>
      <c r="H525" s="1487"/>
      <c r="I525" s="177"/>
      <c r="J525" s="681"/>
      <c r="K525" s="681"/>
      <c r="L525" s="14"/>
      <c r="M525" s="14"/>
      <c r="N525" s="14"/>
      <c r="O525" s="14"/>
      <c r="P525" s="14"/>
      <c r="Q525" s="14"/>
      <c r="R525" s="14"/>
      <c r="S525" s="14"/>
      <c r="T525" s="14"/>
      <c r="U525" s="14"/>
      <c r="V525" s="14"/>
      <c r="W525" s="14"/>
      <c r="X525" s="1785"/>
      <c r="Y525" s="1785"/>
      <c r="Z525" s="1785"/>
      <c r="AA525" s="1785"/>
      <c r="AB525" s="1807"/>
      <c r="AC525" s="2561" t="s">
        <v>422</v>
      </c>
      <c r="AD525" s="2562"/>
      <c r="AE525" s="2562"/>
      <c r="AF525" s="2562"/>
      <c r="AG525" s="1787" t="s">
        <v>423</v>
      </c>
      <c r="AH525" s="2562" t="s">
        <v>424</v>
      </c>
      <c r="AI525" s="2562"/>
      <c r="AJ525" s="2562"/>
      <c r="AK525" s="256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27" t="s">
        <v>434</v>
      </c>
      <c r="C526" s="2528"/>
      <c r="D526" s="2528"/>
      <c r="E526" s="2528"/>
      <c r="F526" s="2528"/>
      <c r="G526" s="2528"/>
      <c r="H526" s="2529"/>
      <c r="I526" s="72" t="s">
        <v>435</v>
      </c>
      <c r="J526" s="72"/>
      <c r="K526" s="72"/>
      <c r="L526" s="72"/>
      <c r="M526" s="72"/>
      <c r="N526" s="72"/>
      <c r="O526" s="72"/>
      <c r="P526" s="72"/>
      <c r="Q526" s="72"/>
      <c r="R526" s="72"/>
      <c r="S526" s="72"/>
      <c r="T526" s="72"/>
      <c r="U526" s="72"/>
      <c r="V526" s="72"/>
      <c r="W526" s="72"/>
      <c r="X526" s="25"/>
      <c r="Y526" s="25"/>
      <c r="AC526" s="2466">
        <v>5</v>
      </c>
      <c r="AD526" s="2381"/>
      <c r="AE526" s="2381"/>
      <c r="AF526" s="2381"/>
      <c r="AG526" s="75" t="s">
        <v>423</v>
      </c>
      <c r="AH526" s="2273">
        <v>2021</v>
      </c>
      <c r="AI526" s="2273"/>
      <c r="AJ526" s="2273"/>
      <c r="AK526" s="227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30"/>
      <c r="C527" s="2531"/>
      <c r="D527" s="2531"/>
      <c r="E527" s="2531"/>
      <c r="F527" s="2531"/>
      <c r="G527" s="2531"/>
      <c r="H527" s="2532"/>
      <c r="I527" s="25" t="s">
        <v>436</v>
      </c>
      <c r="J527" s="25"/>
      <c r="K527" s="25"/>
      <c r="L527" s="25"/>
      <c r="M527" s="25"/>
      <c r="N527" s="25"/>
      <c r="O527" s="25"/>
      <c r="P527" s="25"/>
      <c r="Q527" s="25"/>
      <c r="R527" s="25"/>
      <c r="S527" s="25"/>
      <c r="T527" s="25"/>
      <c r="U527" s="25"/>
      <c r="V527" s="25"/>
      <c r="W527" s="25"/>
      <c r="X527" s="25"/>
      <c r="Y527" s="25"/>
      <c r="AC527" s="2466">
        <v>5</v>
      </c>
      <c r="AD527" s="2381"/>
      <c r="AE527" s="2381"/>
      <c r="AF527" s="2381"/>
      <c r="AG527" s="75" t="s">
        <v>423</v>
      </c>
      <c r="AH527" s="2273">
        <v>2021</v>
      </c>
      <c r="AI527" s="2273"/>
      <c r="AJ527" s="2273"/>
      <c r="AK527" s="227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30"/>
      <c r="C528" s="2531"/>
      <c r="D528" s="2531"/>
      <c r="E528" s="2531"/>
      <c r="F528" s="2531"/>
      <c r="G528" s="2531"/>
      <c r="H528" s="2532"/>
      <c r="I528" s="80" t="s">
        <v>437</v>
      </c>
      <c r="J528" s="80"/>
      <c r="K528" s="80"/>
      <c r="L528" s="80"/>
      <c r="M528" s="80"/>
      <c r="N528" s="80"/>
      <c r="O528" s="80"/>
      <c r="P528" s="80"/>
      <c r="Q528" s="80"/>
      <c r="R528" s="80"/>
      <c r="S528" s="80"/>
      <c r="T528" s="80"/>
      <c r="U528" s="80"/>
      <c r="V528" s="80"/>
      <c r="W528" s="80"/>
      <c r="X528" s="80"/>
      <c r="Y528" s="80"/>
      <c r="Z528" s="80"/>
      <c r="AA528" s="80"/>
      <c r="AB528" s="80"/>
      <c r="AC528" s="2466">
        <v>2</v>
      </c>
      <c r="AD528" s="2381"/>
      <c r="AE528" s="2381"/>
      <c r="AF528" s="2381"/>
      <c r="AG528" s="65" t="s">
        <v>423</v>
      </c>
      <c r="AH528" s="2273">
        <v>2022</v>
      </c>
      <c r="AI528" s="2273"/>
      <c r="AJ528" s="2273"/>
      <c r="AK528" s="227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27" t="s">
        <v>438</v>
      </c>
      <c r="C529" s="2528"/>
      <c r="D529" s="2528"/>
      <c r="E529" s="2528"/>
      <c r="F529" s="2528"/>
      <c r="G529" s="2528"/>
      <c r="H529" s="2529"/>
      <c r="I529" s="72" t="s">
        <v>435</v>
      </c>
      <c r="J529" s="72"/>
      <c r="K529" s="72"/>
      <c r="L529" s="72"/>
      <c r="M529" s="72"/>
      <c r="N529" s="72"/>
      <c r="O529" s="72"/>
      <c r="P529" s="72"/>
      <c r="Q529" s="72"/>
      <c r="R529" s="72"/>
      <c r="S529" s="72"/>
      <c r="T529" s="72"/>
      <c r="U529" s="72"/>
      <c r="V529" s="72"/>
      <c r="W529" s="72"/>
      <c r="X529" s="72"/>
      <c r="Y529" s="72"/>
      <c r="Z529" s="72"/>
      <c r="AA529" s="72"/>
      <c r="AB529" s="72"/>
      <c r="AC529" s="2210">
        <v>5</v>
      </c>
      <c r="AD529" s="2211"/>
      <c r="AE529" s="2211"/>
      <c r="AF529" s="2211"/>
      <c r="AG529" s="196" t="s">
        <v>423</v>
      </c>
      <c r="AH529" s="2273">
        <v>2021</v>
      </c>
      <c r="AI529" s="2273"/>
      <c r="AJ529" s="2273"/>
      <c r="AK529" s="227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30"/>
      <c r="C530" s="2531"/>
      <c r="D530" s="2531"/>
      <c r="E530" s="2531"/>
      <c r="F530" s="2531"/>
      <c r="G530" s="2531"/>
      <c r="H530" s="2532"/>
      <c r="I530" s="25" t="s">
        <v>436</v>
      </c>
      <c r="J530" s="25"/>
      <c r="K530" s="25"/>
      <c r="L530" s="25"/>
      <c r="M530" s="25"/>
      <c r="N530" s="25"/>
      <c r="O530" s="25"/>
      <c r="P530" s="25"/>
      <c r="Q530" s="25"/>
      <c r="R530" s="25"/>
      <c r="S530" s="25"/>
      <c r="T530" s="25"/>
      <c r="U530" s="25"/>
      <c r="V530" s="25"/>
      <c r="W530" s="25"/>
      <c r="X530" s="25"/>
      <c r="Y530" s="25"/>
      <c r="Z530" s="25"/>
      <c r="AA530" s="25"/>
      <c r="AB530" s="25"/>
      <c r="AC530" s="2466">
        <v>5</v>
      </c>
      <c r="AD530" s="2381"/>
      <c r="AE530" s="2381"/>
      <c r="AF530" s="2381"/>
      <c r="AG530" s="75" t="s">
        <v>423</v>
      </c>
      <c r="AH530" s="2273">
        <v>2021</v>
      </c>
      <c r="AI530" s="2273"/>
      <c r="AJ530" s="2273"/>
      <c r="AK530" s="227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33"/>
      <c r="C531" s="2534"/>
      <c r="D531" s="2534"/>
      <c r="E531" s="2534"/>
      <c r="F531" s="2534"/>
      <c r="G531" s="2534"/>
      <c r="H531" s="2535"/>
      <c r="I531" s="80" t="s">
        <v>437</v>
      </c>
      <c r="J531" s="80"/>
      <c r="K531" s="80"/>
      <c r="L531" s="80"/>
      <c r="M531" s="80"/>
      <c r="N531" s="80"/>
      <c r="O531" s="80"/>
      <c r="P531" s="80"/>
      <c r="Q531" s="80"/>
      <c r="R531" s="80"/>
      <c r="S531" s="80"/>
      <c r="T531" s="80"/>
      <c r="U531" s="80"/>
      <c r="V531" s="80"/>
      <c r="W531" s="80"/>
      <c r="X531" s="80"/>
      <c r="Y531" s="80"/>
      <c r="Z531" s="80"/>
      <c r="AA531" s="80"/>
      <c r="AB531" s="80"/>
      <c r="AC531" s="2466">
        <v>8</v>
      </c>
      <c r="AD531" s="2381"/>
      <c r="AE531" s="2381"/>
      <c r="AF531" s="2381"/>
      <c r="AG531" s="65" t="s">
        <v>423</v>
      </c>
      <c r="AH531" s="2273">
        <v>2024</v>
      </c>
      <c r="AI531" s="2273"/>
      <c r="AJ531" s="2273"/>
      <c r="AK531" s="227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27" t="s">
        <v>439</v>
      </c>
      <c r="C532" s="2528"/>
      <c r="D532" s="2528"/>
      <c r="E532" s="2528"/>
      <c r="F532" s="2528"/>
      <c r="G532" s="2528"/>
      <c r="H532" s="2529"/>
      <c r="I532" s="71" t="s">
        <v>440</v>
      </c>
      <c r="J532" s="72"/>
      <c r="K532" s="72"/>
      <c r="L532" s="72"/>
      <c r="M532" s="72"/>
      <c r="N532" s="72"/>
      <c r="O532" s="2090" t="s">
        <v>2522</v>
      </c>
      <c r="P532" s="2307"/>
      <c r="Q532" s="2307"/>
      <c r="R532" s="2307"/>
      <c r="S532" s="2307"/>
      <c r="T532" s="2307"/>
      <c r="U532" s="2307"/>
      <c r="V532" s="2307"/>
      <c r="W532" s="2307"/>
      <c r="X532" s="2307"/>
      <c r="Y532" s="2307"/>
      <c r="Z532" s="2307"/>
      <c r="AA532" s="2307"/>
      <c r="AB532" s="94"/>
      <c r="AC532" s="2210" t="s">
        <v>625</v>
      </c>
      <c r="AD532" s="2211"/>
      <c r="AE532" s="2211"/>
      <c r="AF532" s="2211"/>
      <c r="AG532" s="196" t="s">
        <v>423</v>
      </c>
      <c r="AH532" s="2273"/>
      <c r="AI532" s="2273"/>
      <c r="AJ532" s="2273"/>
      <c r="AK532" s="227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30"/>
      <c r="C533" s="2531"/>
      <c r="D533" s="2531"/>
      <c r="E533" s="2531"/>
      <c r="F533" s="2531"/>
      <c r="G533" s="2531"/>
      <c r="H533" s="2532"/>
      <c r="I533" s="171" t="s">
        <v>441</v>
      </c>
      <c r="J533" s="25"/>
      <c r="K533" s="25"/>
      <c r="L533" s="25"/>
      <c r="M533" s="25"/>
      <c r="N533" s="25"/>
      <c r="O533" s="25"/>
      <c r="P533" s="25"/>
      <c r="Q533" s="25"/>
      <c r="R533" s="25"/>
      <c r="S533" s="25"/>
      <c r="T533" s="25"/>
      <c r="U533" s="25"/>
      <c r="V533" s="25"/>
      <c r="W533" s="25"/>
      <c r="X533" s="25"/>
      <c r="Y533" s="25"/>
      <c r="Z533" s="25"/>
      <c r="AA533" s="25"/>
      <c r="AB533" s="101"/>
      <c r="AC533" s="2466" t="s">
        <v>625</v>
      </c>
      <c r="AD533" s="2381"/>
      <c r="AE533" s="2381"/>
      <c r="AF533" s="2381"/>
      <c r="AG533" s="75" t="s">
        <v>423</v>
      </c>
      <c r="AH533" s="2273"/>
      <c r="AI533" s="2273"/>
      <c r="AJ533" s="2273"/>
      <c r="AK533" s="227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30"/>
      <c r="C534" s="2531"/>
      <c r="D534" s="2531"/>
      <c r="E534" s="2531"/>
      <c r="F534" s="2531"/>
      <c r="G534" s="2531"/>
      <c r="H534" s="2532"/>
      <c r="I534" s="79" t="s">
        <v>442</v>
      </c>
      <c r="J534" s="80"/>
      <c r="K534" s="80"/>
      <c r="L534" s="80"/>
      <c r="M534" s="80"/>
      <c r="N534" s="80"/>
      <c r="O534" s="80"/>
      <c r="P534" s="80"/>
      <c r="Q534" s="80"/>
      <c r="R534" s="80"/>
      <c r="S534" s="80"/>
      <c r="T534" s="80"/>
      <c r="U534" s="80"/>
      <c r="V534" s="80"/>
      <c r="W534" s="80"/>
      <c r="X534" s="80"/>
      <c r="Y534" s="80"/>
      <c r="Z534" s="80"/>
      <c r="AA534" s="80"/>
      <c r="AB534" s="81"/>
      <c r="AC534" s="2466">
        <v>3</v>
      </c>
      <c r="AD534" s="2381"/>
      <c r="AE534" s="2381"/>
      <c r="AF534" s="2381"/>
      <c r="AG534" s="65" t="s">
        <v>423</v>
      </c>
      <c r="AH534" s="2273">
        <v>2013</v>
      </c>
      <c r="AI534" s="2273"/>
      <c r="AJ534" s="2273"/>
      <c r="AK534" s="227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30"/>
      <c r="C535" s="2531"/>
      <c r="D535" s="2531"/>
      <c r="E535" s="2531"/>
      <c r="F535" s="2531"/>
      <c r="G535" s="2531"/>
      <c r="H535" s="2532"/>
      <c r="I535" s="72" t="s">
        <v>443</v>
      </c>
      <c r="J535" s="72"/>
      <c r="K535" s="72"/>
      <c r="L535" s="72"/>
      <c r="M535" s="72"/>
      <c r="N535" s="72"/>
      <c r="O535" s="2044" t="s">
        <v>343</v>
      </c>
      <c r="P535" s="2044"/>
      <c r="Q535" s="2044"/>
      <c r="R535" s="2044"/>
      <c r="S535" s="2044"/>
      <c r="T535" s="2044"/>
      <c r="U535" s="2044"/>
      <c r="V535" s="2044"/>
      <c r="W535" s="2044"/>
      <c r="X535" s="2044"/>
      <c r="Y535" s="2044"/>
      <c r="Z535" s="2044"/>
      <c r="AA535" s="2044"/>
      <c r="AC535" s="2466" t="s">
        <v>625</v>
      </c>
      <c r="AD535" s="2381"/>
      <c r="AE535" s="2381"/>
      <c r="AF535" s="2381"/>
      <c r="AG535" s="75" t="s">
        <v>423</v>
      </c>
      <c r="AH535" s="2273"/>
      <c r="AI535" s="2273"/>
      <c r="AJ535" s="2273"/>
      <c r="AK535" s="227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30"/>
      <c r="C536" s="2531"/>
      <c r="D536" s="2531"/>
      <c r="E536" s="2531"/>
      <c r="F536" s="2531"/>
      <c r="G536" s="2531"/>
      <c r="H536" s="2532"/>
      <c r="I536" s="25" t="s">
        <v>441</v>
      </c>
      <c r="J536" s="25"/>
      <c r="K536" s="25"/>
      <c r="L536" s="25"/>
      <c r="M536" s="25"/>
      <c r="N536" s="25"/>
      <c r="O536" s="25"/>
      <c r="P536" s="25"/>
      <c r="Q536" s="25"/>
      <c r="R536" s="25"/>
      <c r="S536" s="25"/>
      <c r="T536" s="25"/>
      <c r="U536" s="25"/>
      <c r="V536" s="25"/>
      <c r="W536" s="25"/>
      <c r="X536" s="25"/>
      <c r="Y536" s="25"/>
      <c r="AC536" s="2466" t="s">
        <v>625</v>
      </c>
      <c r="AD536" s="2381"/>
      <c r="AE536" s="2381"/>
      <c r="AF536" s="2381"/>
      <c r="AG536" s="75" t="s">
        <v>423</v>
      </c>
      <c r="AH536" s="2273"/>
      <c r="AI536" s="2273"/>
      <c r="AJ536" s="2273"/>
      <c r="AK536" s="227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30"/>
      <c r="C537" s="2531"/>
      <c r="D537" s="2531"/>
      <c r="E537" s="2531"/>
      <c r="F537" s="2531"/>
      <c r="G537" s="2531"/>
      <c r="H537" s="2532"/>
      <c r="I537" s="80" t="s">
        <v>442</v>
      </c>
      <c r="J537" s="80"/>
      <c r="K537" s="80"/>
      <c r="L537" s="80"/>
      <c r="M537" s="80"/>
      <c r="N537" s="80"/>
      <c r="O537" s="80"/>
      <c r="P537" s="80"/>
      <c r="Q537" s="80"/>
      <c r="R537" s="80"/>
      <c r="S537" s="80"/>
      <c r="T537" s="80"/>
      <c r="U537" s="80"/>
      <c r="V537" s="80"/>
      <c r="W537" s="80"/>
      <c r="X537" s="80"/>
      <c r="Y537" s="80"/>
      <c r="Z537" s="80"/>
      <c r="AA537" s="80"/>
      <c r="AB537" s="80"/>
      <c r="AC537" s="2466" t="s">
        <v>625</v>
      </c>
      <c r="AD537" s="2381"/>
      <c r="AE537" s="2381"/>
      <c r="AF537" s="2381"/>
      <c r="AG537" s="65" t="s">
        <v>423</v>
      </c>
      <c r="AH537" s="2273"/>
      <c r="AI537" s="2273"/>
      <c r="AJ537" s="2273"/>
      <c r="AK537" s="227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30"/>
      <c r="C538" s="2531"/>
      <c r="D538" s="2531"/>
      <c r="E538" s="2531"/>
      <c r="F538" s="2531"/>
      <c r="G538" s="2531"/>
      <c r="H538" s="2532"/>
      <c r="I538" s="72" t="s">
        <v>443</v>
      </c>
      <c r="J538" s="72"/>
      <c r="K538" s="72"/>
      <c r="L538" s="72"/>
      <c r="M538" s="72"/>
      <c r="N538" s="72"/>
      <c r="O538" s="2044" t="s">
        <v>343</v>
      </c>
      <c r="P538" s="2044"/>
      <c r="Q538" s="2044"/>
      <c r="R538" s="2044"/>
      <c r="S538" s="2044"/>
      <c r="T538" s="2044"/>
      <c r="U538" s="2044"/>
      <c r="V538" s="2044"/>
      <c r="W538" s="2044"/>
      <c r="X538" s="2044"/>
      <c r="Y538" s="2044"/>
      <c r="Z538" s="2044"/>
      <c r="AA538" s="2044"/>
      <c r="AC538" s="2466" t="s">
        <v>625</v>
      </c>
      <c r="AD538" s="2381"/>
      <c r="AE538" s="2381"/>
      <c r="AF538" s="2381"/>
      <c r="AG538" s="75" t="s">
        <v>423</v>
      </c>
      <c r="AH538" s="2273"/>
      <c r="AI538" s="2273"/>
      <c r="AJ538" s="2273"/>
      <c r="AK538" s="227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30"/>
      <c r="C539" s="2531"/>
      <c r="D539" s="2531"/>
      <c r="E539" s="2531"/>
      <c r="F539" s="2531"/>
      <c r="G539" s="2531"/>
      <c r="H539" s="2532"/>
      <c r="I539" s="25" t="s">
        <v>441</v>
      </c>
      <c r="J539" s="25"/>
      <c r="K539" s="25"/>
      <c r="L539" s="25"/>
      <c r="M539" s="25"/>
      <c r="N539" s="25"/>
      <c r="O539" s="25"/>
      <c r="P539" s="25"/>
      <c r="Q539" s="25"/>
      <c r="R539" s="25"/>
      <c r="S539" s="25"/>
      <c r="T539" s="25"/>
      <c r="U539" s="25"/>
      <c r="V539" s="25"/>
      <c r="W539" s="25"/>
      <c r="X539" s="25"/>
      <c r="Y539" s="25"/>
      <c r="AC539" s="2466" t="s">
        <v>625</v>
      </c>
      <c r="AD539" s="2381"/>
      <c r="AE539" s="2381"/>
      <c r="AF539" s="2381"/>
      <c r="AG539" s="75" t="s">
        <v>423</v>
      </c>
      <c r="AH539" s="2273"/>
      <c r="AI539" s="2273"/>
      <c r="AJ539" s="2273"/>
      <c r="AK539" s="227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30"/>
      <c r="C540" s="2531"/>
      <c r="D540" s="2531"/>
      <c r="E540" s="2531"/>
      <c r="F540" s="2531"/>
      <c r="G540" s="2531"/>
      <c r="H540" s="2532"/>
      <c r="I540" s="80" t="s">
        <v>442</v>
      </c>
      <c r="J540" s="80"/>
      <c r="K540" s="80"/>
      <c r="L540" s="80"/>
      <c r="M540" s="80"/>
      <c r="N540" s="80"/>
      <c r="O540" s="80"/>
      <c r="P540" s="80"/>
      <c r="Q540" s="80"/>
      <c r="R540" s="80"/>
      <c r="S540" s="80"/>
      <c r="T540" s="80"/>
      <c r="U540" s="80"/>
      <c r="V540" s="80"/>
      <c r="W540" s="80"/>
      <c r="X540" s="80"/>
      <c r="Y540" s="80"/>
      <c r="Z540" s="80"/>
      <c r="AA540" s="80"/>
      <c r="AB540" s="80"/>
      <c r="AC540" s="2466" t="s">
        <v>625</v>
      </c>
      <c r="AD540" s="2381"/>
      <c r="AE540" s="2381"/>
      <c r="AF540" s="2381"/>
      <c r="AG540" s="65" t="s">
        <v>423</v>
      </c>
      <c r="AH540" s="2273"/>
      <c r="AI540" s="2273"/>
      <c r="AJ540" s="2273"/>
      <c r="AK540" s="227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30"/>
      <c r="C541" s="2531"/>
      <c r="D541" s="2531"/>
      <c r="E541" s="2531"/>
      <c r="F541" s="2531"/>
      <c r="G541" s="2531"/>
      <c r="H541" s="2532"/>
      <c r="I541" s="72" t="s">
        <v>443</v>
      </c>
      <c r="J541" s="72"/>
      <c r="K541" s="72"/>
      <c r="L541" s="72"/>
      <c r="M541" s="72"/>
      <c r="N541" s="72"/>
      <c r="O541" s="2044" t="s">
        <v>343</v>
      </c>
      <c r="P541" s="2044"/>
      <c r="Q541" s="2044"/>
      <c r="R541" s="2044"/>
      <c r="S541" s="2044"/>
      <c r="T541" s="2044"/>
      <c r="U541" s="2044"/>
      <c r="V541" s="2044"/>
      <c r="W541" s="2044"/>
      <c r="X541" s="2044"/>
      <c r="Y541" s="2044"/>
      <c r="Z541" s="2044"/>
      <c r="AA541" s="2044"/>
      <c r="AC541" s="2466" t="s">
        <v>625</v>
      </c>
      <c r="AD541" s="2381"/>
      <c r="AE541" s="2381"/>
      <c r="AF541" s="2381"/>
      <c r="AG541" s="75" t="s">
        <v>423</v>
      </c>
      <c r="AH541" s="2273"/>
      <c r="AI541" s="2273"/>
      <c r="AJ541" s="2273"/>
      <c r="AK541" s="227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30"/>
      <c r="C542" s="2531"/>
      <c r="D542" s="2531"/>
      <c r="E542" s="2531"/>
      <c r="F542" s="2531"/>
      <c r="G542" s="2531"/>
      <c r="H542" s="2532"/>
      <c r="I542" s="25" t="s">
        <v>441</v>
      </c>
      <c r="J542" s="25"/>
      <c r="K542" s="25"/>
      <c r="L542" s="25"/>
      <c r="M542" s="25"/>
      <c r="N542" s="25"/>
      <c r="O542" s="25"/>
      <c r="P542" s="25"/>
      <c r="Q542" s="25"/>
      <c r="R542" s="25"/>
      <c r="S542" s="25"/>
      <c r="T542" s="25"/>
      <c r="U542" s="25"/>
      <c r="V542" s="25"/>
      <c r="W542" s="25"/>
      <c r="X542" s="25"/>
      <c r="Y542" s="25"/>
      <c r="AC542" s="2466" t="s">
        <v>625</v>
      </c>
      <c r="AD542" s="2381"/>
      <c r="AE542" s="2381"/>
      <c r="AF542" s="2381"/>
      <c r="AG542" s="75" t="s">
        <v>423</v>
      </c>
      <c r="AH542" s="2273"/>
      <c r="AI542" s="2273"/>
      <c r="AJ542" s="2273"/>
      <c r="AK542" s="227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30"/>
      <c r="C543" s="2531"/>
      <c r="D543" s="2531"/>
      <c r="E543" s="2531"/>
      <c r="F543" s="2531"/>
      <c r="G543" s="2531"/>
      <c r="H543" s="2532"/>
      <c r="I543" s="80" t="s">
        <v>442</v>
      </c>
      <c r="J543" s="80"/>
      <c r="K543" s="80"/>
      <c r="L543" s="80"/>
      <c r="M543" s="80"/>
      <c r="N543" s="80"/>
      <c r="O543" s="80"/>
      <c r="P543" s="80"/>
      <c r="Q543" s="80"/>
      <c r="R543" s="80"/>
      <c r="S543" s="80"/>
      <c r="T543" s="80"/>
      <c r="U543" s="80"/>
      <c r="V543" s="80"/>
      <c r="W543" s="80"/>
      <c r="X543" s="80"/>
      <c r="Y543" s="80"/>
      <c r="Z543" s="80"/>
      <c r="AA543" s="80"/>
      <c r="AB543" s="80"/>
      <c r="AC543" s="2466" t="s">
        <v>625</v>
      </c>
      <c r="AD543" s="2381"/>
      <c r="AE543" s="2381"/>
      <c r="AF543" s="2381"/>
      <c r="AG543" s="65" t="s">
        <v>423</v>
      </c>
      <c r="AH543" s="2273"/>
      <c r="AI543" s="2273"/>
      <c r="AJ543" s="2273"/>
      <c r="AK543" s="227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30"/>
      <c r="C544" s="2531"/>
      <c r="D544" s="2531"/>
      <c r="E544" s="2531"/>
      <c r="F544" s="2531"/>
      <c r="G544" s="2531"/>
      <c r="H544" s="2532"/>
      <c r="I544" s="72" t="s">
        <v>443</v>
      </c>
      <c r="J544" s="72"/>
      <c r="K544" s="72"/>
      <c r="L544" s="72"/>
      <c r="M544" s="72"/>
      <c r="N544" s="72"/>
      <c r="O544" s="2044" t="s">
        <v>343</v>
      </c>
      <c r="P544" s="2044"/>
      <c r="Q544" s="2044"/>
      <c r="R544" s="2044"/>
      <c r="S544" s="2044"/>
      <c r="T544" s="2044"/>
      <c r="U544" s="2044"/>
      <c r="V544" s="2044"/>
      <c r="W544" s="2044"/>
      <c r="X544" s="2044"/>
      <c r="Y544" s="2044"/>
      <c r="Z544" s="2044"/>
      <c r="AA544" s="2044"/>
      <c r="AC544" s="2466" t="s">
        <v>625</v>
      </c>
      <c r="AD544" s="2381"/>
      <c r="AE544" s="2381"/>
      <c r="AF544" s="2381"/>
      <c r="AG544" s="75" t="s">
        <v>423</v>
      </c>
      <c r="AH544" s="2273"/>
      <c r="AI544" s="2273"/>
      <c r="AJ544" s="2273"/>
      <c r="AK544" s="227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30"/>
      <c r="C545" s="2531"/>
      <c r="D545" s="2531"/>
      <c r="E545" s="2531"/>
      <c r="F545" s="2531"/>
      <c r="G545" s="2531"/>
      <c r="H545" s="2532"/>
      <c r="I545" s="25" t="s">
        <v>441</v>
      </c>
      <c r="J545" s="25"/>
      <c r="K545" s="25"/>
      <c r="L545" s="25"/>
      <c r="M545" s="25"/>
      <c r="N545" s="25"/>
      <c r="O545" s="25"/>
      <c r="P545" s="25"/>
      <c r="Q545" s="25"/>
      <c r="R545" s="25"/>
      <c r="S545" s="25"/>
      <c r="T545" s="25"/>
      <c r="U545" s="25"/>
      <c r="V545" s="25"/>
      <c r="W545" s="25"/>
      <c r="X545" s="25"/>
      <c r="Y545" s="25"/>
      <c r="AC545" s="2466" t="s">
        <v>625</v>
      </c>
      <c r="AD545" s="2381"/>
      <c r="AE545" s="2381"/>
      <c r="AF545" s="2381"/>
      <c r="AG545" s="65" t="s">
        <v>423</v>
      </c>
      <c r="AH545" s="2273"/>
      <c r="AI545" s="2273"/>
      <c r="AJ545" s="2273"/>
      <c r="AK545" s="227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30"/>
      <c r="C546" s="2531"/>
      <c r="D546" s="2531"/>
      <c r="E546" s="2531"/>
      <c r="F546" s="2531"/>
      <c r="G546" s="2531"/>
      <c r="H546" s="2532"/>
      <c r="I546" s="80" t="s">
        <v>442</v>
      </c>
      <c r="J546" s="80"/>
      <c r="K546" s="80"/>
      <c r="L546" s="80"/>
      <c r="M546" s="80"/>
      <c r="N546" s="80"/>
      <c r="O546" s="80"/>
      <c r="P546" s="80"/>
      <c r="Q546" s="80"/>
      <c r="R546" s="80"/>
      <c r="S546" s="80"/>
      <c r="T546" s="80"/>
      <c r="U546" s="80"/>
      <c r="V546" s="80"/>
      <c r="W546" s="80"/>
      <c r="X546" s="80"/>
      <c r="Y546" s="80"/>
      <c r="Z546" s="80"/>
      <c r="AA546" s="80"/>
      <c r="AB546" s="80"/>
      <c r="AC546" s="2466" t="s">
        <v>625</v>
      </c>
      <c r="AD546" s="2381"/>
      <c r="AE546" s="2381"/>
      <c r="AF546" s="2381"/>
      <c r="AG546" s="75" t="s">
        <v>423</v>
      </c>
      <c r="AH546" s="2273"/>
      <c r="AI546" s="2273"/>
      <c r="AJ546" s="2273"/>
      <c r="AK546" s="227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30"/>
      <c r="C547" s="2531"/>
      <c r="D547" s="2531"/>
      <c r="E547" s="2531"/>
      <c r="F547" s="2531"/>
      <c r="G547" s="2531"/>
      <c r="H547" s="2532"/>
      <c r="I547" s="72" t="s">
        <v>443</v>
      </c>
      <c r="J547" s="72"/>
      <c r="K547" s="72"/>
      <c r="L547" s="72"/>
      <c r="M547" s="72"/>
      <c r="N547" s="72"/>
      <c r="O547" s="2044" t="s">
        <v>343</v>
      </c>
      <c r="P547" s="2044"/>
      <c r="Q547" s="2044"/>
      <c r="R547" s="2044"/>
      <c r="S547" s="2044"/>
      <c r="T547" s="2044"/>
      <c r="U547" s="2044"/>
      <c r="V547" s="2044"/>
      <c r="W547" s="2044"/>
      <c r="X547" s="2044"/>
      <c r="Y547" s="2044"/>
      <c r="Z547" s="2044"/>
      <c r="AA547" s="2044"/>
      <c r="AC547" s="2466" t="s">
        <v>625</v>
      </c>
      <c r="AD547" s="2381"/>
      <c r="AE547" s="2381"/>
      <c r="AF547" s="2381"/>
      <c r="AG547" s="65" t="s">
        <v>423</v>
      </c>
      <c r="AH547" s="2273"/>
      <c r="AI547" s="2273"/>
      <c r="AJ547" s="2273"/>
      <c r="AK547" s="227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30"/>
      <c r="C548" s="2531"/>
      <c r="D548" s="2531"/>
      <c r="E548" s="2531"/>
      <c r="F548" s="2531"/>
      <c r="G548" s="2531"/>
      <c r="H548" s="2532"/>
      <c r="I548" s="25" t="s">
        <v>441</v>
      </c>
      <c r="J548" s="25"/>
      <c r="K548" s="25"/>
      <c r="L548" s="25"/>
      <c r="M548" s="25"/>
      <c r="N548" s="25"/>
      <c r="O548" s="25"/>
      <c r="P548" s="25"/>
      <c r="Q548" s="25"/>
      <c r="R548" s="25"/>
      <c r="S548" s="25"/>
      <c r="T548" s="25"/>
      <c r="U548" s="25"/>
      <c r="V548" s="25"/>
      <c r="W548" s="25"/>
      <c r="X548" s="25"/>
      <c r="Y548" s="25"/>
      <c r="AC548" s="2466" t="s">
        <v>625</v>
      </c>
      <c r="AD548" s="2381"/>
      <c r="AE548" s="2381"/>
      <c r="AF548" s="2381"/>
      <c r="AG548" s="75" t="s">
        <v>423</v>
      </c>
      <c r="AH548" s="2273"/>
      <c r="AI548" s="2273"/>
      <c r="AJ548" s="2273"/>
      <c r="AK548" s="227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30"/>
      <c r="C549" s="2531"/>
      <c r="D549" s="2531"/>
      <c r="E549" s="2531"/>
      <c r="F549" s="2531"/>
      <c r="G549" s="2531"/>
      <c r="H549" s="2532"/>
      <c r="I549" s="80" t="s">
        <v>442</v>
      </c>
      <c r="J549" s="80"/>
      <c r="K549" s="80"/>
      <c r="L549" s="80"/>
      <c r="M549" s="80"/>
      <c r="N549" s="80"/>
      <c r="O549" s="80"/>
      <c r="P549" s="80"/>
      <c r="Q549" s="80"/>
      <c r="R549" s="80"/>
      <c r="S549" s="80"/>
      <c r="T549" s="80"/>
      <c r="U549" s="80"/>
      <c r="V549" s="80"/>
      <c r="W549" s="80"/>
      <c r="X549" s="80"/>
      <c r="Y549" s="80"/>
      <c r="Z549" s="80"/>
      <c r="AA549" s="80"/>
      <c r="AB549" s="80"/>
      <c r="AC549" s="2466" t="s">
        <v>625</v>
      </c>
      <c r="AD549" s="2381"/>
      <c r="AE549" s="2381"/>
      <c r="AF549" s="2381"/>
      <c r="AG549" s="65" t="s">
        <v>423</v>
      </c>
      <c r="AH549" s="2273"/>
      <c r="AI549" s="2273"/>
      <c r="AJ549" s="2273"/>
      <c r="AK549" s="227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30"/>
      <c r="C550" s="2531"/>
      <c r="D550" s="2531"/>
      <c r="E550" s="2531"/>
      <c r="F550" s="2531"/>
      <c r="G550" s="2531"/>
      <c r="H550" s="2532"/>
      <c r="I550" s="72" t="s">
        <v>594</v>
      </c>
      <c r="J550" s="72"/>
      <c r="K550" s="72"/>
      <c r="L550" s="72"/>
      <c r="M550" s="72"/>
      <c r="N550" s="72"/>
      <c r="O550" s="72"/>
      <c r="P550" s="72"/>
      <c r="Q550" s="72"/>
      <c r="R550" s="72"/>
      <c r="S550" s="72"/>
      <c r="T550" s="72"/>
      <c r="U550" s="72"/>
      <c r="V550" s="72"/>
      <c r="W550" s="72"/>
      <c r="X550" s="25"/>
      <c r="Y550" s="25"/>
      <c r="AC550" s="2466" t="s">
        <v>625</v>
      </c>
      <c r="AD550" s="2381"/>
      <c r="AE550" s="2381"/>
      <c r="AF550" s="2381"/>
      <c r="AG550" s="65" t="s">
        <v>423</v>
      </c>
      <c r="AH550" s="2273"/>
      <c r="AI550" s="2273"/>
      <c r="AJ550" s="2273"/>
      <c r="AK550" s="227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30"/>
      <c r="C551" s="2531"/>
      <c r="D551" s="2531"/>
      <c r="E551" s="2531"/>
      <c r="F551" s="2531"/>
      <c r="G551" s="2531"/>
      <c r="H551" s="2532"/>
      <c r="I551" s="25" t="s">
        <v>595</v>
      </c>
      <c r="J551" s="25"/>
      <c r="K551" s="25"/>
      <c r="L551" s="25"/>
      <c r="M551" s="25"/>
      <c r="N551" s="25"/>
      <c r="O551" s="25"/>
      <c r="P551" s="25"/>
      <c r="Q551" s="25"/>
      <c r="R551" s="25"/>
      <c r="S551" s="25"/>
      <c r="T551" s="25"/>
      <c r="U551" s="25"/>
      <c r="V551" s="25"/>
      <c r="W551" s="25"/>
      <c r="X551" s="25"/>
      <c r="Y551" s="25"/>
      <c r="AC551" s="2466">
        <v>2</v>
      </c>
      <c r="AD551" s="2381"/>
      <c r="AE551" s="2381"/>
      <c r="AF551" s="2381"/>
      <c r="AG551" s="75" t="s">
        <v>423</v>
      </c>
      <c r="AH551" s="2273">
        <v>2022</v>
      </c>
      <c r="AI551" s="2273"/>
      <c r="AJ551" s="2273"/>
      <c r="AK551" s="227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30"/>
      <c r="C552" s="2531"/>
      <c r="D552" s="2531"/>
      <c r="E552" s="2531"/>
      <c r="F552" s="2531"/>
      <c r="G552" s="2531"/>
      <c r="H552" s="2532"/>
      <c r="I552" s="25" t="s">
        <v>596</v>
      </c>
      <c r="J552" s="25"/>
      <c r="K552" s="25"/>
      <c r="L552" s="25"/>
      <c r="M552" s="25"/>
      <c r="N552" s="25"/>
      <c r="O552" s="25"/>
      <c r="P552" s="25"/>
      <c r="Q552" s="25"/>
      <c r="R552" s="25"/>
      <c r="S552" s="25"/>
      <c r="T552" s="25"/>
      <c r="U552" s="25"/>
      <c r="V552" s="25"/>
      <c r="W552" s="25"/>
      <c r="X552" s="25"/>
      <c r="Y552" s="25"/>
      <c r="AC552" s="2466">
        <v>12</v>
      </c>
      <c r="AD552" s="2381"/>
      <c r="AE552" s="2381"/>
      <c r="AF552" s="2381"/>
      <c r="AG552" s="65" t="s">
        <v>423</v>
      </c>
      <c r="AH552" s="2273">
        <v>2023</v>
      </c>
      <c r="AI552" s="2273"/>
      <c r="AJ552" s="2273"/>
      <c r="AK552" s="227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30"/>
      <c r="C553" s="2531"/>
      <c r="D553" s="2531"/>
      <c r="E553" s="2531"/>
      <c r="F553" s="2531"/>
      <c r="G553" s="2531"/>
      <c r="H553" s="2532"/>
      <c r="I553" s="25" t="s">
        <v>597</v>
      </c>
      <c r="J553" s="25"/>
      <c r="K553" s="25"/>
      <c r="L553" s="25"/>
      <c r="M553" s="25"/>
      <c r="N553" s="25"/>
      <c r="O553" s="25"/>
      <c r="P553" s="25"/>
      <c r="Q553" s="25"/>
      <c r="R553" s="25"/>
      <c r="S553" s="25"/>
      <c r="T553" s="25"/>
      <c r="U553" s="25"/>
      <c r="V553" s="25"/>
      <c r="W553" s="25"/>
      <c r="X553" s="25"/>
      <c r="Y553" s="25"/>
      <c r="AC553" s="2466">
        <v>12</v>
      </c>
      <c r="AD553" s="2381"/>
      <c r="AE553" s="2381"/>
      <c r="AF553" s="2381"/>
      <c r="AG553" s="65" t="s">
        <v>423</v>
      </c>
      <c r="AH553" s="2273">
        <v>2023</v>
      </c>
      <c r="AI553" s="2273"/>
      <c r="AJ553" s="2273"/>
      <c r="AK553" s="227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33"/>
      <c r="C554" s="2534"/>
      <c r="D554" s="2534"/>
      <c r="E554" s="2534"/>
      <c r="F554" s="2534"/>
      <c r="G554" s="2534"/>
      <c r="H554" s="2535"/>
      <c r="I554" s="80" t="s">
        <v>481</v>
      </c>
      <c r="J554" s="80"/>
      <c r="K554" s="80"/>
      <c r="L554" s="80"/>
      <c r="M554" s="80"/>
      <c r="N554" s="80"/>
      <c r="O554" s="80"/>
      <c r="P554" s="80"/>
      <c r="Q554" s="80"/>
      <c r="R554" s="80"/>
      <c r="S554" s="80"/>
      <c r="T554" s="80"/>
      <c r="U554" s="80"/>
      <c r="V554" s="80"/>
      <c r="W554" s="80"/>
      <c r="X554" s="80"/>
      <c r="Y554" s="80"/>
      <c r="Z554" s="80"/>
      <c r="AA554" s="80"/>
      <c r="AB554" s="80"/>
      <c r="AC554" s="2466">
        <v>3</v>
      </c>
      <c r="AD554" s="2381"/>
      <c r="AE554" s="2381"/>
      <c r="AF554" s="2381"/>
      <c r="AG554" s="65" t="s">
        <v>423</v>
      </c>
      <c r="AH554" s="2273">
        <v>2024</v>
      </c>
      <c r="AI554" s="2273"/>
      <c r="AJ554" s="2273"/>
      <c r="AK554" s="227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95" t="s">
        <v>575</v>
      </c>
      <c r="B556" s="1895"/>
      <c r="C556" s="1895"/>
      <c r="D556" s="1895"/>
      <c r="E556" s="1895"/>
      <c r="F556" s="1895"/>
      <c r="G556" s="1895"/>
      <c r="H556" s="1895"/>
      <c r="I556" s="1895"/>
      <c r="J556" s="1895"/>
      <c r="K556" s="1895"/>
      <c r="L556" s="1895"/>
      <c r="M556" s="1895"/>
      <c r="N556" s="1895"/>
      <c r="O556" s="1895"/>
      <c r="P556" s="1895"/>
      <c r="Q556" s="1895"/>
      <c r="R556" s="1895"/>
      <c r="S556" s="1895"/>
      <c r="T556" s="1895"/>
      <c r="U556" s="1895"/>
      <c r="V556" s="1895"/>
      <c r="W556" s="1895"/>
      <c r="X556" s="1895"/>
      <c r="Y556" s="1895"/>
      <c r="Z556" s="1895"/>
      <c r="AA556" s="1895"/>
      <c r="AB556" s="1895"/>
      <c r="AC556" s="1895"/>
      <c r="AD556" s="1895"/>
      <c r="AE556" s="1895"/>
      <c r="AF556" s="1895"/>
      <c r="AG556" s="1895"/>
      <c r="AH556" s="1895"/>
      <c r="AI556" s="1895"/>
      <c r="AJ556" s="1895"/>
      <c r="AK556" s="1895"/>
      <c r="AL556" s="1895"/>
      <c r="AM556" s="1895"/>
      <c r="AN556" s="1895"/>
      <c r="AO556" s="1895"/>
      <c r="AP556" s="1895"/>
      <c r="AQ556" s="1895"/>
      <c r="AR556" s="1895"/>
      <c r="AS556" s="1895"/>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95"/>
      <c r="B557" s="1895"/>
      <c r="C557" s="1895"/>
      <c r="D557" s="1895"/>
      <c r="E557" s="1895"/>
      <c r="F557" s="1895"/>
      <c r="G557" s="1895"/>
      <c r="H557" s="1895"/>
      <c r="I557" s="1895"/>
      <c r="J557" s="1895"/>
      <c r="K557" s="1895"/>
      <c r="L557" s="1895"/>
      <c r="M557" s="1895"/>
      <c r="N557" s="1895"/>
      <c r="O557" s="1895"/>
      <c r="P557" s="1895"/>
      <c r="Q557" s="1895"/>
      <c r="R557" s="1895"/>
      <c r="S557" s="1895"/>
      <c r="T557" s="1895"/>
      <c r="U557" s="1895"/>
      <c r="V557" s="1895"/>
      <c r="W557" s="1895"/>
      <c r="X557" s="1895"/>
      <c r="Y557" s="1895"/>
      <c r="Z557" s="1895"/>
      <c r="AA557" s="1895"/>
      <c r="AB557" s="1895"/>
      <c r="AC557" s="1895"/>
      <c r="AD557" s="1895"/>
      <c r="AE557" s="1895"/>
      <c r="AF557" s="1895"/>
      <c r="AG557" s="1895"/>
      <c r="AH557" s="1895"/>
      <c r="AI557" s="1895"/>
      <c r="AJ557" s="1895"/>
      <c r="AK557" s="1895"/>
      <c r="AL557" s="1895"/>
      <c r="AM557" s="1895"/>
      <c r="AN557" s="1895"/>
      <c r="AO557" s="1895"/>
      <c r="AP557" s="1895"/>
      <c r="AQ557" s="1895"/>
      <c r="AR557" s="1895"/>
      <c r="AS557" s="1895"/>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63" t="s">
        <v>483</v>
      </c>
      <c r="C563" s="2331"/>
      <c r="D563" s="2331"/>
      <c r="E563" s="2331"/>
      <c r="F563" s="2331"/>
      <c r="G563" s="2331"/>
      <c r="H563" s="2331"/>
      <c r="I563" s="2331"/>
      <c r="J563" s="2331"/>
      <c r="K563" s="2331"/>
      <c r="L563" s="2331"/>
      <c r="M563" s="2331"/>
      <c r="N563" s="2331"/>
      <c r="O563" s="2331"/>
      <c r="P563" s="2332"/>
      <c r="Q563" s="2463" t="s">
        <v>2378</v>
      </c>
      <c r="R563" s="2464"/>
      <c r="S563" s="2465"/>
      <c r="T563" s="2463" t="s">
        <v>2376</v>
      </c>
      <c r="U563" s="2464"/>
      <c r="V563" s="2465"/>
      <c r="W563" s="2463" t="s">
        <v>484</v>
      </c>
      <c r="X563" s="2464"/>
      <c r="Y563" s="2465"/>
      <c r="Z563" s="2463" t="s">
        <v>2377</v>
      </c>
      <c r="AA563" s="2464"/>
      <c r="AB563" s="2464"/>
      <c r="AC563" s="2464"/>
      <c r="AD563" s="2464"/>
      <c r="AE563" s="2463" t="s">
        <v>2150</v>
      </c>
      <c r="AF563" s="2464"/>
      <c r="AG563" s="2464"/>
      <c r="AH563" s="2465"/>
      <c r="AI563" s="2463" t="s">
        <v>2151</v>
      </c>
      <c r="AJ563" s="2464"/>
      <c r="AK563" s="2464"/>
      <c r="AL563" s="2465"/>
      <c r="AM563" s="2463" t="s">
        <v>485</v>
      </c>
      <c r="AN563" s="2464"/>
      <c r="AO563" s="2464"/>
      <c r="AP563" s="2464"/>
      <c r="AQ563" s="2464"/>
      <c r="AR563" s="2464"/>
      <c r="AS563" s="246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90" t="s">
        <v>2589</v>
      </c>
      <c r="D564" s="2090"/>
      <c r="E564" s="2090"/>
      <c r="F564" s="2090"/>
      <c r="G564" s="2090"/>
      <c r="H564" s="2090"/>
      <c r="I564" s="2090"/>
      <c r="J564" s="2090"/>
      <c r="K564" s="2090"/>
      <c r="L564" s="2090"/>
      <c r="M564" s="2090"/>
      <c r="N564" s="2090"/>
      <c r="O564" s="2090"/>
      <c r="P564" s="2091"/>
      <c r="Q564" s="2081">
        <v>30</v>
      </c>
      <c r="R564" s="2081"/>
      <c r="S564" s="2082"/>
      <c r="T564" s="2080"/>
      <c r="U564" s="2081"/>
      <c r="V564" s="2082"/>
      <c r="W564" s="2071">
        <v>3.6999999999999998E-2</v>
      </c>
      <c r="X564" s="2072"/>
      <c r="Y564" s="2073"/>
      <c r="Z564" s="2547" t="s">
        <v>1383</v>
      </c>
      <c r="AA564" s="2547"/>
      <c r="AB564" s="2547"/>
      <c r="AC564" s="2547"/>
      <c r="AD564" s="2547"/>
      <c r="AE564" s="2099">
        <v>1</v>
      </c>
      <c r="AF564" s="2100"/>
      <c r="AG564" s="2100"/>
      <c r="AH564" s="2101"/>
      <c r="AI564" s="2538"/>
      <c r="AJ564" s="2539"/>
      <c r="AK564" s="2539"/>
      <c r="AL564" s="2540"/>
      <c r="AM564" s="2049">
        <v>27000000</v>
      </c>
      <c r="AN564" s="2050"/>
      <c r="AO564" s="2050"/>
      <c r="AP564" s="2050"/>
      <c r="AQ564" s="2050"/>
      <c r="AR564" s="2050"/>
      <c r="AS564" s="2051"/>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90" t="s">
        <v>2590</v>
      </c>
      <c r="D565" s="2090"/>
      <c r="E565" s="2090"/>
      <c r="F565" s="2090"/>
      <c r="G565" s="2090"/>
      <c r="H565" s="2090"/>
      <c r="I565" s="2090"/>
      <c r="J565" s="2090"/>
      <c r="K565" s="2090"/>
      <c r="L565" s="2090"/>
      <c r="M565" s="2090"/>
      <c r="N565" s="2090"/>
      <c r="O565" s="2090"/>
      <c r="P565" s="2091"/>
      <c r="Q565" s="2080">
        <v>30</v>
      </c>
      <c r="R565" s="2081"/>
      <c r="S565" s="2082"/>
      <c r="T565" s="2080"/>
      <c r="U565" s="2081"/>
      <c r="V565" s="2082"/>
      <c r="W565" s="2071">
        <v>3.6999999999999998E-2</v>
      </c>
      <c r="X565" s="2072"/>
      <c r="Y565" s="2073"/>
      <c r="Z565" s="2547" t="s">
        <v>2594</v>
      </c>
      <c r="AA565" s="2547"/>
      <c r="AB565" s="2547"/>
      <c r="AC565" s="2547"/>
      <c r="AD565" s="2547"/>
      <c r="AE565" s="2099">
        <v>2</v>
      </c>
      <c r="AF565" s="2100"/>
      <c r="AG565" s="2100"/>
      <c r="AH565" s="2101"/>
      <c r="AI565" s="2538"/>
      <c r="AJ565" s="2539"/>
      <c r="AK565" s="2539"/>
      <c r="AL565" s="2540"/>
      <c r="AM565" s="2049">
        <v>4193578</v>
      </c>
      <c r="AN565" s="2050"/>
      <c r="AO565" s="2050"/>
      <c r="AP565" s="2050"/>
      <c r="AQ565" s="2050"/>
      <c r="AR565" s="2050"/>
      <c r="AS565" s="205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90" t="s">
        <v>2522</v>
      </c>
      <c r="D566" s="2090"/>
      <c r="E566" s="2090"/>
      <c r="F566" s="2090"/>
      <c r="G566" s="2090"/>
      <c r="H566" s="2090"/>
      <c r="I566" s="2090"/>
      <c r="J566" s="2090"/>
      <c r="K566" s="2090"/>
      <c r="L566" s="2090"/>
      <c r="M566" s="2090"/>
      <c r="N566" s="2090"/>
      <c r="O566" s="2090"/>
      <c r="P566" s="2091"/>
      <c r="Q566" s="2080">
        <v>30</v>
      </c>
      <c r="R566" s="2081"/>
      <c r="S566" s="2082"/>
      <c r="T566" s="2080"/>
      <c r="U566" s="2081"/>
      <c r="V566" s="2082"/>
      <c r="W566" s="2071">
        <v>0.03</v>
      </c>
      <c r="X566" s="2072"/>
      <c r="Y566" s="2073"/>
      <c r="Z566" s="2547" t="s">
        <v>2593</v>
      </c>
      <c r="AA566" s="2547"/>
      <c r="AB566" s="2547"/>
      <c r="AC566" s="2547"/>
      <c r="AD566" s="2547"/>
      <c r="AE566" s="2099">
        <v>3</v>
      </c>
      <c r="AF566" s="2100"/>
      <c r="AG566" s="2100"/>
      <c r="AH566" s="2101"/>
      <c r="AI566" s="2538"/>
      <c r="AJ566" s="2539"/>
      <c r="AK566" s="2539"/>
      <c r="AL566" s="2540"/>
      <c r="AM566" s="2049">
        <v>7408000</v>
      </c>
      <c r="AN566" s="2050"/>
      <c r="AO566" s="2050"/>
      <c r="AP566" s="2050"/>
      <c r="AQ566" s="2050"/>
      <c r="AR566" s="2050"/>
      <c r="AS566" s="205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90" t="s">
        <v>2126</v>
      </c>
      <c r="D567" s="2090"/>
      <c r="E567" s="2090"/>
      <c r="F567" s="2090"/>
      <c r="G567" s="2090"/>
      <c r="H567" s="2090"/>
      <c r="I567" s="2090"/>
      <c r="J567" s="2090"/>
      <c r="K567" s="2090"/>
      <c r="L567" s="2090"/>
      <c r="M567" s="2090"/>
      <c r="N567" s="2090"/>
      <c r="O567" s="2090"/>
      <c r="P567" s="2091"/>
      <c r="Q567" s="2080"/>
      <c r="R567" s="2081"/>
      <c r="S567" s="2082"/>
      <c r="T567" s="2080"/>
      <c r="U567" s="2081"/>
      <c r="V567" s="2082"/>
      <c r="W567" s="2071"/>
      <c r="X567" s="2072"/>
      <c r="Y567" s="2073"/>
      <c r="Z567" s="2547" t="s">
        <v>625</v>
      </c>
      <c r="AA567" s="2547"/>
      <c r="AB567" s="2547"/>
      <c r="AC567" s="2547"/>
      <c r="AD567" s="2547"/>
      <c r="AE567" s="2099"/>
      <c r="AF567" s="2100"/>
      <c r="AG567" s="2100"/>
      <c r="AH567" s="2101"/>
      <c r="AI567" s="2538"/>
      <c r="AJ567" s="2539"/>
      <c r="AK567" s="2539"/>
      <c r="AL567" s="2540"/>
      <c r="AM567" s="2049">
        <v>4700851</v>
      </c>
      <c r="AN567" s="2050"/>
      <c r="AO567" s="2050"/>
      <c r="AP567" s="2050"/>
      <c r="AQ567" s="2050"/>
      <c r="AR567" s="2050"/>
      <c r="AS567" s="205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90" t="s">
        <v>2741</v>
      </c>
      <c r="D568" s="2090"/>
      <c r="E568" s="2090"/>
      <c r="F568" s="2090"/>
      <c r="G568" s="2090"/>
      <c r="H568" s="2090"/>
      <c r="I568" s="2090"/>
      <c r="J568" s="2090"/>
      <c r="K568" s="2090"/>
      <c r="L568" s="2090"/>
      <c r="M568" s="2090"/>
      <c r="N568" s="2090"/>
      <c r="O568" s="2090"/>
      <c r="P568" s="2091"/>
      <c r="Q568" s="2080"/>
      <c r="R568" s="2081"/>
      <c r="S568" s="2082"/>
      <c r="T568" s="2080"/>
      <c r="U568" s="2081"/>
      <c r="V568" s="2082"/>
      <c r="W568" s="2071"/>
      <c r="X568" s="2072"/>
      <c r="Y568" s="2073"/>
      <c r="Z568" s="2547" t="s">
        <v>625</v>
      </c>
      <c r="AA568" s="2547"/>
      <c r="AB568" s="2547"/>
      <c r="AC568" s="2547"/>
      <c r="AD568" s="2547"/>
      <c r="AE568" s="2099"/>
      <c r="AF568" s="2100"/>
      <c r="AG568" s="2100"/>
      <c r="AH568" s="2101"/>
      <c r="AI568" s="2538"/>
      <c r="AJ568" s="2539"/>
      <c r="AK568" s="2539"/>
      <c r="AL568" s="2540"/>
      <c r="AM568" s="2049">
        <v>1752783</v>
      </c>
      <c r="AN568" s="2050"/>
      <c r="AO568" s="2050"/>
      <c r="AP568" s="2050"/>
      <c r="AQ568" s="2050"/>
      <c r="AR568" s="2050"/>
      <c r="AS568" s="205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90" t="s">
        <v>2591</v>
      </c>
      <c r="D569" s="2090"/>
      <c r="E569" s="2090"/>
      <c r="F569" s="2090"/>
      <c r="G569" s="2090"/>
      <c r="H569" s="2090"/>
      <c r="I569" s="2090"/>
      <c r="J569" s="2090"/>
      <c r="K569" s="2090"/>
      <c r="L569" s="2090"/>
      <c r="M569" s="2090"/>
      <c r="N569" s="2090"/>
      <c r="O569" s="2090"/>
      <c r="P569" s="2091"/>
      <c r="Q569" s="2080"/>
      <c r="R569" s="2081"/>
      <c r="S569" s="2082"/>
      <c r="T569" s="2080"/>
      <c r="U569" s="2081"/>
      <c r="V569" s="2082"/>
      <c r="W569" s="2071"/>
      <c r="X569" s="2072"/>
      <c r="Y569" s="2073"/>
      <c r="Z569" s="2547" t="s">
        <v>625</v>
      </c>
      <c r="AA569" s="2547"/>
      <c r="AB569" s="2547"/>
      <c r="AC569" s="2547"/>
      <c r="AD569" s="2547"/>
      <c r="AE569" s="2099"/>
      <c r="AF569" s="2100"/>
      <c r="AG569" s="2100"/>
      <c r="AH569" s="2101"/>
      <c r="AI569" s="2538"/>
      <c r="AJ569" s="2539"/>
      <c r="AK569" s="2539"/>
      <c r="AL569" s="2540"/>
      <c r="AM569" s="2049">
        <v>8601366</v>
      </c>
      <c r="AN569" s="2050"/>
      <c r="AO569" s="2050"/>
      <c r="AP569" s="2050"/>
      <c r="AQ569" s="2050"/>
      <c r="AR569" s="2050"/>
      <c r="AS569" s="205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90" t="s">
        <v>2592</v>
      </c>
      <c r="D570" s="2090"/>
      <c r="E570" s="2090"/>
      <c r="F570" s="2090"/>
      <c r="G570" s="2090"/>
      <c r="H570" s="2090"/>
      <c r="I570" s="2090"/>
      <c r="J570" s="2090"/>
      <c r="K570" s="2090"/>
      <c r="L570" s="2090"/>
      <c r="M570" s="2090"/>
      <c r="N570" s="2090"/>
      <c r="O570" s="2090"/>
      <c r="P570" s="2091"/>
      <c r="Q570" s="2080"/>
      <c r="R570" s="2081"/>
      <c r="S570" s="2082"/>
      <c r="T570" s="2080"/>
      <c r="U570" s="2081"/>
      <c r="V570" s="2082"/>
      <c r="W570" s="2071"/>
      <c r="X570" s="2072"/>
      <c r="Y570" s="2073"/>
      <c r="Z570" s="2547" t="s">
        <v>625</v>
      </c>
      <c r="AA570" s="2547"/>
      <c r="AB570" s="2547"/>
      <c r="AC570" s="2547"/>
      <c r="AD570" s="2547"/>
      <c r="AE570" s="2099"/>
      <c r="AF570" s="2100"/>
      <c r="AG570" s="2100"/>
      <c r="AH570" s="2101"/>
      <c r="AI570" s="2538"/>
      <c r="AJ570" s="2539"/>
      <c r="AK570" s="2539"/>
      <c r="AL570" s="2540"/>
      <c r="AM570" s="2049">
        <v>393080</v>
      </c>
      <c r="AN570" s="2050"/>
      <c r="AO570" s="2050"/>
      <c r="AP570" s="2050"/>
      <c r="AQ570" s="2050"/>
      <c r="AR570" s="2050"/>
      <c r="AS570" s="205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90" t="s">
        <v>2743</v>
      </c>
      <c r="D571" s="2090"/>
      <c r="E571" s="2090"/>
      <c r="F571" s="2090"/>
      <c r="G571" s="2090"/>
      <c r="H571" s="2090"/>
      <c r="I571" s="2090"/>
      <c r="J571" s="2090"/>
      <c r="K571" s="2090"/>
      <c r="L571" s="2090"/>
      <c r="M571" s="2090"/>
      <c r="N571" s="2090"/>
      <c r="O571" s="2090"/>
      <c r="P571" s="2091"/>
      <c r="Q571" s="2080"/>
      <c r="R571" s="2081"/>
      <c r="S571" s="2082"/>
      <c r="T571" s="2080"/>
      <c r="U571" s="2081"/>
      <c r="V571" s="2082"/>
      <c r="W571" s="2071"/>
      <c r="X571" s="2072"/>
      <c r="Y571" s="2073"/>
      <c r="Z571" s="2547" t="s">
        <v>1383</v>
      </c>
      <c r="AA571" s="2547"/>
      <c r="AB571" s="2547"/>
      <c r="AC571" s="2547"/>
      <c r="AD571" s="2547"/>
      <c r="AE571" s="2099"/>
      <c r="AF571" s="2100"/>
      <c r="AG571" s="2100"/>
      <c r="AH571" s="2101"/>
      <c r="AI571" s="2538"/>
      <c r="AJ571" s="2539"/>
      <c r="AK571" s="2539"/>
      <c r="AL571" s="2540"/>
      <c r="AM571" s="2049">
        <v>100</v>
      </c>
      <c r="AN571" s="2050"/>
      <c r="AO571" s="2050"/>
      <c r="AP571" s="2050"/>
      <c r="AQ571" s="2050"/>
      <c r="AR571" s="2050"/>
      <c r="AS571" s="2051"/>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90"/>
      <c r="D572" s="2090"/>
      <c r="E572" s="2090"/>
      <c r="F572" s="2090"/>
      <c r="G572" s="2090"/>
      <c r="H572" s="2090"/>
      <c r="I572" s="2090"/>
      <c r="J572" s="2090"/>
      <c r="K572" s="2090"/>
      <c r="L572" s="2090"/>
      <c r="M572" s="2090"/>
      <c r="N572" s="2090"/>
      <c r="O572" s="2090"/>
      <c r="P572" s="2091"/>
      <c r="Q572" s="2080"/>
      <c r="R572" s="2081"/>
      <c r="S572" s="2082"/>
      <c r="T572" s="2080"/>
      <c r="U572" s="2081"/>
      <c r="V572" s="2082"/>
      <c r="W572" s="2071"/>
      <c r="X572" s="2072"/>
      <c r="Y572" s="2073"/>
      <c r="Z572" s="2547" t="s">
        <v>1383</v>
      </c>
      <c r="AA572" s="2547"/>
      <c r="AB572" s="2547"/>
      <c r="AC572" s="2547"/>
      <c r="AD572" s="2547"/>
      <c r="AE572" s="2099"/>
      <c r="AF572" s="2100"/>
      <c r="AG572" s="2100"/>
      <c r="AH572" s="2101"/>
      <c r="AI572" s="2538"/>
      <c r="AJ572" s="2539"/>
      <c r="AK572" s="2539"/>
      <c r="AL572" s="2540"/>
      <c r="AM572" s="2049"/>
      <c r="AN572" s="2050"/>
      <c r="AO572" s="2050"/>
      <c r="AP572" s="2050"/>
      <c r="AQ572" s="2050"/>
      <c r="AR572" s="2050"/>
      <c r="AS572" s="2051"/>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90"/>
      <c r="D573" s="2090"/>
      <c r="E573" s="2090"/>
      <c r="F573" s="2090"/>
      <c r="G573" s="2090"/>
      <c r="H573" s="2090"/>
      <c r="I573" s="2090"/>
      <c r="J573" s="2090"/>
      <c r="K573" s="2090"/>
      <c r="L573" s="2090"/>
      <c r="M573" s="2090"/>
      <c r="N573" s="2090"/>
      <c r="O573" s="2090"/>
      <c r="P573" s="2091"/>
      <c r="Q573" s="2080"/>
      <c r="R573" s="2081"/>
      <c r="S573" s="2082"/>
      <c r="T573" s="2080"/>
      <c r="U573" s="2081"/>
      <c r="V573" s="2082"/>
      <c r="W573" s="2071"/>
      <c r="X573" s="2072"/>
      <c r="Y573" s="2073"/>
      <c r="Z573" s="2547" t="s">
        <v>1383</v>
      </c>
      <c r="AA573" s="2547"/>
      <c r="AB573" s="2547"/>
      <c r="AC573" s="2547"/>
      <c r="AD573" s="2547"/>
      <c r="AE573" s="2099"/>
      <c r="AF573" s="2100"/>
      <c r="AG573" s="2100"/>
      <c r="AH573" s="2101"/>
      <c r="AI573" s="2538"/>
      <c r="AJ573" s="2539"/>
      <c r="AK573" s="2539"/>
      <c r="AL573" s="2540"/>
      <c r="AM573" s="2049"/>
      <c r="AN573" s="2050"/>
      <c r="AO573" s="2050"/>
      <c r="AP573" s="2050"/>
      <c r="AQ573" s="2050"/>
      <c r="AR573" s="2050"/>
      <c r="AS573" s="205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090"/>
      <c r="D574" s="2090"/>
      <c r="E574" s="2090"/>
      <c r="F574" s="2090"/>
      <c r="G574" s="2090"/>
      <c r="H574" s="2090"/>
      <c r="I574" s="2090"/>
      <c r="J574" s="2090"/>
      <c r="K574" s="2090"/>
      <c r="L574" s="2090"/>
      <c r="M574" s="2090"/>
      <c r="N574" s="2090"/>
      <c r="O574" s="2090"/>
      <c r="P574" s="2091"/>
      <c r="Q574" s="2080"/>
      <c r="R574" s="2081"/>
      <c r="S574" s="2082"/>
      <c r="T574" s="2080"/>
      <c r="U574" s="2081"/>
      <c r="V574" s="2082"/>
      <c r="W574" s="2071"/>
      <c r="X574" s="2072"/>
      <c r="Y574" s="2073"/>
      <c r="Z574" s="2547" t="s">
        <v>1383</v>
      </c>
      <c r="AA574" s="2547"/>
      <c r="AB574" s="2547"/>
      <c r="AC574" s="2547"/>
      <c r="AD574" s="2547"/>
      <c r="AE574" s="2099"/>
      <c r="AF574" s="2100"/>
      <c r="AG574" s="2100"/>
      <c r="AH574" s="2101"/>
      <c r="AI574" s="2538"/>
      <c r="AJ574" s="2539"/>
      <c r="AK574" s="2539"/>
      <c r="AL574" s="2540"/>
      <c r="AM574" s="2049"/>
      <c r="AN574" s="2050"/>
      <c r="AO574" s="2050"/>
      <c r="AP574" s="2050"/>
      <c r="AQ574" s="2050"/>
      <c r="AR574" s="2050"/>
      <c r="AS574" s="205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090"/>
      <c r="D575" s="2090"/>
      <c r="E575" s="2090"/>
      <c r="F575" s="2090"/>
      <c r="G575" s="2090"/>
      <c r="H575" s="2090"/>
      <c r="I575" s="2090"/>
      <c r="J575" s="2090"/>
      <c r="K575" s="2090"/>
      <c r="L575" s="2090"/>
      <c r="M575" s="2090"/>
      <c r="N575" s="2090"/>
      <c r="O575" s="2090"/>
      <c r="P575" s="2091"/>
      <c r="Q575" s="2080"/>
      <c r="R575" s="2081"/>
      <c r="S575" s="2082"/>
      <c r="T575" s="2080"/>
      <c r="U575" s="2081"/>
      <c r="V575" s="2082"/>
      <c r="W575" s="2071"/>
      <c r="X575" s="2072"/>
      <c r="Y575" s="2073"/>
      <c r="Z575" s="2547" t="s">
        <v>1383</v>
      </c>
      <c r="AA575" s="2547"/>
      <c r="AB575" s="2547"/>
      <c r="AC575" s="2547"/>
      <c r="AD575" s="2547"/>
      <c r="AE575" s="2099"/>
      <c r="AF575" s="2100"/>
      <c r="AG575" s="2100"/>
      <c r="AH575" s="2101"/>
      <c r="AI575" s="2538"/>
      <c r="AJ575" s="2539"/>
      <c r="AK575" s="2539"/>
      <c r="AL575" s="2540"/>
      <c r="AM575" s="2049"/>
      <c r="AN575" s="2050"/>
      <c r="AO575" s="2050"/>
      <c r="AP575" s="2050"/>
      <c r="AQ575" s="2050"/>
      <c r="AR575" s="2050"/>
      <c r="AS575" s="205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70" t="s">
        <v>132</v>
      </c>
      <c r="C576" s="2371"/>
      <c r="D576" s="2371"/>
      <c r="E576" s="2371"/>
      <c r="F576" s="2371"/>
      <c r="G576" s="2371"/>
      <c r="H576" s="2371"/>
      <c r="I576" s="2371"/>
      <c r="J576" s="2371"/>
      <c r="K576" s="2371"/>
      <c r="L576" s="2371"/>
      <c r="M576" s="2371"/>
      <c r="N576" s="2371"/>
      <c r="O576" s="2371"/>
      <c r="P576" s="2371"/>
      <c r="Q576" s="2371"/>
      <c r="R576" s="2371"/>
      <c r="S576" s="2371"/>
      <c r="T576" s="2371"/>
      <c r="U576" s="2449"/>
      <c r="V576" s="2371"/>
      <c r="W576" s="2371"/>
      <c r="X576" s="2371"/>
      <c r="Y576" s="2371"/>
      <c r="Z576" s="2371"/>
      <c r="AA576" s="2371"/>
      <c r="AB576" s="2371"/>
      <c r="AC576" s="2371"/>
      <c r="AD576" s="2371"/>
      <c r="AE576" s="2371"/>
      <c r="AF576" s="2371"/>
      <c r="AG576" s="2371"/>
      <c r="AH576" s="2371"/>
      <c r="AI576" s="2371"/>
      <c r="AJ576" s="2371"/>
      <c r="AK576" s="2371"/>
      <c r="AL576" s="2372"/>
      <c r="AM576" s="2377">
        <f>SUM(AM564:AS575)</f>
        <v>54049758</v>
      </c>
      <c r="AN576" s="2378"/>
      <c r="AO576" s="2378"/>
      <c r="AP576" s="2378"/>
      <c r="AQ576" s="2378"/>
      <c r="AR576" s="2378"/>
      <c r="AS576" s="237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48" t="str">
        <f>C564</f>
        <v>Tax Exempt Const. Loan</v>
      </c>
      <c r="H578" s="2048"/>
      <c r="I578" s="2048"/>
      <c r="J578" s="2048"/>
      <c r="K578" s="2048"/>
      <c r="L578" s="2048"/>
      <c r="M578" s="2048"/>
      <c r="N578" s="2048"/>
      <c r="O578" s="2048"/>
      <c r="P578" s="2048"/>
      <c r="Q578" s="2048"/>
      <c r="R578" s="2048"/>
      <c r="S578" s="14"/>
      <c r="T578" s="87" t="s">
        <v>118</v>
      </c>
      <c r="U578" s="12" t="s">
        <v>495</v>
      </c>
      <c r="Z578" s="2048" t="str">
        <f>C565</f>
        <v>Taxable Bonds</v>
      </c>
      <c r="AA578" s="2048"/>
      <c r="AB578" s="2048"/>
      <c r="AC578" s="2048"/>
      <c r="AD578" s="2048"/>
      <c r="AE578" s="2048"/>
      <c r="AF578" s="2048"/>
      <c r="AG578" s="2048"/>
      <c r="AH578" s="2048"/>
      <c r="AI578" s="2048"/>
      <c r="AJ578" s="2048"/>
      <c r="AK578" s="204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4" t="s">
        <v>2595</v>
      </c>
      <c r="H579" s="2044"/>
      <c r="I579" s="2044"/>
      <c r="J579" s="2044"/>
      <c r="K579" s="2044"/>
      <c r="L579" s="2044"/>
      <c r="M579" s="2044"/>
      <c r="N579" s="2044"/>
      <c r="O579" s="2044"/>
      <c r="P579" s="2044"/>
      <c r="Q579" s="2044"/>
      <c r="R579" s="2044"/>
      <c r="S579" s="14"/>
      <c r="T579" s="35"/>
      <c r="U579" s="12" t="s">
        <v>90</v>
      </c>
      <c r="Z579" s="2044" t="s">
        <v>2595</v>
      </c>
      <c r="AA579" s="2044"/>
      <c r="AB579" s="2044"/>
      <c r="AC579" s="2044"/>
      <c r="AD579" s="2044"/>
      <c r="AE579" s="2044"/>
      <c r="AF579" s="2044"/>
      <c r="AG579" s="2044"/>
      <c r="AH579" s="2044"/>
      <c r="AI579" s="2044"/>
      <c r="AJ579" s="2044"/>
      <c r="AK579" s="2044"/>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44" t="s">
        <v>2596</v>
      </c>
      <c r="H580" s="2044"/>
      <c r="I580" s="2044"/>
      <c r="J580" s="2044"/>
      <c r="K580" s="2044"/>
      <c r="L580" s="2044"/>
      <c r="M580" s="2044"/>
      <c r="N580" s="2044"/>
      <c r="O580" s="2044"/>
      <c r="P580" s="2044"/>
      <c r="Q580" s="2044"/>
      <c r="R580" s="2044"/>
      <c r="S580" s="88"/>
      <c r="T580" s="35"/>
      <c r="U580" s="12" t="s">
        <v>614</v>
      </c>
      <c r="Z580" s="2307" t="s">
        <v>526</v>
      </c>
      <c r="AA580" s="2307"/>
      <c r="AB580" s="2307"/>
      <c r="AC580" s="2307"/>
      <c r="AD580" s="2307"/>
      <c r="AE580" s="2307"/>
      <c r="AF580" s="2307"/>
      <c r="AG580" s="2307"/>
      <c r="AH580" s="2307"/>
      <c r="AI580" s="2307"/>
      <c r="AJ580" s="2307"/>
      <c r="AK580" s="2307"/>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4" t="s">
        <v>2597</v>
      </c>
      <c r="H581" s="2044"/>
      <c r="I581" s="2044"/>
      <c r="J581" s="2044"/>
      <c r="K581" s="2044"/>
      <c r="L581" s="2044"/>
      <c r="M581" s="2044"/>
      <c r="N581" s="2044"/>
      <c r="O581" s="2044"/>
      <c r="P581" s="2044"/>
      <c r="Q581" s="2044"/>
      <c r="R581" s="2044"/>
      <c r="S581" s="14"/>
      <c r="T581" s="35"/>
      <c r="U581" s="12" t="s">
        <v>17</v>
      </c>
      <c r="Z581" s="2307" t="s">
        <v>2597</v>
      </c>
      <c r="AA581" s="2307"/>
      <c r="AB581" s="2307"/>
      <c r="AC581" s="2307"/>
      <c r="AD581" s="2307"/>
      <c r="AE581" s="2307"/>
      <c r="AF581" s="2307"/>
      <c r="AG581" s="2307"/>
      <c r="AH581" s="2307"/>
      <c r="AI581" s="2307"/>
      <c r="AJ581" s="2307"/>
      <c r="AK581" s="230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89">
        <v>2136217590</v>
      </c>
      <c r="H582" s="2089"/>
      <c r="I582" s="2089"/>
      <c r="J582" s="2089"/>
      <c r="K582" s="2089"/>
      <c r="L582" s="2089"/>
      <c r="O582" s="137" t="s">
        <v>212</v>
      </c>
      <c r="P582" s="2098"/>
      <c r="Q582" s="2098"/>
      <c r="R582" s="2098"/>
      <c r="S582" s="16"/>
      <c r="T582" s="35"/>
      <c r="U582" s="12" t="s">
        <v>325</v>
      </c>
      <c r="Z582" s="2089">
        <v>2136217590</v>
      </c>
      <c r="AA582" s="2089"/>
      <c r="AB582" s="2089"/>
      <c r="AC582" s="2089"/>
      <c r="AD582" s="2089"/>
      <c r="AE582" s="2089"/>
      <c r="AH582" s="137" t="s">
        <v>212</v>
      </c>
      <c r="AI582" s="2098"/>
      <c r="AJ582" s="2098"/>
      <c r="AK582" s="209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4" t="s">
        <v>2598</v>
      </c>
      <c r="I583" s="2044"/>
      <c r="J583" s="2044"/>
      <c r="K583" s="2044"/>
      <c r="L583" s="2044"/>
      <c r="M583" s="2044"/>
      <c r="N583" s="2044"/>
      <c r="O583" s="2044"/>
      <c r="P583" s="2044"/>
      <c r="Q583" s="2044"/>
      <c r="R583" s="2044"/>
      <c r="S583" s="14"/>
      <c r="T583" s="35"/>
      <c r="U583" s="12" t="s">
        <v>18</v>
      </c>
      <c r="AA583" s="2044" t="s">
        <v>2598</v>
      </c>
      <c r="AB583" s="2044"/>
      <c r="AC583" s="2044"/>
      <c r="AD583" s="2044"/>
      <c r="AE583" s="2044"/>
      <c r="AF583" s="2044"/>
      <c r="AG583" s="2044"/>
      <c r="AH583" s="2044"/>
      <c r="AI583" s="2044"/>
      <c r="AJ583" s="2044"/>
      <c r="AK583" s="204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423" t="s">
        <v>2679</v>
      </c>
      <c r="N584" s="2423"/>
      <c r="O584" s="2423"/>
      <c r="P584" s="2423"/>
      <c r="Q584" s="2423"/>
      <c r="R584" s="2423"/>
      <c r="S584" s="14"/>
      <c r="T584" s="35"/>
      <c r="U584" s="509" t="s">
        <v>1384</v>
      </c>
      <c r="V584" s="719"/>
      <c r="W584" s="719"/>
      <c r="X584" s="719"/>
      <c r="Y584" s="719"/>
      <c r="Z584" s="719"/>
      <c r="AA584" s="14"/>
      <c r="AB584" s="14"/>
      <c r="AC584" s="14"/>
      <c r="AD584" s="14"/>
      <c r="AE584" s="14"/>
      <c r="AF584" s="2423" t="s">
        <v>2599</v>
      </c>
      <c r="AG584" s="2423"/>
      <c r="AH584" s="2423"/>
      <c r="AI584" s="2423"/>
      <c r="AJ584" s="2423"/>
      <c r="AK584" s="2423"/>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62" t="s">
        <v>577</v>
      </c>
      <c r="O585" s="2062"/>
      <c r="T585" s="35"/>
      <c r="U585" s="12" t="s">
        <v>20</v>
      </c>
      <c r="AG585" s="2062" t="s">
        <v>577</v>
      </c>
      <c r="AH585" s="206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48" t="str">
        <f>C566</f>
        <v>City of Carlsbad</v>
      </c>
      <c r="H587" s="2048"/>
      <c r="I587" s="2048"/>
      <c r="J587" s="2048"/>
      <c r="K587" s="2048"/>
      <c r="L587" s="2048"/>
      <c r="M587" s="2048"/>
      <c r="N587" s="2048"/>
      <c r="O587" s="2048"/>
      <c r="P587" s="2048"/>
      <c r="Q587" s="2048"/>
      <c r="R587" s="2048"/>
      <c r="T587" s="87" t="s">
        <v>615</v>
      </c>
      <c r="U587" s="12" t="s">
        <v>495</v>
      </c>
      <c r="Z587" s="2048" t="str">
        <f>C567</f>
        <v>Deferred Developer Fee</v>
      </c>
      <c r="AA587" s="2048"/>
      <c r="AB587" s="2048"/>
      <c r="AC587" s="2048"/>
      <c r="AD587" s="2048"/>
      <c r="AE587" s="2048"/>
      <c r="AF587" s="2048"/>
      <c r="AG587" s="2048"/>
      <c r="AH587" s="2048"/>
      <c r="AI587" s="2048"/>
      <c r="AJ587" s="2048"/>
      <c r="AK587" s="204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4" t="s">
        <v>2524</v>
      </c>
      <c r="H588" s="2044"/>
      <c r="I588" s="2044"/>
      <c r="J588" s="2044"/>
      <c r="K588" s="2044"/>
      <c r="L588" s="2044"/>
      <c r="M588" s="2044"/>
      <c r="N588" s="2044"/>
      <c r="O588" s="2044"/>
      <c r="P588" s="2044"/>
      <c r="Q588" s="2044"/>
      <c r="R588" s="2044"/>
      <c r="T588" s="35"/>
      <c r="U588" s="12" t="s">
        <v>90</v>
      </c>
      <c r="Z588" s="2044" t="s">
        <v>2543</v>
      </c>
      <c r="AA588" s="2044"/>
      <c r="AB588" s="2044"/>
      <c r="AC588" s="2044"/>
      <c r="AD588" s="2044"/>
      <c r="AE588" s="2044"/>
      <c r="AF588" s="2044"/>
      <c r="AG588" s="2044"/>
      <c r="AH588" s="2044"/>
      <c r="AI588" s="2044"/>
      <c r="AJ588" s="2044"/>
      <c r="AK588" s="204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307" t="s">
        <v>2525</v>
      </c>
      <c r="H589" s="2307"/>
      <c r="I589" s="2307"/>
      <c r="J589" s="2307"/>
      <c r="K589" s="2307"/>
      <c r="L589" s="2307"/>
      <c r="M589" s="2307"/>
      <c r="N589" s="2307"/>
      <c r="O589" s="2307"/>
      <c r="P589" s="2307"/>
      <c r="Q589" s="2307"/>
      <c r="R589" s="2307"/>
      <c r="T589" s="35"/>
      <c r="U589" s="12" t="s">
        <v>614</v>
      </c>
      <c r="Z589" s="2307" t="s">
        <v>2544</v>
      </c>
      <c r="AA589" s="2307"/>
      <c r="AB589" s="2307"/>
      <c r="AC589" s="2307"/>
      <c r="AD589" s="2307"/>
      <c r="AE589" s="2307"/>
      <c r="AF589" s="2307"/>
      <c r="AG589" s="2307"/>
      <c r="AH589" s="2307"/>
      <c r="AI589" s="2307"/>
      <c r="AJ589" s="2307"/>
      <c r="AK589" s="230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307" t="s">
        <v>2742</v>
      </c>
      <c r="H590" s="2307"/>
      <c r="I590" s="2307"/>
      <c r="J590" s="2307"/>
      <c r="K590" s="2307"/>
      <c r="L590" s="2307"/>
      <c r="M590" s="2307"/>
      <c r="N590" s="2307"/>
      <c r="O590" s="2307"/>
      <c r="P590" s="2307"/>
      <c r="Q590" s="2307"/>
      <c r="R590" s="2307"/>
      <c r="T590" s="35"/>
      <c r="U590" s="12" t="s">
        <v>17</v>
      </c>
      <c r="Z590" s="2307" t="s">
        <v>2534</v>
      </c>
      <c r="AA590" s="2307"/>
      <c r="AB590" s="2307"/>
      <c r="AC590" s="2307"/>
      <c r="AD590" s="2307"/>
      <c r="AE590" s="2307"/>
      <c r="AF590" s="2307"/>
      <c r="AG590" s="2307"/>
      <c r="AH590" s="2307"/>
      <c r="AI590" s="2307"/>
      <c r="AJ590" s="2307"/>
      <c r="AK590" s="230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89">
        <v>7604342935</v>
      </c>
      <c r="H591" s="2089"/>
      <c r="I591" s="2089"/>
      <c r="J591" s="2089"/>
      <c r="K591" s="2089"/>
      <c r="L591" s="2089"/>
      <c r="O591" s="137" t="s">
        <v>212</v>
      </c>
      <c r="P591" s="2098"/>
      <c r="Q591" s="2098"/>
      <c r="R591" s="2098"/>
      <c r="T591" s="35"/>
      <c r="U591" s="12" t="s">
        <v>325</v>
      </c>
      <c r="Z591" s="2089">
        <v>7142887600</v>
      </c>
      <c r="AA591" s="2089"/>
      <c r="AB591" s="2089"/>
      <c r="AC591" s="2089"/>
      <c r="AD591" s="2089"/>
      <c r="AE591" s="2089"/>
      <c r="AH591" s="137" t="s">
        <v>212</v>
      </c>
      <c r="AI591" s="2098">
        <v>250</v>
      </c>
      <c r="AJ591" s="2098"/>
      <c r="AK591" s="209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4" t="s">
        <v>2600</v>
      </c>
      <c r="I592" s="2044"/>
      <c r="J592" s="2044"/>
      <c r="K592" s="2044"/>
      <c r="L592" s="2044"/>
      <c r="M592" s="2044"/>
      <c r="N592" s="2044"/>
      <c r="O592" s="2044"/>
      <c r="P592" s="2044"/>
      <c r="Q592" s="2044"/>
      <c r="R592" s="2044"/>
      <c r="T592" s="35"/>
      <c r="U592" s="12" t="s">
        <v>18</v>
      </c>
      <c r="AA592" s="2044" t="s">
        <v>490</v>
      </c>
      <c r="AB592" s="2044"/>
      <c r="AC592" s="2044"/>
      <c r="AD592" s="2044"/>
      <c r="AE592" s="2044"/>
      <c r="AF592" s="2044"/>
      <c r="AG592" s="2044"/>
      <c r="AH592" s="2044"/>
      <c r="AI592" s="2044"/>
      <c r="AJ592" s="2044"/>
      <c r="AK592" s="204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62" t="s">
        <v>577</v>
      </c>
      <c r="O593" s="2062"/>
      <c r="T593" s="35"/>
      <c r="U593" s="12" t="s">
        <v>20</v>
      </c>
      <c r="AG593" s="2062" t="s">
        <v>577</v>
      </c>
      <c r="AH593" s="206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48" t="str">
        <f>C568</f>
        <v>Income from Operations</v>
      </c>
      <c r="H595" s="2048"/>
      <c r="I595" s="2048"/>
      <c r="J595" s="2048"/>
      <c r="K595" s="2048"/>
      <c r="L595" s="2048"/>
      <c r="M595" s="2048"/>
      <c r="N595" s="2048"/>
      <c r="O595" s="2048"/>
      <c r="P595" s="2048"/>
      <c r="Q595" s="2048"/>
      <c r="R595" s="2048"/>
      <c r="T595" s="87" t="s">
        <v>618</v>
      </c>
      <c r="U595" s="12" t="s">
        <v>495</v>
      </c>
      <c r="Z595" s="2048" t="str">
        <f>C569</f>
        <v>Limited Partner Equity</v>
      </c>
      <c r="AA595" s="2048"/>
      <c r="AB595" s="2048"/>
      <c r="AC595" s="2048"/>
      <c r="AD595" s="2048"/>
      <c r="AE595" s="2048"/>
      <c r="AF595" s="2048"/>
      <c r="AG595" s="2048"/>
      <c r="AH595" s="2048"/>
      <c r="AI595" s="2048"/>
      <c r="AJ595" s="2048"/>
      <c r="AK595" s="204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4" t="s">
        <v>2543</v>
      </c>
      <c r="H596" s="2044"/>
      <c r="I596" s="2044"/>
      <c r="J596" s="2044"/>
      <c r="K596" s="2044"/>
      <c r="L596" s="2044"/>
      <c r="M596" s="2044"/>
      <c r="N596" s="2044"/>
      <c r="O596" s="2044"/>
      <c r="P596" s="2044"/>
      <c r="Q596" s="2044"/>
      <c r="R596" s="2044"/>
      <c r="T596" s="35"/>
      <c r="U596" s="12" t="s">
        <v>90</v>
      </c>
      <c r="Z596" s="2044" t="s">
        <v>2602</v>
      </c>
      <c r="AA596" s="2044"/>
      <c r="AB596" s="2044"/>
      <c r="AC596" s="2044"/>
      <c r="AD596" s="2044"/>
      <c r="AE596" s="2044"/>
      <c r="AF596" s="2044"/>
      <c r="AG596" s="2044"/>
      <c r="AH596" s="2044"/>
      <c r="AI596" s="2044"/>
      <c r="AJ596" s="2044"/>
      <c r="AK596" s="204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44" t="s">
        <v>2544</v>
      </c>
      <c r="H597" s="2044"/>
      <c r="I597" s="2044"/>
      <c r="J597" s="2044"/>
      <c r="K597" s="2044"/>
      <c r="L597" s="2044"/>
      <c r="M597" s="2044"/>
      <c r="N597" s="2044"/>
      <c r="O597" s="2044"/>
      <c r="P597" s="2044"/>
      <c r="Q597" s="2044"/>
      <c r="R597" s="2044"/>
      <c r="T597" s="35"/>
      <c r="U597" s="12" t="s">
        <v>614</v>
      </c>
      <c r="Z597" s="2307" t="s">
        <v>526</v>
      </c>
      <c r="AA597" s="2307"/>
      <c r="AB597" s="2307"/>
      <c r="AC597" s="2307"/>
      <c r="AD597" s="2307"/>
      <c r="AE597" s="2307"/>
      <c r="AF597" s="2307"/>
      <c r="AG597" s="2307"/>
      <c r="AH597" s="2307"/>
      <c r="AI597" s="2307"/>
      <c r="AJ597" s="2307"/>
      <c r="AK597" s="230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4" t="s">
        <v>2534</v>
      </c>
      <c r="H598" s="2044"/>
      <c r="I598" s="2044"/>
      <c r="J598" s="2044"/>
      <c r="K598" s="2044"/>
      <c r="L598" s="2044"/>
      <c r="M598" s="2044"/>
      <c r="N598" s="2044"/>
      <c r="O598" s="2044"/>
      <c r="P598" s="2044"/>
      <c r="Q598" s="2044"/>
      <c r="R598" s="2044"/>
      <c r="T598" s="35"/>
      <c r="U598" s="12" t="s">
        <v>17</v>
      </c>
      <c r="Z598" s="2307" t="s">
        <v>2574</v>
      </c>
      <c r="AA598" s="2307"/>
      <c r="AB598" s="2307"/>
      <c r="AC598" s="2307"/>
      <c r="AD598" s="2307"/>
      <c r="AE598" s="2307"/>
      <c r="AF598" s="2307"/>
      <c r="AG598" s="2307"/>
      <c r="AH598" s="2307"/>
      <c r="AI598" s="2307"/>
      <c r="AJ598" s="2307"/>
      <c r="AK598" s="230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89">
        <v>7142887600</v>
      </c>
      <c r="H599" s="2089"/>
      <c r="I599" s="2089"/>
      <c r="J599" s="2089"/>
      <c r="K599" s="2089"/>
      <c r="L599" s="2089"/>
      <c r="O599" s="137" t="s">
        <v>212</v>
      </c>
      <c r="P599" s="2098">
        <v>250</v>
      </c>
      <c r="Q599" s="2098"/>
      <c r="R599" s="2098"/>
      <c r="T599" s="35"/>
      <c r="U599" s="12" t="s">
        <v>325</v>
      </c>
      <c r="Z599" s="2089">
        <v>2132403144</v>
      </c>
      <c r="AA599" s="2089"/>
      <c r="AB599" s="2089"/>
      <c r="AC599" s="2089"/>
      <c r="AD599" s="2089"/>
      <c r="AE599" s="2089"/>
      <c r="AH599" s="137" t="s">
        <v>212</v>
      </c>
      <c r="AI599" s="2098"/>
      <c r="AJ599" s="2098"/>
      <c r="AK599" s="209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4" t="s">
        <v>2601</v>
      </c>
      <c r="I600" s="2044"/>
      <c r="J600" s="2044"/>
      <c r="K600" s="2044"/>
      <c r="L600" s="2044"/>
      <c r="M600" s="2044"/>
      <c r="N600" s="2044"/>
      <c r="O600" s="2044"/>
      <c r="P600" s="2044"/>
      <c r="Q600" s="2044"/>
      <c r="R600" s="2044"/>
      <c r="T600" s="35"/>
      <c r="U600" s="12" t="s">
        <v>18</v>
      </c>
      <c r="AA600" s="2044" t="s">
        <v>2601</v>
      </c>
      <c r="AB600" s="2044"/>
      <c r="AC600" s="2044"/>
      <c r="AD600" s="2044"/>
      <c r="AE600" s="2044"/>
      <c r="AF600" s="2044"/>
      <c r="AG600" s="2044"/>
      <c r="AH600" s="2044"/>
      <c r="AI600" s="2044"/>
      <c r="AJ600" s="2044"/>
      <c r="AK600" s="204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62" t="s">
        <v>577</v>
      </c>
      <c r="O601" s="2062"/>
      <c r="T601" s="35"/>
      <c r="U601" s="12" t="s">
        <v>20</v>
      </c>
      <c r="AG601" s="2062" t="s">
        <v>577</v>
      </c>
      <c r="AH601" s="2062"/>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48" t="str">
        <f>C570</f>
        <v>Other Costs Deferred Until Completion</v>
      </c>
      <c r="H603" s="2048"/>
      <c r="I603" s="2048"/>
      <c r="J603" s="2048"/>
      <c r="K603" s="2048"/>
      <c r="L603" s="2048"/>
      <c r="M603" s="2048"/>
      <c r="N603" s="2048"/>
      <c r="O603" s="2048"/>
      <c r="P603" s="2048"/>
      <c r="Q603" s="2048"/>
      <c r="R603" s="2048"/>
      <c r="T603" s="87" t="s">
        <v>487</v>
      </c>
      <c r="U603" s="12" t="s">
        <v>495</v>
      </c>
      <c r="Z603" s="2048" t="str">
        <f>C571</f>
        <v>General Partner Equity</v>
      </c>
      <c r="AA603" s="2048"/>
      <c r="AB603" s="2048"/>
      <c r="AC603" s="2048"/>
      <c r="AD603" s="2048"/>
      <c r="AE603" s="2048"/>
      <c r="AF603" s="2048"/>
      <c r="AG603" s="2048"/>
      <c r="AH603" s="2048"/>
      <c r="AI603" s="2048"/>
      <c r="AJ603" s="2048"/>
      <c r="AK603" s="204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4" t="s">
        <v>2543</v>
      </c>
      <c r="H604" s="2044"/>
      <c r="I604" s="2044"/>
      <c r="J604" s="2044"/>
      <c r="K604" s="2044"/>
      <c r="L604" s="2044"/>
      <c r="M604" s="2044"/>
      <c r="N604" s="2044"/>
      <c r="O604" s="2044"/>
      <c r="P604" s="2044"/>
      <c r="Q604" s="2044"/>
      <c r="R604" s="2044"/>
      <c r="T604" s="35"/>
      <c r="U604" s="12" t="s">
        <v>90</v>
      </c>
      <c r="Z604" s="2044" t="s">
        <v>2543</v>
      </c>
      <c r="AA604" s="2044"/>
      <c r="AB604" s="2044"/>
      <c r="AC604" s="2044"/>
      <c r="AD604" s="2044"/>
      <c r="AE604" s="2044"/>
      <c r="AF604" s="2044"/>
      <c r="AG604" s="2044"/>
      <c r="AH604" s="2044"/>
      <c r="AI604" s="2044"/>
      <c r="AJ604" s="2044"/>
      <c r="AK604" s="204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44" t="s">
        <v>2544</v>
      </c>
      <c r="H605" s="2044"/>
      <c r="I605" s="2044"/>
      <c r="J605" s="2044"/>
      <c r="K605" s="2044"/>
      <c r="L605" s="2044"/>
      <c r="M605" s="2044"/>
      <c r="N605" s="2044"/>
      <c r="O605" s="2044"/>
      <c r="P605" s="2044"/>
      <c r="Q605" s="2044"/>
      <c r="R605" s="2044"/>
      <c r="T605" s="35"/>
      <c r="U605" s="12" t="s">
        <v>614</v>
      </c>
      <c r="Z605" s="2307" t="s">
        <v>2544</v>
      </c>
      <c r="AA605" s="2307"/>
      <c r="AB605" s="2307"/>
      <c r="AC605" s="2307"/>
      <c r="AD605" s="2307"/>
      <c r="AE605" s="2307"/>
      <c r="AF605" s="2307"/>
      <c r="AG605" s="2307"/>
      <c r="AH605" s="2307"/>
      <c r="AI605" s="2307"/>
      <c r="AJ605" s="2307"/>
      <c r="AK605" s="230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4" t="s">
        <v>2534</v>
      </c>
      <c r="H606" s="2044"/>
      <c r="I606" s="2044"/>
      <c r="J606" s="2044"/>
      <c r="K606" s="2044"/>
      <c r="L606" s="2044"/>
      <c r="M606" s="2044"/>
      <c r="N606" s="2044"/>
      <c r="O606" s="2044"/>
      <c r="P606" s="2044"/>
      <c r="Q606" s="2044"/>
      <c r="R606" s="2044"/>
      <c r="T606" s="35"/>
      <c r="U606" s="12" t="s">
        <v>17</v>
      </c>
      <c r="Z606" s="2307" t="s">
        <v>2534</v>
      </c>
      <c r="AA606" s="2307"/>
      <c r="AB606" s="2307"/>
      <c r="AC606" s="2307"/>
      <c r="AD606" s="2307"/>
      <c r="AE606" s="2307"/>
      <c r="AF606" s="2307"/>
      <c r="AG606" s="2307"/>
      <c r="AH606" s="2307"/>
      <c r="AI606" s="2307"/>
      <c r="AJ606" s="2307"/>
      <c r="AK606" s="230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89">
        <v>7142887600</v>
      </c>
      <c r="H607" s="2089"/>
      <c r="I607" s="2089"/>
      <c r="J607" s="2089"/>
      <c r="K607" s="2089"/>
      <c r="L607" s="2089"/>
      <c r="M607" s="12"/>
      <c r="N607" s="12"/>
      <c r="O607" s="137" t="s">
        <v>212</v>
      </c>
      <c r="P607" s="2098">
        <v>250</v>
      </c>
      <c r="Q607" s="2098"/>
      <c r="R607" s="2098"/>
      <c r="S607" s="12"/>
      <c r="T607" s="35"/>
      <c r="U607" s="12" t="s">
        <v>325</v>
      </c>
      <c r="V607" s="12"/>
      <c r="W607" s="12"/>
      <c r="X607" s="12"/>
      <c r="Y607" s="12"/>
      <c r="Z607" s="2089">
        <v>7142887600</v>
      </c>
      <c r="AA607" s="2089"/>
      <c r="AB607" s="2089"/>
      <c r="AC607" s="2089"/>
      <c r="AD607" s="2089"/>
      <c r="AE607" s="2089"/>
      <c r="AF607" s="12"/>
      <c r="AG607" s="12"/>
      <c r="AH607" s="137" t="s">
        <v>212</v>
      </c>
      <c r="AI607" s="2098">
        <v>250</v>
      </c>
      <c r="AJ607" s="2098"/>
      <c r="AK607" s="209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4" t="s">
        <v>490</v>
      </c>
      <c r="I608" s="2044"/>
      <c r="J608" s="2044"/>
      <c r="K608" s="2044"/>
      <c r="L608" s="2044"/>
      <c r="M608" s="2044"/>
      <c r="N608" s="2044"/>
      <c r="O608" s="2044"/>
      <c r="P608" s="2044"/>
      <c r="Q608" s="2044"/>
      <c r="R608" s="2044"/>
      <c r="S608" s="12"/>
      <c r="T608" s="35"/>
      <c r="U608" s="12" t="s">
        <v>18</v>
      </c>
      <c r="V608" s="12"/>
      <c r="W608" s="12"/>
      <c r="X608" s="12"/>
      <c r="Y608" s="12"/>
      <c r="Z608" s="12"/>
      <c r="AA608" s="2044" t="s">
        <v>2601</v>
      </c>
      <c r="AB608" s="2044"/>
      <c r="AC608" s="2044"/>
      <c r="AD608" s="2044"/>
      <c r="AE608" s="2044"/>
      <c r="AF608" s="2044"/>
      <c r="AG608" s="2044"/>
      <c r="AH608" s="2044"/>
      <c r="AI608" s="2044"/>
      <c r="AJ608" s="2044"/>
      <c r="AK608" s="204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62" t="s">
        <v>577</v>
      </c>
      <c r="O609" s="2062"/>
      <c r="P609" s="12"/>
      <c r="Q609" s="12"/>
      <c r="R609" s="12"/>
      <c r="S609" s="12"/>
      <c r="T609" s="35"/>
      <c r="U609" s="12" t="s">
        <v>20</v>
      </c>
      <c r="V609" s="12"/>
      <c r="W609" s="12"/>
      <c r="X609" s="12"/>
      <c r="Y609" s="12"/>
      <c r="Z609" s="12"/>
      <c r="AA609" s="12"/>
      <c r="AB609" s="12"/>
      <c r="AC609" s="12"/>
      <c r="AD609" s="12"/>
      <c r="AE609" s="12"/>
      <c r="AF609" s="12"/>
      <c r="AG609" s="2062" t="s">
        <v>577</v>
      </c>
      <c r="AH609" s="2062"/>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536"/>
      <c r="BH609" s="2537"/>
      <c r="BI609" s="185" t="s">
        <v>507</v>
      </c>
      <c r="BJ609" s="186"/>
      <c r="BK609" s="2536"/>
      <c r="BL609" s="2537"/>
      <c r="BM609" s="58"/>
      <c r="BN609" s="2198" t="s">
        <v>667</v>
      </c>
      <c r="BO609" s="2199"/>
      <c r="BP609" s="2199"/>
      <c r="BQ609" s="2199"/>
      <c r="BR609" s="2200"/>
      <c r="BS609" s="2118" t="s">
        <v>334</v>
      </c>
      <c r="BT609" s="2118"/>
      <c r="BU609" s="2118"/>
      <c r="BV609" s="2118"/>
      <c r="BW609" s="2118"/>
      <c r="BX609" s="2118" t="s">
        <v>168</v>
      </c>
      <c r="BY609" s="2118"/>
      <c r="BZ609" s="2118"/>
      <c r="CA609" s="2118"/>
      <c r="CB609" s="2118"/>
      <c r="CC609" s="2118" t="s">
        <v>169</v>
      </c>
      <c r="CD609" s="2118"/>
      <c r="CE609" s="2118"/>
      <c r="CF609" s="2118"/>
      <c r="CG609" s="2118"/>
      <c r="CH609" s="2118" t="s">
        <v>492</v>
      </c>
      <c r="CI609" s="2118"/>
      <c r="CJ609" s="2118"/>
      <c r="CK609" s="2118"/>
      <c r="CL609" s="2118"/>
      <c r="CM609" s="2118" t="s">
        <v>31</v>
      </c>
      <c r="CN609" s="2118"/>
      <c r="CO609" s="2118"/>
      <c r="CP609" s="2118"/>
      <c r="CQ609" s="2118"/>
      <c r="CR609" s="1803"/>
      <c r="CS609" s="2118" t="s">
        <v>667</v>
      </c>
      <c r="CT609" s="2118"/>
      <c r="CU609" s="2118"/>
      <c r="CV609" s="2118"/>
      <c r="CW609" s="2118"/>
      <c r="CX609" s="2118" t="s">
        <v>334</v>
      </c>
      <c r="CY609" s="2118"/>
      <c r="CZ609" s="2118"/>
      <c r="DA609" s="2118"/>
      <c r="DB609" s="2118"/>
      <c r="DC609" s="2118" t="s">
        <v>168</v>
      </c>
      <c r="DD609" s="2118"/>
      <c r="DE609" s="2118"/>
      <c r="DF609" s="2118"/>
      <c r="DG609" s="2118"/>
      <c r="DH609" s="2118" t="s">
        <v>169</v>
      </c>
      <c r="DI609" s="2118"/>
      <c r="DJ609" s="2118"/>
      <c r="DK609" s="2118"/>
      <c r="DL609" s="2118"/>
      <c r="DM609" s="2118" t="s">
        <v>492</v>
      </c>
      <c r="DN609" s="2118"/>
      <c r="DO609" s="2118"/>
      <c r="DP609" s="2118"/>
      <c r="DQ609" s="2118"/>
      <c r="DR609" s="2118" t="s">
        <v>31</v>
      </c>
      <c r="DS609" s="2118"/>
      <c r="DT609" s="2118"/>
      <c r="DU609" s="2118"/>
      <c r="DV609" s="2118"/>
      <c r="DX609" s="2118" t="s">
        <v>667</v>
      </c>
      <c r="DY609" s="2118"/>
      <c r="DZ609" s="2118"/>
      <c r="EA609" s="2118"/>
      <c r="EB609" s="2118"/>
      <c r="EC609" s="2118" t="s">
        <v>334</v>
      </c>
      <c r="ED609" s="2118"/>
      <c r="EE609" s="2118"/>
      <c r="EF609" s="2118"/>
      <c r="EG609" s="2118"/>
      <c r="EH609" s="2118" t="s">
        <v>168</v>
      </c>
      <c r="EI609" s="2118"/>
      <c r="EJ609" s="2118"/>
      <c r="EK609" s="2118"/>
      <c r="EL609" s="2118"/>
      <c r="EM609" s="2118" t="s">
        <v>169</v>
      </c>
      <c r="EN609" s="2118"/>
      <c r="EO609" s="2118"/>
      <c r="EP609" s="2118"/>
      <c r="EQ609" s="2118"/>
      <c r="ER609" s="2118" t="s">
        <v>492</v>
      </c>
      <c r="ES609" s="2118"/>
      <c r="ET609" s="2118"/>
      <c r="EU609" s="2118"/>
      <c r="EV609" s="2118"/>
      <c r="EW609" s="2118" t="s">
        <v>31</v>
      </c>
      <c r="EX609" s="2118"/>
      <c r="EY609" s="2118"/>
      <c r="EZ609" s="2118"/>
      <c r="FA609" s="211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67">
        <f t="shared" ref="BE610:BE634" si="0">IF(AND(AH728&lt;=0.5,AH728&gt;=0.36),1,0)</f>
        <v>0</v>
      </c>
      <c r="BF610" s="2069"/>
      <c r="BG610" s="2536">
        <f t="shared" ref="BG610:BG634" si="1">IF(BE610=1,G728,0)</f>
        <v>0</v>
      </c>
      <c r="BH610" s="2537"/>
      <c r="BI610" s="2067">
        <f t="shared" ref="BI610:BI634" si="2">IF(AND(AH728&lt;=0.35,AH728&gt;0),1,0)</f>
        <v>1</v>
      </c>
      <c r="BJ610" s="2069"/>
      <c r="BK610" s="2536">
        <f t="shared" ref="BK610:BK634" si="3">IF(BI610=1,G728,0)</f>
        <v>2</v>
      </c>
      <c r="BL610" s="2537"/>
      <c r="BM610" s="58"/>
      <c r="BN610" s="2059">
        <f t="shared" ref="BN610:BN634" si="4">IF(B728="SRO/Studio",G728,0)</f>
        <v>0</v>
      </c>
      <c r="BO610" s="2060"/>
      <c r="BP610" s="2060"/>
      <c r="BQ610" s="2060"/>
      <c r="BR610" s="2061"/>
      <c r="BS610" s="2058">
        <f t="shared" ref="BS610:BS634" si="5">IF(B728="1 Bedroom",G728,0)</f>
        <v>2</v>
      </c>
      <c r="BT610" s="2058"/>
      <c r="BU610" s="2058"/>
      <c r="BV610" s="2058"/>
      <c r="BW610" s="2058"/>
      <c r="BX610" s="2058">
        <f t="shared" ref="BX610:BX634" si="6">IF(B728="2 Bedrooms",G728,0)</f>
        <v>0</v>
      </c>
      <c r="BY610" s="2058"/>
      <c r="BZ610" s="2058"/>
      <c r="CA610" s="2058"/>
      <c r="CB610" s="2058"/>
      <c r="CC610" s="2058">
        <f t="shared" ref="CC610:CC634" si="7">IF(B728="3 Bedrooms",G728,0)</f>
        <v>0</v>
      </c>
      <c r="CD610" s="2058"/>
      <c r="CE610" s="2058"/>
      <c r="CF610" s="2058"/>
      <c r="CG610" s="2058"/>
      <c r="CH610" s="2058">
        <f t="shared" ref="CH610:CH634" si="8">IF(B728="4 Bedrooms",G728,0)</f>
        <v>0</v>
      </c>
      <c r="CI610" s="2058"/>
      <c r="CJ610" s="2058"/>
      <c r="CK610" s="2058"/>
      <c r="CL610" s="2058"/>
      <c r="CM610" s="2058">
        <f t="shared" ref="CM610:CM634" si="9">IF(B728="5 Bedrooms",G728,0)</f>
        <v>0</v>
      </c>
      <c r="CN610" s="2058"/>
      <c r="CO610" s="2058"/>
      <c r="CP610" s="2058"/>
      <c r="CQ610" s="2058"/>
      <c r="CR610" s="265"/>
      <c r="CS610" s="2079">
        <f t="shared" ref="CS610:CS634" si="10">IF(AND(B728="SRO/Studio",AH728&lt;=0.3),G728,0)</f>
        <v>0</v>
      </c>
      <c r="CT610" s="2079"/>
      <c r="CU610" s="2079"/>
      <c r="CV610" s="2079"/>
      <c r="CW610" s="2079"/>
      <c r="CX610" s="2079">
        <f t="shared" ref="CX610:CX634" si="11">IF(AND(B728="1 Bedroom",AH728&lt;=0.3),G728,0)</f>
        <v>2</v>
      </c>
      <c r="CY610" s="2079"/>
      <c r="CZ610" s="2079"/>
      <c r="DA610" s="2079"/>
      <c r="DB610" s="2079"/>
      <c r="DC610" s="2079">
        <f t="shared" ref="DC610:DC634" si="12">IF(AND(B728="2 Bedrooms",AH728&lt;=0.3),G728,0)</f>
        <v>0</v>
      </c>
      <c r="DD610" s="2079"/>
      <c r="DE610" s="2079"/>
      <c r="DF610" s="2079"/>
      <c r="DG610" s="2079"/>
      <c r="DH610" s="2079">
        <f t="shared" ref="DH610:DH634" si="13">IF(AND(B728="3 Bedrooms",AH728&lt;=0.3),G728,0)</f>
        <v>0</v>
      </c>
      <c r="DI610" s="2079"/>
      <c r="DJ610" s="2079"/>
      <c r="DK610" s="2079"/>
      <c r="DL610" s="2079"/>
      <c r="DM610" s="2079">
        <f t="shared" ref="DM610:DM634" si="14">IF(AND(B728="4 Bedrooms",AH728&lt;=0.3),G728,0)</f>
        <v>0</v>
      </c>
      <c r="DN610" s="2079"/>
      <c r="DO610" s="2079"/>
      <c r="DP610" s="2079"/>
      <c r="DQ610" s="2079"/>
      <c r="DR610" s="2079">
        <f t="shared" ref="DR610:DR634" si="15">IF(AND(B728="5 Bedrooms",AH728&lt;=0.3),G728,0)</f>
        <v>0</v>
      </c>
      <c r="DS610" s="2079"/>
      <c r="DT610" s="2079"/>
      <c r="DU610" s="2079"/>
      <c r="DV610" s="2079"/>
      <c r="DX610" s="2067" t="str">
        <f t="shared" ref="DX610:DX634" si="16">IF(BN610&gt;0,O728," ")</f>
        <v xml:space="preserve"> </v>
      </c>
      <c r="DY610" s="2068"/>
      <c r="DZ610" s="2068"/>
      <c r="EA610" s="2068"/>
      <c r="EB610" s="2069"/>
      <c r="EC610" s="2067">
        <f t="shared" ref="EC610:EC634" si="17">IF(BS610&gt;0,O728," ")</f>
        <v>668</v>
      </c>
      <c r="ED610" s="2068"/>
      <c r="EE610" s="2068"/>
      <c r="EF610" s="2068"/>
      <c r="EG610" s="2069"/>
      <c r="EH610" s="2067" t="str">
        <f t="shared" ref="EH610:EH634" si="18">IF(BX610&gt;0,O728," ")</f>
        <v xml:space="preserve"> </v>
      </c>
      <c r="EI610" s="2068"/>
      <c r="EJ610" s="2068"/>
      <c r="EK610" s="2068"/>
      <c r="EL610" s="2069"/>
      <c r="EM610" s="2067" t="str">
        <f t="shared" ref="EM610:EM634" si="19">IF(CC610&gt;0,O728," ")</f>
        <v xml:space="preserve"> </v>
      </c>
      <c r="EN610" s="2068"/>
      <c r="EO610" s="2068"/>
      <c r="EP610" s="2068"/>
      <c r="EQ610" s="2069"/>
      <c r="ER610" s="2067" t="str">
        <f t="shared" ref="ER610:ER634" si="20">IF(CH610&gt;0,O728," ")</f>
        <v xml:space="preserve"> </v>
      </c>
      <c r="ES610" s="2068"/>
      <c r="ET610" s="2068"/>
      <c r="EU610" s="2068"/>
      <c r="EV610" s="2069"/>
      <c r="EW610" s="2067" t="str">
        <f t="shared" ref="EW610:EW634" si="21">IF(CM610&gt;0,O728," ")</f>
        <v xml:space="preserve"> </v>
      </c>
      <c r="EX610" s="2068"/>
      <c r="EY610" s="2068"/>
      <c r="EZ610" s="2068"/>
      <c r="FA610" s="2069"/>
    </row>
    <row r="611" spans="1:157" s="7" customFormat="1" ht="12.75">
      <c r="A611" s="87" t="s">
        <v>493</v>
      </c>
      <c r="B611" s="12" t="s">
        <v>495</v>
      </c>
      <c r="C611" s="12"/>
      <c r="D611" s="12"/>
      <c r="E611" s="12"/>
      <c r="F611" s="12"/>
      <c r="G611" s="2048">
        <f>C572</f>
        <v>0</v>
      </c>
      <c r="H611" s="2048"/>
      <c r="I611" s="2048"/>
      <c r="J611" s="2048"/>
      <c r="K611" s="2048"/>
      <c r="L611" s="2048"/>
      <c r="M611" s="2048"/>
      <c r="N611" s="2048"/>
      <c r="O611" s="2048"/>
      <c r="P611" s="2048"/>
      <c r="Q611" s="2048"/>
      <c r="R611" s="2048"/>
      <c r="S611" s="12"/>
      <c r="T611" s="87" t="s">
        <v>680</v>
      </c>
      <c r="U611" s="12" t="s">
        <v>495</v>
      </c>
      <c r="V611" s="12"/>
      <c r="W611" s="12"/>
      <c r="X611" s="12"/>
      <c r="Y611" s="12"/>
      <c r="Z611" s="2048">
        <f>C573</f>
        <v>0</v>
      </c>
      <c r="AA611" s="2048"/>
      <c r="AB611" s="2048"/>
      <c r="AC611" s="2048"/>
      <c r="AD611" s="2048"/>
      <c r="AE611" s="2048"/>
      <c r="AF611" s="2048"/>
      <c r="AG611" s="2048"/>
      <c r="AH611" s="2048"/>
      <c r="AI611" s="2048"/>
      <c r="AJ611" s="2048"/>
      <c r="AK611" s="2048"/>
      <c r="AL611" s="12"/>
      <c r="AM611" s="39"/>
      <c r="AN611" s="39"/>
      <c r="AO611" s="39"/>
      <c r="AP611" s="39"/>
      <c r="AQ611" s="39"/>
      <c r="AR611" s="39"/>
      <c r="AS611" s="39"/>
      <c r="AT611" s="39"/>
      <c r="AU611" s="39"/>
      <c r="AV611" s="39"/>
      <c r="AW611" s="39"/>
      <c r="AX611" s="39"/>
      <c r="AY611" s="39"/>
      <c r="BA611" s="7" t="s">
        <v>168</v>
      </c>
      <c r="BB611" s="58"/>
      <c r="BC611" s="58"/>
      <c r="BD611" s="58"/>
      <c r="BE611" s="2067">
        <f t="shared" si="0"/>
        <v>0</v>
      </c>
      <c r="BF611" s="2069"/>
      <c r="BG611" s="2536">
        <f t="shared" si="1"/>
        <v>0</v>
      </c>
      <c r="BH611" s="2537"/>
      <c r="BI611" s="2067">
        <f t="shared" si="2"/>
        <v>1</v>
      </c>
      <c r="BJ611" s="2069"/>
      <c r="BK611" s="2536">
        <f t="shared" si="3"/>
        <v>2</v>
      </c>
      <c r="BL611" s="2537"/>
      <c r="BM611" s="58"/>
      <c r="BN611" s="2059">
        <f t="shared" si="4"/>
        <v>0</v>
      </c>
      <c r="BO611" s="2060"/>
      <c r="BP611" s="2060"/>
      <c r="BQ611" s="2060"/>
      <c r="BR611" s="2061"/>
      <c r="BS611" s="2058">
        <f t="shared" si="5"/>
        <v>0</v>
      </c>
      <c r="BT611" s="2058"/>
      <c r="BU611" s="2058"/>
      <c r="BV611" s="2058"/>
      <c r="BW611" s="2058"/>
      <c r="BX611" s="2058">
        <f t="shared" si="6"/>
        <v>2</v>
      </c>
      <c r="BY611" s="2058"/>
      <c r="BZ611" s="2058"/>
      <c r="CA611" s="2058"/>
      <c r="CB611" s="2058"/>
      <c r="CC611" s="2058">
        <f t="shared" si="7"/>
        <v>0</v>
      </c>
      <c r="CD611" s="2058"/>
      <c r="CE611" s="2058"/>
      <c r="CF611" s="2058"/>
      <c r="CG611" s="2058"/>
      <c r="CH611" s="2058">
        <f t="shared" si="8"/>
        <v>0</v>
      </c>
      <c r="CI611" s="2058"/>
      <c r="CJ611" s="2058"/>
      <c r="CK611" s="2058"/>
      <c r="CL611" s="2058"/>
      <c r="CM611" s="2058">
        <f t="shared" si="9"/>
        <v>0</v>
      </c>
      <c r="CN611" s="2058"/>
      <c r="CO611" s="2058"/>
      <c r="CP611" s="2058"/>
      <c r="CQ611" s="2058"/>
      <c r="CR611" s="265"/>
      <c r="CS611" s="2079">
        <f t="shared" si="10"/>
        <v>0</v>
      </c>
      <c r="CT611" s="2079"/>
      <c r="CU611" s="2079"/>
      <c r="CV611" s="2079"/>
      <c r="CW611" s="2079"/>
      <c r="CX611" s="2079">
        <f t="shared" si="11"/>
        <v>0</v>
      </c>
      <c r="CY611" s="2079"/>
      <c r="CZ611" s="2079"/>
      <c r="DA611" s="2079"/>
      <c r="DB611" s="2079"/>
      <c r="DC611" s="2079">
        <f t="shared" si="12"/>
        <v>2</v>
      </c>
      <c r="DD611" s="2079"/>
      <c r="DE611" s="2079"/>
      <c r="DF611" s="2079"/>
      <c r="DG611" s="2079"/>
      <c r="DH611" s="2079">
        <f t="shared" si="13"/>
        <v>0</v>
      </c>
      <c r="DI611" s="2079"/>
      <c r="DJ611" s="2079"/>
      <c r="DK611" s="2079"/>
      <c r="DL611" s="2079"/>
      <c r="DM611" s="2079">
        <f t="shared" si="14"/>
        <v>0</v>
      </c>
      <c r="DN611" s="2079"/>
      <c r="DO611" s="2079"/>
      <c r="DP611" s="2079"/>
      <c r="DQ611" s="2079"/>
      <c r="DR611" s="2079">
        <f t="shared" si="15"/>
        <v>0</v>
      </c>
      <c r="DS611" s="2079"/>
      <c r="DT611" s="2079"/>
      <c r="DU611" s="2079"/>
      <c r="DV611" s="2079"/>
      <c r="DX611" s="2067" t="str">
        <f t="shared" si="16"/>
        <v xml:space="preserve"> </v>
      </c>
      <c r="DY611" s="2068"/>
      <c r="DZ611" s="2068"/>
      <c r="EA611" s="2068"/>
      <c r="EB611" s="2069"/>
      <c r="EC611" s="2067" t="str">
        <f t="shared" si="17"/>
        <v xml:space="preserve"> </v>
      </c>
      <c r="ED611" s="2068"/>
      <c r="EE611" s="2068"/>
      <c r="EF611" s="2068"/>
      <c r="EG611" s="2069"/>
      <c r="EH611" s="2067">
        <f t="shared" si="18"/>
        <v>799</v>
      </c>
      <c r="EI611" s="2068"/>
      <c r="EJ611" s="2068"/>
      <c r="EK611" s="2068"/>
      <c r="EL611" s="2069"/>
      <c r="EM611" s="2067" t="str">
        <f t="shared" si="19"/>
        <v xml:space="preserve"> </v>
      </c>
      <c r="EN611" s="2068"/>
      <c r="EO611" s="2068"/>
      <c r="EP611" s="2068"/>
      <c r="EQ611" s="2069"/>
      <c r="ER611" s="2067" t="str">
        <f t="shared" si="20"/>
        <v xml:space="preserve"> </v>
      </c>
      <c r="ES611" s="2068"/>
      <c r="ET611" s="2068"/>
      <c r="EU611" s="2068"/>
      <c r="EV611" s="2069"/>
      <c r="EW611" s="2067" t="str">
        <f t="shared" si="21"/>
        <v xml:space="preserve"> </v>
      </c>
      <c r="EX611" s="2068"/>
      <c r="EY611" s="2068"/>
      <c r="EZ611" s="2068"/>
      <c r="FA611" s="2069"/>
    </row>
    <row r="612" spans="1:157" ht="12.75">
      <c r="A612" s="35"/>
      <c r="B612" s="12" t="s">
        <v>90</v>
      </c>
      <c r="G612" s="2044"/>
      <c r="H612" s="2044"/>
      <c r="I612" s="2044"/>
      <c r="J612" s="2044"/>
      <c r="K612" s="2044"/>
      <c r="L612" s="2044"/>
      <c r="M612" s="2044"/>
      <c r="N612" s="2044"/>
      <c r="O612" s="2044"/>
      <c r="P612" s="2044"/>
      <c r="Q612" s="2044"/>
      <c r="R612" s="2044"/>
      <c r="T612" s="35"/>
      <c r="U612" s="12" t="s">
        <v>90</v>
      </c>
      <c r="Z612" s="2044"/>
      <c r="AA612" s="2044"/>
      <c r="AB612" s="2044"/>
      <c r="AC612" s="2044"/>
      <c r="AD612" s="2044"/>
      <c r="AE612" s="2044"/>
      <c r="AF612" s="2044"/>
      <c r="AG612" s="2044"/>
      <c r="AH612" s="2044"/>
      <c r="AI612" s="2044"/>
      <c r="AJ612" s="2044"/>
      <c r="AK612" s="2044"/>
      <c r="BA612" s="7" t="s">
        <v>169</v>
      </c>
      <c r="BB612" s="58"/>
      <c r="BC612" s="58"/>
      <c r="BD612" s="58"/>
      <c r="BE612" s="2067">
        <f t="shared" si="0"/>
        <v>0</v>
      </c>
      <c r="BF612" s="2069"/>
      <c r="BG612" s="2536">
        <f t="shared" si="1"/>
        <v>0</v>
      </c>
      <c r="BH612" s="2537"/>
      <c r="BI612" s="2067">
        <f t="shared" si="2"/>
        <v>1</v>
      </c>
      <c r="BJ612" s="2069"/>
      <c r="BK612" s="2536">
        <f t="shared" si="3"/>
        <v>5</v>
      </c>
      <c r="BL612" s="2537"/>
      <c r="BM612" s="58"/>
      <c r="BN612" s="2059">
        <f t="shared" si="4"/>
        <v>0</v>
      </c>
      <c r="BO612" s="2060"/>
      <c r="BP612" s="2060"/>
      <c r="BQ612" s="2060"/>
      <c r="BR612" s="2061"/>
      <c r="BS612" s="2058">
        <f t="shared" si="5"/>
        <v>0</v>
      </c>
      <c r="BT612" s="2058"/>
      <c r="BU612" s="2058"/>
      <c r="BV612" s="2058"/>
      <c r="BW612" s="2058"/>
      <c r="BX612" s="2058">
        <f t="shared" si="6"/>
        <v>0</v>
      </c>
      <c r="BY612" s="2058"/>
      <c r="BZ612" s="2058"/>
      <c r="CA612" s="2058"/>
      <c r="CB612" s="2058"/>
      <c r="CC612" s="2058">
        <f t="shared" si="7"/>
        <v>5</v>
      </c>
      <c r="CD612" s="2058"/>
      <c r="CE612" s="2058"/>
      <c r="CF612" s="2058"/>
      <c r="CG612" s="2058"/>
      <c r="CH612" s="2058">
        <f t="shared" si="8"/>
        <v>0</v>
      </c>
      <c r="CI612" s="2058"/>
      <c r="CJ612" s="2058"/>
      <c r="CK612" s="2058"/>
      <c r="CL612" s="2058"/>
      <c r="CM612" s="2058">
        <f t="shared" si="9"/>
        <v>0</v>
      </c>
      <c r="CN612" s="2058"/>
      <c r="CO612" s="2058"/>
      <c r="CP612" s="2058"/>
      <c r="CQ612" s="2058"/>
      <c r="CR612" s="265"/>
      <c r="CS612" s="2079">
        <f t="shared" si="10"/>
        <v>0</v>
      </c>
      <c r="CT612" s="2079"/>
      <c r="CU612" s="2079"/>
      <c r="CV612" s="2079"/>
      <c r="CW612" s="2079"/>
      <c r="CX612" s="2079">
        <f t="shared" si="11"/>
        <v>0</v>
      </c>
      <c r="CY612" s="2079"/>
      <c r="CZ612" s="2079"/>
      <c r="DA612" s="2079"/>
      <c r="DB612" s="2079"/>
      <c r="DC612" s="2079">
        <f t="shared" si="12"/>
        <v>0</v>
      </c>
      <c r="DD612" s="2079"/>
      <c r="DE612" s="2079"/>
      <c r="DF612" s="2079"/>
      <c r="DG612" s="2079"/>
      <c r="DH612" s="2079">
        <f t="shared" si="13"/>
        <v>5</v>
      </c>
      <c r="DI612" s="2079"/>
      <c r="DJ612" s="2079"/>
      <c r="DK612" s="2079"/>
      <c r="DL612" s="2079"/>
      <c r="DM612" s="2079">
        <f t="shared" si="14"/>
        <v>0</v>
      </c>
      <c r="DN612" s="2079"/>
      <c r="DO612" s="2079"/>
      <c r="DP612" s="2079"/>
      <c r="DQ612" s="2079"/>
      <c r="DR612" s="2079">
        <f t="shared" si="15"/>
        <v>0</v>
      </c>
      <c r="DS612" s="2079"/>
      <c r="DT612" s="2079"/>
      <c r="DU612" s="2079"/>
      <c r="DV612" s="2079"/>
      <c r="DX612" s="2067" t="str">
        <f t="shared" si="16"/>
        <v xml:space="preserve"> </v>
      </c>
      <c r="DY612" s="2068"/>
      <c r="DZ612" s="2068"/>
      <c r="EA612" s="2068"/>
      <c r="EB612" s="2069"/>
      <c r="EC612" s="2067" t="str">
        <f t="shared" si="17"/>
        <v xml:space="preserve"> </v>
      </c>
      <c r="ED612" s="2068"/>
      <c r="EE612" s="2068"/>
      <c r="EF612" s="2068"/>
      <c r="EG612" s="2069"/>
      <c r="EH612" s="2067" t="str">
        <f t="shared" si="18"/>
        <v xml:space="preserve"> </v>
      </c>
      <c r="EI612" s="2068"/>
      <c r="EJ612" s="2068"/>
      <c r="EK612" s="2068"/>
      <c r="EL612" s="2069"/>
      <c r="EM612" s="2067">
        <f t="shared" si="19"/>
        <v>924</v>
      </c>
      <c r="EN612" s="2068"/>
      <c r="EO612" s="2068"/>
      <c r="EP612" s="2068"/>
      <c r="EQ612" s="2069"/>
      <c r="ER612" s="2067" t="str">
        <f t="shared" si="20"/>
        <v xml:space="preserve"> </v>
      </c>
      <c r="ES612" s="2068"/>
      <c r="ET612" s="2068"/>
      <c r="EU612" s="2068"/>
      <c r="EV612" s="2069"/>
      <c r="EW612" s="2067" t="str">
        <f t="shared" si="21"/>
        <v xml:space="preserve"> </v>
      </c>
      <c r="EX612" s="2068"/>
      <c r="EY612" s="2068"/>
      <c r="EZ612" s="2068"/>
      <c r="FA612" s="2069"/>
    </row>
    <row r="613" spans="1:157" ht="12.75">
      <c r="A613" s="35"/>
      <c r="B613" s="12" t="s">
        <v>614</v>
      </c>
      <c r="G613" s="2044"/>
      <c r="H613" s="2044"/>
      <c r="I613" s="2044"/>
      <c r="J613" s="2044"/>
      <c r="K613" s="2044"/>
      <c r="L613" s="2044"/>
      <c r="M613" s="2044"/>
      <c r="N613" s="2044"/>
      <c r="O613" s="2044"/>
      <c r="P613" s="2044"/>
      <c r="Q613" s="2044"/>
      <c r="R613" s="2044"/>
      <c r="T613" s="35"/>
      <c r="U613" s="12" t="s">
        <v>614</v>
      </c>
      <c r="Z613" s="2307"/>
      <c r="AA613" s="2307"/>
      <c r="AB613" s="2307"/>
      <c r="AC613" s="2307"/>
      <c r="AD613" s="2307"/>
      <c r="AE613" s="2307"/>
      <c r="AF613" s="2307"/>
      <c r="AG613" s="2307"/>
      <c r="AH613" s="2307"/>
      <c r="AI613" s="2307"/>
      <c r="AJ613" s="2307"/>
      <c r="AK613" s="2307"/>
      <c r="BA613" s="7" t="s">
        <v>170</v>
      </c>
      <c r="BB613" s="58"/>
      <c r="BC613" s="58"/>
      <c r="BD613" s="58"/>
      <c r="BE613" s="2067">
        <f t="shared" si="0"/>
        <v>1</v>
      </c>
      <c r="BF613" s="2069"/>
      <c r="BG613" s="2536">
        <f t="shared" si="1"/>
        <v>12</v>
      </c>
      <c r="BH613" s="2537"/>
      <c r="BI613" s="2067">
        <f t="shared" si="2"/>
        <v>0</v>
      </c>
      <c r="BJ613" s="2069"/>
      <c r="BK613" s="2536">
        <f t="shared" si="3"/>
        <v>0</v>
      </c>
      <c r="BL613" s="2537"/>
      <c r="BM613" s="58"/>
      <c r="BN613" s="2059">
        <f t="shared" si="4"/>
        <v>0</v>
      </c>
      <c r="BO613" s="2060"/>
      <c r="BP613" s="2060"/>
      <c r="BQ613" s="2060"/>
      <c r="BR613" s="2061"/>
      <c r="BS613" s="2058">
        <f t="shared" si="5"/>
        <v>12</v>
      </c>
      <c r="BT613" s="2058"/>
      <c r="BU613" s="2058"/>
      <c r="BV613" s="2058"/>
      <c r="BW613" s="2058"/>
      <c r="BX613" s="2058">
        <f t="shared" si="6"/>
        <v>0</v>
      </c>
      <c r="BY613" s="2058"/>
      <c r="BZ613" s="2058"/>
      <c r="CA613" s="2058"/>
      <c r="CB613" s="2058"/>
      <c r="CC613" s="2058">
        <f t="shared" si="7"/>
        <v>0</v>
      </c>
      <c r="CD613" s="2058"/>
      <c r="CE613" s="2058"/>
      <c r="CF613" s="2058"/>
      <c r="CG613" s="2058"/>
      <c r="CH613" s="2058">
        <f t="shared" si="8"/>
        <v>0</v>
      </c>
      <c r="CI613" s="2058"/>
      <c r="CJ613" s="2058"/>
      <c r="CK613" s="2058"/>
      <c r="CL613" s="2058"/>
      <c r="CM613" s="2058">
        <f t="shared" si="9"/>
        <v>0</v>
      </c>
      <c r="CN613" s="2058"/>
      <c r="CO613" s="2058"/>
      <c r="CP613" s="2058"/>
      <c r="CQ613" s="2058"/>
      <c r="CR613" s="265"/>
      <c r="CS613" s="2079">
        <f t="shared" si="10"/>
        <v>0</v>
      </c>
      <c r="CT613" s="2079"/>
      <c r="CU613" s="2079"/>
      <c r="CV613" s="2079"/>
      <c r="CW613" s="2079"/>
      <c r="CX613" s="2079">
        <f t="shared" si="11"/>
        <v>0</v>
      </c>
      <c r="CY613" s="2079"/>
      <c r="CZ613" s="2079"/>
      <c r="DA613" s="2079"/>
      <c r="DB613" s="2079"/>
      <c r="DC613" s="2079">
        <f t="shared" si="12"/>
        <v>0</v>
      </c>
      <c r="DD613" s="2079"/>
      <c r="DE613" s="2079"/>
      <c r="DF613" s="2079"/>
      <c r="DG613" s="2079"/>
      <c r="DH613" s="2079">
        <f t="shared" si="13"/>
        <v>0</v>
      </c>
      <c r="DI613" s="2079"/>
      <c r="DJ613" s="2079"/>
      <c r="DK613" s="2079"/>
      <c r="DL613" s="2079"/>
      <c r="DM613" s="2079">
        <f t="shared" si="14"/>
        <v>0</v>
      </c>
      <c r="DN613" s="2079"/>
      <c r="DO613" s="2079"/>
      <c r="DP613" s="2079"/>
      <c r="DQ613" s="2079"/>
      <c r="DR613" s="2079">
        <f t="shared" si="15"/>
        <v>0</v>
      </c>
      <c r="DS613" s="2079"/>
      <c r="DT613" s="2079"/>
      <c r="DU613" s="2079"/>
      <c r="DV613" s="2079"/>
      <c r="DX613" s="2067" t="str">
        <f t="shared" si="16"/>
        <v xml:space="preserve"> </v>
      </c>
      <c r="DY613" s="2068"/>
      <c r="DZ613" s="2068"/>
      <c r="EA613" s="2068"/>
      <c r="EB613" s="2069"/>
      <c r="EC613" s="2067">
        <f t="shared" si="17"/>
        <v>895</v>
      </c>
      <c r="ED613" s="2068"/>
      <c r="EE613" s="2068"/>
      <c r="EF613" s="2068"/>
      <c r="EG613" s="2069"/>
      <c r="EH613" s="2067" t="str">
        <f t="shared" si="18"/>
        <v xml:space="preserve"> </v>
      </c>
      <c r="EI613" s="2068"/>
      <c r="EJ613" s="2068"/>
      <c r="EK613" s="2068"/>
      <c r="EL613" s="2069"/>
      <c r="EM613" s="2067" t="str">
        <f t="shared" si="19"/>
        <v xml:space="preserve"> </v>
      </c>
      <c r="EN613" s="2068"/>
      <c r="EO613" s="2068"/>
      <c r="EP613" s="2068"/>
      <c r="EQ613" s="2069"/>
      <c r="ER613" s="2067" t="str">
        <f t="shared" si="20"/>
        <v xml:space="preserve"> </v>
      </c>
      <c r="ES613" s="2068"/>
      <c r="ET613" s="2068"/>
      <c r="EU613" s="2068"/>
      <c r="EV613" s="2069"/>
      <c r="EW613" s="2067" t="str">
        <f t="shared" si="21"/>
        <v xml:space="preserve"> </v>
      </c>
      <c r="EX613" s="2068"/>
      <c r="EY613" s="2068"/>
      <c r="EZ613" s="2068"/>
      <c r="FA613" s="2069"/>
    </row>
    <row r="614" spans="1:157" ht="12.75">
      <c r="A614" s="35"/>
      <c r="B614" s="12" t="s">
        <v>17</v>
      </c>
      <c r="G614" s="2044"/>
      <c r="H614" s="2044"/>
      <c r="I614" s="2044"/>
      <c r="J614" s="2044"/>
      <c r="K614" s="2044"/>
      <c r="L614" s="2044"/>
      <c r="M614" s="2044"/>
      <c r="N614" s="2044"/>
      <c r="O614" s="2044"/>
      <c r="P614" s="2044"/>
      <c r="Q614" s="2044"/>
      <c r="R614" s="2044"/>
      <c r="T614" s="35"/>
      <c r="U614" s="12" t="s">
        <v>17</v>
      </c>
      <c r="Z614" s="2307"/>
      <c r="AA614" s="2307"/>
      <c r="AB614" s="2307"/>
      <c r="AC614" s="2307"/>
      <c r="AD614" s="2307"/>
      <c r="AE614" s="2307"/>
      <c r="AF614" s="2307"/>
      <c r="AG614" s="2307"/>
      <c r="AH614" s="2307"/>
      <c r="AI614" s="2307"/>
      <c r="AJ614" s="2307"/>
      <c r="AK614" s="2307"/>
      <c r="BA614" s="7" t="s">
        <v>31</v>
      </c>
      <c r="BB614" s="58"/>
      <c r="BC614" s="58"/>
      <c r="BD614" s="58"/>
      <c r="BE614" s="2067">
        <f t="shared" si="0"/>
        <v>1</v>
      </c>
      <c r="BF614" s="2069"/>
      <c r="BG614" s="2536">
        <f t="shared" si="1"/>
        <v>4</v>
      </c>
      <c r="BH614" s="2537"/>
      <c r="BI614" s="2067">
        <f t="shared" si="2"/>
        <v>0</v>
      </c>
      <c r="BJ614" s="2069"/>
      <c r="BK614" s="2536">
        <f t="shared" si="3"/>
        <v>0</v>
      </c>
      <c r="BL614" s="2537"/>
      <c r="BM614" s="58"/>
      <c r="BN614" s="2059">
        <f t="shared" si="4"/>
        <v>0</v>
      </c>
      <c r="BO614" s="2060"/>
      <c r="BP614" s="2060"/>
      <c r="BQ614" s="2060"/>
      <c r="BR614" s="2061"/>
      <c r="BS614" s="2058">
        <f t="shared" si="5"/>
        <v>0</v>
      </c>
      <c r="BT614" s="2058"/>
      <c r="BU614" s="2058"/>
      <c r="BV614" s="2058"/>
      <c r="BW614" s="2058"/>
      <c r="BX614" s="2058">
        <f t="shared" si="6"/>
        <v>4</v>
      </c>
      <c r="BY614" s="2058"/>
      <c r="BZ614" s="2058"/>
      <c r="CA614" s="2058"/>
      <c r="CB614" s="2058"/>
      <c r="CC614" s="2058">
        <f t="shared" si="7"/>
        <v>0</v>
      </c>
      <c r="CD614" s="2058"/>
      <c r="CE614" s="2058"/>
      <c r="CF614" s="2058"/>
      <c r="CG614" s="2058"/>
      <c r="CH614" s="2058">
        <f t="shared" si="8"/>
        <v>0</v>
      </c>
      <c r="CI614" s="2058"/>
      <c r="CJ614" s="2058"/>
      <c r="CK614" s="2058"/>
      <c r="CL614" s="2058"/>
      <c r="CM614" s="2058">
        <f t="shared" si="9"/>
        <v>0</v>
      </c>
      <c r="CN614" s="2058"/>
      <c r="CO614" s="2058"/>
      <c r="CP614" s="2058"/>
      <c r="CQ614" s="2058"/>
      <c r="CR614" s="265"/>
      <c r="CS614" s="2079">
        <f t="shared" si="10"/>
        <v>0</v>
      </c>
      <c r="CT614" s="2079"/>
      <c r="CU614" s="2079"/>
      <c r="CV614" s="2079"/>
      <c r="CW614" s="2079"/>
      <c r="CX614" s="2079">
        <f t="shared" si="11"/>
        <v>0</v>
      </c>
      <c r="CY614" s="2079"/>
      <c r="CZ614" s="2079"/>
      <c r="DA614" s="2079"/>
      <c r="DB614" s="2079"/>
      <c r="DC614" s="2079">
        <f t="shared" si="12"/>
        <v>0</v>
      </c>
      <c r="DD614" s="2079"/>
      <c r="DE614" s="2079"/>
      <c r="DF614" s="2079"/>
      <c r="DG614" s="2079"/>
      <c r="DH614" s="2079">
        <f t="shared" si="13"/>
        <v>0</v>
      </c>
      <c r="DI614" s="2079"/>
      <c r="DJ614" s="2079"/>
      <c r="DK614" s="2079"/>
      <c r="DL614" s="2079"/>
      <c r="DM614" s="2079">
        <f t="shared" si="14"/>
        <v>0</v>
      </c>
      <c r="DN614" s="2079"/>
      <c r="DO614" s="2079"/>
      <c r="DP614" s="2079"/>
      <c r="DQ614" s="2079"/>
      <c r="DR614" s="2079">
        <f t="shared" si="15"/>
        <v>0</v>
      </c>
      <c r="DS614" s="2079"/>
      <c r="DT614" s="2079"/>
      <c r="DU614" s="2079"/>
      <c r="DV614" s="2079"/>
      <c r="DX614" s="2067" t="str">
        <f t="shared" si="16"/>
        <v xml:space="preserve"> </v>
      </c>
      <c r="DY614" s="2068"/>
      <c r="DZ614" s="2068"/>
      <c r="EA614" s="2068"/>
      <c r="EB614" s="2069"/>
      <c r="EC614" s="2067" t="str">
        <f t="shared" si="17"/>
        <v xml:space="preserve"> </v>
      </c>
      <c r="ED614" s="2068"/>
      <c r="EE614" s="2068"/>
      <c r="EF614" s="2068"/>
      <c r="EG614" s="2069"/>
      <c r="EH614" s="2067">
        <f t="shared" si="18"/>
        <v>1072</v>
      </c>
      <c r="EI614" s="2068"/>
      <c r="EJ614" s="2068"/>
      <c r="EK614" s="2068"/>
      <c r="EL614" s="2069"/>
      <c r="EM614" s="2067" t="str">
        <f t="shared" si="19"/>
        <v xml:space="preserve"> </v>
      </c>
      <c r="EN614" s="2068"/>
      <c r="EO614" s="2068"/>
      <c r="EP614" s="2068"/>
      <c r="EQ614" s="2069"/>
      <c r="ER614" s="2067" t="str">
        <f t="shared" si="20"/>
        <v xml:space="preserve"> </v>
      </c>
      <c r="ES614" s="2068"/>
      <c r="ET614" s="2068"/>
      <c r="EU614" s="2068"/>
      <c r="EV614" s="2069"/>
      <c r="EW614" s="2067" t="str">
        <f t="shared" si="21"/>
        <v xml:space="preserve"> </v>
      </c>
      <c r="EX614" s="2068"/>
      <c r="EY614" s="2068"/>
      <c r="EZ614" s="2068"/>
      <c r="FA614" s="2069"/>
    </row>
    <row r="615" spans="1:157" ht="12.75">
      <c r="A615" s="35"/>
      <c r="B615" s="12" t="s">
        <v>325</v>
      </c>
      <c r="G615" s="2089"/>
      <c r="H615" s="2089"/>
      <c r="I615" s="2089"/>
      <c r="J615" s="2089"/>
      <c r="K615" s="2089"/>
      <c r="L615" s="2089"/>
      <c r="O615" s="137" t="s">
        <v>212</v>
      </c>
      <c r="P615" s="2098"/>
      <c r="Q615" s="2098"/>
      <c r="R615" s="2098"/>
      <c r="T615" s="35"/>
      <c r="U615" s="12" t="s">
        <v>325</v>
      </c>
      <c r="Z615" s="2089"/>
      <c r="AA615" s="2089"/>
      <c r="AB615" s="2089"/>
      <c r="AC615" s="2089"/>
      <c r="AD615" s="2089"/>
      <c r="AE615" s="2089"/>
      <c r="AH615" s="137" t="s">
        <v>212</v>
      </c>
      <c r="AI615" s="2098"/>
      <c r="AJ615" s="2098"/>
      <c r="AK615" s="2098"/>
      <c r="AZ615" s="58"/>
      <c r="BA615" s="58"/>
      <c r="BB615" s="58"/>
      <c r="BC615" s="58"/>
      <c r="BD615" s="58"/>
      <c r="BE615" s="2067">
        <f t="shared" si="0"/>
        <v>1</v>
      </c>
      <c r="BF615" s="2069"/>
      <c r="BG615" s="2536">
        <f t="shared" si="1"/>
        <v>10</v>
      </c>
      <c r="BH615" s="2537"/>
      <c r="BI615" s="2067">
        <f t="shared" si="2"/>
        <v>0</v>
      </c>
      <c r="BJ615" s="2069"/>
      <c r="BK615" s="2536">
        <f t="shared" si="3"/>
        <v>0</v>
      </c>
      <c r="BL615" s="2537"/>
      <c r="BM615" s="58"/>
      <c r="BN615" s="2059">
        <f t="shared" si="4"/>
        <v>0</v>
      </c>
      <c r="BO615" s="2060"/>
      <c r="BP615" s="2060"/>
      <c r="BQ615" s="2060"/>
      <c r="BR615" s="2061"/>
      <c r="BS615" s="2058">
        <f t="shared" si="5"/>
        <v>0</v>
      </c>
      <c r="BT615" s="2058"/>
      <c r="BU615" s="2058"/>
      <c r="BV615" s="2058"/>
      <c r="BW615" s="2058"/>
      <c r="BX615" s="2058">
        <f t="shared" si="6"/>
        <v>0</v>
      </c>
      <c r="BY615" s="2058"/>
      <c r="BZ615" s="2058"/>
      <c r="CA615" s="2058"/>
      <c r="CB615" s="2058"/>
      <c r="CC615" s="2058">
        <f t="shared" si="7"/>
        <v>10</v>
      </c>
      <c r="CD615" s="2058"/>
      <c r="CE615" s="2058"/>
      <c r="CF615" s="2058"/>
      <c r="CG615" s="2058"/>
      <c r="CH615" s="2058">
        <f t="shared" si="8"/>
        <v>0</v>
      </c>
      <c r="CI615" s="2058"/>
      <c r="CJ615" s="2058"/>
      <c r="CK615" s="2058"/>
      <c r="CL615" s="2058"/>
      <c r="CM615" s="2058">
        <f t="shared" si="9"/>
        <v>0</v>
      </c>
      <c r="CN615" s="2058"/>
      <c r="CO615" s="2058"/>
      <c r="CP615" s="2058"/>
      <c r="CQ615" s="2058"/>
      <c r="CR615" s="265"/>
      <c r="CS615" s="2079">
        <f t="shared" si="10"/>
        <v>0</v>
      </c>
      <c r="CT615" s="2079"/>
      <c r="CU615" s="2079"/>
      <c r="CV615" s="2079"/>
      <c r="CW615" s="2079"/>
      <c r="CX615" s="2079">
        <f t="shared" si="11"/>
        <v>0</v>
      </c>
      <c r="CY615" s="2079"/>
      <c r="CZ615" s="2079"/>
      <c r="DA615" s="2079"/>
      <c r="DB615" s="2079"/>
      <c r="DC615" s="2079">
        <f t="shared" si="12"/>
        <v>0</v>
      </c>
      <c r="DD615" s="2079"/>
      <c r="DE615" s="2079"/>
      <c r="DF615" s="2079"/>
      <c r="DG615" s="2079"/>
      <c r="DH615" s="2079">
        <f t="shared" si="13"/>
        <v>0</v>
      </c>
      <c r="DI615" s="2079"/>
      <c r="DJ615" s="2079"/>
      <c r="DK615" s="2079"/>
      <c r="DL615" s="2079"/>
      <c r="DM615" s="2079">
        <f t="shared" si="14"/>
        <v>0</v>
      </c>
      <c r="DN615" s="2079"/>
      <c r="DO615" s="2079"/>
      <c r="DP615" s="2079"/>
      <c r="DQ615" s="2079"/>
      <c r="DR615" s="2079">
        <f t="shared" si="15"/>
        <v>0</v>
      </c>
      <c r="DS615" s="2079"/>
      <c r="DT615" s="2079"/>
      <c r="DU615" s="2079"/>
      <c r="DV615" s="2079"/>
      <c r="DX615" s="2067" t="str">
        <f t="shared" si="16"/>
        <v xml:space="preserve"> </v>
      </c>
      <c r="DY615" s="2068"/>
      <c r="DZ615" s="2068"/>
      <c r="EA615" s="2068"/>
      <c r="EB615" s="2069"/>
      <c r="EC615" s="2067" t="str">
        <f t="shared" si="17"/>
        <v xml:space="preserve"> </v>
      </c>
      <c r="ED615" s="2068"/>
      <c r="EE615" s="2068"/>
      <c r="EF615" s="2068"/>
      <c r="EG615" s="2069"/>
      <c r="EH615" s="2067" t="str">
        <f t="shared" si="18"/>
        <v xml:space="preserve"> </v>
      </c>
      <c r="EI615" s="2068"/>
      <c r="EJ615" s="2068"/>
      <c r="EK615" s="2068"/>
      <c r="EL615" s="2069"/>
      <c r="EM615" s="2067">
        <f t="shared" si="19"/>
        <v>1239</v>
      </c>
      <c r="EN615" s="2068"/>
      <c r="EO615" s="2068"/>
      <c r="EP615" s="2068"/>
      <c r="EQ615" s="2069"/>
      <c r="ER615" s="2067" t="str">
        <f t="shared" si="20"/>
        <v xml:space="preserve"> </v>
      </c>
      <c r="ES615" s="2068"/>
      <c r="ET615" s="2068"/>
      <c r="EU615" s="2068"/>
      <c r="EV615" s="2069"/>
      <c r="EW615" s="2067" t="str">
        <f t="shared" si="21"/>
        <v xml:space="preserve"> </v>
      </c>
      <c r="EX615" s="2068"/>
      <c r="EY615" s="2068"/>
      <c r="EZ615" s="2068"/>
      <c r="FA615" s="2069"/>
    </row>
    <row r="616" spans="1:157" ht="12.75">
      <c r="A616" s="35"/>
      <c r="B616" s="12" t="s">
        <v>18</v>
      </c>
      <c r="H616" s="2044"/>
      <c r="I616" s="2044"/>
      <c r="J616" s="2044"/>
      <c r="K616" s="2044"/>
      <c r="L616" s="2044"/>
      <c r="M616" s="2044"/>
      <c r="N616" s="2044"/>
      <c r="O616" s="2044"/>
      <c r="P616" s="2044"/>
      <c r="Q616" s="2044"/>
      <c r="R616" s="2044"/>
      <c r="T616" s="35"/>
      <c r="U616" s="12" t="s">
        <v>18</v>
      </c>
      <c r="AA616" s="2044"/>
      <c r="AB616" s="2044"/>
      <c r="AC616" s="2044"/>
      <c r="AD616" s="2044"/>
      <c r="AE616" s="2044"/>
      <c r="AF616" s="2044"/>
      <c r="AG616" s="2044"/>
      <c r="AH616" s="2044"/>
      <c r="AI616" s="2044"/>
      <c r="AJ616" s="2044"/>
      <c r="AK616" s="2044"/>
      <c r="AZ616" s="58"/>
      <c r="BA616" s="58"/>
      <c r="BB616" s="58"/>
      <c r="BC616" s="58"/>
      <c r="BD616" s="58"/>
      <c r="BE616" s="2067">
        <f t="shared" si="0"/>
        <v>1</v>
      </c>
      <c r="BF616" s="2069"/>
      <c r="BG616" s="2536">
        <f t="shared" si="1"/>
        <v>3</v>
      </c>
      <c r="BH616" s="2537"/>
      <c r="BI616" s="2067">
        <f t="shared" si="2"/>
        <v>0</v>
      </c>
      <c r="BJ616" s="2069"/>
      <c r="BK616" s="2536">
        <f t="shared" si="3"/>
        <v>0</v>
      </c>
      <c r="BL616" s="2537"/>
      <c r="BM616" s="58"/>
      <c r="BN616" s="2059">
        <f t="shared" si="4"/>
        <v>0</v>
      </c>
      <c r="BO616" s="2060"/>
      <c r="BP616" s="2060"/>
      <c r="BQ616" s="2060"/>
      <c r="BR616" s="2061"/>
      <c r="BS616" s="2058">
        <f t="shared" si="5"/>
        <v>3</v>
      </c>
      <c r="BT616" s="2058"/>
      <c r="BU616" s="2058"/>
      <c r="BV616" s="2058"/>
      <c r="BW616" s="2058"/>
      <c r="BX616" s="2058">
        <f t="shared" si="6"/>
        <v>0</v>
      </c>
      <c r="BY616" s="2058"/>
      <c r="BZ616" s="2058"/>
      <c r="CA616" s="2058"/>
      <c r="CB616" s="2058"/>
      <c r="CC616" s="2058">
        <f t="shared" si="7"/>
        <v>0</v>
      </c>
      <c r="CD616" s="2058"/>
      <c r="CE616" s="2058"/>
      <c r="CF616" s="2058"/>
      <c r="CG616" s="2058"/>
      <c r="CH616" s="2058">
        <f t="shared" si="8"/>
        <v>0</v>
      </c>
      <c r="CI616" s="2058"/>
      <c r="CJ616" s="2058"/>
      <c r="CK616" s="2058"/>
      <c r="CL616" s="2058"/>
      <c r="CM616" s="2058">
        <f t="shared" si="9"/>
        <v>0</v>
      </c>
      <c r="CN616" s="2058"/>
      <c r="CO616" s="2058"/>
      <c r="CP616" s="2058"/>
      <c r="CQ616" s="2058"/>
      <c r="CR616" s="265"/>
      <c r="CS616" s="2079">
        <f t="shared" si="10"/>
        <v>0</v>
      </c>
      <c r="CT616" s="2079"/>
      <c r="CU616" s="2079"/>
      <c r="CV616" s="2079"/>
      <c r="CW616" s="2079"/>
      <c r="CX616" s="2079">
        <f t="shared" si="11"/>
        <v>0</v>
      </c>
      <c r="CY616" s="2079"/>
      <c r="CZ616" s="2079"/>
      <c r="DA616" s="2079"/>
      <c r="DB616" s="2079"/>
      <c r="DC616" s="2079">
        <f t="shared" si="12"/>
        <v>0</v>
      </c>
      <c r="DD616" s="2079"/>
      <c r="DE616" s="2079"/>
      <c r="DF616" s="2079"/>
      <c r="DG616" s="2079"/>
      <c r="DH616" s="2079">
        <f t="shared" si="13"/>
        <v>0</v>
      </c>
      <c r="DI616" s="2079"/>
      <c r="DJ616" s="2079"/>
      <c r="DK616" s="2079"/>
      <c r="DL616" s="2079"/>
      <c r="DM616" s="2079">
        <f t="shared" si="14"/>
        <v>0</v>
      </c>
      <c r="DN616" s="2079"/>
      <c r="DO616" s="2079"/>
      <c r="DP616" s="2079"/>
      <c r="DQ616" s="2079"/>
      <c r="DR616" s="2079">
        <f t="shared" si="15"/>
        <v>0</v>
      </c>
      <c r="DS616" s="2079"/>
      <c r="DT616" s="2079"/>
      <c r="DU616" s="2079"/>
      <c r="DV616" s="2079"/>
      <c r="DX616" s="2067" t="str">
        <f t="shared" si="16"/>
        <v xml:space="preserve"> </v>
      </c>
      <c r="DY616" s="2068"/>
      <c r="DZ616" s="2068"/>
      <c r="EA616" s="2068"/>
      <c r="EB616" s="2069"/>
      <c r="EC616" s="2067">
        <f t="shared" si="17"/>
        <v>1122</v>
      </c>
      <c r="ED616" s="2068"/>
      <c r="EE616" s="2068"/>
      <c r="EF616" s="2068"/>
      <c r="EG616" s="2069"/>
      <c r="EH616" s="2067" t="str">
        <f t="shared" si="18"/>
        <v xml:space="preserve"> </v>
      </c>
      <c r="EI616" s="2068"/>
      <c r="EJ616" s="2068"/>
      <c r="EK616" s="2068"/>
      <c r="EL616" s="2069"/>
      <c r="EM616" s="2067" t="str">
        <f t="shared" si="19"/>
        <v xml:space="preserve"> </v>
      </c>
      <c r="EN616" s="2068"/>
      <c r="EO616" s="2068"/>
      <c r="EP616" s="2068"/>
      <c r="EQ616" s="2069"/>
      <c r="ER616" s="2067" t="str">
        <f t="shared" si="20"/>
        <v xml:space="preserve"> </v>
      </c>
      <c r="ES616" s="2068"/>
      <c r="ET616" s="2068"/>
      <c r="EU616" s="2068"/>
      <c r="EV616" s="2069"/>
      <c r="EW616" s="2067" t="str">
        <f t="shared" si="21"/>
        <v xml:space="preserve"> </v>
      </c>
      <c r="EX616" s="2068"/>
      <c r="EY616" s="2068"/>
      <c r="EZ616" s="2068"/>
      <c r="FA616" s="2069"/>
    </row>
    <row r="617" spans="1:157" ht="12.75">
      <c r="A617" s="35"/>
      <c r="B617" s="12" t="s">
        <v>20</v>
      </c>
      <c r="N617" s="2062" t="s">
        <v>705</v>
      </c>
      <c r="O617" s="2062"/>
      <c r="T617" s="35"/>
      <c r="U617" s="12" t="s">
        <v>20</v>
      </c>
      <c r="AG617" s="2062" t="s">
        <v>705</v>
      </c>
      <c r="AH617" s="2062"/>
      <c r="AZ617" s="58"/>
      <c r="BA617" s="58"/>
      <c r="BB617" s="58"/>
      <c r="BC617" s="58"/>
      <c r="BD617" s="58"/>
      <c r="BE617" s="2067">
        <f t="shared" si="0"/>
        <v>1</v>
      </c>
      <c r="BF617" s="2069"/>
      <c r="BG617" s="2536">
        <f t="shared" si="1"/>
        <v>2</v>
      </c>
      <c r="BH617" s="2537"/>
      <c r="BI617" s="2067">
        <f t="shared" si="2"/>
        <v>0</v>
      </c>
      <c r="BJ617" s="2069"/>
      <c r="BK617" s="2536">
        <f t="shared" si="3"/>
        <v>0</v>
      </c>
      <c r="BL617" s="2537"/>
      <c r="BM617" s="58"/>
      <c r="BN617" s="2059">
        <f t="shared" si="4"/>
        <v>0</v>
      </c>
      <c r="BO617" s="2060"/>
      <c r="BP617" s="2060"/>
      <c r="BQ617" s="2060"/>
      <c r="BR617" s="2061"/>
      <c r="BS617" s="2058">
        <f t="shared" si="5"/>
        <v>0</v>
      </c>
      <c r="BT617" s="2058"/>
      <c r="BU617" s="2058"/>
      <c r="BV617" s="2058"/>
      <c r="BW617" s="2058"/>
      <c r="BX617" s="2058">
        <f t="shared" si="6"/>
        <v>2</v>
      </c>
      <c r="BY617" s="2058"/>
      <c r="BZ617" s="2058"/>
      <c r="CA617" s="2058"/>
      <c r="CB617" s="2058"/>
      <c r="CC617" s="2058">
        <f t="shared" si="7"/>
        <v>0</v>
      </c>
      <c r="CD617" s="2058"/>
      <c r="CE617" s="2058"/>
      <c r="CF617" s="2058"/>
      <c r="CG617" s="2058"/>
      <c r="CH617" s="2058">
        <f t="shared" si="8"/>
        <v>0</v>
      </c>
      <c r="CI617" s="2058"/>
      <c r="CJ617" s="2058"/>
      <c r="CK617" s="2058"/>
      <c r="CL617" s="2058"/>
      <c r="CM617" s="2058">
        <f t="shared" si="9"/>
        <v>0</v>
      </c>
      <c r="CN617" s="2058"/>
      <c r="CO617" s="2058"/>
      <c r="CP617" s="2058"/>
      <c r="CQ617" s="2058"/>
      <c r="CR617" s="265"/>
      <c r="CS617" s="2079">
        <f t="shared" si="10"/>
        <v>0</v>
      </c>
      <c r="CT617" s="2079"/>
      <c r="CU617" s="2079"/>
      <c r="CV617" s="2079"/>
      <c r="CW617" s="2079"/>
      <c r="CX617" s="2079">
        <f t="shared" si="11"/>
        <v>0</v>
      </c>
      <c r="CY617" s="2079"/>
      <c r="CZ617" s="2079"/>
      <c r="DA617" s="2079"/>
      <c r="DB617" s="2079"/>
      <c r="DC617" s="2079">
        <f t="shared" si="12"/>
        <v>0</v>
      </c>
      <c r="DD617" s="2079"/>
      <c r="DE617" s="2079"/>
      <c r="DF617" s="2079"/>
      <c r="DG617" s="2079"/>
      <c r="DH617" s="2079">
        <f t="shared" si="13"/>
        <v>0</v>
      </c>
      <c r="DI617" s="2079"/>
      <c r="DJ617" s="2079"/>
      <c r="DK617" s="2079"/>
      <c r="DL617" s="2079"/>
      <c r="DM617" s="2079">
        <f t="shared" si="14"/>
        <v>0</v>
      </c>
      <c r="DN617" s="2079"/>
      <c r="DO617" s="2079"/>
      <c r="DP617" s="2079"/>
      <c r="DQ617" s="2079"/>
      <c r="DR617" s="2079">
        <f t="shared" si="15"/>
        <v>0</v>
      </c>
      <c r="DS617" s="2079"/>
      <c r="DT617" s="2079"/>
      <c r="DU617" s="2079"/>
      <c r="DV617" s="2079"/>
      <c r="DX617" s="2067" t="str">
        <f t="shared" si="16"/>
        <v xml:space="preserve"> </v>
      </c>
      <c r="DY617" s="2068"/>
      <c r="DZ617" s="2068"/>
      <c r="EA617" s="2068"/>
      <c r="EB617" s="2069"/>
      <c r="EC617" s="2067" t="str">
        <f t="shared" si="17"/>
        <v xml:space="preserve"> </v>
      </c>
      <c r="ED617" s="2068"/>
      <c r="EE617" s="2068"/>
      <c r="EF617" s="2068"/>
      <c r="EG617" s="2069"/>
      <c r="EH617" s="2067">
        <f t="shared" si="18"/>
        <v>1344</v>
      </c>
      <c r="EI617" s="2068"/>
      <c r="EJ617" s="2068"/>
      <c r="EK617" s="2068"/>
      <c r="EL617" s="2069"/>
      <c r="EM617" s="2067" t="str">
        <f t="shared" si="19"/>
        <v xml:space="preserve"> </v>
      </c>
      <c r="EN617" s="2068"/>
      <c r="EO617" s="2068"/>
      <c r="EP617" s="2068"/>
      <c r="EQ617" s="2069"/>
      <c r="ER617" s="2067" t="str">
        <f t="shared" si="20"/>
        <v xml:space="preserve"> </v>
      </c>
      <c r="ES617" s="2068"/>
      <c r="ET617" s="2068"/>
      <c r="EU617" s="2068"/>
      <c r="EV617" s="2069"/>
      <c r="EW617" s="2067" t="str">
        <f t="shared" si="21"/>
        <v xml:space="preserve"> </v>
      </c>
      <c r="EX617" s="2068"/>
      <c r="EY617" s="2068"/>
      <c r="EZ617" s="2068"/>
      <c r="FA617" s="2069"/>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67">
        <f t="shared" si="0"/>
        <v>1</v>
      </c>
      <c r="BF618" s="2069"/>
      <c r="BG618" s="2536">
        <f t="shared" si="1"/>
        <v>5</v>
      </c>
      <c r="BH618" s="2537"/>
      <c r="BI618" s="2067">
        <f t="shared" si="2"/>
        <v>0</v>
      </c>
      <c r="BJ618" s="2069"/>
      <c r="BK618" s="2536">
        <f t="shared" si="3"/>
        <v>0</v>
      </c>
      <c r="BL618" s="2537"/>
      <c r="BM618" s="58"/>
      <c r="BN618" s="2059">
        <f t="shared" si="4"/>
        <v>0</v>
      </c>
      <c r="BO618" s="2060"/>
      <c r="BP618" s="2060"/>
      <c r="BQ618" s="2060"/>
      <c r="BR618" s="2061"/>
      <c r="BS618" s="2058">
        <f t="shared" si="5"/>
        <v>0</v>
      </c>
      <c r="BT618" s="2058"/>
      <c r="BU618" s="2058"/>
      <c r="BV618" s="2058"/>
      <c r="BW618" s="2058"/>
      <c r="BX618" s="2058">
        <f t="shared" si="6"/>
        <v>0</v>
      </c>
      <c r="BY618" s="2058"/>
      <c r="BZ618" s="2058"/>
      <c r="CA618" s="2058"/>
      <c r="CB618" s="2058"/>
      <c r="CC618" s="2058">
        <f t="shared" si="7"/>
        <v>5</v>
      </c>
      <c r="CD618" s="2058"/>
      <c r="CE618" s="2058"/>
      <c r="CF618" s="2058"/>
      <c r="CG618" s="2058"/>
      <c r="CH618" s="2058">
        <f t="shared" si="8"/>
        <v>0</v>
      </c>
      <c r="CI618" s="2058"/>
      <c r="CJ618" s="2058"/>
      <c r="CK618" s="2058"/>
      <c r="CL618" s="2058"/>
      <c r="CM618" s="2058">
        <f t="shared" si="9"/>
        <v>0</v>
      </c>
      <c r="CN618" s="2058"/>
      <c r="CO618" s="2058"/>
      <c r="CP618" s="2058"/>
      <c r="CQ618" s="2058"/>
      <c r="CR618" s="265"/>
      <c r="CS618" s="2079">
        <f t="shared" si="10"/>
        <v>0</v>
      </c>
      <c r="CT618" s="2079"/>
      <c r="CU618" s="2079"/>
      <c r="CV618" s="2079"/>
      <c r="CW618" s="2079"/>
      <c r="CX618" s="2079">
        <f t="shared" si="11"/>
        <v>0</v>
      </c>
      <c r="CY618" s="2079"/>
      <c r="CZ618" s="2079"/>
      <c r="DA618" s="2079"/>
      <c r="DB618" s="2079"/>
      <c r="DC618" s="2079">
        <f t="shared" si="12"/>
        <v>0</v>
      </c>
      <c r="DD618" s="2079"/>
      <c r="DE618" s="2079"/>
      <c r="DF618" s="2079"/>
      <c r="DG618" s="2079"/>
      <c r="DH618" s="2079">
        <f t="shared" si="13"/>
        <v>0</v>
      </c>
      <c r="DI618" s="2079"/>
      <c r="DJ618" s="2079"/>
      <c r="DK618" s="2079"/>
      <c r="DL618" s="2079"/>
      <c r="DM618" s="2079">
        <f t="shared" si="14"/>
        <v>0</v>
      </c>
      <c r="DN618" s="2079"/>
      <c r="DO618" s="2079"/>
      <c r="DP618" s="2079"/>
      <c r="DQ618" s="2079"/>
      <c r="DR618" s="2079">
        <f t="shared" si="15"/>
        <v>0</v>
      </c>
      <c r="DS618" s="2079"/>
      <c r="DT618" s="2079"/>
      <c r="DU618" s="2079"/>
      <c r="DV618" s="2079"/>
      <c r="DX618" s="2067" t="str">
        <f t="shared" si="16"/>
        <v xml:space="preserve"> </v>
      </c>
      <c r="DY618" s="2068"/>
      <c r="DZ618" s="2068"/>
      <c r="EA618" s="2068"/>
      <c r="EB618" s="2069"/>
      <c r="EC618" s="2067" t="str">
        <f t="shared" si="17"/>
        <v xml:space="preserve"> </v>
      </c>
      <c r="ED618" s="2068"/>
      <c r="EE618" s="2068"/>
      <c r="EF618" s="2068"/>
      <c r="EG618" s="2069"/>
      <c r="EH618" s="2067" t="str">
        <f t="shared" si="18"/>
        <v xml:space="preserve"> </v>
      </c>
      <c r="EI618" s="2068"/>
      <c r="EJ618" s="2068"/>
      <c r="EK618" s="2068"/>
      <c r="EL618" s="2069"/>
      <c r="EM618" s="2067">
        <f t="shared" si="19"/>
        <v>1554</v>
      </c>
      <c r="EN618" s="2068"/>
      <c r="EO618" s="2068"/>
      <c r="EP618" s="2068"/>
      <c r="EQ618" s="2069"/>
      <c r="ER618" s="2067" t="str">
        <f t="shared" si="20"/>
        <v xml:space="preserve"> </v>
      </c>
      <c r="ES618" s="2068"/>
      <c r="ET618" s="2068"/>
      <c r="EU618" s="2068"/>
      <c r="EV618" s="2069"/>
      <c r="EW618" s="2067" t="str">
        <f t="shared" si="21"/>
        <v xml:space="preserve"> </v>
      </c>
      <c r="EX618" s="2068"/>
      <c r="EY618" s="2068"/>
      <c r="EZ618" s="2068"/>
      <c r="FA618" s="2069"/>
    </row>
    <row r="619" spans="1:157" s="7" customFormat="1" ht="12.75">
      <c r="A619" s="87" t="s">
        <v>371</v>
      </c>
      <c r="B619" s="12" t="s">
        <v>495</v>
      </c>
      <c r="C619" s="12"/>
      <c r="D619" s="12"/>
      <c r="E619" s="12"/>
      <c r="F619" s="12"/>
      <c r="G619" s="2048">
        <f>C574</f>
        <v>0</v>
      </c>
      <c r="H619" s="2048"/>
      <c r="I619" s="2048"/>
      <c r="J619" s="2048"/>
      <c r="K619" s="2048"/>
      <c r="L619" s="2048"/>
      <c r="M619" s="2048"/>
      <c r="N619" s="2048"/>
      <c r="O619" s="2048"/>
      <c r="P619" s="2048"/>
      <c r="Q619" s="2048"/>
      <c r="R619" s="2048"/>
      <c r="S619" s="12"/>
      <c r="T619" s="87" t="s">
        <v>372</v>
      </c>
      <c r="U619" s="12" t="s">
        <v>495</v>
      </c>
      <c r="V619" s="12"/>
      <c r="W619" s="12"/>
      <c r="X619" s="12"/>
      <c r="Y619" s="12"/>
      <c r="Z619" s="2048">
        <f>C575</f>
        <v>0</v>
      </c>
      <c r="AA619" s="2048"/>
      <c r="AB619" s="2048"/>
      <c r="AC619" s="2048"/>
      <c r="AD619" s="2048"/>
      <c r="AE619" s="2048"/>
      <c r="AF619" s="2048"/>
      <c r="AG619" s="2048"/>
      <c r="AH619" s="2048"/>
      <c r="AI619" s="2048"/>
      <c r="AJ619" s="2048"/>
      <c r="AK619" s="2048"/>
      <c r="AL619" s="12"/>
      <c r="AM619" s="39"/>
      <c r="AN619" s="39"/>
      <c r="AO619" s="39"/>
      <c r="AP619" s="39"/>
      <c r="AQ619" s="39"/>
      <c r="AR619" s="39"/>
      <c r="AS619" s="39"/>
      <c r="AT619" s="39"/>
      <c r="AU619" s="39"/>
      <c r="AV619" s="39"/>
      <c r="AW619" s="39"/>
      <c r="AX619" s="39"/>
      <c r="AY619" s="39"/>
      <c r="AZ619" s="58"/>
      <c r="BA619" s="58"/>
      <c r="BB619" s="58"/>
      <c r="BC619" s="58"/>
      <c r="BD619" s="58"/>
      <c r="BE619" s="2067">
        <f t="shared" si="0"/>
        <v>0</v>
      </c>
      <c r="BF619" s="2069"/>
      <c r="BG619" s="2536">
        <f t="shared" si="1"/>
        <v>0</v>
      </c>
      <c r="BH619" s="2537"/>
      <c r="BI619" s="2067">
        <f t="shared" si="2"/>
        <v>0</v>
      </c>
      <c r="BJ619" s="2069"/>
      <c r="BK619" s="2536">
        <f t="shared" si="3"/>
        <v>0</v>
      </c>
      <c r="BL619" s="2537"/>
      <c r="BM619" s="58"/>
      <c r="BN619" s="2059">
        <f t="shared" si="4"/>
        <v>0</v>
      </c>
      <c r="BO619" s="2060"/>
      <c r="BP619" s="2060"/>
      <c r="BQ619" s="2060"/>
      <c r="BR619" s="2061"/>
      <c r="BS619" s="2058">
        <f t="shared" si="5"/>
        <v>6</v>
      </c>
      <c r="BT619" s="2058"/>
      <c r="BU619" s="2058"/>
      <c r="BV619" s="2058"/>
      <c r="BW619" s="2058"/>
      <c r="BX619" s="2058">
        <f t="shared" si="6"/>
        <v>0</v>
      </c>
      <c r="BY619" s="2058"/>
      <c r="BZ619" s="2058"/>
      <c r="CA619" s="2058"/>
      <c r="CB619" s="2058"/>
      <c r="CC619" s="2058">
        <f t="shared" si="7"/>
        <v>0</v>
      </c>
      <c r="CD619" s="2058"/>
      <c r="CE619" s="2058"/>
      <c r="CF619" s="2058"/>
      <c r="CG619" s="2058"/>
      <c r="CH619" s="2058">
        <f t="shared" si="8"/>
        <v>0</v>
      </c>
      <c r="CI619" s="2058"/>
      <c r="CJ619" s="2058"/>
      <c r="CK619" s="2058"/>
      <c r="CL619" s="2058"/>
      <c r="CM619" s="2058">
        <f t="shared" si="9"/>
        <v>0</v>
      </c>
      <c r="CN619" s="2058"/>
      <c r="CO619" s="2058"/>
      <c r="CP619" s="2058"/>
      <c r="CQ619" s="2058"/>
      <c r="CR619" s="265"/>
      <c r="CS619" s="2079">
        <f t="shared" si="10"/>
        <v>0</v>
      </c>
      <c r="CT619" s="2079"/>
      <c r="CU619" s="2079"/>
      <c r="CV619" s="2079"/>
      <c r="CW619" s="2079"/>
      <c r="CX619" s="2079">
        <f t="shared" si="11"/>
        <v>0</v>
      </c>
      <c r="CY619" s="2079"/>
      <c r="CZ619" s="2079"/>
      <c r="DA619" s="2079"/>
      <c r="DB619" s="2079"/>
      <c r="DC619" s="2079">
        <f t="shared" si="12"/>
        <v>0</v>
      </c>
      <c r="DD619" s="2079"/>
      <c r="DE619" s="2079"/>
      <c r="DF619" s="2079"/>
      <c r="DG619" s="2079"/>
      <c r="DH619" s="2079">
        <f t="shared" si="13"/>
        <v>0</v>
      </c>
      <c r="DI619" s="2079"/>
      <c r="DJ619" s="2079"/>
      <c r="DK619" s="2079"/>
      <c r="DL619" s="2079"/>
      <c r="DM619" s="2079">
        <f t="shared" si="14"/>
        <v>0</v>
      </c>
      <c r="DN619" s="2079"/>
      <c r="DO619" s="2079"/>
      <c r="DP619" s="2079"/>
      <c r="DQ619" s="2079"/>
      <c r="DR619" s="2079">
        <f t="shared" si="15"/>
        <v>0</v>
      </c>
      <c r="DS619" s="2079"/>
      <c r="DT619" s="2079"/>
      <c r="DU619" s="2079"/>
      <c r="DV619" s="2079"/>
      <c r="DX619" s="2067" t="str">
        <f t="shared" si="16"/>
        <v xml:space="preserve"> </v>
      </c>
      <c r="DY619" s="2068"/>
      <c r="DZ619" s="2068"/>
      <c r="EA619" s="2068"/>
      <c r="EB619" s="2069"/>
      <c r="EC619" s="2067">
        <f t="shared" si="17"/>
        <v>1350</v>
      </c>
      <c r="ED619" s="2068"/>
      <c r="EE619" s="2068"/>
      <c r="EF619" s="2068"/>
      <c r="EG619" s="2069"/>
      <c r="EH619" s="2067" t="str">
        <f t="shared" si="18"/>
        <v xml:space="preserve"> </v>
      </c>
      <c r="EI619" s="2068"/>
      <c r="EJ619" s="2068"/>
      <c r="EK619" s="2068"/>
      <c r="EL619" s="2069"/>
      <c r="EM619" s="2067" t="str">
        <f t="shared" si="19"/>
        <v xml:space="preserve"> </v>
      </c>
      <c r="EN619" s="2068"/>
      <c r="EO619" s="2068"/>
      <c r="EP619" s="2068"/>
      <c r="EQ619" s="2069"/>
      <c r="ER619" s="2067" t="str">
        <f t="shared" si="20"/>
        <v xml:space="preserve"> </v>
      </c>
      <c r="ES619" s="2068"/>
      <c r="ET619" s="2068"/>
      <c r="EU619" s="2068"/>
      <c r="EV619" s="2069"/>
      <c r="EW619" s="2067" t="str">
        <f t="shared" si="21"/>
        <v xml:space="preserve"> </v>
      </c>
      <c r="EX619" s="2068"/>
      <c r="EY619" s="2068"/>
      <c r="EZ619" s="2068"/>
      <c r="FA619" s="2069"/>
    </row>
    <row r="620" spans="1:157" s="7" customFormat="1" ht="12.75">
      <c r="A620" s="12"/>
      <c r="B620" s="12" t="s">
        <v>90</v>
      </c>
      <c r="C620" s="12"/>
      <c r="D620" s="12"/>
      <c r="E620" s="12"/>
      <c r="F620" s="12"/>
      <c r="G620" s="2044"/>
      <c r="H620" s="2044"/>
      <c r="I620" s="2044"/>
      <c r="J620" s="2044"/>
      <c r="K620" s="2044"/>
      <c r="L620" s="2044"/>
      <c r="M620" s="2044"/>
      <c r="N620" s="2044"/>
      <c r="O620" s="2044"/>
      <c r="P620" s="2044"/>
      <c r="Q620" s="2044"/>
      <c r="R620" s="2044"/>
      <c r="S620" s="12"/>
      <c r="T620" s="12"/>
      <c r="U620" s="12" t="s">
        <v>90</v>
      </c>
      <c r="V620" s="12"/>
      <c r="W620" s="12"/>
      <c r="X620" s="12"/>
      <c r="Y620" s="12"/>
      <c r="Z620" s="2044"/>
      <c r="AA620" s="2044"/>
      <c r="AB620" s="2044"/>
      <c r="AC620" s="2044"/>
      <c r="AD620" s="2044"/>
      <c r="AE620" s="2044"/>
      <c r="AF620" s="2044"/>
      <c r="AG620" s="2044"/>
      <c r="AH620" s="2044"/>
      <c r="AI620" s="2044"/>
      <c r="AJ620" s="2044"/>
      <c r="AK620" s="2044"/>
      <c r="AL620" s="12"/>
      <c r="AM620" s="39"/>
      <c r="AN620" s="39"/>
      <c r="AO620" s="39"/>
      <c r="AP620" s="39"/>
      <c r="AQ620" s="39"/>
      <c r="AR620" s="39"/>
      <c r="AS620" s="39"/>
      <c r="AT620" s="39"/>
      <c r="AU620" s="39"/>
      <c r="AV620" s="39"/>
      <c r="AW620" s="39"/>
      <c r="AX620" s="39"/>
      <c r="AY620" s="39"/>
      <c r="AZ620" s="58"/>
      <c r="BA620" s="58"/>
      <c r="BB620" s="58"/>
      <c r="BC620" s="58"/>
      <c r="BD620" s="58"/>
      <c r="BE620" s="2067">
        <f t="shared" si="0"/>
        <v>0</v>
      </c>
      <c r="BF620" s="2069"/>
      <c r="BG620" s="2536">
        <f t="shared" si="1"/>
        <v>0</v>
      </c>
      <c r="BH620" s="2537"/>
      <c r="BI620" s="2067">
        <f t="shared" si="2"/>
        <v>0</v>
      </c>
      <c r="BJ620" s="2069"/>
      <c r="BK620" s="2536">
        <f t="shared" si="3"/>
        <v>0</v>
      </c>
      <c r="BL620" s="2537"/>
      <c r="BM620" s="58"/>
      <c r="BN620" s="2059">
        <f t="shared" si="4"/>
        <v>0</v>
      </c>
      <c r="BO620" s="2060"/>
      <c r="BP620" s="2060"/>
      <c r="BQ620" s="2060"/>
      <c r="BR620" s="2061"/>
      <c r="BS620" s="2058">
        <f t="shared" si="5"/>
        <v>0</v>
      </c>
      <c r="BT620" s="2058"/>
      <c r="BU620" s="2058"/>
      <c r="BV620" s="2058"/>
      <c r="BW620" s="2058"/>
      <c r="BX620" s="2058">
        <f t="shared" si="6"/>
        <v>8</v>
      </c>
      <c r="BY620" s="2058"/>
      <c r="BZ620" s="2058"/>
      <c r="CA620" s="2058"/>
      <c r="CB620" s="2058"/>
      <c r="CC620" s="2058">
        <f t="shared" si="7"/>
        <v>0</v>
      </c>
      <c r="CD620" s="2058"/>
      <c r="CE620" s="2058"/>
      <c r="CF620" s="2058"/>
      <c r="CG620" s="2058"/>
      <c r="CH620" s="2058">
        <f t="shared" si="8"/>
        <v>0</v>
      </c>
      <c r="CI620" s="2058"/>
      <c r="CJ620" s="2058"/>
      <c r="CK620" s="2058"/>
      <c r="CL620" s="2058"/>
      <c r="CM620" s="2058">
        <f t="shared" si="9"/>
        <v>0</v>
      </c>
      <c r="CN620" s="2058"/>
      <c r="CO620" s="2058"/>
      <c r="CP620" s="2058"/>
      <c r="CQ620" s="2058"/>
      <c r="CR620" s="265"/>
      <c r="CS620" s="2079">
        <f t="shared" si="10"/>
        <v>0</v>
      </c>
      <c r="CT620" s="2079"/>
      <c r="CU620" s="2079"/>
      <c r="CV620" s="2079"/>
      <c r="CW620" s="2079"/>
      <c r="CX620" s="2079">
        <f t="shared" si="11"/>
        <v>0</v>
      </c>
      <c r="CY620" s="2079"/>
      <c r="CZ620" s="2079"/>
      <c r="DA620" s="2079"/>
      <c r="DB620" s="2079"/>
      <c r="DC620" s="2079">
        <f t="shared" si="12"/>
        <v>0</v>
      </c>
      <c r="DD620" s="2079"/>
      <c r="DE620" s="2079"/>
      <c r="DF620" s="2079"/>
      <c r="DG620" s="2079"/>
      <c r="DH620" s="2079">
        <f t="shared" si="13"/>
        <v>0</v>
      </c>
      <c r="DI620" s="2079"/>
      <c r="DJ620" s="2079"/>
      <c r="DK620" s="2079"/>
      <c r="DL620" s="2079"/>
      <c r="DM620" s="2079">
        <f t="shared" si="14"/>
        <v>0</v>
      </c>
      <c r="DN620" s="2079"/>
      <c r="DO620" s="2079"/>
      <c r="DP620" s="2079"/>
      <c r="DQ620" s="2079"/>
      <c r="DR620" s="2079">
        <f t="shared" si="15"/>
        <v>0</v>
      </c>
      <c r="DS620" s="2079"/>
      <c r="DT620" s="2079"/>
      <c r="DU620" s="2079"/>
      <c r="DV620" s="2079"/>
      <c r="DX620" s="2067" t="str">
        <f t="shared" si="16"/>
        <v xml:space="preserve"> </v>
      </c>
      <c r="DY620" s="2068"/>
      <c r="DZ620" s="2068"/>
      <c r="EA620" s="2068"/>
      <c r="EB620" s="2069"/>
      <c r="EC620" s="2067" t="str">
        <f t="shared" si="17"/>
        <v xml:space="preserve"> </v>
      </c>
      <c r="ED620" s="2068"/>
      <c r="EE620" s="2068"/>
      <c r="EF620" s="2068"/>
      <c r="EG620" s="2069"/>
      <c r="EH620" s="2067">
        <f t="shared" si="18"/>
        <v>1617</v>
      </c>
      <c r="EI620" s="2068"/>
      <c r="EJ620" s="2068"/>
      <c r="EK620" s="2068"/>
      <c r="EL620" s="2069"/>
      <c r="EM620" s="2067" t="str">
        <f t="shared" si="19"/>
        <v xml:space="preserve"> </v>
      </c>
      <c r="EN620" s="2068"/>
      <c r="EO620" s="2068"/>
      <c r="EP620" s="2068"/>
      <c r="EQ620" s="2069"/>
      <c r="ER620" s="2067" t="str">
        <f t="shared" si="20"/>
        <v xml:space="preserve"> </v>
      </c>
      <c r="ES620" s="2068"/>
      <c r="ET620" s="2068"/>
      <c r="EU620" s="2068"/>
      <c r="EV620" s="2069"/>
      <c r="EW620" s="2067" t="str">
        <f t="shared" si="21"/>
        <v xml:space="preserve"> </v>
      </c>
      <c r="EX620" s="2068"/>
      <c r="EY620" s="2068"/>
      <c r="EZ620" s="2068"/>
      <c r="FA620" s="2069"/>
    </row>
    <row r="621" spans="1:157" ht="12.75">
      <c r="B621" s="12" t="s">
        <v>614</v>
      </c>
      <c r="G621" s="2044"/>
      <c r="H621" s="2044"/>
      <c r="I621" s="2044"/>
      <c r="J621" s="2044"/>
      <c r="K621" s="2044"/>
      <c r="L621" s="2044"/>
      <c r="M621" s="2044"/>
      <c r="N621" s="2044"/>
      <c r="O621" s="2044"/>
      <c r="P621" s="2044"/>
      <c r="Q621" s="2044"/>
      <c r="R621" s="2044"/>
      <c r="U621" s="12" t="s">
        <v>614</v>
      </c>
      <c r="Z621" s="2307"/>
      <c r="AA621" s="2307"/>
      <c r="AB621" s="2307"/>
      <c r="AC621" s="2307"/>
      <c r="AD621" s="2307"/>
      <c r="AE621" s="2307"/>
      <c r="AF621" s="2307"/>
      <c r="AG621" s="2307"/>
      <c r="AH621" s="2307"/>
      <c r="AI621" s="2307"/>
      <c r="AJ621" s="2307"/>
      <c r="AK621" s="2307"/>
      <c r="AZ621" s="58"/>
      <c r="BA621" s="58"/>
      <c r="BB621" s="58"/>
      <c r="BC621" s="58"/>
      <c r="BD621" s="58"/>
      <c r="BE621" s="2067">
        <f t="shared" si="0"/>
        <v>0</v>
      </c>
      <c r="BF621" s="2069"/>
      <c r="BG621" s="2536">
        <f t="shared" si="1"/>
        <v>0</v>
      </c>
      <c r="BH621" s="2537"/>
      <c r="BI621" s="2067">
        <f t="shared" si="2"/>
        <v>0</v>
      </c>
      <c r="BJ621" s="2069"/>
      <c r="BK621" s="2536">
        <f t="shared" si="3"/>
        <v>0</v>
      </c>
      <c r="BL621" s="2537"/>
      <c r="BM621" s="58"/>
      <c r="BN621" s="2059">
        <f t="shared" si="4"/>
        <v>0</v>
      </c>
      <c r="BO621" s="2060"/>
      <c r="BP621" s="2060"/>
      <c r="BQ621" s="2060"/>
      <c r="BR621" s="2061"/>
      <c r="BS621" s="2058">
        <f t="shared" si="5"/>
        <v>0</v>
      </c>
      <c r="BT621" s="2058"/>
      <c r="BU621" s="2058"/>
      <c r="BV621" s="2058"/>
      <c r="BW621" s="2058"/>
      <c r="BX621" s="2058">
        <f t="shared" si="6"/>
        <v>0</v>
      </c>
      <c r="BY621" s="2058"/>
      <c r="BZ621" s="2058"/>
      <c r="CA621" s="2058"/>
      <c r="CB621" s="2058"/>
      <c r="CC621" s="2058">
        <f t="shared" si="7"/>
        <v>27</v>
      </c>
      <c r="CD621" s="2058"/>
      <c r="CE621" s="2058"/>
      <c r="CF621" s="2058"/>
      <c r="CG621" s="2058"/>
      <c r="CH621" s="2058">
        <f t="shared" si="8"/>
        <v>0</v>
      </c>
      <c r="CI621" s="2058"/>
      <c r="CJ621" s="2058"/>
      <c r="CK621" s="2058"/>
      <c r="CL621" s="2058"/>
      <c r="CM621" s="2058">
        <f t="shared" si="9"/>
        <v>0</v>
      </c>
      <c r="CN621" s="2058"/>
      <c r="CO621" s="2058"/>
      <c r="CP621" s="2058"/>
      <c r="CQ621" s="2058"/>
      <c r="CR621" s="265"/>
      <c r="CS621" s="2079">
        <f t="shared" si="10"/>
        <v>0</v>
      </c>
      <c r="CT621" s="2079"/>
      <c r="CU621" s="2079"/>
      <c r="CV621" s="2079"/>
      <c r="CW621" s="2079"/>
      <c r="CX621" s="2079">
        <f t="shared" si="11"/>
        <v>0</v>
      </c>
      <c r="CY621" s="2079"/>
      <c r="CZ621" s="2079"/>
      <c r="DA621" s="2079"/>
      <c r="DB621" s="2079"/>
      <c r="DC621" s="2079">
        <f t="shared" si="12"/>
        <v>0</v>
      </c>
      <c r="DD621" s="2079"/>
      <c r="DE621" s="2079"/>
      <c r="DF621" s="2079"/>
      <c r="DG621" s="2079"/>
      <c r="DH621" s="2079">
        <f t="shared" si="13"/>
        <v>0</v>
      </c>
      <c r="DI621" s="2079"/>
      <c r="DJ621" s="2079"/>
      <c r="DK621" s="2079"/>
      <c r="DL621" s="2079"/>
      <c r="DM621" s="2079">
        <f t="shared" si="14"/>
        <v>0</v>
      </c>
      <c r="DN621" s="2079"/>
      <c r="DO621" s="2079"/>
      <c r="DP621" s="2079"/>
      <c r="DQ621" s="2079"/>
      <c r="DR621" s="2079">
        <f t="shared" si="15"/>
        <v>0</v>
      </c>
      <c r="DS621" s="2079"/>
      <c r="DT621" s="2079"/>
      <c r="DU621" s="2079"/>
      <c r="DV621" s="2079"/>
      <c r="DX621" s="2067" t="str">
        <f t="shared" si="16"/>
        <v xml:space="preserve"> </v>
      </c>
      <c r="DY621" s="2068"/>
      <c r="DZ621" s="2068"/>
      <c r="EA621" s="2068"/>
      <c r="EB621" s="2069"/>
      <c r="EC621" s="2067" t="str">
        <f t="shared" si="17"/>
        <v xml:space="preserve"> </v>
      </c>
      <c r="ED621" s="2068"/>
      <c r="EE621" s="2068"/>
      <c r="EF621" s="2068"/>
      <c r="EG621" s="2069"/>
      <c r="EH621" s="2067" t="str">
        <f t="shared" si="18"/>
        <v xml:space="preserve"> </v>
      </c>
      <c r="EI621" s="2068"/>
      <c r="EJ621" s="2068"/>
      <c r="EK621" s="2068"/>
      <c r="EL621" s="2069"/>
      <c r="EM621" s="2067">
        <f t="shared" si="19"/>
        <v>1869</v>
      </c>
      <c r="EN621" s="2068"/>
      <c r="EO621" s="2068"/>
      <c r="EP621" s="2068"/>
      <c r="EQ621" s="2069"/>
      <c r="ER621" s="2067" t="str">
        <f t="shared" si="20"/>
        <v xml:space="preserve"> </v>
      </c>
      <c r="ES621" s="2068"/>
      <c r="ET621" s="2068"/>
      <c r="EU621" s="2068"/>
      <c r="EV621" s="2069"/>
      <c r="EW621" s="2067" t="str">
        <f t="shared" si="21"/>
        <v xml:space="preserve"> </v>
      </c>
      <c r="EX621" s="2068"/>
      <c r="EY621" s="2068"/>
      <c r="EZ621" s="2068"/>
      <c r="FA621" s="2069"/>
    </row>
    <row r="622" spans="1:157" ht="12.75">
      <c r="B622" s="12" t="s">
        <v>17</v>
      </c>
      <c r="G622" s="2044"/>
      <c r="H622" s="2044"/>
      <c r="I622" s="2044"/>
      <c r="J622" s="2044"/>
      <c r="K622" s="2044"/>
      <c r="L622" s="2044"/>
      <c r="M622" s="2044"/>
      <c r="N622" s="2044"/>
      <c r="O622" s="2044"/>
      <c r="P622" s="2044"/>
      <c r="Q622" s="2044"/>
      <c r="R622" s="2044"/>
      <c r="U622" s="12" t="s">
        <v>17</v>
      </c>
      <c r="Z622" s="2307"/>
      <c r="AA622" s="2307"/>
      <c r="AB622" s="2307"/>
      <c r="AC622" s="2307"/>
      <c r="AD622" s="2307"/>
      <c r="AE622" s="2307"/>
      <c r="AF622" s="2307"/>
      <c r="AG622" s="2307"/>
      <c r="AH622" s="2307"/>
      <c r="AI622" s="2307"/>
      <c r="AJ622" s="2307"/>
      <c r="AK622" s="2307"/>
      <c r="AZ622" s="58"/>
      <c r="BA622" s="58"/>
      <c r="BB622" s="58"/>
      <c r="BC622" s="58"/>
      <c r="BD622" s="58"/>
      <c r="BE622" s="2067">
        <f t="shared" si="0"/>
        <v>0</v>
      </c>
      <c r="BF622" s="2069"/>
      <c r="BG622" s="2536">
        <f t="shared" si="1"/>
        <v>0</v>
      </c>
      <c r="BH622" s="2537"/>
      <c r="BI622" s="2067">
        <f t="shared" si="2"/>
        <v>0</v>
      </c>
      <c r="BJ622" s="2069"/>
      <c r="BK622" s="2536">
        <f t="shared" si="3"/>
        <v>0</v>
      </c>
      <c r="BL622" s="2537"/>
      <c r="BM622" s="58"/>
      <c r="BN622" s="2059">
        <f t="shared" si="4"/>
        <v>0</v>
      </c>
      <c r="BO622" s="2060"/>
      <c r="BP622" s="2060"/>
      <c r="BQ622" s="2060"/>
      <c r="BR622" s="2061"/>
      <c r="BS622" s="2058">
        <f t="shared" si="5"/>
        <v>0</v>
      </c>
      <c r="BT622" s="2058"/>
      <c r="BU622" s="2058"/>
      <c r="BV622" s="2058"/>
      <c r="BW622" s="2058"/>
      <c r="BX622" s="2058">
        <f t="shared" si="6"/>
        <v>2</v>
      </c>
      <c r="BY622" s="2058"/>
      <c r="BZ622" s="2058"/>
      <c r="CA622" s="2058"/>
      <c r="CB622" s="2058"/>
      <c r="CC622" s="2058">
        <f t="shared" si="7"/>
        <v>0</v>
      </c>
      <c r="CD622" s="2058"/>
      <c r="CE622" s="2058"/>
      <c r="CF622" s="2058"/>
      <c r="CG622" s="2058"/>
      <c r="CH622" s="2058">
        <f t="shared" si="8"/>
        <v>0</v>
      </c>
      <c r="CI622" s="2058"/>
      <c r="CJ622" s="2058"/>
      <c r="CK622" s="2058"/>
      <c r="CL622" s="2058"/>
      <c r="CM622" s="2058">
        <f t="shared" si="9"/>
        <v>0</v>
      </c>
      <c r="CN622" s="2058"/>
      <c r="CO622" s="2058"/>
      <c r="CP622" s="2058"/>
      <c r="CQ622" s="2058"/>
      <c r="CR622" s="265"/>
      <c r="CS622" s="2079">
        <f t="shared" si="10"/>
        <v>0</v>
      </c>
      <c r="CT622" s="2079"/>
      <c r="CU622" s="2079"/>
      <c r="CV622" s="2079"/>
      <c r="CW622" s="2079"/>
      <c r="CX622" s="2079">
        <f t="shared" si="11"/>
        <v>0</v>
      </c>
      <c r="CY622" s="2079"/>
      <c r="CZ622" s="2079"/>
      <c r="DA622" s="2079"/>
      <c r="DB622" s="2079"/>
      <c r="DC622" s="2079">
        <f t="shared" si="12"/>
        <v>0</v>
      </c>
      <c r="DD622" s="2079"/>
      <c r="DE622" s="2079"/>
      <c r="DF622" s="2079"/>
      <c r="DG622" s="2079"/>
      <c r="DH622" s="2079">
        <f t="shared" si="13"/>
        <v>0</v>
      </c>
      <c r="DI622" s="2079"/>
      <c r="DJ622" s="2079"/>
      <c r="DK622" s="2079"/>
      <c r="DL622" s="2079"/>
      <c r="DM622" s="2079">
        <f t="shared" si="14"/>
        <v>0</v>
      </c>
      <c r="DN622" s="2079"/>
      <c r="DO622" s="2079"/>
      <c r="DP622" s="2079"/>
      <c r="DQ622" s="2079"/>
      <c r="DR622" s="2079">
        <f t="shared" si="15"/>
        <v>0</v>
      </c>
      <c r="DS622" s="2079"/>
      <c r="DT622" s="2079"/>
      <c r="DU622" s="2079"/>
      <c r="DV622" s="2079"/>
      <c r="DX622" s="2067" t="str">
        <f t="shared" si="16"/>
        <v xml:space="preserve"> </v>
      </c>
      <c r="DY622" s="2068"/>
      <c r="DZ622" s="2068"/>
      <c r="EA622" s="2068"/>
      <c r="EB622" s="2069"/>
      <c r="EC622" s="2067" t="str">
        <f t="shared" si="17"/>
        <v xml:space="preserve"> </v>
      </c>
      <c r="ED622" s="2068"/>
      <c r="EE622" s="2068"/>
      <c r="EF622" s="2068"/>
      <c r="EG622" s="2069"/>
      <c r="EH622" s="2067">
        <f t="shared" si="18"/>
        <v>1592</v>
      </c>
      <c r="EI622" s="2068"/>
      <c r="EJ622" s="2068"/>
      <c r="EK622" s="2068"/>
      <c r="EL622" s="2069"/>
      <c r="EM622" s="2067" t="str">
        <f t="shared" si="19"/>
        <v xml:space="preserve"> </v>
      </c>
      <c r="EN622" s="2068"/>
      <c r="EO622" s="2068"/>
      <c r="EP622" s="2068"/>
      <c r="EQ622" s="2069"/>
      <c r="ER622" s="2067" t="str">
        <f t="shared" si="20"/>
        <v xml:space="preserve"> </v>
      </c>
      <c r="ES622" s="2068"/>
      <c r="ET622" s="2068"/>
      <c r="EU622" s="2068"/>
      <c r="EV622" s="2069"/>
      <c r="EW622" s="2067" t="str">
        <f t="shared" si="21"/>
        <v xml:space="preserve"> </v>
      </c>
      <c r="EX622" s="2068"/>
      <c r="EY622" s="2068"/>
      <c r="EZ622" s="2068"/>
      <c r="FA622" s="2069"/>
    </row>
    <row r="623" spans="1:157" ht="12.75">
      <c r="B623" s="12" t="s">
        <v>325</v>
      </c>
      <c r="G623" s="2089"/>
      <c r="H623" s="2089"/>
      <c r="I623" s="2089"/>
      <c r="J623" s="2089"/>
      <c r="K623" s="2089"/>
      <c r="L623" s="2089"/>
      <c r="O623" s="137" t="s">
        <v>212</v>
      </c>
      <c r="P623" s="2098"/>
      <c r="Q623" s="2098"/>
      <c r="R623" s="2098"/>
      <c r="U623" s="12" t="s">
        <v>325</v>
      </c>
      <c r="Z623" s="2089"/>
      <c r="AA623" s="2089"/>
      <c r="AB623" s="2089"/>
      <c r="AC623" s="2089"/>
      <c r="AD623" s="2089"/>
      <c r="AE623" s="2089"/>
      <c r="AH623" s="137" t="s">
        <v>212</v>
      </c>
      <c r="AI623" s="2098"/>
      <c r="AJ623" s="2098"/>
      <c r="AK623" s="2098"/>
      <c r="AZ623" s="58"/>
      <c r="BA623" s="58"/>
      <c r="BB623" s="58"/>
      <c r="BC623" s="58"/>
      <c r="BD623" s="58"/>
      <c r="BE623" s="2067">
        <f t="shared" si="0"/>
        <v>0</v>
      </c>
      <c r="BF623" s="2069"/>
      <c r="BG623" s="2536">
        <f t="shared" si="1"/>
        <v>0</v>
      </c>
      <c r="BH623" s="2537"/>
      <c r="BI623" s="2067">
        <f t="shared" si="2"/>
        <v>0</v>
      </c>
      <c r="BJ623" s="2069"/>
      <c r="BK623" s="2536">
        <f t="shared" si="3"/>
        <v>0</v>
      </c>
      <c r="BL623" s="2537"/>
      <c r="BM623" s="58"/>
      <c r="BN623" s="2059">
        <f t="shared" si="4"/>
        <v>0</v>
      </c>
      <c r="BO623" s="2060"/>
      <c r="BP623" s="2060"/>
      <c r="BQ623" s="2060"/>
      <c r="BR623" s="2061"/>
      <c r="BS623" s="2058">
        <f t="shared" si="5"/>
        <v>0</v>
      </c>
      <c r="BT623" s="2058"/>
      <c r="BU623" s="2058"/>
      <c r="BV623" s="2058"/>
      <c r="BW623" s="2058"/>
      <c r="BX623" s="2058">
        <f t="shared" si="6"/>
        <v>0</v>
      </c>
      <c r="BY623" s="2058"/>
      <c r="BZ623" s="2058"/>
      <c r="CA623" s="2058"/>
      <c r="CB623" s="2058"/>
      <c r="CC623" s="2058">
        <f t="shared" si="7"/>
        <v>0</v>
      </c>
      <c r="CD623" s="2058"/>
      <c r="CE623" s="2058"/>
      <c r="CF623" s="2058"/>
      <c r="CG623" s="2058"/>
      <c r="CH623" s="2058">
        <f t="shared" si="8"/>
        <v>0</v>
      </c>
      <c r="CI623" s="2058"/>
      <c r="CJ623" s="2058"/>
      <c r="CK623" s="2058"/>
      <c r="CL623" s="2058"/>
      <c r="CM623" s="2058">
        <f t="shared" si="9"/>
        <v>0</v>
      </c>
      <c r="CN623" s="2058"/>
      <c r="CO623" s="2058"/>
      <c r="CP623" s="2058"/>
      <c r="CQ623" s="2058"/>
      <c r="CR623" s="265"/>
      <c r="CS623" s="2079">
        <f t="shared" si="10"/>
        <v>0</v>
      </c>
      <c r="CT623" s="2079"/>
      <c r="CU623" s="2079"/>
      <c r="CV623" s="2079"/>
      <c r="CW623" s="2079"/>
      <c r="CX623" s="2079">
        <f t="shared" si="11"/>
        <v>0</v>
      </c>
      <c r="CY623" s="2079"/>
      <c r="CZ623" s="2079"/>
      <c r="DA623" s="2079"/>
      <c r="DB623" s="2079"/>
      <c r="DC623" s="2079">
        <f t="shared" si="12"/>
        <v>0</v>
      </c>
      <c r="DD623" s="2079"/>
      <c r="DE623" s="2079"/>
      <c r="DF623" s="2079"/>
      <c r="DG623" s="2079"/>
      <c r="DH623" s="2079">
        <f t="shared" si="13"/>
        <v>0</v>
      </c>
      <c r="DI623" s="2079"/>
      <c r="DJ623" s="2079"/>
      <c r="DK623" s="2079"/>
      <c r="DL623" s="2079"/>
      <c r="DM623" s="2079">
        <f t="shared" si="14"/>
        <v>0</v>
      </c>
      <c r="DN623" s="2079"/>
      <c r="DO623" s="2079"/>
      <c r="DP623" s="2079"/>
      <c r="DQ623" s="2079"/>
      <c r="DR623" s="2079">
        <f t="shared" si="15"/>
        <v>0</v>
      </c>
      <c r="DS623" s="2079"/>
      <c r="DT623" s="2079"/>
      <c r="DU623" s="2079"/>
      <c r="DV623" s="2079"/>
      <c r="DX623" s="2067" t="str">
        <f t="shared" si="16"/>
        <v xml:space="preserve"> </v>
      </c>
      <c r="DY623" s="2068"/>
      <c r="DZ623" s="2068"/>
      <c r="EA623" s="2068"/>
      <c r="EB623" s="2069"/>
      <c r="EC623" s="2067" t="str">
        <f t="shared" si="17"/>
        <v xml:space="preserve"> </v>
      </c>
      <c r="ED623" s="2068"/>
      <c r="EE623" s="2068"/>
      <c r="EF623" s="2068"/>
      <c r="EG623" s="2069"/>
      <c r="EH623" s="2067" t="str">
        <f t="shared" si="18"/>
        <v xml:space="preserve"> </v>
      </c>
      <c r="EI623" s="2068"/>
      <c r="EJ623" s="2068"/>
      <c r="EK623" s="2068"/>
      <c r="EL623" s="2069"/>
      <c r="EM623" s="2067" t="str">
        <f t="shared" si="19"/>
        <v xml:space="preserve"> </v>
      </c>
      <c r="EN623" s="2068"/>
      <c r="EO623" s="2068"/>
      <c r="EP623" s="2068"/>
      <c r="EQ623" s="2069"/>
      <c r="ER623" s="2067" t="str">
        <f t="shared" si="20"/>
        <v xml:space="preserve"> </v>
      </c>
      <c r="ES623" s="2068"/>
      <c r="ET623" s="2068"/>
      <c r="EU623" s="2068"/>
      <c r="EV623" s="2069"/>
      <c r="EW623" s="2067" t="str">
        <f t="shared" si="21"/>
        <v xml:space="preserve"> </v>
      </c>
      <c r="EX623" s="2068"/>
      <c r="EY623" s="2068"/>
      <c r="EZ623" s="2068"/>
      <c r="FA623" s="2069"/>
    </row>
    <row r="624" spans="1:157" ht="12.75">
      <c r="B624" s="12" t="s">
        <v>18</v>
      </c>
      <c r="H624" s="2044"/>
      <c r="I624" s="2044"/>
      <c r="J624" s="2044"/>
      <c r="K624" s="2044"/>
      <c r="L624" s="2044"/>
      <c r="M624" s="2044"/>
      <c r="N624" s="2044"/>
      <c r="O624" s="2044"/>
      <c r="P624" s="2044"/>
      <c r="Q624" s="2044"/>
      <c r="R624" s="2044"/>
      <c r="U624" s="12" t="s">
        <v>18</v>
      </c>
      <c r="AA624" s="2044"/>
      <c r="AB624" s="2044"/>
      <c r="AC624" s="2044"/>
      <c r="AD624" s="2044"/>
      <c r="AE624" s="2044"/>
      <c r="AF624" s="2044"/>
      <c r="AG624" s="2044"/>
      <c r="AH624" s="2044"/>
      <c r="AI624" s="2044"/>
      <c r="AJ624" s="2044"/>
      <c r="AK624" s="2044"/>
      <c r="AZ624" s="58"/>
      <c r="BA624" s="58"/>
      <c r="BB624" s="58"/>
      <c r="BC624" s="58"/>
      <c r="BD624" s="58"/>
      <c r="BE624" s="2067">
        <f t="shared" si="0"/>
        <v>0</v>
      </c>
      <c r="BF624" s="2069"/>
      <c r="BG624" s="2536">
        <f t="shared" si="1"/>
        <v>0</v>
      </c>
      <c r="BH624" s="2537"/>
      <c r="BI624" s="2067">
        <f t="shared" si="2"/>
        <v>0</v>
      </c>
      <c r="BJ624" s="2069"/>
      <c r="BK624" s="2536">
        <f t="shared" si="3"/>
        <v>0</v>
      </c>
      <c r="BL624" s="2537"/>
      <c r="BM624" s="58"/>
      <c r="BN624" s="2059">
        <f t="shared" si="4"/>
        <v>0</v>
      </c>
      <c r="BO624" s="2060"/>
      <c r="BP624" s="2060"/>
      <c r="BQ624" s="2060"/>
      <c r="BR624" s="2061"/>
      <c r="BS624" s="2058">
        <f t="shared" si="5"/>
        <v>0</v>
      </c>
      <c r="BT624" s="2058"/>
      <c r="BU624" s="2058"/>
      <c r="BV624" s="2058"/>
      <c r="BW624" s="2058"/>
      <c r="BX624" s="2058">
        <f t="shared" si="6"/>
        <v>0</v>
      </c>
      <c r="BY624" s="2058"/>
      <c r="BZ624" s="2058"/>
      <c r="CA624" s="2058"/>
      <c r="CB624" s="2058"/>
      <c r="CC624" s="2058">
        <f t="shared" si="7"/>
        <v>0</v>
      </c>
      <c r="CD624" s="2058"/>
      <c r="CE624" s="2058"/>
      <c r="CF624" s="2058"/>
      <c r="CG624" s="2058"/>
      <c r="CH624" s="2058">
        <f t="shared" si="8"/>
        <v>0</v>
      </c>
      <c r="CI624" s="2058"/>
      <c r="CJ624" s="2058"/>
      <c r="CK624" s="2058"/>
      <c r="CL624" s="2058"/>
      <c r="CM624" s="2058">
        <f t="shared" si="9"/>
        <v>0</v>
      </c>
      <c r="CN624" s="2058"/>
      <c r="CO624" s="2058"/>
      <c r="CP624" s="2058"/>
      <c r="CQ624" s="2058"/>
      <c r="CR624" s="265"/>
      <c r="CS624" s="2079">
        <f t="shared" si="10"/>
        <v>0</v>
      </c>
      <c r="CT624" s="2079"/>
      <c r="CU624" s="2079"/>
      <c r="CV624" s="2079"/>
      <c r="CW624" s="2079"/>
      <c r="CX624" s="2079">
        <f t="shared" si="11"/>
        <v>0</v>
      </c>
      <c r="CY624" s="2079"/>
      <c r="CZ624" s="2079"/>
      <c r="DA624" s="2079"/>
      <c r="DB624" s="2079"/>
      <c r="DC624" s="2079">
        <f t="shared" si="12"/>
        <v>0</v>
      </c>
      <c r="DD624" s="2079"/>
      <c r="DE624" s="2079"/>
      <c r="DF624" s="2079"/>
      <c r="DG624" s="2079"/>
      <c r="DH624" s="2079">
        <f t="shared" si="13"/>
        <v>0</v>
      </c>
      <c r="DI624" s="2079"/>
      <c r="DJ624" s="2079"/>
      <c r="DK624" s="2079"/>
      <c r="DL624" s="2079"/>
      <c r="DM624" s="2079">
        <f t="shared" si="14"/>
        <v>0</v>
      </c>
      <c r="DN624" s="2079"/>
      <c r="DO624" s="2079"/>
      <c r="DP624" s="2079"/>
      <c r="DQ624" s="2079"/>
      <c r="DR624" s="2079">
        <f t="shared" si="15"/>
        <v>0</v>
      </c>
      <c r="DS624" s="2079"/>
      <c r="DT624" s="2079"/>
      <c r="DU624" s="2079"/>
      <c r="DV624" s="2079"/>
      <c r="DX624" s="2067" t="str">
        <f t="shared" si="16"/>
        <v xml:space="preserve"> </v>
      </c>
      <c r="DY624" s="2068"/>
      <c r="DZ624" s="2068"/>
      <c r="EA624" s="2068"/>
      <c r="EB624" s="2069"/>
      <c r="EC624" s="2067" t="str">
        <f t="shared" si="17"/>
        <v xml:space="preserve"> </v>
      </c>
      <c r="ED624" s="2068"/>
      <c r="EE624" s="2068"/>
      <c r="EF624" s="2068"/>
      <c r="EG624" s="2069"/>
      <c r="EH624" s="2067" t="str">
        <f t="shared" si="18"/>
        <v xml:space="preserve"> </v>
      </c>
      <c r="EI624" s="2068"/>
      <c r="EJ624" s="2068"/>
      <c r="EK624" s="2068"/>
      <c r="EL624" s="2069"/>
      <c r="EM624" s="2067" t="str">
        <f t="shared" si="19"/>
        <v xml:space="preserve"> </v>
      </c>
      <c r="EN624" s="2068"/>
      <c r="EO624" s="2068"/>
      <c r="EP624" s="2068"/>
      <c r="EQ624" s="2069"/>
      <c r="ER624" s="2067" t="str">
        <f t="shared" si="20"/>
        <v xml:space="preserve"> </v>
      </c>
      <c r="ES624" s="2068"/>
      <c r="ET624" s="2068"/>
      <c r="EU624" s="2068"/>
      <c r="EV624" s="2069"/>
      <c r="EW624" s="2067" t="str">
        <f t="shared" si="21"/>
        <v xml:space="preserve"> </v>
      </c>
      <c r="EX624" s="2068"/>
      <c r="EY624" s="2068"/>
      <c r="EZ624" s="2068"/>
      <c r="FA624" s="2069"/>
    </row>
    <row r="625" spans="1:157" ht="12.75">
      <c r="B625" s="12" t="s">
        <v>20</v>
      </c>
      <c r="N625" s="2062" t="s">
        <v>705</v>
      </c>
      <c r="O625" s="2062"/>
      <c r="U625" s="12" t="s">
        <v>20</v>
      </c>
      <c r="AG625" s="2062" t="s">
        <v>705</v>
      </c>
      <c r="AH625" s="2062"/>
      <c r="AZ625" s="58"/>
      <c r="BA625" s="58"/>
      <c r="BB625" s="58"/>
      <c r="BC625" s="58"/>
      <c r="BD625" s="58"/>
      <c r="BE625" s="2067">
        <f t="shared" si="0"/>
        <v>0</v>
      </c>
      <c r="BF625" s="2069"/>
      <c r="BG625" s="2536">
        <f t="shared" si="1"/>
        <v>0</v>
      </c>
      <c r="BH625" s="2537"/>
      <c r="BI625" s="2067">
        <f t="shared" si="2"/>
        <v>0</v>
      </c>
      <c r="BJ625" s="2069"/>
      <c r="BK625" s="2536">
        <f t="shared" si="3"/>
        <v>0</v>
      </c>
      <c r="BL625" s="2537"/>
      <c r="BM625" s="58"/>
      <c r="BN625" s="2059">
        <f t="shared" si="4"/>
        <v>0</v>
      </c>
      <c r="BO625" s="2060"/>
      <c r="BP625" s="2060"/>
      <c r="BQ625" s="2060"/>
      <c r="BR625" s="2061"/>
      <c r="BS625" s="2058">
        <f t="shared" si="5"/>
        <v>0</v>
      </c>
      <c r="BT625" s="2058"/>
      <c r="BU625" s="2058"/>
      <c r="BV625" s="2058"/>
      <c r="BW625" s="2058"/>
      <c r="BX625" s="2058">
        <f t="shared" si="6"/>
        <v>0</v>
      </c>
      <c r="BY625" s="2058"/>
      <c r="BZ625" s="2058"/>
      <c r="CA625" s="2058"/>
      <c r="CB625" s="2058"/>
      <c r="CC625" s="2058">
        <f t="shared" si="7"/>
        <v>0</v>
      </c>
      <c r="CD625" s="2058"/>
      <c r="CE625" s="2058"/>
      <c r="CF625" s="2058"/>
      <c r="CG625" s="2058"/>
      <c r="CH625" s="2058">
        <f t="shared" si="8"/>
        <v>0</v>
      </c>
      <c r="CI625" s="2058"/>
      <c r="CJ625" s="2058"/>
      <c r="CK625" s="2058"/>
      <c r="CL625" s="2058"/>
      <c r="CM625" s="2058">
        <f t="shared" si="9"/>
        <v>0</v>
      </c>
      <c r="CN625" s="2058"/>
      <c r="CO625" s="2058"/>
      <c r="CP625" s="2058"/>
      <c r="CQ625" s="2058"/>
      <c r="CR625" s="265"/>
      <c r="CS625" s="2079">
        <f t="shared" si="10"/>
        <v>0</v>
      </c>
      <c r="CT625" s="2079"/>
      <c r="CU625" s="2079"/>
      <c r="CV625" s="2079"/>
      <c r="CW625" s="2079"/>
      <c r="CX625" s="2079">
        <f t="shared" si="11"/>
        <v>0</v>
      </c>
      <c r="CY625" s="2079"/>
      <c r="CZ625" s="2079"/>
      <c r="DA625" s="2079"/>
      <c r="DB625" s="2079"/>
      <c r="DC625" s="2079">
        <f t="shared" si="12"/>
        <v>0</v>
      </c>
      <c r="DD625" s="2079"/>
      <c r="DE625" s="2079"/>
      <c r="DF625" s="2079"/>
      <c r="DG625" s="2079"/>
      <c r="DH625" s="2079">
        <f t="shared" si="13"/>
        <v>0</v>
      </c>
      <c r="DI625" s="2079"/>
      <c r="DJ625" s="2079"/>
      <c r="DK625" s="2079"/>
      <c r="DL625" s="2079"/>
      <c r="DM625" s="2079">
        <f t="shared" si="14"/>
        <v>0</v>
      </c>
      <c r="DN625" s="2079"/>
      <c r="DO625" s="2079"/>
      <c r="DP625" s="2079"/>
      <c r="DQ625" s="2079"/>
      <c r="DR625" s="2079">
        <f t="shared" si="15"/>
        <v>0</v>
      </c>
      <c r="DS625" s="2079"/>
      <c r="DT625" s="2079"/>
      <c r="DU625" s="2079"/>
      <c r="DV625" s="2079"/>
      <c r="DX625" s="2067" t="str">
        <f t="shared" si="16"/>
        <v xml:space="preserve"> </v>
      </c>
      <c r="DY625" s="2068"/>
      <c r="DZ625" s="2068"/>
      <c r="EA625" s="2068"/>
      <c r="EB625" s="2069"/>
      <c r="EC625" s="2067" t="str">
        <f t="shared" si="17"/>
        <v xml:space="preserve"> </v>
      </c>
      <c r="ED625" s="2068"/>
      <c r="EE625" s="2068"/>
      <c r="EF625" s="2068"/>
      <c r="EG625" s="2069"/>
      <c r="EH625" s="2067" t="str">
        <f t="shared" si="18"/>
        <v xml:space="preserve"> </v>
      </c>
      <c r="EI625" s="2068"/>
      <c r="EJ625" s="2068"/>
      <c r="EK625" s="2068"/>
      <c r="EL625" s="2069"/>
      <c r="EM625" s="2067" t="str">
        <f t="shared" si="19"/>
        <v xml:space="preserve"> </v>
      </c>
      <c r="EN625" s="2068"/>
      <c r="EO625" s="2068"/>
      <c r="EP625" s="2068"/>
      <c r="EQ625" s="2069"/>
      <c r="ER625" s="2067" t="str">
        <f t="shared" si="20"/>
        <v xml:space="preserve"> </v>
      </c>
      <c r="ES625" s="2068"/>
      <c r="ET625" s="2068"/>
      <c r="EU625" s="2068"/>
      <c r="EV625" s="2069"/>
      <c r="EW625" s="2067" t="str">
        <f t="shared" si="21"/>
        <v xml:space="preserve"> </v>
      </c>
      <c r="EX625" s="2068"/>
      <c r="EY625" s="2068"/>
      <c r="EZ625" s="2068"/>
      <c r="FA625" s="2069"/>
    </row>
    <row r="626" spans="1:157" ht="12.75">
      <c r="AZ626" s="58"/>
      <c r="BA626" s="58"/>
      <c r="BB626" s="58"/>
      <c r="BC626" s="58"/>
      <c r="BD626" s="58"/>
      <c r="BE626" s="2067">
        <f t="shared" si="0"/>
        <v>0</v>
      </c>
      <c r="BF626" s="2069"/>
      <c r="BG626" s="2536">
        <f t="shared" si="1"/>
        <v>0</v>
      </c>
      <c r="BH626" s="2537"/>
      <c r="BI626" s="2067">
        <f t="shared" si="2"/>
        <v>0</v>
      </c>
      <c r="BJ626" s="2069"/>
      <c r="BK626" s="2536">
        <f t="shared" si="3"/>
        <v>0</v>
      </c>
      <c r="BL626" s="2537"/>
      <c r="BM626" s="58"/>
      <c r="BN626" s="2059">
        <f t="shared" si="4"/>
        <v>0</v>
      </c>
      <c r="BO626" s="2060"/>
      <c r="BP626" s="2060"/>
      <c r="BQ626" s="2060"/>
      <c r="BR626" s="2061"/>
      <c r="BS626" s="2058">
        <f t="shared" si="5"/>
        <v>0</v>
      </c>
      <c r="BT626" s="2058"/>
      <c r="BU626" s="2058"/>
      <c r="BV626" s="2058"/>
      <c r="BW626" s="2058"/>
      <c r="BX626" s="2058">
        <f t="shared" si="6"/>
        <v>0</v>
      </c>
      <c r="BY626" s="2058"/>
      <c r="BZ626" s="2058"/>
      <c r="CA626" s="2058"/>
      <c r="CB626" s="2058"/>
      <c r="CC626" s="2058">
        <f t="shared" si="7"/>
        <v>0</v>
      </c>
      <c r="CD626" s="2058"/>
      <c r="CE626" s="2058"/>
      <c r="CF626" s="2058"/>
      <c r="CG626" s="2058"/>
      <c r="CH626" s="2058">
        <f t="shared" si="8"/>
        <v>0</v>
      </c>
      <c r="CI626" s="2058"/>
      <c r="CJ626" s="2058"/>
      <c r="CK626" s="2058"/>
      <c r="CL626" s="2058"/>
      <c r="CM626" s="2058">
        <f t="shared" si="9"/>
        <v>0</v>
      </c>
      <c r="CN626" s="2058"/>
      <c r="CO626" s="2058"/>
      <c r="CP626" s="2058"/>
      <c r="CQ626" s="2058"/>
      <c r="CR626" s="265"/>
      <c r="CS626" s="2079">
        <f t="shared" si="10"/>
        <v>0</v>
      </c>
      <c r="CT626" s="2079"/>
      <c r="CU626" s="2079"/>
      <c r="CV626" s="2079"/>
      <c r="CW626" s="2079"/>
      <c r="CX626" s="2079">
        <f t="shared" si="11"/>
        <v>0</v>
      </c>
      <c r="CY626" s="2079"/>
      <c r="CZ626" s="2079"/>
      <c r="DA626" s="2079"/>
      <c r="DB626" s="2079"/>
      <c r="DC626" s="2079">
        <f t="shared" si="12"/>
        <v>0</v>
      </c>
      <c r="DD626" s="2079"/>
      <c r="DE626" s="2079"/>
      <c r="DF626" s="2079"/>
      <c r="DG626" s="2079"/>
      <c r="DH626" s="2079">
        <f t="shared" si="13"/>
        <v>0</v>
      </c>
      <c r="DI626" s="2079"/>
      <c r="DJ626" s="2079"/>
      <c r="DK626" s="2079"/>
      <c r="DL626" s="2079"/>
      <c r="DM626" s="2079">
        <f t="shared" si="14"/>
        <v>0</v>
      </c>
      <c r="DN626" s="2079"/>
      <c r="DO626" s="2079"/>
      <c r="DP626" s="2079"/>
      <c r="DQ626" s="2079"/>
      <c r="DR626" s="2079">
        <f t="shared" si="15"/>
        <v>0</v>
      </c>
      <c r="DS626" s="2079"/>
      <c r="DT626" s="2079"/>
      <c r="DU626" s="2079"/>
      <c r="DV626" s="2079"/>
      <c r="DX626" s="2067" t="str">
        <f t="shared" si="16"/>
        <v xml:space="preserve"> </v>
      </c>
      <c r="DY626" s="2068"/>
      <c r="DZ626" s="2068"/>
      <c r="EA626" s="2068"/>
      <c r="EB626" s="2069"/>
      <c r="EC626" s="2067" t="str">
        <f t="shared" si="17"/>
        <v xml:space="preserve"> </v>
      </c>
      <c r="ED626" s="2068"/>
      <c r="EE626" s="2068"/>
      <c r="EF626" s="2068"/>
      <c r="EG626" s="2069"/>
      <c r="EH626" s="2067" t="str">
        <f t="shared" si="18"/>
        <v xml:space="preserve"> </v>
      </c>
      <c r="EI626" s="2068"/>
      <c r="EJ626" s="2068"/>
      <c r="EK626" s="2068"/>
      <c r="EL626" s="2069"/>
      <c r="EM626" s="2067" t="str">
        <f t="shared" si="19"/>
        <v xml:space="preserve"> </v>
      </c>
      <c r="EN626" s="2068"/>
      <c r="EO626" s="2068"/>
      <c r="EP626" s="2068"/>
      <c r="EQ626" s="2069"/>
      <c r="ER626" s="2067" t="str">
        <f t="shared" si="20"/>
        <v xml:space="preserve"> </v>
      </c>
      <c r="ES626" s="2068"/>
      <c r="ET626" s="2068"/>
      <c r="EU626" s="2068"/>
      <c r="EV626" s="2069"/>
      <c r="EW626" s="2067" t="str">
        <f t="shared" si="21"/>
        <v xml:space="preserve"> </v>
      </c>
      <c r="EX626" s="2068"/>
      <c r="EY626" s="2068"/>
      <c r="EZ626" s="2068"/>
      <c r="FA626" s="2069"/>
    </row>
    <row r="627" spans="1:157" ht="12.75" customHeight="1">
      <c r="A627" s="1895" t="s">
        <v>576</v>
      </c>
      <c r="B627" s="1895"/>
      <c r="C627" s="1895"/>
      <c r="D627" s="1895"/>
      <c r="E627" s="1895"/>
      <c r="F627" s="1895"/>
      <c r="G627" s="1895"/>
      <c r="H627" s="1895"/>
      <c r="I627" s="1895"/>
      <c r="J627" s="1895"/>
      <c r="K627" s="1895"/>
      <c r="L627" s="1895"/>
      <c r="M627" s="1895"/>
      <c r="N627" s="1895"/>
      <c r="O627" s="1895"/>
      <c r="P627" s="1895"/>
      <c r="Q627" s="1895"/>
      <c r="R627" s="1895"/>
      <c r="S627" s="1895"/>
      <c r="T627" s="1895"/>
      <c r="U627" s="1895"/>
      <c r="V627" s="1895"/>
      <c r="W627" s="1895"/>
      <c r="X627" s="1895"/>
      <c r="Y627" s="1895"/>
      <c r="Z627" s="1895"/>
      <c r="AA627" s="1895"/>
      <c r="AB627" s="1895"/>
      <c r="AC627" s="1895"/>
      <c r="AD627" s="1895"/>
      <c r="AE627" s="1895"/>
      <c r="AF627" s="1895"/>
      <c r="AG627" s="1895"/>
      <c r="AH627" s="1895"/>
      <c r="AI627" s="1895"/>
      <c r="AJ627" s="1895"/>
      <c r="AK627" s="1895"/>
      <c r="AL627" s="1895"/>
      <c r="AM627" s="1895"/>
      <c r="AN627" s="1895"/>
      <c r="AO627" s="1895"/>
      <c r="AP627" s="1895"/>
      <c r="AQ627" s="1895"/>
      <c r="AR627" s="1895"/>
      <c r="AS627" s="1895"/>
      <c r="AT627" s="1571"/>
      <c r="AU627" s="1571"/>
      <c r="AV627" s="1571"/>
      <c r="AW627" s="1571"/>
      <c r="AX627" s="1571"/>
      <c r="AY627" s="1571"/>
      <c r="AZ627" s="58"/>
      <c r="BA627" s="58"/>
      <c r="BB627" s="58"/>
      <c r="BC627" s="58"/>
      <c r="BD627" s="58"/>
      <c r="BE627" s="2067">
        <f t="shared" si="0"/>
        <v>0</v>
      </c>
      <c r="BF627" s="2069"/>
      <c r="BG627" s="2536">
        <f t="shared" si="1"/>
        <v>0</v>
      </c>
      <c r="BH627" s="2537"/>
      <c r="BI627" s="2067">
        <f t="shared" si="2"/>
        <v>0</v>
      </c>
      <c r="BJ627" s="2069"/>
      <c r="BK627" s="2536">
        <f t="shared" si="3"/>
        <v>0</v>
      </c>
      <c r="BL627" s="2537"/>
      <c r="BM627" s="58"/>
      <c r="BN627" s="2059">
        <f t="shared" si="4"/>
        <v>0</v>
      </c>
      <c r="BO627" s="2060"/>
      <c r="BP627" s="2060"/>
      <c r="BQ627" s="2060"/>
      <c r="BR627" s="2061"/>
      <c r="BS627" s="2058">
        <f t="shared" si="5"/>
        <v>0</v>
      </c>
      <c r="BT627" s="2058"/>
      <c r="BU627" s="2058"/>
      <c r="BV627" s="2058"/>
      <c r="BW627" s="2058"/>
      <c r="BX627" s="2058">
        <f t="shared" si="6"/>
        <v>0</v>
      </c>
      <c r="BY627" s="2058"/>
      <c r="BZ627" s="2058"/>
      <c r="CA627" s="2058"/>
      <c r="CB627" s="2058"/>
      <c r="CC627" s="2058">
        <f t="shared" si="7"/>
        <v>0</v>
      </c>
      <c r="CD627" s="2058"/>
      <c r="CE627" s="2058"/>
      <c r="CF627" s="2058"/>
      <c r="CG627" s="2058"/>
      <c r="CH627" s="2058">
        <f t="shared" si="8"/>
        <v>0</v>
      </c>
      <c r="CI627" s="2058"/>
      <c r="CJ627" s="2058"/>
      <c r="CK627" s="2058"/>
      <c r="CL627" s="2058"/>
      <c r="CM627" s="2058">
        <f t="shared" si="9"/>
        <v>0</v>
      </c>
      <c r="CN627" s="2058"/>
      <c r="CO627" s="2058"/>
      <c r="CP627" s="2058"/>
      <c r="CQ627" s="2058"/>
      <c r="CR627" s="265"/>
      <c r="CS627" s="2079">
        <f t="shared" si="10"/>
        <v>0</v>
      </c>
      <c r="CT627" s="2079"/>
      <c r="CU627" s="2079"/>
      <c r="CV627" s="2079"/>
      <c r="CW627" s="2079"/>
      <c r="CX627" s="2079">
        <f t="shared" si="11"/>
        <v>0</v>
      </c>
      <c r="CY627" s="2079"/>
      <c r="CZ627" s="2079"/>
      <c r="DA627" s="2079"/>
      <c r="DB627" s="2079"/>
      <c r="DC627" s="2079">
        <f t="shared" si="12"/>
        <v>0</v>
      </c>
      <c r="DD627" s="2079"/>
      <c r="DE627" s="2079"/>
      <c r="DF627" s="2079"/>
      <c r="DG627" s="2079"/>
      <c r="DH627" s="2079">
        <f t="shared" si="13"/>
        <v>0</v>
      </c>
      <c r="DI627" s="2079"/>
      <c r="DJ627" s="2079"/>
      <c r="DK627" s="2079"/>
      <c r="DL627" s="2079"/>
      <c r="DM627" s="2079">
        <f t="shared" si="14"/>
        <v>0</v>
      </c>
      <c r="DN627" s="2079"/>
      <c r="DO627" s="2079"/>
      <c r="DP627" s="2079"/>
      <c r="DQ627" s="2079"/>
      <c r="DR627" s="2079">
        <f t="shared" si="15"/>
        <v>0</v>
      </c>
      <c r="DS627" s="2079"/>
      <c r="DT627" s="2079"/>
      <c r="DU627" s="2079"/>
      <c r="DV627" s="2079"/>
      <c r="DX627" s="2067" t="str">
        <f t="shared" si="16"/>
        <v xml:space="preserve"> </v>
      </c>
      <c r="DY627" s="2068"/>
      <c r="DZ627" s="2068"/>
      <c r="EA627" s="2068"/>
      <c r="EB627" s="2069"/>
      <c r="EC627" s="2067" t="str">
        <f t="shared" si="17"/>
        <v xml:space="preserve"> </v>
      </c>
      <c r="ED627" s="2068"/>
      <c r="EE627" s="2068"/>
      <c r="EF627" s="2068"/>
      <c r="EG627" s="2069"/>
      <c r="EH627" s="2067" t="str">
        <f t="shared" si="18"/>
        <v xml:space="preserve"> </v>
      </c>
      <c r="EI627" s="2068"/>
      <c r="EJ627" s="2068"/>
      <c r="EK627" s="2068"/>
      <c r="EL627" s="2069"/>
      <c r="EM627" s="2067" t="str">
        <f t="shared" si="19"/>
        <v xml:space="preserve"> </v>
      </c>
      <c r="EN627" s="2068"/>
      <c r="EO627" s="2068"/>
      <c r="EP627" s="2068"/>
      <c r="EQ627" s="2069"/>
      <c r="ER627" s="2067" t="str">
        <f t="shared" si="20"/>
        <v xml:space="preserve"> </v>
      </c>
      <c r="ES627" s="2068"/>
      <c r="ET627" s="2068"/>
      <c r="EU627" s="2068"/>
      <c r="EV627" s="2069"/>
      <c r="EW627" s="2067" t="str">
        <f t="shared" si="21"/>
        <v xml:space="preserve"> </v>
      </c>
      <c r="EX627" s="2068"/>
      <c r="EY627" s="2068"/>
      <c r="EZ627" s="2068"/>
      <c r="FA627" s="2069"/>
    </row>
    <row r="628" spans="1:157" ht="12.75">
      <c r="A628" s="1895"/>
      <c r="B628" s="1895"/>
      <c r="C628" s="1895"/>
      <c r="D628" s="1895"/>
      <c r="E628" s="1895"/>
      <c r="F628" s="1895"/>
      <c r="G628" s="1895"/>
      <c r="H628" s="1895"/>
      <c r="I628" s="1895"/>
      <c r="J628" s="1895"/>
      <c r="K628" s="1895"/>
      <c r="L628" s="1895"/>
      <c r="M628" s="1895"/>
      <c r="N628" s="1895"/>
      <c r="O628" s="1895"/>
      <c r="P628" s="1895"/>
      <c r="Q628" s="1895"/>
      <c r="R628" s="1895"/>
      <c r="S628" s="1895"/>
      <c r="T628" s="1895"/>
      <c r="U628" s="1895"/>
      <c r="V628" s="1895"/>
      <c r="W628" s="1895"/>
      <c r="X628" s="1895"/>
      <c r="Y628" s="1895"/>
      <c r="Z628" s="1895"/>
      <c r="AA628" s="1895"/>
      <c r="AB628" s="1895"/>
      <c r="AC628" s="1895"/>
      <c r="AD628" s="1895"/>
      <c r="AE628" s="1895"/>
      <c r="AF628" s="1895"/>
      <c r="AG628" s="1895"/>
      <c r="AH628" s="1895"/>
      <c r="AI628" s="1895"/>
      <c r="AJ628" s="1895"/>
      <c r="AK628" s="1895"/>
      <c r="AL628" s="1895"/>
      <c r="AM628" s="1895"/>
      <c r="AN628" s="1895"/>
      <c r="AO628" s="1895"/>
      <c r="AP628" s="1895"/>
      <c r="AQ628" s="1895"/>
      <c r="AR628" s="1895"/>
      <c r="AS628" s="1895"/>
      <c r="AT628" s="1571"/>
      <c r="AU628" s="1571"/>
      <c r="AV628" s="1571"/>
      <c r="AW628" s="1571"/>
      <c r="AX628" s="1571"/>
      <c r="AY628" s="1571"/>
      <c r="AZ628" s="58"/>
      <c r="BA628" s="58"/>
      <c r="BB628" s="58"/>
      <c r="BC628" s="58"/>
      <c r="BD628" s="58"/>
      <c r="BE628" s="2067">
        <f t="shared" si="0"/>
        <v>0</v>
      </c>
      <c r="BF628" s="2069"/>
      <c r="BG628" s="2536">
        <f t="shared" si="1"/>
        <v>0</v>
      </c>
      <c r="BH628" s="2537"/>
      <c r="BI628" s="2067">
        <f t="shared" si="2"/>
        <v>0</v>
      </c>
      <c r="BJ628" s="2069"/>
      <c r="BK628" s="2536">
        <f t="shared" si="3"/>
        <v>0</v>
      </c>
      <c r="BL628" s="2537"/>
      <c r="BM628" s="58"/>
      <c r="BN628" s="2059">
        <f t="shared" si="4"/>
        <v>0</v>
      </c>
      <c r="BO628" s="2060"/>
      <c r="BP628" s="2060"/>
      <c r="BQ628" s="2060"/>
      <c r="BR628" s="2061"/>
      <c r="BS628" s="2058">
        <f t="shared" si="5"/>
        <v>0</v>
      </c>
      <c r="BT628" s="2058"/>
      <c r="BU628" s="2058"/>
      <c r="BV628" s="2058"/>
      <c r="BW628" s="2058"/>
      <c r="BX628" s="2058">
        <f t="shared" si="6"/>
        <v>0</v>
      </c>
      <c r="BY628" s="2058"/>
      <c r="BZ628" s="2058"/>
      <c r="CA628" s="2058"/>
      <c r="CB628" s="2058"/>
      <c r="CC628" s="2058">
        <f t="shared" si="7"/>
        <v>0</v>
      </c>
      <c r="CD628" s="2058"/>
      <c r="CE628" s="2058"/>
      <c r="CF628" s="2058"/>
      <c r="CG628" s="2058"/>
      <c r="CH628" s="2058">
        <f t="shared" si="8"/>
        <v>0</v>
      </c>
      <c r="CI628" s="2058"/>
      <c r="CJ628" s="2058"/>
      <c r="CK628" s="2058"/>
      <c r="CL628" s="2058"/>
      <c r="CM628" s="2058">
        <f t="shared" si="9"/>
        <v>0</v>
      </c>
      <c r="CN628" s="2058"/>
      <c r="CO628" s="2058"/>
      <c r="CP628" s="2058"/>
      <c r="CQ628" s="2058"/>
      <c r="CR628" s="265"/>
      <c r="CS628" s="2079">
        <f t="shared" si="10"/>
        <v>0</v>
      </c>
      <c r="CT628" s="2079"/>
      <c r="CU628" s="2079"/>
      <c r="CV628" s="2079"/>
      <c r="CW628" s="2079"/>
      <c r="CX628" s="2079">
        <f t="shared" si="11"/>
        <v>0</v>
      </c>
      <c r="CY628" s="2079"/>
      <c r="CZ628" s="2079"/>
      <c r="DA628" s="2079"/>
      <c r="DB628" s="2079"/>
      <c r="DC628" s="2079">
        <f t="shared" si="12"/>
        <v>0</v>
      </c>
      <c r="DD628" s="2079"/>
      <c r="DE628" s="2079"/>
      <c r="DF628" s="2079"/>
      <c r="DG628" s="2079"/>
      <c r="DH628" s="2079">
        <f t="shared" si="13"/>
        <v>0</v>
      </c>
      <c r="DI628" s="2079"/>
      <c r="DJ628" s="2079"/>
      <c r="DK628" s="2079"/>
      <c r="DL628" s="2079"/>
      <c r="DM628" s="2079">
        <f t="shared" si="14"/>
        <v>0</v>
      </c>
      <c r="DN628" s="2079"/>
      <c r="DO628" s="2079"/>
      <c r="DP628" s="2079"/>
      <c r="DQ628" s="2079"/>
      <c r="DR628" s="2079">
        <f t="shared" si="15"/>
        <v>0</v>
      </c>
      <c r="DS628" s="2079"/>
      <c r="DT628" s="2079"/>
      <c r="DU628" s="2079"/>
      <c r="DV628" s="2079"/>
      <c r="DX628" s="2067" t="str">
        <f t="shared" si="16"/>
        <v xml:space="preserve"> </v>
      </c>
      <c r="DY628" s="2068"/>
      <c r="DZ628" s="2068"/>
      <c r="EA628" s="2068"/>
      <c r="EB628" s="2069"/>
      <c r="EC628" s="2067" t="str">
        <f t="shared" si="17"/>
        <v xml:space="preserve"> </v>
      </c>
      <c r="ED628" s="2068"/>
      <c r="EE628" s="2068"/>
      <c r="EF628" s="2068"/>
      <c r="EG628" s="2069"/>
      <c r="EH628" s="2067" t="str">
        <f t="shared" si="18"/>
        <v xml:space="preserve"> </v>
      </c>
      <c r="EI628" s="2068"/>
      <c r="EJ628" s="2068"/>
      <c r="EK628" s="2068"/>
      <c r="EL628" s="2069"/>
      <c r="EM628" s="2067" t="str">
        <f t="shared" si="19"/>
        <v xml:space="preserve"> </v>
      </c>
      <c r="EN628" s="2068"/>
      <c r="EO628" s="2068"/>
      <c r="EP628" s="2068"/>
      <c r="EQ628" s="2069"/>
      <c r="ER628" s="2067" t="str">
        <f t="shared" si="20"/>
        <v xml:space="preserve"> </v>
      </c>
      <c r="ES628" s="2068"/>
      <c r="ET628" s="2068"/>
      <c r="EU628" s="2068"/>
      <c r="EV628" s="2069"/>
      <c r="EW628" s="2067" t="str">
        <f t="shared" si="21"/>
        <v xml:space="preserve"> </v>
      </c>
      <c r="EX628" s="2068"/>
      <c r="EY628" s="2068"/>
      <c r="EZ628" s="2068"/>
      <c r="FA628" s="2069"/>
    </row>
    <row r="629" spans="1:157" ht="12.75">
      <c r="A629" s="25"/>
      <c r="B629" s="25"/>
      <c r="C629" s="25"/>
      <c r="D629" s="25"/>
      <c r="E629" s="25"/>
      <c r="F629" s="25"/>
      <c r="G629" s="3"/>
      <c r="H629" s="25"/>
      <c r="AZ629" s="58"/>
      <c r="BA629" s="58"/>
      <c r="BB629" s="58"/>
      <c r="BC629" s="58"/>
      <c r="BD629" s="58"/>
      <c r="BE629" s="2067">
        <f t="shared" si="0"/>
        <v>0</v>
      </c>
      <c r="BF629" s="2069"/>
      <c r="BG629" s="2536">
        <f t="shared" si="1"/>
        <v>0</v>
      </c>
      <c r="BH629" s="2537"/>
      <c r="BI629" s="2067">
        <f t="shared" si="2"/>
        <v>0</v>
      </c>
      <c r="BJ629" s="2069"/>
      <c r="BK629" s="2536">
        <f t="shared" si="3"/>
        <v>0</v>
      </c>
      <c r="BL629" s="2537"/>
      <c r="BM629" s="58"/>
      <c r="BN629" s="2059">
        <f t="shared" si="4"/>
        <v>0</v>
      </c>
      <c r="BO629" s="2060"/>
      <c r="BP629" s="2060"/>
      <c r="BQ629" s="2060"/>
      <c r="BR629" s="2061"/>
      <c r="BS629" s="2058">
        <f t="shared" si="5"/>
        <v>0</v>
      </c>
      <c r="BT629" s="2058"/>
      <c r="BU629" s="2058"/>
      <c r="BV629" s="2058"/>
      <c r="BW629" s="2058"/>
      <c r="BX629" s="2058">
        <f t="shared" si="6"/>
        <v>0</v>
      </c>
      <c r="BY629" s="2058"/>
      <c r="BZ629" s="2058"/>
      <c r="CA629" s="2058"/>
      <c r="CB629" s="2058"/>
      <c r="CC629" s="2058">
        <f t="shared" si="7"/>
        <v>0</v>
      </c>
      <c r="CD629" s="2058"/>
      <c r="CE629" s="2058"/>
      <c r="CF629" s="2058"/>
      <c r="CG629" s="2058"/>
      <c r="CH629" s="2058">
        <f t="shared" si="8"/>
        <v>0</v>
      </c>
      <c r="CI629" s="2058"/>
      <c r="CJ629" s="2058"/>
      <c r="CK629" s="2058"/>
      <c r="CL629" s="2058"/>
      <c r="CM629" s="2058">
        <f t="shared" si="9"/>
        <v>0</v>
      </c>
      <c r="CN629" s="2058"/>
      <c r="CO629" s="2058"/>
      <c r="CP629" s="2058"/>
      <c r="CQ629" s="2058"/>
      <c r="CR629" s="265"/>
      <c r="CS629" s="2079">
        <f t="shared" si="10"/>
        <v>0</v>
      </c>
      <c r="CT629" s="2079"/>
      <c r="CU629" s="2079"/>
      <c r="CV629" s="2079"/>
      <c r="CW629" s="2079"/>
      <c r="CX629" s="2079">
        <f t="shared" si="11"/>
        <v>0</v>
      </c>
      <c r="CY629" s="2079"/>
      <c r="CZ629" s="2079"/>
      <c r="DA629" s="2079"/>
      <c r="DB629" s="2079"/>
      <c r="DC629" s="2079">
        <f t="shared" si="12"/>
        <v>0</v>
      </c>
      <c r="DD629" s="2079"/>
      <c r="DE629" s="2079"/>
      <c r="DF629" s="2079"/>
      <c r="DG629" s="2079"/>
      <c r="DH629" s="2079">
        <f t="shared" si="13"/>
        <v>0</v>
      </c>
      <c r="DI629" s="2079"/>
      <c r="DJ629" s="2079"/>
      <c r="DK629" s="2079"/>
      <c r="DL629" s="2079"/>
      <c r="DM629" s="2079">
        <f t="shared" si="14"/>
        <v>0</v>
      </c>
      <c r="DN629" s="2079"/>
      <c r="DO629" s="2079"/>
      <c r="DP629" s="2079"/>
      <c r="DQ629" s="2079"/>
      <c r="DR629" s="2079">
        <f t="shared" si="15"/>
        <v>0</v>
      </c>
      <c r="DS629" s="2079"/>
      <c r="DT629" s="2079"/>
      <c r="DU629" s="2079"/>
      <c r="DV629" s="2079"/>
      <c r="DX629" s="2067" t="str">
        <f t="shared" si="16"/>
        <v xml:space="preserve"> </v>
      </c>
      <c r="DY629" s="2068"/>
      <c r="DZ629" s="2068"/>
      <c r="EA629" s="2068"/>
      <c r="EB629" s="2069"/>
      <c r="EC629" s="2067" t="str">
        <f t="shared" si="17"/>
        <v xml:space="preserve"> </v>
      </c>
      <c r="ED629" s="2068"/>
      <c r="EE629" s="2068"/>
      <c r="EF629" s="2068"/>
      <c r="EG629" s="2069"/>
      <c r="EH629" s="2067" t="str">
        <f t="shared" si="18"/>
        <v xml:space="preserve"> </v>
      </c>
      <c r="EI629" s="2068"/>
      <c r="EJ629" s="2068"/>
      <c r="EK629" s="2068"/>
      <c r="EL629" s="2069"/>
      <c r="EM629" s="2067" t="str">
        <f t="shared" si="19"/>
        <v xml:space="preserve"> </v>
      </c>
      <c r="EN629" s="2068"/>
      <c r="EO629" s="2068"/>
      <c r="EP629" s="2068"/>
      <c r="EQ629" s="2069"/>
      <c r="ER629" s="2067" t="str">
        <f t="shared" si="20"/>
        <v xml:space="preserve"> </v>
      </c>
      <c r="ES629" s="2068"/>
      <c r="ET629" s="2068"/>
      <c r="EU629" s="2068"/>
      <c r="EV629" s="2069"/>
      <c r="EW629" s="2067" t="str">
        <f t="shared" si="21"/>
        <v xml:space="preserve"> </v>
      </c>
      <c r="EX629" s="2068"/>
      <c r="EY629" s="2068"/>
      <c r="EZ629" s="2068"/>
      <c r="FA629" s="2069"/>
    </row>
    <row r="630" spans="1:157" ht="12.75">
      <c r="A630" s="50" t="s">
        <v>328</v>
      </c>
      <c r="B630" s="50"/>
      <c r="C630" s="50" t="s">
        <v>21</v>
      </c>
      <c r="AZ630" s="58"/>
      <c r="BA630" s="58"/>
      <c r="BB630" s="58"/>
      <c r="BC630" s="58"/>
      <c r="BD630" s="58"/>
      <c r="BE630" s="2067">
        <f t="shared" si="0"/>
        <v>0</v>
      </c>
      <c r="BF630" s="2069"/>
      <c r="BG630" s="2536">
        <f t="shared" si="1"/>
        <v>0</v>
      </c>
      <c r="BH630" s="2537"/>
      <c r="BI630" s="2067">
        <f t="shared" si="2"/>
        <v>0</v>
      </c>
      <c r="BJ630" s="2069"/>
      <c r="BK630" s="2536">
        <f t="shared" si="3"/>
        <v>0</v>
      </c>
      <c r="BL630" s="2537"/>
      <c r="BM630" s="58"/>
      <c r="BN630" s="2059">
        <f t="shared" si="4"/>
        <v>0</v>
      </c>
      <c r="BO630" s="2060"/>
      <c r="BP630" s="2060"/>
      <c r="BQ630" s="2060"/>
      <c r="BR630" s="2061"/>
      <c r="BS630" s="2058">
        <f t="shared" si="5"/>
        <v>0</v>
      </c>
      <c r="BT630" s="2058"/>
      <c r="BU630" s="2058"/>
      <c r="BV630" s="2058"/>
      <c r="BW630" s="2058"/>
      <c r="BX630" s="2058">
        <f t="shared" si="6"/>
        <v>0</v>
      </c>
      <c r="BY630" s="2058"/>
      <c r="BZ630" s="2058"/>
      <c r="CA630" s="2058"/>
      <c r="CB630" s="2058"/>
      <c r="CC630" s="2058">
        <f t="shared" si="7"/>
        <v>0</v>
      </c>
      <c r="CD630" s="2058"/>
      <c r="CE630" s="2058"/>
      <c r="CF630" s="2058"/>
      <c r="CG630" s="2058"/>
      <c r="CH630" s="2058">
        <f t="shared" si="8"/>
        <v>0</v>
      </c>
      <c r="CI630" s="2058"/>
      <c r="CJ630" s="2058"/>
      <c r="CK630" s="2058"/>
      <c r="CL630" s="2058"/>
      <c r="CM630" s="2058">
        <f t="shared" si="9"/>
        <v>0</v>
      </c>
      <c r="CN630" s="2058"/>
      <c r="CO630" s="2058"/>
      <c r="CP630" s="2058"/>
      <c r="CQ630" s="2058"/>
      <c r="CR630" s="265"/>
      <c r="CS630" s="2079">
        <f t="shared" si="10"/>
        <v>0</v>
      </c>
      <c r="CT630" s="2079"/>
      <c r="CU630" s="2079"/>
      <c r="CV630" s="2079"/>
      <c r="CW630" s="2079"/>
      <c r="CX630" s="2079">
        <f t="shared" si="11"/>
        <v>0</v>
      </c>
      <c r="CY630" s="2079"/>
      <c r="CZ630" s="2079"/>
      <c r="DA630" s="2079"/>
      <c r="DB630" s="2079"/>
      <c r="DC630" s="2079">
        <f t="shared" si="12"/>
        <v>0</v>
      </c>
      <c r="DD630" s="2079"/>
      <c r="DE630" s="2079"/>
      <c r="DF630" s="2079"/>
      <c r="DG630" s="2079"/>
      <c r="DH630" s="2079">
        <f t="shared" si="13"/>
        <v>0</v>
      </c>
      <c r="DI630" s="2079"/>
      <c r="DJ630" s="2079"/>
      <c r="DK630" s="2079"/>
      <c r="DL630" s="2079"/>
      <c r="DM630" s="2079">
        <f t="shared" si="14"/>
        <v>0</v>
      </c>
      <c r="DN630" s="2079"/>
      <c r="DO630" s="2079"/>
      <c r="DP630" s="2079"/>
      <c r="DQ630" s="2079"/>
      <c r="DR630" s="2079">
        <f t="shared" si="15"/>
        <v>0</v>
      </c>
      <c r="DS630" s="2079"/>
      <c r="DT630" s="2079"/>
      <c r="DU630" s="2079"/>
      <c r="DV630" s="2079"/>
      <c r="DX630" s="2067" t="str">
        <f t="shared" si="16"/>
        <v xml:space="preserve"> </v>
      </c>
      <c r="DY630" s="2068"/>
      <c r="DZ630" s="2068"/>
      <c r="EA630" s="2068"/>
      <c r="EB630" s="2069"/>
      <c r="EC630" s="2067" t="str">
        <f t="shared" si="17"/>
        <v xml:space="preserve"> </v>
      </c>
      <c r="ED630" s="2068"/>
      <c r="EE630" s="2068"/>
      <c r="EF630" s="2068"/>
      <c r="EG630" s="2069"/>
      <c r="EH630" s="2067" t="str">
        <f t="shared" si="18"/>
        <v xml:space="preserve"> </v>
      </c>
      <c r="EI630" s="2068"/>
      <c r="EJ630" s="2068"/>
      <c r="EK630" s="2068"/>
      <c r="EL630" s="2069"/>
      <c r="EM630" s="2067" t="str">
        <f t="shared" si="19"/>
        <v xml:space="preserve"> </v>
      </c>
      <c r="EN630" s="2068"/>
      <c r="EO630" s="2068"/>
      <c r="EP630" s="2068"/>
      <c r="EQ630" s="2069"/>
      <c r="ER630" s="2067" t="str">
        <f t="shared" si="20"/>
        <v xml:space="preserve"> </v>
      </c>
      <c r="ES630" s="2068"/>
      <c r="ET630" s="2068"/>
      <c r="EU630" s="2068"/>
      <c r="EV630" s="2069"/>
      <c r="EW630" s="2067" t="str">
        <f t="shared" si="21"/>
        <v xml:space="preserve"> </v>
      </c>
      <c r="EX630" s="2068"/>
      <c r="EY630" s="2068"/>
      <c r="EZ630" s="2068"/>
      <c r="FA630" s="2069"/>
    </row>
    <row r="631" spans="1:157" ht="12.75">
      <c r="A631" s="50"/>
      <c r="B631" s="50"/>
      <c r="C631" s="50"/>
      <c r="AZ631" s="58"/>
      <c r="BA631" s="58"/>
      <c r="BB631" s="58"/>
      <c r="BC631" s="58"/>
      <c r="BD631" s="58"/>
      <c r="BE631" s="2067">
        <f t="shared" si="0"/>
        <v>0</v>
      </c>
      <c r="BF631" s="2069"/>
      <c r="BG631" s="2536">
        <f t="shared" si="1"/>
        <v>0</v>
      </c>
      <c r="BH631" s="2537"/>
      <c r="BI631" s="2067">
        <f t="shared" si="2"/>
        <v>0</v>
      </c>
      <c r="BJ631" s="2069"/>
      <c r="BK631" s="2536">
        <f t="shared" si="3"/>
        <v>0</v>
      </c>
      <c r="BL631" s="2537"/>
      <c r="BM631" s="58"/>
      <c r="BN631" s="2059">
        <f t="shared" si="4"/>
        <v>0</v>
      </c>
      <c r="BO631" s="2060"/>
      <c r="BP631" s="2060"/>
      <c r="BQ631" s="2060"/>
      <c r="BR631" s="2061"/>
      <c r="BS631" s="2058">
        <f t="shared" si="5"/>
        <v>0</v>
      </c>
      <c r="BT631" s="2058"/>
      <c r="BU631" s="2058"/>
      <c r="BV631" s="2058"/>
      <c r="BW631" s="2058"/>
      <c r="BX631" s="2058">
        <f t="shared" si="6"/>
        <v>0</v>
      </c>
      <c r="BY631" s="2058"/>
      <c r="BZ631" s="2058"/>
      <c r="CA631" s="2058"/>
      <c r="CB631" s="2058"/>
      <c r="CC631" s="2058">
        <f t="shared" si="7"/>
        <v>0</v>
      </c>
      <c r="CD631" s="2058"/>
      <c r="CE631" s="2058"/>
      <c r="CF631" s="2058"/>
      <c r="CG631" s="2058"/>
      <c r="CH631" s="2058">
        <f t="shared" si="8"/>
        <v>0</v>
      </c>
      <c r="CI631" s="2058"/>
      <c r="CJ631" s="2058"/>
      <c r="CK631" s="2058"/>
      <c r="CL631" s="2058"/>
      <c r="CM631" s="2058">
        <f t="shared" si="9"/>
        <v>0</v>
      </c>
      <c r="CN631" s="2058"/>
      <c r="CO631" s="2058"/>
      <c r="CP631" s="2058"/>
      <c r="CQ631" s="2058"/>
      <c r="CR631" s="265"/>
      <c r="CS631" s="2079">
        <f t="shared" si="10"/>
        <v>0</v>
      </c>
      <c r="CT631" s="2079"/>
      <c r="CU631" s="2079"/>
      <c r="CV631" s="2079"/>
      <c r="CW631" s="2079"/>
      <c r="CX631" s="2079">
        <f t="shared" si="11"/>
        <v>0</v>
      </c>
      <c r="CY631" s="2079"/>
      <c r="CZ631" s="2079"/>
      <c r="DA631" s="2079"/>
      <c r="DB631" s="2079"/>
      <c r="DC631" s="2079">
        <f t="shared" si="12"/>
        <v>0</v>
      </c>
      <c r="DD631" s="2079"/>
      <c r="DE631" s="2079"/>
      <c r="DF631" s="2079"/>
      <c r="DG631" s="2079"/>
      <c r="DH631" s="2079">
        <f t="shared" si="13"/>
        <v>0</v>
      </c>
      <c r="DI631" s="2079"/>
      <c r="DJ631" s="2079"/>
      <c r="DK631" s="2079"/>
      <c r="DL631" s="2079"/>
      <c r="DM631" s="2079">
        <f t="shared" si="14"/>
        <v>0</v>
      </c>
      <c r="DN631" s="2079"/>
      <c r="DO631" s="2079"/>
      <c r="DP631" s="2079"/>
      <c r="DQ631" s="2079"/>
      <c r="DR631" s="2079">
        <f t="shared" si="15"/>
        <v>0</v>
      </c>
      <c r="DS631" s="2079"/>
      <c r="DT631" s="2079"/>
      <c r="DU631" s="2079"/>
      <c r="DV631" s="2079"/>
      <c r="DX631" s="2067" t="str">
        <f t="shared" si="16"/>
        <v xml:space="preserve"> </v>
      </c>
      <c r="DY631" s="2068"/>
      <c r="DZ631" s="2068"/>
      <c r="EA631" s="2068"/>
      <c r="EB631" s="2069"/>
      <c r="EC631" s="2067" t="str">
        <f t="shared" si="17"/>
        <v xml:space="preserve"> </v>
      </c>
      <c r="ED631" s="2068"/>
      <c r="EE631" s="2068"/>
      <c r="EF631" s="2068"/>
      <c r="EG631" s="2069"/>
      <c r="EH631" s="2067" t="str">
        <f t="shared" si="18"/>
        <v xml:space="preserve"> </v>
      </c>
      <c r="EI631" s="2068"/>
      <c r="EJ631" s="2068"/>
      <c r="EK631" s="2068"/>
      <c r="EL631" s="2069"/>
      <c r="EM631" s="2067" t="str">
        <f t="shared" si="19"/>
        <v xml:space="preserve"> </v>
      </c>
      <c r="EN631" s="2068"/>
      <c r="EO631" s="2068"/>
      <c r="EP631" s="2068"/>
      <c r="EQ631" s="2069"/>
      <c r="ER631" s="2067" t="str">
        <f t="shared" si="20"/>
        <v xml:space="preserve"> </v>
      </c>
      <c r="ES631" s="2068"/>
      <c r="ET631" s="2068"/>
      <c r="EU631" s="2068"/>
      <c r="EV631" s="2069"/>
      <c r="EW631" s="2067" t="str">
        <f t="shared" si="21"/>
        <v xml:space="preserve"> </v>
      </c>
      <c r="EX631" s="2068"/>
      <c r="EY631" s="2068"/>
      <c r="EZ631" s="2068"/>
      <c r="FA631" s="2069"/>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67">
        <f t="shared" si="0"/>
        <v>0</v>
      </c>
      <c r="BF632" s="2069"/>
      <c r="BG632" s="2536">
        <f t="shared" si="1"/>
        <v>0</v>
      </c>
      <c r="BH632" s="2537"/>
      <c r="BI632" s="2067">
        <f t="shared" si="2"/>
        <v>0</v>
      </c>
      <c r="BJ632" s="2069"/>
      <c r="BK632" s="2536">
        <f t="shared" si="3"/>
        <v>0</v>
      </c>
      <c r="BL632" s="2537"/>
      <c r="BM632" s="58"/>
      <c r="BN632" s="2059">
        <f t="shared" si="4"/>
        <v>0</v>
      </c>
      <c r="BO632" s="2060"/>
      <c r="BP632" s="2060"/>
      <c r="BQ632" s="2060"/>
      <c r="BR632" s="2061"/>
      <c r="BS632" s="2058">
        <f t="shared" si="5"/>
        <v>0</v>
      </c>
      <c r="BT632" s="2058"/>
      <c r="BU632" s="2058"/>
      <c r="BV632" s="2058"/>
      <c r="BW632" s="2058"/>
      <c r="BX632" s="2058">
        <f t="shared" si="6"/>
        <v>0</v>
      </c>
      <c r="BY632" s="2058"/>
      <c r="BZ632" s="2058"/>
      <c r="CA632" s="2058"/>
      <c r="CB632" s="2058"/>
      <c r="CC632" s="2058">
        <f t="shared" si="7"/>
        <v>0</v>
      </c>
      <c r="CD632" s="2058"/>
      <c r="CE632" s="2058"/>
      <c r="CF632" s="2058"/>
      <c r="CG632" s="2058"/>
      <c r="CH632" s="2058">
        <f t="shared" si="8"/>
        <v>0</v>
      </c>
      <c r="CI632" s="2058"/>
      <c r="CJ632" s="2058"/>
      <c r="CK632" s="2058"/>
      <c r="CL632" s="2058"/>
      <c r="CM632" s="2058">
        <f t="shared" si="9"/>
        <v>0</v>
      </c>
      <c r="CN632" s="2058"/>
      <c r="CO632" s="2058"/>
      <c r="CP632" s="2058"/>
      <c r="CQ632" s="2058"/>
      <c r="CR632" s="265"/>
      <c r="CS632" s="2079">
        <f t="shared" si="10"/>
        <v>0</v>
      </c>
      <c r="CT632" s="2079"/>
      <c r="CU632" s="2079"/>
      <c r="CV632" s="2079"/>
      <c r="CW632" s="2079"/>
      <c r="CX632" s="2079">
        <f t="shared" si="11"/>
        <v>0</v>
      </c>
      <c r="CY632" s="2079"/>
      <c r="CZ632" s="2079"/>
      <c r="DA632" s="2079"/>
      <c r="DB632" s="2079"/>
      <c r="DC632" s="2079">
        <f t="shared" si="12"/>
        <v>0</v>
      </c>
      <c r="DD632" s="2079"/>
      <c r="DE632" s="2079"/>
      <c r="DF632" s="2079"/>
      <c r="DG632" s="2079"/>
      <c r="DH632" s="2079">
        <f t="shared" si="13"/>
        <v>0</v>
      </c>
      <c r="DI632" s="2079"/>
      <c r="DJ632" s="2079"/>
      <c r="DK632" s="2079"/>
      <c r="DL632" s="2079"/>
      <c r="DM632" s="2079">
        <f t="shared" si="14"/>
        <v>0</v>
      </c>
      <c r="DN632" s="2079"/>
      <c r="DO632" s="2079"/>
      <c r="DP632" s="2079"/>
      <c r="DQ632" s="2079"/>
      <c r="DR632" s="2079">
        <f t="shared" si="15"/>
        <v>0</v>
      </c>
      <c r="DS632" s="2079"/>
      <c r="DT632" s="2079"/>
      <c r="DU632" s="2079"/>
      <c r="DV632" s="2079"/>
      <c r="DX632" s="2067" t="str">
        <f t="shared" si="16"/>
        <v xml:space="preserve"> </v>
      </c>
      <c r="DY632" s="2068"/>
      <c r="DZ632" s="2068"/>
      <c r="EA632" s="2068"/>
      <c r="EB632" s="2069"/>
      <c r="EC632" s="2067" t="str">
        <f t="shared" si="17"/>
        <v xml:space="preserve"> </v>
      </c>
      <c r="ED632" s="2068"/>
      <c r="EE632" s="2068"/>
      <c r="EF632" s="2068"/>
      <c r="EG632" s="2069"/>
      <c r="EH632" s="2067" t="str">
        <f t="shared" si="18"/>
        <v xml:space="preserve"> </v>
      </c>
      <c r="EI632" s="2068"/>
      <c r="EJ632" s="2068"/>
      <c r="EK632" s="2068"/>
      <c r="EL632" s="2069"/>
      <c r="EM632" s="2067" t="str">
        <f t="shared" si="19"/>
        <v xml:space="preserve"> </v>
      </c>
      <c r="EN632" s="2068"/>
      <c r="EO632" s="2068"/>
      <c r="EP632" s="2068"/>
      <c r="EQ632" s="2069"/>
      <c r="ER632" s="2067" t="str">
        <f t="shared" si="20"/>
        <v xml:space="preserve"> </v>
      </c>
      <c r="ES632" s="2068"/>
      <c r="ET632" s="2068"/>
      <c r="EU632" s="2068"/>
      <c r="EV632" s="2069"/>
      <c r="EW632" s="2067" t="str">
        <f t="shared" si="21"/>
        <v xml:space="preserve"> </v>
      </c>
      <c r="EX632" s="2068"/>
      <c r="EY632" s="2068"/>
      <c r="EZ632" s="2068"/>
      <c r="FA632" s="2069"/>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67">
        <f t="shared" si="0"/>
        <v>0</v>
      </c>
      <c r="BF633" s="2069"/>
      <c r="BG633" s="2536">
        <f t="shared" si="1"/>
        <v>0</v>
      </c>
      <c r="BH633" s="2537"/>
      <c r="BI633" s="2067">
        <f t="shared" si="2"/>
        <v>0</v>
      </c>
      <c r="BJ633" s="2069"/>
      <c r="BK633" s="2536">
        <f t="shared" si="3"/>
        <v>0</v>
      </c>
      <c r="BL633" s="2537"/>
      <c r="BM633" s="58"/>
      <c r="BN633" s="2059">
        <f t="shared" si="4"/>
        <v>0</v>
      </c>
      <c r="BO633" s="2060"/>
      <c r="BP633" s="2060"/>
      <c r="BQ633" s="2060"/>
      <c r="BR633" s="2061"/>
      <c r="BS633" s="2058">
        <f t="shared" si="5"/>
        <v>0</v>
      </c>
      <c r="BT633" s="2058"/>
      <c r="BU633" s="2058"/>
      <c r="BV633" s="2058"/>
      <c r="BW633" s="2058"/>
      <c r="BX633" s="2058">
        <f t="shared" si="6"/>
        <v>0</v>
      </c>
      <c r="BY633" s="2058"/>
      <c r="BZ633" s="2058"/>
      <c r="CA633" s="2058"/>
      <c r="CB633" s="2058"/>
      <c r="CC633" s="2058">
        <f t="shared" si="7"/>
        <v>0</v>
      </c>
      <c r="CD633" s="2058"/>
      <c r="CE633" s="2058"/>
      <c r="CF633" s="2058"/>
      <c r="CG633" s="2058"/>
      <c r="CH633" s="2058">
        <f t="shared" si="8"/>
        <v>0</v>
      </c>
      <c r="CI633" s="2058"/>
      <c r="CJ633" s="2058"/>
      <c r="CK633" s="2058"/>
      <c r="CL633" s="2058"/>
      <c r="CM633" s="2058">
        <f t="shared" si="9"/>
        <v>0</v>
      </c>
      <c r="CN633" s="2058"/>
      <c r="CO633" s="2058"/>
      <c r="CP633" s="2058"/>
      <c r="CQ633" s="2058"/>
      <c r="CR633" s="265"/>
      <c r="CS633" s="2079">
        <f t="shared" si="10"/>
        <v>0</v>
      </c>
      <c r="CT633" s="2079"/>
      <c r="CU633" s="2079"/>
      <c r="CV633" s="2079"/>
      <c r="CW633" s="2079"/>
      <c r="CX633" s="2079">
        <f t="shared" si="11"/>
        <v>0</v>
      </c>
      <c r="CY633" s="2079"/>
      <c r="CZ633" s="2079"/>
      <c r="DA633" s="2079"/>
      <c r="DB633" s="2079"/>
      <c r="DC633" s="2079">
        <f t="shared" si="12"/>
        <v>0</v>
      </c>
      <c r="DD633" s="2079"/>
      <c r="DE633" s="2079"/>
      <c r="DF633" s="2079"/>
      <c r="DG633" s="2079"/>
      <c r="DH633" s="2079">
        <f t="shared" si="13"/>
        <v>0</v>
      </c>
      <c r="DI633" s="2079"/>
      <c r="DJ633" s="2079"/>
      <c r="DK633" s="2079"/>
      <c r="DL633" s="2079"/>
      <c r="DM633" s="2079">
        <f t="shared" si="14"/>
        <v>0</v>
      </c>
      <c r="DN633" s="2079"/>
      <c r="DO633" s="2079"/>
      <c r="DP633" s="2079"/>
      <c r="DQ633" s="2079"/>
      <c r="DR633" s="2079">
        <f t="shared" si="15"/>
        <v>0</v>
      </c>
      <c r="DS633" s="2079"/>
      <c r="DT633" s="2079"/>
      <c r="DU633" s="2079"/>
      <c r="DV633" s="2079"/>
      <c r="DX633" s="2067" t="str">
        <f t="shared" si="16"/>
        <v xml:space="preserve"> </v>
      </c>
      <c r="DY633" s="2068"/>
      <c r="DZ633" s="2068"/>
      <c r="EA633" s="2068"/>
      <c r="EB633" s="2069"/>
      <c r="EC633" s="2067" t="str">
        <f t="shared" si="17"/>
        <v xml:space="preserve"> </v>
      </c>
      <c r="ED633" s="2068"/>
      <c r="EE633" s="2068"/>
      <c r="EF633" s="2068"/>
      <c r="EG633" s="2069"/>
      <c r="EH633" s="2067" t="str">
        <f t="shared" si="18"/>
        <v xml:space="preserve"> </v>
      </c>
      <c r="EI633" s="2068"/>
      <c r="EJ633" s="2068"/>
      <c r="EK633" s="2068"/>
      <c r="EL633" s="2069"/>
      <c r="EM633" s="2067" t="str">
        <f t="shared" si="19"/>
        <v xml:space="preserve"> </v>
      </c>
      <c r="EN633" s="2068"/>
      <c r="EO633" s="2068"/>
      <c r="EP633" s="2068"/>
      <c r="EQ633" s="2069"/>
      <c r="ER633" s="2067" t="str">
        <f t="shared" si="20"/>
        <v xml:space="preserve"> </v>
      </c>
      <c r="ES633" s="2068"/>
      <c r="ET633" s="2068"/>
      <c r="EU633" s="2068"/>
      <c r="EV633" s="2069"/>
      <c r="EW633" s="2067" t="str">
        <f t="shared" si="21"/>
        <v xml:space="preserve"> </v>
      </c>
      <c r="EX633" s="2068"/>
      <c r="EY633" s="2068"/>
      <c r="EZ633" s="2068"/>
      <c r="FA633" s="2069"/>
    </row>
    <row r="634" spans="1:157" s="1820" customFormat="1" ht="12.75" customHeight="1">
      <c r="B634" s="2339" t="s">
        <v>483</v>
      </c>
      <c r="C634" s="2340"/>
      <c r="D634" s="2340"/>
      <c r="E634" s="2340"/>
      <c r="F634" s="2340"/>
      <c r="G634" s="2340"/>
      <c r="H634" s="2340"/>
      <c r="I634" s="2340"/>
      <c r="J634" s="2340"/>
      <c r="K634" s="2340"/>
      <c r="L634" s="2340"/>
      <c r="M634" s="2340"/>
      <c r="N634" s="2341"/>
      <c r="O634" s="2330" t="s">
        <v>2378</v>
      </c>
      <c r="P634" s="2331"/>
      <c r="Q634" s="2332"/>
      <c r="R634" s="2330" t="s">
        <v>2376</v>
      </c>
      <c r="S634" s="2331"/>
      <c r="T634" s="2332"/>
      <c r="U634" s="2092" t="s">
        <v>484</v>
      </c>
      <c r="V634" s="2092"/>
      <c r="W634" s="2093"/>
      <c r="X634" s="2330" t="s">
        <v>2152</v>
      </c>
      <c r="Y634" s="2331"/>
      <c r="Z634" s="2331"/>
      <c r="AA634" s="2331"/>
      <c r="AB634" s="2332"/>
      <c r="AC634" s="2346" t="s">
        <v>2150</v>
      </c>
      <c r="AD634" s="2347"/>
      <c r="AE634" s="2348"/>
      <c r="AF634" s="2330" t="s">
        <v>2153</v>
      </c>
      <c r="AG634" s="2331"/>
      <c r="AH634" s="2331"/>
      <c r="AI634" s="2331"/>
      <c r="AJ634" s="2332"/>
      <c r="AK634" s="2317" t="s">
        <v>2154</v>
      </c>
      <c r="AL634" s="2318"/>
      <c r="AM634" s="2318"/>
      <c r="AN634" s="2319"/>
      <c r="AO634" s="2454" t="s">
        <v>485</v>
      </c>
      <c r="AP634" s="2454"/>
      <c r="AQ634" s="2454"/>
      <c r="AR634" s="2454"/>
      <c r="AS634" s="2454"/>
      <c r="AT634" s="1821"/>
      <c r="AU634" s="1821"/>
      <c r="AV634" s="1821"/>
      <c r="AW634" s="1821"/>
      <c r="AX634" s="1821"/>
      <c r="AY634" s="1821"/>
      <c r="AZ634" s="181"/>
      <c r="BA634" s="181"/>
      <c r="BB634" s="181"/>
      <c r="BC634" s="181"/>
      <c r="BD634" s="181"/>
      <c r="BE634" s="2067">
        <f t="shared" si="0"/>
        <v>0</v>
      </c>
      <c r="BF634" s="2069"/>
      <c r="BG634" s="2536">
        <f t="shared" si="1"/>
        <v>0</v>
      </c>
      <c r="BH634" s="2537"/>
      <c r="BI634" s="2067">
        <f t="shared" si="2"/>
        <v>0</v>
      </c>
      <c r="BJ634" s="2069"/>
      <c r="BK634" s="2536">
        <f t="shared" si="3"/>
        <v>0</v>
      </c>
      <c r="BL634" s="2537"/>
      <c r="BM634" s="181"/>
      <c r="BN634" s="2059">
        <f t="shared" si="4"/>
        <v>0</v>
      </c>
      <c r="BO634" s="2060"/>
      <c r="BP634" s="2060"/>
      <c r="BQ634" s="2060"/>
      <c r="BR634" s="2061"/>
      <c r="BS634" s="2058">
        <f t="shared" si="5"/>
        <v>0</v>
      </c>
      <c r="BT634" s="2058"/>
      <c r="BU634" s="2058"/>
      <c r="BV634" s="2058"/>
      <c r="BW634" s="2058"/>
      <c r="BX634" s="2058">
        <f t="shared" si="6"/>
        <v>0</v>
      </c>
      <c r="BY634" s="2058"/>
      <c r="BZ634" s="2058"/>
      <c r="CA634" s="2058"/>
      <c r="CB634" s="2058"/>
      <c r="CC634" s="2058">
        <f t="shared" si="7"/>
        <v>0</v>
      </c>
      <c r="CD634" s="2058"/>
      <c r="CE634" s="2058"/>
      <c r="CF634" s="2058"/>
      <c r="CG634" s="2058"/>
      <c r="CH634" s="2058">
        <f t="shared" si="8"/>
        <v>0</v>
      </c>
      <c r="CI634" s="2058"/>
      <c r="CJ634" s="2058"/>
      <c r="CK634" s="2058"/>
      <c r="CL634" s="2058"/>
      <c r="CM634" s="2058">
        <f t="shared" si="9"/>
        <v>0</v>
      </c>
      <c r="CN634" s="2058"/>
      <c r="CO634" s="2058"/>
      <c r="CP634" s="2058"/>
      <c r="CQ634" s="2058"/>
      <c r="CR634" s="265"/>
      <c r="CS634" s="2079">
        <f t="shared" si="10"/>
        <v>0</v>
      </c>
      <c r="CT634" s="2079"/>
      <c r="CU634" s="2079"/>
      <c r="CV634" s="2079"/>
      <c r="CW634" s="2079"/>
      <c r="CX634" s="2079">
        <f t="shared" si="11"/>
        <v>0</v>
      </c>
      <c r="CY634" s="2079"/>
      <c r="CZ634" s="2079"/>
      <c r="DA634" s="2079"/>
      <c r="DB634" s="2079"/>
      <c r="DC634" s="2079">
        <f t="shared" si="12"/>
        <v>0</v>
      </c>
      <c r="DD634" s="2079"/>
      <c r="DE634" s="2079"/>
      <c r="DF634" s="2079"/>
      <c r="DG634" s="2079"/>
      <c r="DH634" s="2079">
        <f t="shared" si="13"/>
        <v>0</v>
      </c>
      <c r="DI634" s="2079"/>
      <c r="DJ634" s="2079"/>
      <c r="DK634" s="2079"/>
      <c r="DL634" s="2079"/>
      <c r="DM634" s="2079">
        <f t="shared" si="14"/>
        <v>0</v>
      </c>
      <c r="DN634" s="2079"/>
      <c r="DO634" s="2079"/>
      <c r="DP634" s="2079"/>
      <c r="DQ634" s="2079"/>
      <c r="DR634" s="2079">
        <f t="shared" si="15"/>
        <v>0</v>
      </c>
      <c r="DS634" s="2079"/>
      <c r="DT634" s="2079"/>
      <c r="DU634" s="2079"/>
      <c r="DV634" s="2079"/>
      <c r="DX634" s="2067" t="str">
        <f t="shared" si="16"/>
        <v xml:space="preserve"> </v>
      </c>
      <c r="DY634" s="2068"/>
      <c r="DZ634" s="2068"/>
      <c r="EA634" s="2068"/>
      <c r="EB634" s="2069"/>
      <c r="EC634" s="2067" t="str">
        <f t="shared" si="17"/>
        <v xml:space="preserve"> </v>
      </c>
      <c r="ED634" s="2068"/>
      <c r="EE634" s="2068"/>
      <c r="EF634" s="2068"/>
      <c r="EG634" s="2069"/>
      <c r="EH634" s="2067" t="str">
        <f t="shared" si="18"/>
        <v xml:space="preserve"> </v>
      </c>
      <c r="EI634" s="2068"/>
      <c r="EJ634" s="2068"/>
      <c r="EK634" s="2068"/>
      <c r="EL634" s="2069"/>
      <c r="EM634" s="2067" t="str">
        <f t="shared" si="19"/>
        <v xml:space="preserve"> </v>
      </c>
      <c r="EN634" s="2068"/>
      <c r="EO634" s="2068"/>
      <c r="EP634" s="2068"/>
      <c r="EQ634" s="2069"/>
      <c r="ER634" s="2067" t="str">
        <f t="shared" si="20"/>
        <v xml:space="preserve"> </v>
      </c>
      <c r="ES634" s="2068"/>
      <c r="ET634" s="2068"/>
      <c r="EU634" s="2068"/>
      <c r="EV634" s="2069"/>
      <c r="EW634" s="2067" t="str">
        <f t="shared" si="21"/>
        <v xml:space="preserve"> </v>
      </c>
      <c r="EX634" s="2068"/>
      <c r="EY634" s="2068"/>
      <c r="EZ634" s="2068"/>
      <c r="FA634" s="2069"/>
    </row>
    <row r="635" spans="1:157" s="1820" customFormat="1" ht="12.75">
      <c r="B635" s="2342"/>
      <c r="C635" s="2343"/>
      <c r="D635" s="2343"/>
      <c r="E635" s="2343"/>
      <c r="F635" s="2343"/>
      <c r="G635" s="2343"/>
      <c r="H635" s="2343"/>
      <c r="I635" s="2343"/>
      <c r="J635" s="2343"/>
      <c r="K635" s="2343"/>
      <c r="L635" s="2343"/>
      <c r="M635" s="2343"/>
      <c r="N635" s="2344"/>
      <c r="O635" s="2333"/>
      <c r="P635" s="2334"/>
      <c r="Q635" s="2335"/>
      <c r="R635" s="2333"/>
      <c r="S635" s="2334"/>
      <c r="T635" s="2335"/>
      <c r="U635" s="2094"/>
      <c r="V635" s="2094"/>
      <c r="W635" s="2095"/>
      <c r="X635" s="2333"/>
      <c r="Y635" s="2334"/>
      <c r="Z635" s="2334"/>
      <c r="AA635" s="2334"/>
      <c r="AB635" s="2335"/>
      <c r="AC635" s="2349"/>
      <c r="AD635" s="2350"/>
      <c r="AE635" s="2351"/>
      <c r="AF635" s="2333"/>
      <c r="AG635" s="2334"/>
      <c r="AH635" s="2334"/>
      <c r="AI635" s="2334"/>
      <c r="AJ635" s="2335"/>
      <c r="AK635" s="2320"/>
      <c r="AL635" s="2321"/>
      <c r="AM635" s="2321"/>
      <c r="AN635" s="2322"/>
      <c r="AO635" s="2454"/>
      <c r="AP635" s="2454"/>
      <c r="AQ635" s="2454"/>
      <c r="AR635" s="2454"/>
      <c r="AS635" s="2454"/>
      <c r="AT635" s="1821"/>
      <c r="AU635" s="1821"/>
      <c r="AV635" s="1821"/>
      <c r="AW635" s="1821"/>
      <c r="AX635" s="1821"/>
      <c r="AY635" s="1821"/>
      <c r="AZ635" s="181"/>
      <c r="BA635" s="181"/>
      <c r="BB635" s="181"/>
      <c r="BC635" s="181"/>
      <c r="BD635" s="181"/>
      <c r="BE635" s="181"/>
      <c r="BF635" s="181"/>
      <c r="BG635" s="2067">
        <f>SUM(BG610:BH634)</f>
        <v>36</v>
      </c>
      <c r="BH635" s="2069"/>
      <c r="BI635" s="181"/>
      <c r="BJ635" s="181"/>
      <c r="BK635" s="2067">
        <f>SUM(BK610:BL634)</f>
        <v>9</v>
      </c>
      <c r="BL635" s="2069"/>
      <c r="BM635" s="181"/>
      <c r="BN635" s="2067">
        <f>SUM(BN610:BR634)</f>
        <v>0</v>
      </c>
      <c r="BO635" s="2068"/>
      <c r="BP635" s="2068"/>
      <c r="BQ635" s="2068"/>
      <c r="BR635" s="2069"/>
      <c r="BS635" s="2078">
        <f>SUM(BS610:BW634)</f>
        <v>23</v>
      </c>
      <c r="BT635" s="2078"/>
      <c r="BU635" s="2078"/>
      <c r="BV635" s="2078"/>
      <c r="BW635" s="2078"/>
      <c r="BX635" s="2078">
        <f>SUM(BX610:CB634)</f>
        <v>18</v>
      </c>
      <c r="BY635" s="2078"/>
      <c r="BZ635" s="2078"/>
      <c r="CA635" s="2078"/>
      <c r="CB635" s="2078"/>
      <c r="CC635" s="2078">
        <f>SUM(CC610:CG634)</f>
        <v>47</v>
      </c>
      <c r="CD635" s="2078"/>
      <c r="CE635" s="2078"/>
      <c r="CF635" s="2078"/>
      <c r="CG635" s="2078"/>
      <c r="CH635" s="2078">
        <f>SUM(CH610:CL634)</f>
        <v>0</v>
      </c>
      <c r="CI635" s="2078"/>
      <c r="CJ635" s="2078"/>
      <c r="CK635" s="2078"/>
      <c r="CL635" s="2078"/>
      <c r="CM635" s="2078">
        <f>SUM(CM610:CQ634)</f>
        <v>0</v>
      </c>
      <c r="CN635" s="2078"/>
      <c r="CO635" s="2078"/>
      <c r="CP635" s="2078"/>
      <c r="CQ635" s="2078"/>
      <c r="CR635" s="697"/>
      <c r="CS635" s="2078">
        <f>SUM(CS610:CW634)</f>
        <v>0</v>
      </c>
      <c r="CT635" s="2078"/>
      <c r="CU635" s="2078"/>
      <c r="CV635" s="2078"/>
      <c r="CW635" s="2078"/>
      <c r="CX635" s="2078">
        <f>SUM(CX610:DB634)</f>
        <v>2</v>
      </c>
      <c r="CY635" s="2078"/>
      <c r="CZ635" s="2078"/>
      <c r="DA635" s="2078"/>
      <c r="DB635" s="2078"/>
      <c r="DC635" s="2078">
        <f>SUM(DC610:DG634)</f>
        <v>2</v>
      </c>
      <c r="DD635" s="2078"/>
      <c r="DE635" s="2078"/>
      <c r="DF635" s="2078"/>
      <c r="DG635" s="2078"/>
      <c r="DH635" s="2078">
        <f>SUM(DH610:DL634)</f>
        <v>5</v>
      </c>
      <c r="DI635" s="2078"/>
      <c r="DJ635" s="2078"/>
      <c r="DK635" s="2078"/>
      <c r="DL635" s="2078"/>
      <c r="DM635" s="2078">
        <f>SUM(DM610:DQ634)</f>
        <v>0</v>
      </c>
      <c r="DN635" s="2078"/>
      <c r="DO635" s="2078"/>
      <c r="DP635" s="2078"/>
      <c r="DQ635" s="2078"/>
      <c r="DR635" s="2078">
        <f>SUM(DR610:DV634)</f>
        <v>0</v>
      </c>
      <c r="DS635" s="2078"/>
      <c r="DT635" s="2078"/>
      <c r="DU635" s="2078"/>
      <c r="DV635" s="2078"/>
      <c r="DX635" s="2078">
        <f>SUM(DX610:EB634)</f>
        <v>0</v>
      </c>
      <c r="DY635" s="2078"/>
      <c r="DZ635" s="2078"/>
      <c r="EA635" s="2078"/>
      <c r="EB635" s="2078"/>
      <c r="EC635" s="2078">
        <f>SUM(EC610:EG634)</f>
        <v>4035</v>
      </c>
      <c r="ED635" s="2078"/>
      <c r="EE635" s="2078"/>
      <c r="EF635" s="2078"/>
      <c r="EG635" s="2078"/>
      <c r="EH635" s="2078">
        <f>SUM(EH610:EL634)</f>
        <v>6424</v>
      </c>
      <c r="EI635" s="2078"/>
      <c r="EJ635" s="2078"/>
      <c r="EK635" s="2078"/>
      <c r="EL635" s="2078"/>
      <c r="EM635" s="2078">
        <f>SUM(EM610:EQ634)</f>
        <v>5586</v>
      </c>
      <c r="EN635" s="2078"/>
      <c r="EO635" s="2078"/>
      <c r="EP635" s="2078"/>
      <c r="EQ635" s="2078"/>
      <c r="ER635" s="2078">
        <f>SUM(ER610:EV634)</f>
        <v>0</v>
      </c>
      <c r="ES635" s="2078"/>
      <c r="ET635" s="2078"/>
      <c r="EU635" s="2078"/>
      <c r="EV635" s="2078"/>
      <c r="EW635" s="2078">
        <f>SUM(EW610:FA634)</f>
        <v>0</v>
      </c>
      <c r="EX635" s="2078"/>
      <c r="EY635" s="2078"/>
      <c r="EZ635" s="2078"/>
      <c r="FA635" s="2078"/>
    </row>
    <row r="636" spans="1:157" s="1820" customFormat="1" ht="12.75">
      <c r="B636" s="2345"/>
      <c r="C636" s="2343"/>
      <c r="D636" s="2343"/>
      <c r="E636" s="2343"/>
      <c r="F636" s="2343"/>
      <c r="G636" s="2343"/>
      <c r="H636" s="2343"/>
      <c r="I636" s="2343"/>
      <c r="J636" s="2343"/>
      <c r="K636" s="2343"/>
      <c r="L636" s="2343"/>
      <c r="M636" s="2343"/>
      <c r="N636" s="2344"/>
      <c r="O636" s="2336"/>
      <c r="P636" s="2337"/>
      <c r="Q636" s="2338"/>
      <c r="R636" s="2336"/>
      <c r="S636" s="2337"/>
      <c r="T636" s="2338"/>
      <c r="U636" s="2096"/>
      <c r="V636" s="2096"/>
      <c r="W636" s="2097"/>
      <c r="X636" s="2336"/>
      <c r="Y636" s="2337"/>
      <c r="Z636" s="2337"/>
      <c r="AA636" s="2337"/>
      <c r="AB636" s="2338"/>
      <c r="AC636" s="2352"/>
      <c r="AD636" s="2353"/>
      <c r="AE636" s="2354"/>
      <c r="AF636" s="2336"/>
      <c r="AG636" s="2337"/>
      <c r="AH636" s="2337"/>
      <c r="AI636" s="2337"/>
      <c r="AJ636" s="2338"/>
      <c r="AK636" s="2323"/>
      <c r="AL636" s="2324"/>
      <c r="AM636" s="2324"/>
      <c r="AN636" s="2325"/>
      <c r="AO636" s="2454"/>
      <c r="AP636" s="2454"/>
      <c r="AQ636" s="2454"/>
      <c r="AR636" s="2454"/>
      <c r="AS636" s="2454"/>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67">
        <f>BN635+BS635+BX635+CC635+CH635+CM635</f>
        <v>88</v>
      </c>
      <c r="CN636" s="2068"/>
      <c r="CO636" s="2068"/>
      <c r="CP636" s="2068"/>
      <c r="CQ636" s="2069"/>
      <c r="CR636" s="697"/>
      <c r="CS636" s="181"/>
      <c r="CT636" s="181"/>
      <c r="CU636" s="181"/>
      <c r="CV636" s="181"/>
      <c r="CW636" s="181"/>
      <c r="CX636" s="181"/>
      <c r="CY636" s="181"/>
      <c r="CZ636" s="181"/>
      <c r="DA636" s="181"/>
      <c r="DB636" s="181"/>
      <c r="DC636" s="181"/>
      <c r="DD636" s="181"/>
      <c r="DE636" s="181"/>
      <c r="DF636" s="181"/>
    </row>
    <row r="637" spans="1:157" ht="12.75">
      <c r="B637" s="83" t="s">
        <v>117</v>
      </c>
      <c r="C637" s="2090" t="s">
        <v>2603</v>
      </c>
      <c r="D637" s="2098"/>
      <c r="E637" s="2098"/>
      <c r="F637" s="2098"/>
      <c r="G637" s="2098"/>
      <c r="H637" s="2098"/>
      <c r="I637" s="2098"/>
      <c r="J637" s="2098"/>
      <c r="K637" s="2098"/>
      <c r="L637" s="2098"/>
      <c r="M637" s="2098"/>
      <c r="N637" s="2105"/>
      <c r="O637" s="2106">
        <v>204</v>
      </c>
      <c r="P637" s="2107"/>
      <c r="Q637" s="2108"/>
      <c r="R637" s="2080">
        <v>480</v>
      </c>
      <c r="S637" s="2081"/>
      <c r="T637" s="2082"/>
      <c r="U637" s="2086">
        <v>4.3999999999999997E-2</v>
      </c>
      <c r="V637" s="2087"/>
      <c r="W637" s="2088"/>
      <c r="X637" s="2083" t="s">
        <v>2151</v>
      </c>
      <c r="Y637" s="2084"/>
      <c r="Z637" s="2084"/>
      <c r="AA637" s="2084"/>
      <c r="AB637" s="2085"/>
      <c r="AC637" s="2074">
        <v>1</v>
      </c>
      <c r="AD637" s="2075"/>
      <c r="AE637" s="2076"/>
      <c r="AF637" s="2102">
        <v>699526</v>
      </c>
      <c r="AG637" s="2103"/>
      <c r="AH637" s="2103"/>
      <c r="AI637" s="2103"/>
      <c r="AJ637" s="2104"/>
      <c r="AK637" s="2326"/>
      <c r="AL637" s="2327"/>
      <c r="AM637" s="2327"/>
      <c r="AN637" s="2328"/>
      <c r="AO637" s="2077">
        <v>13154270</v>
      </c>
      <c r="AP637" s="2077"/>
      <c r="AQ637" s="2077"/>
      <c r="AR637" s="2077"/>
      <c r="AS637" s="2077"/>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69">
        <f>BN635*1</f>
        <v>0</v>
      </c>
      <c r="BS637" s="58"/>
      <c r="BT637" s="58"/>
      <c r="BU637" s="58"/>
      <c r="BV637" s="58"/>
      <c r="BW637" s="1469">
        <f>BS635*1</f>
        <v>23</v>
      </c>
      <c r="BX637" s="58"/>
      <c r="BY637" s="58"/>
      <c r="BZ637" s="58"/>
      <c r="CA637" s="58"/>
      <c r="CB637" s="1469">
        <f>BX635*2</f>
        <v>36</v>
      </c>
      <c r="CC637" s="58"/>
      <c r="CD637" s="58"/>
      <c r="CE637" s="58"/>
      <c r="CF637" s="58"/>
      <c r="CG637" s="1469">
        <f>CC635*3</f>
        <v>141</v>
      </c>
      <c r="CH637" s="58"/>
      <c r="CI637" s="58"/>
      <c r="CJ637" s="58"/>
      <c r="CK637" s="58"/>
      <c r="CL637" s="1469">
        <f>CH635*4</f>
        <v>0</v>
      </c>
      <c r="CM637" s="58"/>
      <c r="CN637" s="58"/>
      <c r="CO637" s="58"/>
      <c r="CP637" s="58"/>
      <c r="CQ637" s="1469">
        <f>CM635*5</f>
        <v>0</v>
      </c>
      <c r="CS637" s="1469">
        <f>BR637+BW637+CB637+CG637+CL637+CQ637</f>
        <v>200</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90" t="s">
        <v>2522</v>
      </c>
      <c r="D638" s="2098"/>
      <c r="E638" s="2098"/>
      <c r="F638" s="2098"/>
      <c r="G638" s="2098"/>
      <c r="H638" s="2098"/>
      <c r="I638" s="2098"/>
      <c r="J638" s="2098"/>
      <c r="K638" s="2098"/>
      <c r="L638" s="2098"/>
      <c r="M638" s="2098"/>
      <c r="N638" s="2105"/>
      <c r="O638" s="2106">
        <v>660</v>
      </c>
      <c r="P638" s="2107"/>
      <c r="Q638" s="2108"/>
      <c r="R638" s="2080">
        <v>660</v>
      </c>
      <c r="S638" s="2081"/>
      <c r="T638" s="2082"/>
      <c r="U638" s="2086">
        <v>0.03</v>
      </c>
      <c r="V638" s="2087"/>
      <c r="W638" s="2088"/>
      <c r="X638" s="2083" t="s">
        <v>489</v>
      </c>
      <c r="Y638" s="2084"/>
      <c r="Z638" s="2084"/>
      <c r="AA638" s="2084"/>
      <c r="AB638" s="2085"/>
      <c r="AC638" s="2074">
        <v>2</v>
      </c>
      <c r="AD638" s="2075"/>
      <c r="AE638" s="2076"/>
      <c r="AF638" s="2102"/>
      <c r="AG638" s="2103"/>
      <c r="AH638" s="2103"/>
      <c r="AI638" s="2103"/>
      <c r="AJ638" s="2104"/>
      <c r="AK638" s="2326"/>
      <c r="AL638" s="2327"/>
      <c r="AM638" s="2327"/>
      <c r="AN638" s="2328"/>
      <c r="AO638" s="2077">
        <v>7408000</v>
      </c>
      <c r="AP638" s="2077"/>
      <c r="AQ638" s="2077"/>
      <c r="AR638" s="2077"/>
      <c r="AS638" s="2077"/>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63" t="e">
        <f t="shared" ref="DX638:DX662" si="22">DX610*(BN610/$BN$635)</f>
        <v>#VALUE!</v>
      </c>
      <c r="DY638" s="2063"/>
      <c r="DZ638" s="2063"/>
      <c r="EA638" s="2063"/>
      <c r="EB638" s="2063"/>
      <c r="EC638" s="2063">
        <f t="shared" ref="EC638:EC662" si="23">EC610*(BS610/$BS$635)</f>
        <v>58.086956521739125</v>
      </c>
      <c r="ED638" s="2063"/>
      <c r="EE638" s="2063"/>
      <c r="EF638" s="2063"/>
      <c r="EG638" s="2063"/>
      <c r="EH638" s="2063" t="e">
        <f t="shared" ref="EH638:EH662" si="24">EH610*(BX610/$BX$635)</f>
        <v>#VALUE!</v>
      </c>
      <c r="EI638" s="2063"/>
      <c r="EJ638" s="2063"/>
      <c r="EK638" s="2063"/>
      <c r="EL638" s="2063"/>
      <c r="EM638" s="2063" t="e">
        <f t="shared" ref="EM638:EM662" si="25">EM610*(CC610/$CC$635)</f>
        <v>#VALUE!</v>
      </c>
      <c r="EN638" s="2063"/>
      <c r="EO638" s="2063"/>
      <c r="EP638" s="2063"/>
      <c r="EQ638" s="2063"/>
      <c r="ER638" s="2063" t="e">
        <f t="shared" ref="ER638:ER662" si="26">ER610*(CH610/$CH$635)</f>
        <v>#VALUE!</v>
      </c>
      <c r="ES638" s="2063"/>
      <c r="ET638" s="2063"/>
      <c r="EU638" s="2063"/>
      <c r="EV638" s="2063"/>
      <c r="EW638" s="2063" t="e">
        <f t="shared" ref="EW638:EW662" si="27">EW610*(CM610/$CM$635)</f>
        <v>#VALUE!</v>
      </c>
      <c r="EX638" s="2063"/>
      <c r="EY638" s="2063"/>
      <c r="EZ638" s="2063"/>
      <c r="FA638" s="2063"/>
    </row>
    <row r="639" spans="1:157" ht="12.75" customHeight="1">
      <c r="B639" s="84" t="s">
        <v>124</v>
      </c>
      <c r="C639" s="2090" t="s">
        <v>2126</v>
      </c>
      <c r="D639" s="2098"/>
      <c r="E639" s="2098"/>
      <c r="F639" s="2098"/>
      <c r="G639" s="2098"/>
      <c r="H639" s="2098"/>
      <c r="I639" s="2098"/>
      <c r="J639" s="2098"/>
      <c r="K639" s="2098"/>
      <c r="L639" s="2098"/>
      <c r="M639" s="2098"/>
      <c r="N639" s="2105"/>
      <c r="O639" s="2106"/>
      <c r="P639" s="2107"/>
      <c r="Q639" s="2108"/>
      <c r="R639" s="2080"/>
      <c r="S639" s="2081"/>
      <c r="T639" s="2082"/>
      <c r="U639" s="2086"/>
      <c r="V639" s="2087"/>
      <c r="W639" s="2088"/>
      <c r="X639" s="2083" t="s">
        <v>1383</v>
      </c>
      <c r="Y639" s="2084"/>
      <c r="Z639" s="2084"/>
      <c r="AA639" s="2084"/>
      <c r="AB639" s="2085"/>
      <c r="AC639" s="2074"/>
      <c r="AD639" s="2075"/>
      <c r="AE639" s="2076"/>
      <c r="AF639" s="2102"/>
      <c r="AG639" s="2103"/>
      <c r="AH639" s="2103"/>
      <c r="AI639" s="2103"/>
      <c r="AJ639" s="2104"/>
      <c r="AK639" s="2326"/>
      <c r="AL639" s="2327"/>
      <c r="AM639" s="2327"/>
      <c r="AN639" s="2328"/>
      <c r="AO639" s="2077">
        <v>2825851</v>
      </c>
      <c r="AP639" s="2077"/>
      <c r="AQ639" s="2077"/>
      <c r="AR639" s="2077"/>
      <c r="AS639" s="2077"/>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63" t="e">
        <f t="shared" si="22"/>
        <v>#VALUE!</v>
      </c>
      <c r="DY639" s="2063"/>
      <c r="DZ639" s="2063"/>
      <c r="EA639" s="2063"/>
      <c r="EB639" s="2063"/>
      <c r="EC639" s="2063" t="e">
        <f t="shared" si="23"/>
        <v>#VALUE!</v>
      </c>
      <c r="ED639" s="2063"/>
      <c r="EE639" s="2063"/>
      <c r="EF639" s="2063"/>
      <c r="EG639" s="2063"/>
      <c r="EH639" s="2063">
        <f t="shared" si="24"/>
        <v>88.777777777777771</v>
      </c>
      <c r="EI639" s="2063"/>
      <c r="EJ639" s="2063"/>
      <c r="EK639" s="2063"/>
      <c r="EL639" s="2063"/>
      <c r="EM639" s="2063" t="e">
        <f t="shared" si="25"/>
        <v>#VALUE!</v>
      </c>
      <c r="EN639" s="2063"/>
      <c r="EO639" s="2063"/>
      <c r="EP639" s="2063"/>
      <c r="EQ639" s="2063"/>
      <c r="ER639" s="2063" t="e">
        <f t="shared" si="26"/>
        <v>#VALUE!</v>
      </c>
      <c r="ES639" s="2063"/>
      <c r="ET639" s="2063"/>
      <c r="EU639" s="2063"/>
      <c r="EV639" s="2063"/>
      <c r="EW639" s="2063" t="e">
        <f t="shared" si="27"/>
        <v>#VALUE!</v>
      </c>
      <c r="EX639" s="2063"/>
      <c r="EY639" s="2063"/>
      <c r="EZ639" s="2063"/>
      <c r="FA639" s="2063"/>
    </row>
    <row r="640" spans="1:157" ht="12.75">
      <c r="B640" s="84" t="s">
        <v>615</v>
      </c>
      <c r="C640" s="2090" t="s">
        <v>2741</v>
      </c>
      <c r="D640" s="2098"/>
      <c r="E640" s="2098"/>
      <c r="F640" s="2098"/>
      <c r="G640" s="2098"/>
      <c r="H640" s="2098"/>
      <c r="I640" s="2098"/>
      <c r="J640" s="2098"/>
      <c r="K640" s="2098"/>
      <c r="L640" s="2098"/>
      <c r="M640" s="2098"/>
      <c r="N640" s="2105"/>
      <c r="O640" s="2106"/>
      <c r="P640" s="2107"/>
      <c r="Q640" s="2108"/>
      <c r="R640" s="2080"/>
      <c r="S640" s="2081"/>
      <c r="T640" s="2082"/>
      <c r="U640" s="2086"/>
      <c r="V640" s="2087"/>
      <c r="W640" s="2088"/>
      <c r="X640" s="2083" t="s">
        <v>1383</v>
      </c>
      <c r="Y640" s="2084"/>
      <c r="Z640" s="2084"/>
      <c r="AA640" s="2084"/>
      <c r="AB640" s="2085"/>
      <c r="AC640" s="2074"/>
      <c r="AD640" s="2075"/>
      <c r="AE640" s="2076"/>
      <c r="AF640" s="2102"/>
      <c r="AG640" s="2103"/>
      <c r="AH640" s="2103"/>
      <c r="AI640" s="2103"/>
      <c r="AJ640" s="2104"/>
      <c r="AK640" s="2326"/>
      <c r="AL640" s="2327"/>
      <c r="AM640" s="2327"/>
      <c r="AN640" s="2328"/>
      <c r="AO640" s="2077">
        <v>1752783</v>
      </c>
      <c r="AP640" s="2077"/>
      <c r="AQ640" s="2077"/>
      <c r="AR640" s="2077"/>
      <c r="AS640" s="2077"/>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59">
        <f>IF(J772="SRO/Studio",O772,0)</f>
        <v>0</v>
      </c>
      <c r="BO640" s="2060"/>
      <c r="BP640" s="2060"/>
      <c r="BQ640" s="2060"/>
      <c r="BR640" s="2061"/>
      <c r="BS640" s="2058">
        <f>IF(J772="1 Bedroom",O772,0)</f>
        <v>0</v>
      </c>
      <c r="BT640" s="2058"/>
      <c r="BU640" s="2058"/>
      <c r="BV640" s="2058"/>
      <c r="BW640" s="2058"/>
      <c r="BX640" s="2058">
        <f>IF(J772="2 Bedrooms",O772,0)</f>
        <v>0</v>
      </c>
      <c r="BY640" s="2058"/>
      <c r="BZ640" s="2058"/>
      <c r="CA640" s="2058"/>
      <c r="CB640" s="2058"/>
      <c r="CC640" s="2058">
        <f>IF(J772="3 Bedrooms",O772,0)</f>
        <v>1</v>
      </c>
      <c r="CD640" s="2058"/>
      <c r="CE640" s="2058"/>
      <c r="CF640" s="2058"/>
      <c r="CG640" s="2058"/>
      <c r="CH640" s="2058">
        <f>IF(J772="4 Bedrooms",O772,0)</f>
        <v>0</v>
      </c>
      <c r="CI640" s="2058"/>
      <c r="CJ640" s="2058"/>
      <c r="CK640" s="2058"/>
      <c r="CL640" s="2058"/>
      <c r="CM640" s="2058">
        <f>IF(J772="5 Bedrooms",O772,0)</f>
        <v>0</v>
      </c>
      <c r="CN640" s="2058"/>
      <c r="CO640" s="2058"/>
      <c r="CP640" s="2058"/>
      <c r="CQ640" s="2058"/>
      <c r="CR640" s="265"/>
      <c r="CS640" s="58"/>
      <c r="CT640" s="58"/>
      <c r="CU640" s="58"/>
      <c r="CV640" s="58"/>
      <c r="CW640" s="58"/>
      <c r="CX640" s="58"/>
      <c r="CY640" s="58"/>
      <c r="CZ640" s="58"/>
      <c r="DA640" s="58"/>
      <c r="DB640" s="58"/>
      <c r="DC640" s="58"/>
      <c r="DD640" s="58"/>
      <c r="DE640" s="58"/>
      <c r="DF640" s="58"/>
      <c r="DX640" s="2063" t="e">
        <f t="shared" si="22"/>
        <v>#VALUE!</v>
      </c>
      <c r="DY640" s="2063"/>
      <c r="DZ640" s="2063"/>
      <c r="EA640" s="2063"/>
      <c r="EB640" s="2063"/>
      <c r="EC640" s="2063" t="e">
        <f t="shared" si="23"/>
        <v>#VALUE!</v>
      </c>
      <c r="ED640" s="2063"/>
      <c r="EE640" s="2063"/>
      <c r="EF640" s="2063"/>
      <c r="EG640" s="2063"/>
      <c r="EH640" s="2063" t="e">
        <f t="shared" si="24"/>
        <v>#VALUE!</v>
      </c>
      <c r="EI640" s="2063"/>
      <c r="EJ640" s="2063"/>
      <c r="EK640" s="2063"/>
      <c r="EL640" s="2063"/>
      <c r="EM640" s="2063">
        <f t="shared" si="25"/>
        <v>98.297872340425528</v>
      </c>
      <c r="EN640" s="2063"/>
      <c r="EO640" s="2063"/>
      <c r="EP640" s="2063"/>
      <c r="EQ640" s="2063"/>
      <c r="ER640" s="2063" t="e">
        <f t="shared" si="26"/>
        <v>#VALUE!</v>
      </c>
      <c r="ES640" s="2063"/>
      <c r="ET640" s="2063"/>
      <c r="EU640" s="2063"/>
      <c r="EV640" s="2063"/>
      <c r="EW640" s="2063" t="e">
        <f t="shared" si="27"/>
        <v>#VALUE!</v>
      </c>
      <c r="EX640" s="2063"/>
      <c r="EY640" s="2063"/>
      <c r="EZ640" s="2063"/>
      <c r="FA640" s="2063"/>
    </row>
    <row r="641" spans="1:157" ht="12.75">
      <c r="B641" s="84" t="s">
        <v>820</v>
      </c>
      <c r="C641" s="2090" t="s">
        <v>2743</v>
      </c>
      <c r="D641" s="2098"/>
      <c r="E641" s="2098"/>
      <c r="F641" s="2098"/>
      <c r="G641" s="2098"/>
      <c r="H641" s="2098"/>
      <c r="I641" s="2098"/>
      <c r="J641" s="2098"/>
      <c r="K641" s="2098"/>
      <c r="L641" s="2098"/>
      <c r="M641" s="2098"/>
      <c r="N641" s="2105"/>
      <c r="O641" s="2106"/>
      <c r="P641" s="2107"/>
      <c r="Q641" s="2108"/>
      <c r="R641" s="2080"/>
      <c r="S641" s="2081"/>
      <c r="T641" s="2082"/>
      <c r="U641" s="2086"/>
      <c r="V641" s="2087"/>
      <c r="W641" s="2088"/>
      <c r="X641" s="2083" t="s">
        <v>1383</v>
      </c>
      <c r="Y641" s="2084"/>
      <c r="Z641" s="2084"/>
      <c r="AA641" s="2084"/>
      <c r="AB641" s="2085"/>
      <c r="AC641" s="2074"/>
      <c r="AD641" s="2075"/>
      <c r="AE641" s="2076"/>
      <c r="AF641" s="2102"/>
      <c r="AG641" s="2103"/>
      <c r="AH641" s="2103"/>
      <c r="AI641" s="2103"/>
      <c r="AJ641" s="2104"/>
      <c r="AK641" s="2326"/>
      <c r="AL641" s="2327"/>
      <c r="AM641" s="2327"/>
      <c r="AN641" s="2328"/>
      <c r="AO641" s="2077">
        <v>100</v>
      </c>
      <c r="AP641" s="2077"/>
      <c r="AQ641" s="2077"/>
      <c r="AR641" s="2077"/>
      <c r="AS641" s="2077"/>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59">
        <f>IF(J773="SRO/Studio",O773,0)</f>
        <v>0</v>
      </c>
      <c r="BO641" s="2060"/>
      <c r="BP641" s="2060"/>
      <c r="BQ641" s="2060"/>
      <c r="BR641" s="2061"/>
      <c r="BS641" s="2058">
        <f>IF(J773="1 Bedroom",O773,0)</f>
        <v>0</v>
      </c>
      <c r="BT641" s="2058"/>
      <c r="BU641" s="2058"/>
      <c r="BV641" s="2058"/>
      <c r="BW641" s="2058"/>
      <c r="BX641" s="2058">
        <f>IF(J773="2 Bedrooms",O773,0)</f>
        <v>0</v>
      </c>
      <c r="BY641" s="2058"/>
      <c r="BZ641" s="2058"/>
      <c r="CA641" s="2058"/>
      <c r="CB641" s="2058"/>
      <c r="CC641" s="2058">
        <f>IF(J773="3 Bedrooms",O773,0)</f>
        <v>0</v>
      </c>
      <c r="CD641" s="2058"/>
      <c r="CE641" s="2058"/>
      <c r="CF641" s="2058"/>
      <c r="CG641" s="2058"/>
      <c r="CH641" s="2058">
        <f>IF(J773="4 Bedrooms",O773,0)</f>
        <v>0</v>
      </c>
      <c r="CI641" s="2058"/>
      <c r="CJ641" s="2058"/>
      <c r="CK641" s="2058"/>
      <c r="CL641" s="2058"/>
      <c r="CM641" s="2058">
        <f>IF(J773="5 Bedrooms",O773,0)</f>
        <v>0</v>
      </c>
      <c r="CN641" s="2058"/>
      <c r="CO641" s="2058"/>
      <c r="CP641" s="2058"/>
      <c r="CQ641" s="2058"/>
      <c r="CR641" s="265"/>
      <c r="CS641" s="58"/>
      <c r="CT641" s="58"/>
      <c r="CU641" s="58"/>
      <c r="CV641" s="58"/>
      <c r="CW641" s="58"/>
      <c r="CX641" s="58"/>
      <c r="CY641" s="58"/>
      <c r="CZ641" s="58"/>
      <c r="DA641" s="58"/>
      <c r="DB641" s="58"/>
      <c r="DC641" s="58"/>
      <c r="DD641" s="58"/>
      <c r="DE641" s="58"/>
      <c r="DF641" s="58"/>
      <c r="DX641" s="2063" t="e">
        <f t="shared" si="22"/>
        <v>#VALUE!</v>
      </c>
      <c r="DY641" s="2063"/>
      <c r="DZ641" s="2063"/>
      <c r="EA641" s="2063"/>
      <c r="EB641" s="2063"/>
      <c r="EC641" s="2063">
        <f t="shared" si="23"/>
        <v>466.95652173913044</v>
      </c>
      <c r="ED641" s="2063"/>
      <c r="EE641" s="2063"/>
      <c r="EF641" s="2063"/>
      <c r="EG641" s="2063"/>
      <c r="EH641" s="2063" t="e">
        <f t="shared" si="24"/>
        <v>#VALUE!</v>
      </c>
      <c r="EI641" s="2063"/>
      <c r="EJ641" s="2063"/>
      <c r="EK641" s="2063"/>
      <c r="EL641" s="2063"/>
      <c r="EM641" s="2063" t="e">
        <f t="shared" si="25"/>
        <v>#VALUE!</v>
      </c>
      <c r="EN641" s="2063"/>
      <c r="EO641" s="2063"/>
      <c r="EP641" s="2063"/>
      <c r="EQ641" s="2063"/>
      <c r="ER641" s="2063" t="e">
        <f t="shared" si="26"/>
        <v>#VALUE!</v>
      </c>
      <c r="ES641" s="2063"/>
      <c r="ET641" s="2063"/>
      <c r="EU641" s="2063"/>
      <c r="EV641" s="2063"/>
      <c r="EW641" s="2063" t="e">
        <f t="shared" si="27"/>
        <v>#VALUE!</v>
      </c>
      <c r="EX641" s="2063"/>
      <c r="EY641" s="2063"/>
      <c r="EZ641" s="2063"/>
      <c r="FA641" s="2063"/>
    </row>
    <row r="642" spans="1:157" ht="12.75">
      <c r="B642" s="84" t="s">
        <v>618</v>
      </c>
      <c r="C642" s="2098"/>
      <c r="D642" s="2098"/>
      <c r="E642" s="2098"/>
      <c r="F642" s="2098"/>
      <c r="G642" s="2098"/>
      <c r="H642" s="2098"/>
      <c r="I642" s="2098"/>
      <c r="J642" s="2098"/>
      <c r="K642" s="2098"/>
      <c r="L642" s="2098"/>
      <c r="M642" s="2098"/>
      <c r="N642" s="2105"/>
      <c r="O642" s="2106"/>
      <c r="P642" s="2107"/>
      <c r="Q642" s="2108"/>
      <c r="R642" s="2080"/>
      <c r="S642" s="2081"/>
      <c r="T642" s="2082"/>
      <c r="U642" s="2086"/>
      <c r="V642" s="2087"/>
      <c r="W642" s="2088"/>
      <c r="X642" s="2083" t="s">
        <v>1383</v>
      </c>
      <c r="Y642" s="2084"/>
      <c r="Z642" s="2084"/>
      <c r="AA642" s="2084"/>
      <c r="AB642" s="2085"/>
      <c r="AC642" s="2074"/>
      <c r="AD642" s="2075"/>
      <c r="AE642" s="2076"/>
      <c r="AF642" s="2102"/>
      <c r="AG642" s="2103"/>
      <c r="AH642" s="2103"/>
      <c r="AI642" s="2103"/>
      <c r="AJ642" s="2104"/>
      <c r="AK642" s="2326"/>
      <c r="AL642" s="2327"/>
      <c r="AM642" s="2327"/>
      <c r="AN642" s="2328"/>
      <c r="AO642" s="2077"/>
      <c r="AP642" s="2077"/>
      <c r="AQ642" s="2077"/>
      <c r="AR642" s="2077"/>
      <c r="AS642" s="207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9">
        <f>IF(J774="SRO/Studio",O774,0)</f>
        <v>0</v>
      </c>
      <c r="BO642" s="2060"/>
      <c r="BP642" s="2060"/>
      <c r="BQ642" s="2060"/>
      <c r="BR642" s="2061"/>
      <c r="BS642" s="2058">
        <f>IF(J774="1 Bedroom",O774,0)</f>
        <v>0</v>
      </c>
      <c r="BT642" s="2058"/>
      <c r="BU642" s="2058"/>
      <c r="BV642" s="2058"/>
      <c r="BW642" s="2058"/>
      <c r="BX642" s="2058">
        <f>IF(J774="2 Bedrooms",O774,0)</f>
        <v>0</v>
      </c>
      <c r="BY642" s="2058"/>
      <c r="BZ642" s="2058"/>
      <c r="CA642" s="2058"/>
      <c r="CB642" s="2058"/>
      <c r="CC642" s="2058">
        <f>IF(J774="3 Bedrooms",O774,0)</f>
        <v>0</v>
      </c>
      <c r="CD642" s="2058"/>
      <c r="CE642" s="2058"/>
      <c r="CF642" s="2058"/>
      <c r="CG642" s="2058"/>
      <c r="CH642" s="2058">
        <f>IF(J774="4 Bedrooms",O774,0)</f>
        <v>0</v>
      </c>
      <c r="CI642" s="2058"/>
      <c r="CJ642" s="2058"/>
      <c r="CK642" s="2058"/>
      <c r="CL642" s="2058"/>
      <c r="CM642" s="2058">
        <f>IF(J774="5 Bedrooms",O774,0)</f>
        <v>0</v>
      </c>
      <c r="CN642" s="2058"/>
      <c r="CO642" s="2058"/>
      <c r="CP642" s="2058"/>
      <c r="CQ642" s="2058"/>
      <c r="CR642" s="1804"/>
      <c r="CV642" s="58"/>
      <c r="CW642" s="58"/>
      <c r="CX642" s="58"/>
      <c r="CY642" s="58"/>
      <c r="CZ642" s="58"/>
      <c r="DA642" s="58"/>
      <c r="DB642" s="58"/>
      <c r="DC642" s="58"/>
      <c r="DD642" s="58"/>
      <c r="DE642" s="58"/>
      <c r="DF642" s="58"/>
      <c r="DX642" s="2063" t="e">
        <f t="shared" si="22"/>
        <v>#VALUE!</v>
      </c>
      <c r="DY642" s="2063"/>
      <c r="DZ642" s="2063"/>
      <c r="EA642" s="2063"/>
      <c r="EB642" s="2063"/>
      <c r="EC642" s="2063" t="e">
        <f t="shared" si="23"/>
        <v>#VALUE!</v>
      </c>
      <c r="ED642" s="2063"/>
      <c r="EE642" s="2063"/>
      <c r="EF642" s="2063"/>
      <c r="EG642" s="2063"/>
      <c r="EH642" s="2063">
        <f t="shared" si="24"/>
        <v>238.2222222222222</v>
      </c>
      <c r="EI642" s="2063"/>
      <c r="EJ642" s="2063"/>
      <c r="EK642" s="2063"/>
      <c r="EL642" s="2063"/>
      <c r="EM642" s="2063" t="e">
        <f t="shared" si="25"/>
        <v>#VALUE!</v>
      </c>
      <c r="EN642" s="2063"/>
      <c r="EO642" s="2063"/>
      <c r="EP642" s="2063"/>
      <c r="EQ642" s="2063"/>
      <c r="ER642" s="2063" t="e">
        <f t="shared" si="26"/>
        <v>#VALUE!</v>
      </c>
      <c r="ES642" s="2063"/>
      <c r="ET642" s="2063"/>
      <c r="EU642" s="2063"/>
      <c r="EV642" s="2063"/>
      <c r="EW642" s="2063" t="e">
        <f t="shared" si="27"/>
        <v>#VALUE!</v>
      </c>
      <c r="EX642" s="2063"/>
      <c r="EY642" s="2063"/>
      <c r="EZ642" s="2063"/>
      <c r="FA642" s="2063"/>
    </row>
    <row r="643" spans="1:157" ht="12.75">
      <c r="B643" s="84" t="s">
        <v>486</v>
      </c>
      <c r="C643" s="2098"/>
      <c r="D643" s="2098"/>
      <c r="E643" s="2098"/>
      <c r="F643" s="2098"/>
      <c r="G643" s="2098"/>
      <c r="H643" s="2098"/>
      <c r="I643" s="2098"/>
      <c r="J643" s="2098"/>
      <c r="K643" s="2098"/>
      <c r="L643" s="2098"/>
      <c r="M643" s="2098"/>
      <c r="N643" s="2105"/>
      <c r="O643" s="2106"/>
      <c r="P643" s="2107"/>
      <c r="Q643" s="2108"/>
      <c r="R643" s="2080"/>
      <c r="S643" s="2081"/>
      <c r="T643" s="2082"/>
      <c r="U643" s="2086"/>
      <c r="V643" s="2087"/>
      <c r="W643" s="2088"/>
      <c r="X643" s="2083" t="s">
        <v>1383</v>
      </c>
      <c r="Y643" s="2084"/>
      <c r="Z643" s="2084"/>
      <c r="AA643" s="2084"/>
      <c r="AB643" s="2085"/>
      <c r="AC643" s="2074"/>
      <c r="AD643" s="2075"/>
      <c r="AE643" s="2076"/>
      <c r="AF643" s="2102"/>
      <c r="AG643" s="2103"/>
      <c r="AH643" s="2103"/>
      <c r="AI643" s="2103"/>
      <c r="AJ643" s="2104"/>
      <c r="AK643" s="2326"/>
      <c r="AL643" s="2327"/>
      <c r="AM643" s="2327"/>
      <c r="AN643" s="2328"/>
      <c r="AO643" s="2077"/>
      <c r="AP643" s="2077"/>
      <c r="AQ643" s="2077"/>
      <c r="AR643" s="2077"/>
      <c r="AS643" s="207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9">
        <f>IF(J775="SRO/Studio",O775,0)</f>
        <v>0</v>
      </c>
      <c r="BO643" s="2060"/>
      <c r="BP643" s="2060"/>
      <c r="BQ643" s="2060"/>
      <c r="BR643" s="2061"/>
      <c r="BS643" s="2058">
        <f>IF(J775="1 Bedroom",O775,0)</f>
        <v>0</v>
      </c>
      <c r="BT643" s="2058"/>
      <c r="BU643" s="2058"/>
      <c r="BV643" s="2058"/>
      <c r="BW643" s="2058"/>
      <c r="BX643" s="2058">
        <f>IF(J775="2 Bedrooms",O775,0)</f>
        <v>0</v>
      </c>
      <c r="BY643" s="2058"/>
      <c r="BZ643" s="2058"/>
      <c r="CA643" s="2058"/>
      <c r="CB643" s="2058"/>
      <c r="CC643" s="2058">
        <f>IF(J775="3 Bedrooms",O775,0)</f>
        <v>0</v>
      </c>
      <c r="CD643" s="2058"/>
      <c r="CE643" s="2058"/>
      <c r="CF643" s="2058"/>
      <c r="CG643" s="2058"/>
      <c r="CH643" s="2058">
        <f>IF(J775="4 Bedrooms",O775,0)</f>
        <v>0</v>
      </c>
      <c r="CI643" s="2058"/>
      <c r="CJ643" s="2058"/>
      <c r="CK643" s="2058"/>
      <c r="CL643" s="2058"/>
      <c r="CM643" s="2058">
        <f>IF(J775="5 Bedrooms",O775,0)</f>
        <v>0</v>
      </c>
      <c r="CN643" s="2058"/>
      <c r="CO643" s="2058"/>
      <c r="CP643" s="2058"/>
      <c r="CQ643" s="2058"/>
      <c r="CV643" s="58"/>
      <c r="CW643" s="58"/>
      <c r="CX643" s="58"/>
      <c r="CY643" s="58"/>
      <c r="CZ643" s="58"/>
      <c r="DA643" s="58"/>
      <c r="DB643" s="58"/>
      <c r="DC643" s="58"/>
      <c r="DD643" s="58"/>
      <c r="DE643" s="58"/>
      <c r="DF643" s="58"/>
      <c r="DX643" s="2063" t="e">
        <f t="shared" si="22"/>
        <v>#VALUE!</v>
      </c>
      <c r="DY643" s="2063"/>
      <c r="DZ643" s="2063"/>
      <c r="EA643" s="2063"/>
      <c r="EB643" s="2063"/>
      <c r="EC643" s="2063" t="e">
        <f t="shared" si="23"/>
        <v>#VALUE!</v>
      </c>
      <c r="ED643" s="2063"/>
      <c r="EE643" s="2063"/>
      <c r="EF643" s="2063"/>
      <c r="EG643" s="2063"/>
      <c r="EH643" s="2063" t="e">
        <f t="shared" si="24"/>
        <v>#VALUE!</v>
      </c>
      <c r="EI643" s="2063"/>
      <c r="EJ643" s="2063"/>
      <c r="EK643" s="2063"/>
      <c r="EL643" s="2063"/>
      <c r="EM643" s="2063">
        <f t="shared" si="25"/>
        <v>263.61702127659572</v>
      </c>
      <c r="EN643" s="2063"/>
      <c r="EO643" s="2063"/>
      <c r="EP643" s="2063"/>
      <c r="EQ643" s="2063"/>
      <c r="ER643" s="2063" t="e">
        <f t="shared" si="26"/>
        <v>#VALUE!</v>
      </c>
      <c r="ES643" s="2063"/>
      <c r="ET643" s="2063"/>
      <c r="EU643" s="2063"/>
      <c r="EV643" s="2063"/>
      <c r="EW643" s="2063" t="e">
        <f t="shared" si="27"/>
        <v>#VALUE!</v>
      </c>
      <c r="EX643" s="2063"/>
      <c r="EY643" s="2063"/>
      <c r="EZ643" s="2063"/>
      <c r="FA643" s="2063"/>
    </row>
    <row r="644" spans="1:157" ht="12.75">
      <c r="B644" s="84" t="s">
        <v>487</v>
      </c>
      <c r="C644" s="2098"/>
      <c r="D644" s="2098"/>
      <c r="E644" s="2098"/>
      <c r="F644" s="2098"/>
      <c r="G644" s="2098"/>
      <c r="H644" s="2098"/>
      <c r="I644" s="2098"/>
      <c r="J644" s="2098"/>
      <c r="K644" s="2098"/>
      <c r="L644" s="2098"/>
      <c r="M644" s="2098"/>
      <c r="N644" s="2105"/>
      <c r="O644" s="2106"/>
      <c r="P644" s="2107"/>
      <c r="Q644" s="2108"/>
      <c r="R644" s="2080"/>
      <c r="S644" s="2081"/>
      <c r="T644" s="2082"/>
      <c r="U644" s="2086"/>
      <c r="V644" s="2087"/>
      <c r="W644" s="2088"/>
      <c r="X644" s="2083" t="s">
        <v>1383</v>
      </c>
      <c r="Y644" s="2084"/>
      <c r="Z644" s="2084"/>
      <c r="AA644" s="2084"/>
      <c r="AB644" s="2085"/>
      <c r="AC644" s="2074"/>
      <c r="AD644" s="2075"/>
      <c r="AE644" s="2076"/>
      <c r="AF644" s="2102"/>
      <c r="AG644" s="2103"/>
      <c r="AH644" s="2103"/>
      <c r="AI644" s="2103"/>
      <c r="AJ644" s="2104"/>
      <c r="AK644" s="2326"/>
      <c r="AL644" s="2327"/>
      <c r="AM644" s="2327"/>
      <c r="AN644" s="2328"/>
      <c r="AO644" s="2077"/>
      <c r="AP644" s="2077"/>
      <c r="AQ644" s="2077"/>
      <c r="AR644" s="2077"/>
      <c r="AS644" s="2077"/>
      <c r="AT644" s="239"/>
      <c r="AU644" s="239"/>
      <c r="AV644" s="239"/>
      <c r="AW644" s="239"/>
      <c r="AX644" s="239"/>
      <c r="AY644" s="239"/>
      <c r="AZ644" s="61"/>
      <c r="BA644" s="61"/>
      <c r="BB644" s="61"/>
      <c r="BC644" s="61"/>
      <c r="BD644" s="61"/>
      <c r="BE644" s="61"/>
      <c r="BF644" s="61"/>
      <c r="BG644" s="61"/>
      <c r="BH644" s="61"/>
      <c r="BI644" s="61"/>
      <c r="BJ644" s="61"/>
      <c r="BK644" s="61"/>
      <c r="BL644" s="61"/>
      <c r="BM644" s="61"/>
      <c r="BN644" s="2536">
        <f>SUM(BN640:BR643)</f>
        <v>0</v>
      </c>
      <c r="BO644" s="2605"/>
      <c r="BP644" s="2605"/>
      <c r="BQ644" s="2605"/>
      <c r="BR644" s="2537"/>
      <c r="BS644" s="2064">
        <f>SUM(BS640:BW643)</f>
        <v>0</v>
      </c>
      <c r="BT644" s="2065"/>
      <c r="BU644" s="2065"/>
      <c r="BV644" s="2065"/>
      <c r="BW644" s="2066"/>
      <c r="BX644" s="2064">
        <f>SUM(BX640:CB643)</f>
        <v>0</v>
      </c>
      <c r="BY644" s="2065"/>
      <c r="BZ644" s="2065"/>
      <c r="CA644" s="2065"/>
      <c r="CB644" s="2066"/>
      <c r="CC644" s="2064">
        <f>SUM(CC640:CG643)</f>
        <v>1</v>
      </c>
      <c r="CD644" s="2065"/>
      <c r="CE644" s="2065"/>
      <c r="CF644" s="2065"/>
      <c r="CG644" s="2066"/>
      <c r="CH644" s="2064">
        <f>SUM(CH640:CL643)</f>
        <v>0</v>
      </c>
      <c r="CI644" s="2065"/>
      <c r="CJ644" s="2065"/>
      <c r="CK644" s="2065"/>
      <c r="CL644" s="2066"/>
      <c r="CM644" s="2064">
        <f>SUM(CM640:CQ643)</f>
        <v>0</v>
      </c>
      <c r="CN644" s="2065"/>
      <c r="CO644" s="2065"/>
      <c r="CP644" s="2065"/>
      <c r="CQ644" s="2066"/>
      <c r="CS644" s="1469">
        <f>BN644+BS644+BX644+CC644+CH644+CM644</f>
        <v>1</v>
      </c>
      <c r="CT644" s="134" t="s">
        <v>2387</v>
      </c>
      <c r="CU644" s="58"/>
      <c r="CV644" s="58"/>
      <c r="CW644" s="58"/>
      <c r="CX644" s="58"/>
      <c r="CY644" s="58"/>
      <c r="CZ644" s="58"/>
      <c r="DA644" s="58"/>
      <c r="DB644" s="58"/>
      <c r="DC644" s="58"/>
      <c r="DD644" s="58"/>
      <c r="DE644" s="58"/>
      <c r="DF644" s="58"/>
      <c r="DX644" s="2063" t="e">
        <f t="shared" si="22"/>
        <v>#VALUE!</v>
      </c>
      <c r="DY644" s="2063"/>
      <c r="DZ644" s="2063"/>
      <c r="EA644" s="2063"/>
      <c r="EB644" s="2063"/>
      <c r="EC644" s="2063">
        <f t="shared" si="23"/>
        <v>146.34782608695653</v>
      </c>
      <c r="ED644" s="2063"/>
      <c r="EE644" s="2063"/>
      <c r="EF644" s="2063"/>
      <c r="EG644" s="2063"/>
      <c r="EH644" s="2063" t="e">
        <f t="shared" si="24"/>
        <v>#VALUE!</v>
      </c>
      <c r="EI644" s="2063"/>
      <c r="EJ644" s="2063"/>
      <c r="EK644" s="2063"/>
      <c r="EL644" s="2063"/>
      <c r="EM644" s="2063" t="e">
        <f t="shared" si="25"/>
        <v>#VALUE!</v>
      </c>
      <c r="EN644" s="2063"/>
      <c r="EO644" s="2063"/>
      <c r="EP644" s="2063"/>
      <c r="EQ644" s="2063"/>
      <c r="ER644" s="2063" t="e">
        <f t="shared" si="26"/>
        <v>#VALUE!</v>
      </c>
      <c r="ES644" s="2063"/>
      <c r="ET644" s="2063"/>
      <c r="EU644" s="2063"/>
      <c r="EV644" s="2063"/>
      <c r="EW644" s="2063" t="e">
        <f t="shared" si="27"/>
        <v>#VALUE!</v>
      </c>
      <c r="EX644" s="2063"/>
      <c r="EY644" s="2063"/>
      <c r="EZ644" s="2063"/>
      <c r="FA644" s="2063"/>
    </row>
    <row r="645" spans="1:157" ht="12.75">
      <c r="B645" s="84" t="s">
        <v>493</v>
      </c>
      <c r="C645" s="2098"/>
      <c r="D645" s="2098"/>
      <c r="E645" s="2098"/>
      <c r="F645" s="2098"/>
      <c r="G645" s="2098"/>
      <c r="H645" s="2098"/>
      <c r="I645" s="2098"/>
      <c r="J645" s="2098"/>
      <c r="K645" s="2098"/>
      <c r="L645" s="2098"/>
      <c r="M645" s="2098"/>
      <c r="N645" s="2105"/>
      <c r="O645" s="2106"/>
      <c r="P645" s="2107"/>
      <c r="Q645" s="2108"/>
      <c r="R645" s="2080"/>
      <c r="S645" s="2081"/>
      <c r="T645" s="2082"/>
      <c r="U645" s="2086"/>
      <c r="V645" s="2087"/>
      <c r="W645" s="2088"/>
      <c r="X645" s="2083" t="s">
        <v>1383</v>
      </c>
      <c r="Y645" s="2084"/>
      <c r="Z645" s="2084"/>
      <c r="AA645" s="2084"/>
      <c r="AB645" s="2085"/>
      <c r="AC645" s="2074"/>
      <c r="AD645" s="2075"/>
      <c r="AE645" s="2076"/>
      <c r="AF645" s="2102"/>
      <c r="AG645" s="2103"/>
      <c r="AH645" s="2103"/>
      <c r="AI645" s="2103"/>
      <c r="AJ645" s="2104"/>
      <c r="AK645" s="2326"/>
      <c r="AL645" s="2327"/>
      <c r="AM645" s="2327"/>
      <c r="AN645" s="2328"/>
      <c r="AO645" s="2077"/>
      <c r="AP645" s="2077"/>
      <c r="AQ645" s="2077"/>
      <c r="AR645" s="2077"/>
      <c r="AS645" s="207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69">
        <f>BN644*1</f>
        <v>0</v>
      </c>
      <c r="BS645" s="58"/>
      <c r="BT645" s="58"/>
      <c r="BU645" s="58"/>
      <c r="BV645" s="58"/>
      <c r="BW645" s="1469">
        <f>BS644*1</f>
        <v>0</v>
      </c>
      <c r="BX645" s="58"/>
      <c r="BY645" s="58"/>
      <c r="BZ645" s="58"/>
      <c r="CA645" s="58"/>
      <c r="CB645" s="1469">
        <f>BX644*2</f>
        <v>0</v>
      </c>
      <c r="CC645" s="58"/>
      <c r="CD645" s="58"/>
      <c r="CE645" s="58"/>
      <c r="CF645" s="58"/>
      <c r="CG645" s="1469">
        <f>CC644*3</f>
        <v>3</v>
      </c>
      <c r="CH645" s="58"/>
      <c r="CI645" s="58"/>
      <c r="CJ645" s="58"/>
      <c r="CK645" s="58"/>
      <c r="CL645" s="1469">
        <f>CH644*4</f>
        <v>0</v>
      </c>
      <c r="CM645" s="58"/>
      <c r="CN645" s="58"/>
      <c r="CO645" s="58"/>
      <c r="CP645" s="58"/>
      <c r="CQ645" s="1469">
        <f>CM644*5</f>
        <v>0</v>
      </c>
      <c r="CS645" s="1469">
        <f>BR645+BW645+CB645+CG645+CL645+CQ645</f>
        <v>3</v>
      </c>
      <c r="CT645" s="134" t="s">
        <v>2389</v>
      </c>
      <c r="CU645" s="58"/>
      <c r="CV645" s="58"/>
      <c r="CW645" s="58"/>
      <c r="CX645" s="58"/>
      <c r="CY645" s="58"/>
      <c r="CZ645" s="58"/>
      <c r="DA645" s="58"/>
      <c r="DB645" s="58"/>
      <c r="DC645" s="58"/>
      <c r="DD645" s="58"/>
      <c r="DE645" s="58"/>
      <c r="DF645" s="58"/>
      <c r="DX645" s="2063" t="e">
        <f t="shared" si="22"/>
        <v>#VALUE!</v>
      </c>
      <c r="DY645" s="2063"/>
      <c r="DZ645" s="2063"/>
      <c r="EA645" s="2063"/>
      <c r="EB645" s="2063"/>
      <c r="EC645" s="2063" t="e">
        <f t="shared" si="23"/>
        <v>#VALUE!</v>
      </c>
      <c r="ED645" s="2063"/>
      <c r="EE645" s="2063"/>
      <c r="EF645" s="2063"/>
      <c r="EG645" s="2063"/>
      <c r="EH645" s="2063">
        <f t="shared" si="24"/>
        <v>149.33333333333331</v>
      </c>
      <c r="EI645" s="2063"/>
      <c r="EJ645" s="2063"/>
      <c r="EK645" s="2063"/>
      <c r="EL645" s="2063"/>
      <c r="EM645" s="2063" t="e">
        <f t="shared" si="25"/>
        <v>#VALUE!</v>
      </c>
      <c r="EN645" s="2063"/>
      <c r="EO645" s="2063"/>
      <c r="EP645" s="2063"/>
      <c r="EQ645" s="2063"/>
      <c r="ER645" s="2063" t="e">
        <f t="shared" si="26"/>
        <v>#VALUE!</v>
      </c>
      <c r="ES645" s="2063"/>
      <c r="ET645" s="2063"/>
      <c r="EU645" s="2063"/>
      <c r="EV645" s="2063"/>
      <c r="EW645" s="2063" t="e">
        <f t="shared" si="27"/>
        <v>#VALUE!</v>
      </c>
      <c r="EX645" s="2063"/>
      <c r="EY645" s="2063"/>
      <c r="EZ645" s="2063"/>
      <c r="FA645" s="2063"/>
    </row>
    <row r="646" spans="1:157" ht="12.75">
      <c r="B646" s="84" t="s">
        <v>680</v>
      </c>
      <c r="C646" s="2098"/>
      <c r="D646" s="2098"/>
      <c r="E646" s="2098"/>
      <c r="F646" s="2098"/>
      <c r="G646" s="2098"/>
      <c r="H646" s="2098"/>
      <c r="I646" s="2098"/>
      <c r="J646" s="2098"/>
      <c r="K646" s="2098"/>
      <c r="L646" s="2098"/>
      <c r="M646" s="2098"/>
      <c r="N646" s="2105"/>
      <c r="O646" s="2106"/>
      <c r="P646" s="2107"/>
      <c r="Q646" s="2108"/>
      <c r="R646" s="2080"/>
      <c r="S646" s="2081"/>
      <c r="T646" s="2082"/>
      <c r="U646" s="2086"/>
      <c r="V646" s="2087"/>
      <c r="W646" s="2088"/>
      <c r="X646" s="2083" t="s">
        <v>1383</v>
      </c>
      <c r="Y646" s="2084"/>
      <c r="Z646" s="2084"/>
      <c r="AA646" s="2084"/>
      <c r="AB646" s="2085"/>
      <c r="AC646" s="2074"/>
      <c r="AD646" s="2075"/>
      <c r="AE646" s="2076"/>
      <c r="AF646" s="2102"/>
      <c r="AG646" s="2103"/>
      <c r="AH646" s="2103"/>
      <c r="AI646" s="2103"/>
      <c r="AJ646" s="2104"/>
      <c r="AK646" s="2326"/>
      <c r="AL646" s="2327"/>
      <c r="AM646" s="2327"/>
      <c r="AN646" s="2328"/>
      <c r="AO646" s="2077"/>
      <c r="AP646" s="2077"/>
      <c r="AQ646" s="2077"/>
      <c r="AR646" s="2077"/>
      <c r="AS646" s="207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63" t="e">
        <f t="shared" si="22"/>
        <v>#VALUE!</v>
      </c>
      <c r="DY646" s="2063"/>
      <c r="DZ646" s="2063"/>
      <c r="EA646" s="2063"/>
      <c r="EB646" s="2063"/>
      <c r="EC646" s="2063" t="e">
        <f t="shared" si="23"/>
        <v>#VALUE!</v>
      </c>
      <c r="ED646" s="2063"/>
      <c r="EE646" s="2063"/>
      <c r="EF646" s="2063"/>
      <c r="EG646" s="2063"/>
      <c r="EH646" s="2063" t="e">
        <f t="shared" si="24"/>
        <v>#VALUE!</v>
      </c>
      <c r="EI646" s="2063"/>
      <c r="EJ646" s="2063"/>
      <c r="EK646" s="2063"/>
      <c r="EL646" s="2063"/>
      <c r="EM646" s="2063">
        <f t="shared" si="25"/>
        <v>165.31914893617022</v>
      </c>
      <c r="EN646" s="2063"/>
      <c r="EO646" s="2063"/>
      <c r="EP646" s="2063"/>
      <c r="EQ646" s="2063"/>
      <c r="ER646" s="2063" t="e">
        <f t="shared" si="26"/>
        <v>#VALUE!</v>
      </c>
      <c r="ES646" s="2063"/>
      <c r="ET646" s="2063"/>
      <c r="EU646" s="2063"/>
      <c r="EV646" s="2063"/>
      <c r="EW646" s="2063" t="e">
        <f t="shared" si="27"/>
        <v>#VALUE!</v>
      </c>
      <c r="EX646" s="2063"/>
      <c r="EY646" s="2063"/>
      <c r="EZ646" s="2063"/>
      <c r="FA646" s="2063"/>
    </row>
    <row r="647" spans="1:157" ht="12.75">
      <c r="B647" s="84" t="s">
        <v>371</v>
      </c>
      <c r="C647" s="2098"/>
      <c r="D647" s="2098"/>
      <c r="E647" s="2098"/>
      <c r="F647" s="2098"/>
      <c r="G647" s="2098"/>
      <c r="H647" s="2098"/>
      <c r="I647" s="2098"/>
      <c r="J647" s="2098"/>
      <c r="K647" s="2098"/>
      <c r="L647" s="2098"/>
      <c r="M647" s="2098"/>
      <c r="N647" s="2105"/>
      <c r="O647" s="2106"/>
      <c r="P647" s="2107"/>
      <c r="Q647" s="2108"/>
      <c r="R647" s="2080"/>
      <c r="S647" s="2081"/>
      <c r="T647" s="2082"/>
      <c r="U647" s="2086"/>
      <c r="V647" s="2087"/>
      <c r="W647" s="2088"/>
      <c r="X647" s="2083" t="s">
        <v>1383</v>
      </c>
      <c r="Y647" s="2084"/>
      <c r="Z647" s="2084"/>
      <c r="AA647" s="2084"/>
      <c r="AB647" s="2085"/>
      <c r="AC647" s="2074"/>
      <c r="AD647" s="2075"/>
      <c r="AE647" s="2076"/>
      <c r="AF647" s="2102"/>
      <c r="AG647" s="2103"/>
      <c r="AH647" s="2103"/>
      <c r="AI647" s="2103"/>
      <c r="AJ647" s="2104"/>
      <c r="AK647" s="2326"/>
      <c r="AL647" s="2327"/>
      <c r="AM647" s="2327"/>
      <c r="AN647" s="2328"/>
      <c r="AO647" s="2077"/>
      <c r="AP647" s="2077"/>
      <c r="AQ647" s="2077"/>
      <c r="AR647" s="2077"/>
      <c r="AS647" s="207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63" t="e">
        <f t="shared" si="22"/>
        <v>#VALUE!</v>
      </c>
      <c r="DY647" s="2063"/>
      <c r="DZ647" s="2063"/>
      <c r="EA647" s="2063"/>
      <c r="EB647" s="2063"/>
      <c r="EC647" s="2063">
        <f t="shared" si="23"/>
        <v>352.17391304347825</v>
      </c>
      <c r="ED647" s="2063"/>
      <c r="EE647" s="2063"/>
      <c r="EF647" s="2063"/>
      <c r="EG647" s="2063"/>
      <c r="EH647" s="2063" t="e">
        <f t="shared" si="24"/>
        <v>#VALUE!</v>
      </c>
      <c r="EI647" s="2063"/>
      <c r="EJ647" s="2063"/>
      <c r="EK647" s="2063"/>
      <c r="EL647" s="2063"/>
      <c r="EM647" s="2063" t="e">
        <f t="shared" si="25"/>
        <v>#VALUE!</v>
      </c>
      <c r="EN647" s="2063"/>
      <c r="EO647" s="2063"/>
      <c r="EP647" s="2063"/>
      <c r="EQ647" s="2063"/>
      <c r="ER647" s="2063" t="e">
        <f t="shared" si="26"/>
        <v>#VALUE!</v>
      </c>
      <c r="ES647" s="2063"/>
      <c r="ET647" s="2063"/>
      <c r="EU647" s="2063"/>
      <c r="EV647" s="2063"/>
      <c r="EW647" s="2063" t="e">
        <f t="shared" si="27"/>
        <v>#VALUE!</v>
      </c>
      <c r="EX647" s="2063"/>
      <c r="EY647" s="2063"/>
      <c r="EZ647" s="2063"/>
      <c r="FA647" s="2063"/>
    </row>
    <row r="648" spans="1:157" ht="12.75">
      <c r="B648" s="84" t="s">
        <v>372</v>
      </c>
      <c r="C648" s="2098"/>
      <c r="D648" s="2098"/>
      <c r="E648" s="2098"/>
      <c r="F648" s="2098"/>
      <c r="G648" s="2098"/>
      <c r="H648" s="2098"/>
      <c r="I648" s="2098"/>
      <c r="J648" s="2098"/>
      <c r="K648" s="2098"/>
      <c r="L648" s="2098"/>
      <c r="M648" s="2098"/>
      <c r="N648" s="2105"/>
      <c r="O648" s="2106"/>
      <c r="P648" s="2107"/>
      <c r="Q648" s="2108"/>
      <c r="R648" s="2080"/>
      <c r="S648" s="2081"/>
      <c r="T648" s="2082"/>
      <c r="U648" s="2086"/>
      <c r="V648" s="2087"/>
      <c r="W648" s="2088"/>
      <c r="X648" s="2083" t="s">
        <v>1383</v>
      </c>
      <c r="Y648" s="2084"/>
      <c r="Z648" s="2084"/>
      <c r="AA648" s="2084"/>
      <c r="AB648" s="2085"/>
      <c r="AC648" s="2074"/>
      <c r="AD648" s="2075"/>
      <c r="AE648" s="2076"/>
      <c r="AF648" s="2102"/>
      <c r="AG648" s="2103"/>
      <c r="AH648" s="2103"/>
      <c r="AI648" s="2103"/>
      <c r="AJ648" s="2104"/>
      <c r="AK648" s="2326"/>
      <c r="AL648" s="2327"/>
      <c r="AM648" s="2327"/>
      <c r="AN648" s="2328"/>
      <c r="AO648" s="2077"/>
      <c r="AP648" s="2077"/>
      <c r="AQ648" s="2077"/>
      <c r="AR648" s="2077"/>
      <c r="AS648" s="207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9">
        <f t="shared" ref="BN648:BN657" si="28">IF(J786="SRO/Studio",O786,0)</f>
        <v>0</v>
      </c>
      <c r="BO648" s="2060"/>
      <c r="BP648" s="2060"/>
      <c r="BQ648" s="2060"/>
      <c r="BR648" s="2061"/>
      <c r="BS648" s="2058">
        <f t="shared" ref="BS648:BS657" si="29">IF(J786="1 Bedroom",O786,0)</f>
        <v>0</v>
      </c>
      <c r="BT648" s="2058"/>
      <c r="BU648" s="2058"/>
      <c r="BV648" s="2058"/>
      <c r="BW648" s="2058"/>
      <c r="BX648" s="2058">
        <f t="shared" ref="BX648:BX657" si="30">IF(J786="2 Bedrooms",O786,0)</f>
        <v>0</v>
      </c>
      <c r="BY648" s="2058"/>
      <c r="BZ648" s="2058"/>
      <c r="CA648" s="2058"/>
      <c r="CB648" s="2058"/>
      <c r="CC648" s="2058">
        <f t="shared" ref="CC648:CC657" si="31">IF(J786="3 Bedrooms",O786,0)</f>
        <v>0</v>
      </c>
      <c r="CD648" s="2058"/>
      <c r="CE648" s="2058"/>
      <c r="CF648" s="2058"/>
      <c r="CG648" s="2058"/>
      <c r="CH648" s="2058">
        <f t="shared" ref="CH648:CH657" si="32">IF(J786="4 Bedrooms",O786,0)</f>
        <v>0</v>
      </c>
      <c r="CI648" s="2058"/>
      <c r="CJ648" s="2058"/>
      <c r="CK648" s="2058"/>
      <c r="CL648" s="2058"/>
      <c r="CM648" s="2058">
        <f t="shared" ref="CM648:CM657" si="33">IF(J786="5 Bedrooms",O786,0)</f>
        <v>0</v>
      </c>
      <c r="CN648" s="2058"/>
      <c r="CO648" s="2058"/>
      <c r="CP648" s="2058"/>
      <c r="CQ648" s="2058"/>
      <c r="CR648" s="265"/>
      <c r="CS648" s="2059">
        <f>IF(AND(BN648&gt;=1,AH786&gt;=0.1,AH786&lt;=1),O786,0)</f>
        <v>0</v>
      </c>
      <c r="CT648" s="2060"/>
      <c r="CU648" s="2060"/>
      <c r="CV648" s="2060"/>
      <c r="CW648" s="2061"/>
      <c r="CX648" s="2059">
        <f>IF(AND(BS648&gt;=1,AH786&gt;=0.1,AH786&lt;=1),O786,0)</f>
        <v>0</v>
      </c>
      <c r="CY648" s="2060"/>
      <c r="CZ648" s="2060"/>
      <c r="DA648" s="2060"/>
      <c r="DB648" s="2061"/>
      <c r="DC648" s="2059">
        <f>IF(AND(BX648&gt;=1,AH786&gt;=0.1,AH786&lt;=1),O786,0)</f>
        <v>0</v>
      </c>
      <c r="DD648" s="2060"/>
      <c r="DE648" s="2060"/>
      <c r="DF648" s="2060"/>
      <c r="DG648" s="2061"/>
      <c r="DH648" s="2059">
        <f>IF(AND(CC648&gt;=1,AH786&gt;=0.1,AH786&lt;=1),O786,0)</f>
        <v>0</v>
      </c>
      <c r="DI648" s="2060"/>
      <c r="DJ648" s="2060"/>
      <c r="DK648" s="2060"/>
      <c r="DL648" s="2061"/>
      <c r="DM648" s="2059">
        <f>IF(AND(CH648&gt;=1,AH786&gt;=0.1,AH786&lt;=1),O786,0)</f>
        <v>0</v>
      </c>
      <c r="DN648" s="2060"/>
      <c r="DO648" s="2060"/>
      <c r="DP648" s="2060"/>
      <c r="DQ648" s="2061"/>
      <c r="DR648" s="2059">
        <f>IF(AND(CM648&gt;=1,AH786&gt;=0.1,AH786&lt;=1),O786,0)</f>
        <v>0</v>
      </c>
      <c r="DS648" s="2060"/>
      <c r="DT648" s="2060"/>
      <c r="DU648" s="2060"/>
      <c r="DV648" s="2061"/>
      <c r="DX648" s="2063" t="e">
        <f t="shared" si="22"/>
        <v>#VALUE!</v>
      </c>
      <c r="DY648" s="2063"/>
      <c r="DZ648" s="2063"/>
      <c r="EA648" s="2063"/>
      <c r="EB648" s="2063"/>
      <c r="EC648" s="2063" t="e">
        <f t="shared" si="23"/>
        <v>#VALUE!</v>
      </c>
      <c r="ED648" s="2063"/>
      <c r="EE648" s="2063"/>
      <c r="EF648" s="2063"/>
      <c r="EG648" s="2063"/>
      <c r="EH648" s="2063">
        <f t="shared" si="24"/>
        <v>718.66666666666663</v>
      </c>
      <c r="EI648" s="2063"/>
      <c r="EJ648" s="2063"/>
      <c r="EK648" s="2063"/>
      <c r="EL648" s="2063"/>
      <c r="EM648" s="2063" t="e">
        <f t="shared" si="25"/>
        <v>#VALUE!</v>
      </c>
      <c r="EN648" s="2063"/>
      <c r="EO648" s="2063"/>
      <c r="EP648" s="2063"/>
      <c r="EQ648" s="2063"/>
      <c r="ER648" s="2063" t="e">
        <f t="shared" si="26"/>
        <v>#VALUE!</v>
      </c>
      <c r="ES648" s="2063"/>
      <c r="ET648" s="2063"/>
      <c r="EU648" s="2063"/>
      <c r="EV648" s="2063"/>
      <c r="EW648" s="2063" t="e">
        <f t="shared" si="27"/>
        <v>#VALUE!</v>
      </c>
      <c r="EX648" s="2063"/>
      <c r="EY648" s="2063"/>
      <c r="EZ648" s="2063"/>
      <c r="FA648" s="2063"/>
    </row>
    <row r="649" spans="1:157" ht="12.75">
      <c r="B649" s="2370" t="s">
        <v>133</v>
      </c>
      <c r="C649" s="2371"/>
      <c r="D649" s="2371"/>
      <c r="E649" s="2371"/>
      <c r="F649" s="2371"/>
      <c r="G649" s="2371"/>
      <c r="H649" s="2371"/>
      <c r="I649" s="2371"/>
      <c r="J649" s="2371"/>
      <c r="K649" s="2371"/>
      <c r="L649" s="2371"/>
      <c r="M649" s="2371"/>
      <c r="N649" s="2371"/>
      <c r="O649" s="2371"/>
      <c r="P649" s="2371"/>
      <c r="Q649" s="2371"/>
      <c r="R649" s="2371"/>
      <c r="S649" s="2371"/>
      <c r="T649" s="2371"/>
      <c r="U649" s="2371"/>
      <c r="V649" s="2371"/>
      <c r="W649" s="2371"/>
      <c r="X649" s="2371"/>
      <c r="Y649" s="2371"/>
      <c r="Z649" s="2371"/>
      <c r="AA649" s="2371"/>
      <c r="AB649" s="2371"/>
      <c r="AC649" s="2371"/>
      <c r="AD649" s="2371"/>
      <c r="AE649" s="2371"/>
      <c r="AF649" s="2371"/>
      <c r="AG649" s="2371"/>
      <c r="AH649" s="2371"/>
      <c r="AI649" s="2371"/>
      <c r="AJ649" s="2371"/>
      <c r="AK649" s="2371"/>
      <c r="AL649" s="2371"/>
      <c r="AM649" s="2371"/>
      <c r="AN649" s="2372"/>
      <c r="AO649" s="2377">
        <f>SUM(AO637:AR648)</f>
        <v>25141004</v>
      </c>
      <c r="AP649" s="2378"/>
      <c r="AQ649" s="2378"/>
      <c r="AR649" s="2378"/>
      <c r="AS649" s="2379"/>
      <c r="AZ649" s="58"/>
      <c r="BA649" s="58"/>
      <c r="BB649" s="58"/>
      <c r="BC649" s="58"/>
      <c r="BD649" s="58"/>
      <c r="BE649" s="58"/>
      <c r="BF649" s="58"/>
      <c r="BG649" s="58"/>
      <c r="BH649" s="58"/>
      <c r="BI649" s="58"/>
      <c r="BJ649" s="58"/>
      <c r="BK649" s="58"/>
      <c r="BL649" s="58"/>
      <c r="BM649" s="58"/>
      <c r="BN649" s="2059">
        <f t="shared" si="28"/>
        <v>0</v>
      </c>
      <c r="BO649" s="2060"/>
      <c r="BP649" s="2060"/>
      <c r="BQ649" s="2060"/>
      <c r="BR649" s="2061"/>
      <c r="BS649" s="2058">
        <f t="shared" si="29"/>
        <v>0</v>
      </c>
      <c r="BT649" s="2058"/>
      <c r="BU649" s="2058"/>
      <c r="BV649" s="2058"/>
      <c r="BW649" s="2058"/>
      <c r="BX649" s="2058">
        <f t="shared" si="30"/>
        <v>0</v>
      </c>
      <c r="BY649" s="2058"/>
      <c r="BZ649" s="2058"/>
      <c r="CA649" s="2058"/>
      <c r="CB649" s="2058"/>
      <c r="CC649" s="2058">
        <f t="shared" si="31"/>
        <v>0</v>
      </c>
      <c r="CD649" s="2058"/>
      <c r="CE649" s="2058"/>
      <c r="CF649" s="2058"/>
      <c r="CG649" s="2058"/>
      <c r="CH649" s="2058">
        <f t="shared" si="32"/>
        <v>0</v>
      </c>
      <c r="CI649" s="2058"/>
      <c r="CJ649" s="2058"/>
      <c r="CK649" s="2058"/>
      <c r="CL649" s="2058"/>
      <c r="CM649" s="2058">
        <f t="shared" si="33"/>
        <v>0</v>
      </c>
      <c r="CN649" s="2058"/>
      <c r="CO649" s="2058"/>
      <c r="CP649" s="2058"/>
      <c r="CQ649" s="2058"/>
      <c r="CR649" s="265"/>
      <c r="CS649" s="2059">
        <f t="shared" ref="CS649:CS657" si="34">IF(AND(BN649&gt;=1,AH787&gt;=0.1,AH787&lt;=1),O787,0)</f>
        <v>0</v>
      </c>
      <c r="CT649" s="2060"/>
      <c r="CU649" s="2060"/>
      <c r="CV649" s="2060"/>
      <c r="CW649" s="2061"/>
      <c r="CX649" s="2059">
        <f t="shared" ref="CX649:CX657" si="35">IF(AND(BS649&gt;=1,AH787&gt;=0.1,AH787&lt;=1),O787,0)</f>
        <v>0</v>
      </c>
      <c r="CY649" s="2060"/>
      <c r="CZ649" s="2060"/>
      <c r="DA649" s="2060"/>
      <c r="DB649" s="2061"/>
      <c r="DC649" s="2059">
        <f t="shared" ref="DC649:DC657" si="36">IF(AND(BX649&gt;=1,AH787&gt;=0.1,AH787&lt;=1),O787,0)</f>
        <v>0</v>
      </c>
      <c r="DD649" s="2060"/>
      <c r="DE649" s="2060"/>
      <c r="DF649" s="2060"/>
      <c r="DG649" s="2061"/>
      <c r="DH649" s="2059">
        <f t="shared" ref="DH649:DH657" si="37">IF(AND(CC649&gt;=1,AH787&gt;=0.1,AH787&lt;=1),O787,0)</f>
        <v>0</v>
      </c>
      <c r="DI649" s="2060"/>
      <c r="DJ649" s="2060"/>
      <c r="DK649" s="2060"/>
      <c r="DL649" s="2061"/>
      <c r="DM649" s="2059">
        <f t="shared" ref="DM649:DM657" si="38">IF(AND(CH649&gt;=1,AH787&gt;=0.1,AH787&lt;=1),O787,0)</f>
        <v>0</v>
      </c>
      <c r="DN649" s="2060"/>
      <c r="DO649" s="2060"/>
      <c r="DP649" s="2060"/>
      <c r="DQ649" s="2061"/>
      <c r="DR649" s="2059">
        <f t="shared" ref="DR649:DR657" si="39">IF(AND(CM649&gt;=1,AH787&gt;=0.1,AH787&lt;=1),O787,0)</f>
        <v>0</v>
      </c>
      <c r="DS649" s="2060"/>
      <c r="DT649" s="2060"/>
      <c r="DU649" s="2060"/>
      <c r="DV649" s="2061"/>
      <c r="DX649" s="2063" t="e">
        <f t="shared" si="22"/>
        <v>#VALUE!</v>
      </c>
      <c r="DY649" s="2063"/>
      <c r="DZ649" s="2063"/>
      <c r="EA649" s="2063"/>
      <c r="EB649" s="2063"/>
      <c r="EC649" s="2063" t="e">
        <f t="shared" si="23"/>
        <v>#VALUE!</v>
      </c>
      <c r="ED649" s="2063"/>
      <c r="EE649" s="2063"/>
      <c r="EF649" s="2063"/>
      <c r="EG649" s="2063"/>
      <c r="EH649" s="2063" t="e">
        <f t="shared" si="24"/>
        <v>#VALUE!</v>
      </c>
      <c r="EI649" s="2063"/>
      <c r="EJ649" s="2063"/>
      <c r="EK649" s="2063"/>
      <c r="EL649" s="2063"/>
      <c r="EM649" s="2063">
        <f t="shared" si="25"/>
        <v>1073.6808510638298</v>
      </c>
      <c r="EN649" s="2063"/>
      <c r="EO649" s="2063"/>
      <c r="EP649" s="2063"/>
      <c r="EQ649" s="2063"/>
      <c r="ER649" s="2063" t="e">
        <f t="shared" si="26"/>
        <v>#VALUE!</v>
      </c>
      <c r="ES649" s="2063"/>
      <c r="ET649" s="2063"/>
      <c r="EU649" s="2063"/>
      <c r="EV649" s="2063"/>
      <c r="EW649" s="2063" t="e">
        <f t="shared" si="27"/>
        <v>#VALUE!</v>
      </c>
      <c r="EX649" s="2063"/>
      <c r="EY649" s="2063"/>
      <c r="EZ649" s="2063"/>
      <c r="FA649" s="2063"/>
    </row>
    <row r="650" spans="1:157" ht="12.75" customHeight="1">
      <c r="B650" s="2370" t="s">
        <v>273</v>
      </c>
      <c r="C650" s="2371"/>
      <c r="D650" s="2371"/>
      <c r="E650" s="2371"/>
      <c r="F650" s="2371"/>
      <c r="G650" s="2371"/>
      <c r="H650" s="2371"/>
      <c r="I650" s="2371"/>
      <c r="J650" s="2371"/>
      <c r="K650" s="2371"/>
      <c r="L650" s="2371"/>
      <c r="M650" s="2371"/>
      <c r="N650" s="2371"/>
      <c r="O650" s="2371"/>
      <c r="P650" s="2371"/>
      <c r="Q650" s="2371"/>
      <c r="R650" s="2371"/>
      <c r="S650" s="2371"/>
      <c r="T650" s="2371"/>
      <c r="U650" s="2371"/>
      <c r="V650" s="2371"/>
      <c r="W650" s="2371"/>
      <c r="X650" s="2371"/>
      <c r="Y650" s="2371"/>
      <c r="Z650" s="2371"/>
      <c r="AA650" s="2371"/>
      <c r="AB650" s="2371"/>
      <c r="AC650" s="2371"/>
      <c r="AD650" s="2371"/>
      <c r="AE650" s="2371"/>
      <c r="AF650" s="2371"/>
      <c r="AG650" s="2371"/>
      <c r="AH650" s="2371"/>
      <c r="AI650" s="2371"/>
      <c r="AJ650" s="2371"/>
      <c r="AK650" s="2371"/>
      <c r="AL650" s="2371"/>
      <c r="AM650" s="2371"/>
      <c r="AN650" s="2372"/>
      <c r="AO650" s="2049">
        <v>28908754</v>
      </c>
      <c r="AP650" s="2050"/>
      <c r="AQ650" s="2050"/>
      <c r="AR650" s="2050"/>
      <c r="AS650" s="2051"/>
      <c r="AZ650" s="61"/>
      <c r="BA650" s="61"/>
      <c r="BB650" s="61"/>
      <c r="BC650" s="61"/>
      <c r="BD650" s="61"/>
      <c r="BE650" s="61"/>
      <c r="BF650" s="61"/>
      <c r="BG650" s="61"/>
      <c r="BH650" s="61"/>
      <c r="BI650" s="61"/>
      <c r="BJ650" s="61"/>
      <c r="BK650" s="61"/>
      <c r="BL650" s="61"/>
      <c r="BM650" s="61"/>
      <c r="BN650" s="2059">
        <f t="shared" si="28"/>
        <v>0</v>
      </c>
      <c r="BO650" s="2060"/>
      <c r="BP650" s="2060"/>
      <c r="BQ650" s="2060"/>
      <c r="BR650" s="2061"/>
      <c r="BS650" s="2058">
        <f t="shared" si="29"/>
        <v>0</v>
      </c>
      <c r="BT650" s="2058"/>
      <c r="BU650" s="2058"/>
      <c r="BV650" s="2058"/>
      <c r="BW650" s="2058"/>
      <c r="BX650" s="2058">
        <f t="shared" si="30"/>
        <v>0</v>
      </c>
      <c r="BY650" s="2058"/>
      <c r="BZ650" s="2058"/>
      <c r="CA650" s="2058"/>
      <c r="CB650" s="2058"/>
      <c r="CC650" s="2058">
        <f t="shared" si="31"/>
        <v>0</v>
      </c>
      <c r="CD650" s="2058"/>
      <c r="CE650" s="2058"/>
      <c r="CF650" s="2058"/>
      <c r="CG650" s="2058"/>
      <c r="CH650" s="2058">
        <f t="shared" si="32"/>
        <v>0</v>
      </c>
      <c r="CI650" s="2058"/>
      <c r="CJ650" s="2058"/>
      <c r="CK650" s="2058"/>
      <c r="CL650" s="2058"/>
      <c r="CM650" s="2058">
        <f t="shared" si="33"/>
        <v>0</v>
      </c>
      <c r="CN650" s="2058"/>
      <c r="CO650" s="2058"/>
      <c r="CP650" s="2058"/>
      <c r="CQ650" s="2058"/>
      <c r="CR650" s="265"/>
      <c r="CS650" s="2059">
        <f t="shared" si="34"/>
        <v>0</v>
      </c>
      <c r="CT650" s="2060"/>
      <c r="CU650" s="2060"/>
      <c r="CV650" s="2060"/>
      <c r="CW650" s="2061"/>
      <c r="CX650" s="2059">
        <f t="shared" si="35"/>
        <v>0</v>
      </c>
      <c r="CY650" s="2060"/>
      <c r="CZ650" s="2060"/>
      <c r="DA650" s="2060"/>
      <c r="DB650" s="2061"/>
      <c r="DC650" s="2059">
        <f t="shared" si="36"/>
        <v>0</v>
      </c>
      <c r="DD650" s="2060"/>
      <c r="DE650" s="2060"/>
      <c r="DF650" s="2060"/>
      <c r="DG650" s="2061"/>
      <c r="DH650" s="2059">
        <f t="shared" si="37"/>
        <v>0</v>
      </c>
      <c r="DI650" s="2060"/>
      <c r="DJ650" s="2060"/>
      <c r="DK650" s="2060"/>
      <c r="DL650" s="2061"/>
      <c r="DM650" s="2059">
        <f t="shared" si="38"/>
        <v>0</v>
      </c>
      <c r="DN650" s="2060"/>
      <c r="DO650" s="2060"/>
      <c r="DP650" s="2060"/>
      <c r="DQ650" s="2061"/>
      <c r="DR650" s="2059">
        <f t="shared" si="39"/>
        <v>0</v>
      </c>
      <c r="DS650" s="2060"/>
      <c r="DT650" s="2060"/>
      <c r="DU650" s="2060"/>
      <c r="DV650" s="2061"/>
      <c r="DX650" s="2063" t="e">
        <f t="shared" si="22"/>
        <v>#VALUE!</v>
      </c>
      <c r="DY650" s="2063"/>
      <c r="DZ650" s="2063"/>
      <c r="EA650" s="2063"/>
      <c r="EB650" s="2063"/>
      <c r="EC650" s="2063" t="e">
        <f t="shared" si="23"/>
        <v>#VALUE!</v>
      </c>
      <c r="ED650" s="2063"/>
      <c r="EE650" s="2063"/>
      <c r="EF650" s="2063"/>
      <c r="EG650" s="2063"/>
      <c r="EH650" s="2063">
        <f t="shared" si="24"/>
        <v>176.88888888888889</v>
      </c>
      <c r="EI650" s="2063"/>
      <c r="EJ650" s="2063"/>
      <c r="EK650" s="2063"/>
      <c r="EL650" s="2063"/>
      <c r="EM650" s="2063" t="e">
        <f t="shared" si="25"/>
        <v>#VALUE!</v>
      </c>
      <c r="EN650" s="2063"/>
      <c r="EO650" s="2063"/>
      <c r="EP650" s="2063"/>
      <c r="EQ650" s="2063"/>
      <c r="ER650" s="2063" t="e">
        <f t="shared" si="26"/>
        <v>#VALUE!</v>
      </c>
      <c r="ES650" s="2063"/>
      <c r="ET650" s="2063"/>
      <c r="EU650" s="2063"/>
      <c r="EV650" s="2063"/>
      <c r="EW650" s="2063" t="e">
        <f t="shared" si="27"/>
        <v>#VALUE!</v>
      </c>
      <c r="EX650" s="2063"/>
      <c r="EY650" s="2063"/>
      <c r="EZ650" s="2063"/>
      <c r="FA650" s="2063"/>
    </row>
    <row r="651" spans="1:157" ht="12.75" customHeight="1">
      <c r="B651" s="2448" t="s">
        <v>274</v>
      </c>
      <c r="C651" s="2449"/>
      <c r="D651" s="2449"/>
      <c r="E651" s="2449"/>
      <c r="F651" s="2449"/>
      <c r="G651" s="2449"/>
      <c r="H651" s="2449"/>
      <c r="I651" s="2449"/>
      <c r="J651" s="2449"/>
      <c r="K651" s="2449"/>
      <c r="L651" s="2449"/>
      <c r="M651" s="2449"/>
      <c r="N651" s="2449"/>
      <c r="O651" s="2449"/>
      <c r="P651" s="2449"/>
      <c r="Q651" s="2449"/>
      <c r="R651" s="2449"/>
      <c r="S651" s="2449"/>
      <c r="T651" s="2449"/>
      <c r="U651" s="2449"/>
      <c r="V651" s="2449"/>
      <c r="W651" s="2449"/>
      <c r="X651" s="2449"/>
      <c r="Y651" s="2449"/>
      <c r="Z651" s="2449"/>
      <c r="AA651" s="2449"/>
      <c r="AB651" s="2449"/>
      <c r="AC651" s="2449"/>
      <c r="AD651" s="2449"/>
      <c r="AE651" s="2449"/>
      <c r="AF651" s="2449"/>
      <c r="AG651" s="2449"/>
      <c r="AH651" s="2449"/>
      <c r="AI651" s="2449"/>
      <c r="AJ651" s="2449"/>
      <c r="AK651" s="2449"/>
      <c r="AL651" s="2449"/>
      <c r="AM651" s="2449"/>
      <c r="AN651" s="2450"/>
      <c r="AO651" s="2377">
        <f>AO649+AO650</f>
        <v>54049758</v>
      </c>
      <c r="AP651" s="2378"/>
      <c r="AQ651" s="2378"/>
      <c r="AR651" s="2378"/>
      <c r="AS651" s="2379"/>
      <c r="AZ651" s="61"/>
      <c r="BA651" s="61"/>
      <c r="BB651" s="61"/>
      <c r="BC651" s="61"/>
      <c r="BD651" s="61"/>
      <c r="BE651" s="61"/>
      <c r="BF651" s="61"/>
      <c r="BG651" s="61"/>
      <c r="BH651" s="61"/>
      <c r="BI651" s="61"/>
      <c r="BJ651" s="61"/>
      <c r="BK651" s="61"/>
      <c r="BL651" s="61"/>
      <c r="BM651" s="61"/>
      <c r="BN651" s="2059">
        <f t="shared" si="28"/>
        <v>0</v>
      </c>
      <c r="BO651" s="2060"/>
      <c r="BP651" s="2060"/>
      <c r="BQ651" s="2060"/>
      <c r="BR651" s="2061"/>
      <c r="BS651" s="2058">
        <f t="shared" si="29"/>
        <v>0</v>
      </c>
      <c r="BT651" s="2058"/>
      <c r="BU651" s="2058"/>
      <c r="BV651" s="2058"/>
      <c r="BW651" s="2058"/>
      <c r="BX651" s="2058">
        <f t="shared" si="30"/>
        <v>0</v>
      </c>
      <c r="BY651" s="2058"/>
      <c r="BZ651" s="2058"/>
      <c r="CA651" s="2058"/>
      <c r="CB651" s="2058"/>
      <c r="CC651" s="2058">
        <f t="shared" si="31"/>
        <v>0</v>
      </c>
      <c r="CD651" s="2058"/>
      <c r="CE651" s="2058"/>
      <c r="CF651" s="2058"/>
      <c r="CG651" s="2058"/>
      <c r="CH651" s="2058">
        <f t="shared" si="32"/>
        <v>0</v>
      </c>
      <c r="CI651" s="2058"/>
      <c r="CJ651" s="2058"/>
      <c r="CK651" s="2058"/>
      <c r="CL651" s="2058"/>
      <c r="CM651" s="2058">
        <f t="shared" si="33"/>
        <v>0</v>
      </c>
      <c r="CN651" s="2058"/>
      <c r="CO651" s="2058"/>
      <c r="CP651" s="2058"/>
      <c r="CQ651" s="2058"/>
      <c r="CR651" s="265"/>
      <c r="CS651" s="2059">
        <f t="shared" si="34"/>
        <v>0</v>
      </c>
      <c r="CT651" s="2060"/>
      <c r="CU651" s="2060"/>
      <c r="CV651" s="2060"/>
      <c r="CW651" s="2061"/>
      <c r="CX651" s="2059">
        <f t="shared" si="35"/>
        <v>0</v>
      </c>
      <c r="CY651" s="2060"/>
      <c r="CZ651" s="2060"/>
      <c r="DA651" s="2060"/>
      <c r="DB651" s="2061"/>
      <c r="DC651" s="2059">
        <f t="shared" si="36"/>
        <v>0</v>
      </c>
      <c r="DD651" s="2060"/>
      <c r="DE651" s="2060"/>
      <c r="DF651" s="2060"/>
      <c r="DG651" s="2061"/>
      <c r="DH651" s="2059">
        <f t="shared" si="37"/>
        <v>0</v>
      </c>
      <c r="DI651" s="2060"/>
      <c r="DJ651" s="2060"/>
      <c r="DK651" s="2060"/>
      <c r="DL651" s="2061"/>
      <c r="DM651" s="2059">
        <f t="shared" si="38"/>
        <v>0</v>
      </c>
      <c r="DN651" s="2060"/>
      <c r="DO651" s="2060"/>
      <c r="DP651" s="2060"/>
      <c r="DQ651" s="2061"/>
      <c r="DR651" s="2059">
        <f t="shared" si="39"/>
        <v>0</v>
      </c>
      <c r="DS651" s="2060"/>
      <c r="DT651" s="2060"/>
      <c r="DU651" s="2060"/>
      <c r="DV651" s="2061"/>
      <c r="DX651" s="2063" t="e">
        <f t="shared" si="22"/>
        <v>#VALUE!</v>
      </c>
      <c r="DY651" s="2063"/>
      <c r="DZ651" s="2063"/>
      <c r="EA651" s="2063"/>
      <c r="EB651" s="2063"/>
      <c r="EC651" s="2063" t="e">
        <f t="shared" si="23"/>
        <v>#VALUE!</v>
      </c>
      <c r="ED651" s="2063"/>
      <c r="EE651" s="2063"/>
      <c r="EF651" s="2063"/>
      <c r="EG651" s="2063"/>
      <c r="EH651" s="2063" t="e">
        <f t="shared" si="24"/>
        <v>#VALUE!</v>
      </c>
      <c r="EI651" s="2063"/>
      <c r="EJ651" s="2063"/>
      <c r="EK651" s="2063"/>
      <c r="EL651" s="2063"/>
      <c r="EM651" s="2063" t="e">
        <f t="shared" si="25"/>
        <v>#VALUE!</v>
      </c>
      <c r="EN651" s="2063"/>
      <c r="EO651" s="2063"/>
      <c r="EP651" s="2063"/>
      <c r="EQ651" s="2063"/>
      <c r="ER651" s="2063" t="e">
        <f t="shared" si="26"/>
        <v>#VALUE!</v>
      </c>
      <c r="ES651" s="2063"/>
      <c r="ET651" s="2063"/>
      <c r="EU651" s="2063"/>
      <c r="EV651" s="2063"/>
      <c r="EW651" s="2063" t="e">
        <f t="shared" si="27"/>
        <v>#VALUE!</v>
      </c>
      <c r="EX651" s="2063"/>
      <c r="EY651" s="2063"/>
      <c r="EZ651" s="2063"/>
      <c r="FA651" s="2063"/>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9">
        <f t="shared" si="28"/>
        <v>0</v>
      </c>
      <c r="BO652" s="2060"/>
      <c r="BP652" s="2060"/>
      <c r="BQ652" s="2060"/>
      <c r="BR652" s="2061"/>
      <c r="BS652" s="2058">
        <f t="shared" si="29"/>
        <v>0</v>
      </c>
      <c r="BT652" s="2058"/>
      <c r="BU652" s="2058"/>
      <c r="BV652" s="2058"/>
      <c r="BW652" s="2058"/>
      <c r="BX652" s="2058">
        <f t="shared" si="30"/>
        <v>0</v>
      </c>
      <c r="BY652" s="2058"/>
      <c r="BZ652" s="2058"/>
      <c r="CA652" s="2058"/>
      <c r="CB652" s="2058"/>
      <c r="CC652" s="2058">
        <f t="shared" si="31"/>
        <v>0</v>
      </c>
      <c r="CD652" s="2058"/>
      <c r="CE652" s="2058"/>
      <c r="CF652" s="2058"/>
      <c r="CG652" s="2058"/>
      <c r="CH652" s="2058">
        <f t="shared" si="32"/>
        <v>0</v>
      </c>
      <c r="CI652" s="2058"/>
      <c r="CJ652" s="2058"/>
      <c r="CK652" s="2058"/>
      <c r="CL652" s="2058"/>
      <c r="CM652" s="2058">
        <f t="shared" si="33"/>
        <v>0</v>
      </c>
      <c r="CN652" s="2058"/>
      <c r="CO652" s="2058"/>
      <c r="CP652" s="2058"/>
      <c r="CQ652" s="2058"/>
      <c r="CR652" s="265"/>
      <c r="CS652" s="2059">
        <f t="shared" si="34"/>
        <v>0</v>
      </c>
      <c r="CT652" s="2060"/>
      <c r="CU652" s="2060"/>
      <c r="CV652" s="2060"/>
      <c r="CW652" s="2061"/>
      <c r="CX652" s="2059">
        <f t="shared" si="35"/>
        <v>0</v>
      </c>
      <c r="CY652" s="2060"/>
      <c r="CZ652" s="2060"/>
      <c r="DA652" s="2060"/>
      <c r="DB652" s="2061"/>
      <c r="DC652" s="2059">
        <f t="shared" si="36"/>
        <v>0</v>
      </c>
      <c r="DD652" s="2060"/>
      <c r="DE652" s="2060"/>
      <c r="DF652" s="2060"/>
      <c r="DG652" s="2061"/>
      <c r="DH652" s="2059">
        <f t="shared" si="37"/>
        <v>0</v>
      </c>
      <c r="DI652" s="2060"/>
      <c r="DJ652" s="2060"/>
      <c r="DK652" s="2060"/>
      <c r="DL652" s="2061"/>
      <c r="DM652" s="2059">
        <f t="shared" si="38"/>
        <v>0</v>
      </c>
      <c r="DN652" s="2060"/>
      <c r="DO652" s="2060"/>
      <c r="DP652" s="2060"/>
      <c r="DQ652" s="2061"/>
      <c r="DR652" s="2059">
        <f t="shared" si="39"/>
        <v>0</v>
      </c>
      <c r="DS652" s="2060"/>
      <c r="DT652" s="2060"/>
      <c r="DU652" s="2060"/>
      <c r="DV652" s="2061"/>
      <c r="DX652" s="2063" t="e">
        <f t="shared" si="22"/>
        <v>#VALUE!</v>
      </c>
      <c r="DY652" s="2063"/>
      <c r="DZ652" s="2063"/>
      <c r="EA652" s="2063"/>
      <c r="EB652" s="2063"/>
      <c r="EC652" s="2063" t="e">
        <f t="shared" si="23"/>
        <v>#VALUE!</v>
      </c>
      <c r="ED652" s="2063"/>
      <c r="EE652" s="2063"/>
      <c r="EF652" s="2063"/>
      <c r="EG652" s="2063"/>
      <c r="EH652" s="2063" t="e">
        <f t="shared" si="24"/>
        <v>#VALUE!</v>
      </c>
      <c r="EI652" s="2063"/>
      <c r="EJ652" s="2063"/>
      <c r="EK652" s="2063"/>
      <c r="EL652" s="2063"/>
      <c r="EM652" s="2063" t="e">
        <f t="shared" si="25"/>
        <v>#VALUE!</v>
      </c>
      <c r="EN652" s="2063"/>
      <c r="EO652" s="2063"/>
      <c r="EP652" s="2063"/>
      <c r="EQ652" s="2063"/>
      <c r="ER652" s="2063" t="e">
        <f t="shared" si="26"/>
        <v>#VALUE!</v>
      </c>
      <c r="ES652" s="2063"/>
      <c r="ET652" s="2063"/>
      <c r="EU652" s="2063"/>
      <c r="EV652" s="2063"/>
      <c r="EW652" s="2063" t="e">
        <f t="shared" si="27"/>
        <v>#VALUE!</v>
      </c>
      <c r="EX652" s="2063"/>
      <c r="EY652" s="2063"/>
      <c r="EZ652" s="2063"/>
      <c r="FA652" s="2063"/>
    </row>
    <row r="653" spans="1:157" ht="12.75">
      <c r="A653" s="87" t="s">
        <v>117</v>
      </c>
      <c r="B653" s="12" t="s">
        <v>495</v>
      </c>
      <c r="G653" s="2048" t="str">
        <f>C637</f>
        <v>Tax Exempt Perm Loan</v>
      </c>
      <c r="H653" s="2048"/>
      <c r="I653" s="2048"/>
      <c r="J653" s="2048"/>
      <c r="K653" s="2048"/>
      <c r="L653" s="2048"/>
      <c r="M653" s="2048"/>
      <c r="N653" s="2048"/>
      <c r="O653" s="2048"/>
      <c r="P653" s="2048"/>
      <c r="Q653" s="2048"/>
      <c r="R653" s="2048"/>
      <c r="S653" s="14"/>
      <c r="T653" s="87" t="s">
        <v>118</v>
      </c>
      <c r="U653" s="12" t="s">
        <v>495</v>
      </c>
      <c r="Z653" s="2048" t="str">
        <f>C638</f>
        <v>City of Carlsbad</v>
      </c>
      <c r="AA653" s="2048"/>
      <c r="AB653" s="2048"/>
      <c r="AC653" s="2048"/>
      <c r="AD653" s="2048"/>
      <c r="AE653" s="2048"/>
      <c r="AF653" s="2048"/>
      <c r="AG653" s="2048"/>
      <c r="AH653" s="2048"/>
      <c r="AI653" s="2048"/>
      <c r="AJ653" s="2048"/>
      <c r="AK653" s="2048"/>
      <c r="AZ653" s="61"/>
      <c r="BA653" s="61"/>
      <c r="BB653" s="61"/>
      <c r="BC653" s="61"/>
      <c r="BD653" s="61"/>
      <c r="BE653" s="61"/>
      <c r="BF653" s="61"/>
      <c r="BG653" s="61"/>
      <c r="BH653" s="61"/>
      <c r="BI653" s="61"/>
      <c r="BJ653" s="61"/>
      <c r="BK653" s="61"/>
      <c r="BL653" s="61"/>
      <c r="BM653" s="61"/>
      <c r="BN653" s="2059">
        <f t="shared" si="28"/>
        <v>0</v>
      </c>
      <c r="BO653" s="2060"/>
      <c r="BP653" s="2060"/>
      <c r="BQ653" s="2060"/>
      <c r="BR653" s="2061"/>
      <c r="BS653" s="2058">
        <f t="shared" si="29"/>
        <v>0</v>
      </c>
      <c r="BT653" s="2058"/>
      <c r="BU653" s="2058"/>
      <c r="BV653" s="2058"/>
      <c r="BW653" s="2058"/>
      <c r="BX653" s="2058">
        <f t="shared" si="30"/>
        <v>0</v>
      </c>
      <c r="BY653" s="2058"/>
      <c r="BZ653" s="2058"/>
      <c r="CA653" s="2058"/>
      <c r="CB653" s="2058"/>
      <c r="CC653" s="2058">
        <f t="shared" si="31"/>
        <v>0</v>
      </c>
      <c r="CD653" s="2058"/>
      <c r="CE653" s="2058"/>
      <c r="CF653" s="2058"/>
      <c r="CG653" s="2058"/>
      <c r="CH653" s="2058">
        <f t="shared" si="32"/>
        <v>0</v>
      </c>
      <c r="CI653" s="2058"/>
      <c r="CJ653" s="2058"/>
      <c r="CK653" s="2058"/>
      <c r="CL653" s="2058"/>
      <c r="CM653" s="2058">
        <f t="shared" si="33"/>
        <v>0</v>
      </c>
      <c r="CN653" s="2058"/>
      <c r="CO653" s="2058"/>
      <c r="CP653" s="2058"/>
      <c r="CQ653" s="2058"/>
      <c r="CR653" s="265"/>
      <c r="CS653" s="2059">
        <f t="shared" si="34"/>
        <v>0</v>
      </c>
      <c r="CT653" s="2060"/>
      <c r="CU653" s="2060"/>
      <c r="CV653" s="2060"/>
      <c r="CW653" s="2061"/>
      <c r="CX653" s="2059">
        <f t="shared" si="35"/>
        <v>0</v>
      </c>
      <c r="CY653" s="2060"/>
      <c r="CZ653" s="2060"/>
      <c r="DA653" s="2060"/>
      <c r="DB653" s="2061"/>
      <c r="DC653" s="2059">
        <f t="shared" si="36"/>
        <v>0</v>
      </c>
      <c r="DD653" s="2060"/>
      <c r="DE653" s="2060"/>
      <c r="DF653" s="2060"/>
      <c r="DG653" s="2061"/>
      <c r="DH653" s="2059">
        <f t="shared" si="37"/>
        <v>0</v>
      </c>
      <c r="DI653" s="2060"/>
      <c r="DJ653" s="2060"/>
      <c r="DK653" s="2060"/>
      <c r="DL653" s="2061"/>
      <c r="DM653" s="2059">
        <f t="shared" si="38"/>
        <v>0</v>
      </c>
      <c r="DN653" s="2060"/>
      <c r="DO653" s="2060"/>
      <c r="DP653" s="2060"/>
      <c r="DQ653" s="2061"/>
      <c r="DR653" s="2059">
        <f t="shared" si="39"/>
        <v>0</v>
      </c>
      <c r="DS653" s="2060"/>
      <c r="DT653" s="2060"/>
      <c r="DU653" s="2060"/>
      <c r="DV653" s="2061"/>
      <c r="DX653" s="2063" t="e">
        <f t="shared" si="22"/>
        <v>#VALUE!</v>
      </c>
      <c r="DY653" s="2063"/>
      <c r="DZ653" s="2063"/>
      <c r="EA653" s="2063"/>
      <c r="EB653" s="2063"/>
      <c r="EC653" s="2063" t="e">
        <f t="shared" si="23"/>
        <v>#VALUE!</v>
      </c>
      <c r="ED653" s="2063"/>
      <c r="EE653" s="2063"/>
      <c r="EF653" s="2063"/>
      <c r="EG653" s="2063"/>
      <c r="EH653" s="2063" t="e">
        <f t="shared" si="24"/>
        <v>#VALUE!</v>
      </c>
      <c r="EI653" s="2063"/>
      <c r="EJ653" s="2063"/>
      <c r="EK653" s="2063"/>
      <c r="EL653" s="2063"/>
      <c r="EM653" s="2063" t="e">
        <f t="shared" si="25"/>
        <v>#VALUE!</v>
      </c>
      <c r="EN653" s="2063"/>
      <c r="EO653" s="2063"/>
      <c r="EP653" s="2063"/>
      <c r="EQ653" s="2063"/>
      <c r="ER653" s="2063" t="e">
        <f t="shared" si="26"/>
        <v>#VALUE!</v>
      </c>
      <c r="ES653" s="2063"/>
      <c r="ET653" s="2063"/>
      <c r="EU653" s="2063"/>
      <c r="EV653" s="2063"/>
      <c r="EW653" s="2063" t="e">
        <f t="shared" si="27"/>
        <v>#VALUE!</v>
      </c>
      <c r="EX653" s="2063"/>
      <c r="EY653" s="2063"/>
      <c r="EZ653" s="2063"/>
      <c r="FA653" s="2063"/>
    </row>
    <row r="654" spans="1:157" ht="12.75">
      <c r="A654" s="35"/>
      <c r="B654" s="12" t="s">
        <v>90</v>
      </c>
      <c r="G654" s="2044" t="s">
        <v>2595</v>
      </c>
      <c r="H654" s="2044"/>
      <c r="I654" s="2044"/>
      <c r="J654" s="2044"/>
      <c r="K654" s="2044"/>
      <c r="L654" s="2044"/>
      <c r="M654" s="2044"/>
      <c r="N654" s="2044"/>
      <c r="O654" s="2044"/>
      <c r="P654" s="2044"/>
      <c r="Q654" s="2044"/>
      <c r="R654" s="2044"/>
      <c r="S654" s="14"/>
      <c r="T654" s="35"/>
      <c r="U654" s="12" t="s">
        <v>90</v>
      </c>
      <c r="Z654" s="2044" t="s">
        <v>2524</v>
      </c>
      <c r="AA654" s="2044"/>
      <c r="AB654" s="2044"/>
      <c r="AC654" s="2044"/>
      <c r="AD654" s="2044"/>
      <c r="AE654" s="2044"/>
      <c r="AF654" s="2044"/>
      <c r="AG654" s="2044"/>
      <c r="AH654" s="2044"/>
      <c r="AI654" s="2044"/>
      <c r="AJ654" s="2044"/>
      <c r="AK654" s="2044"/>
      <c r="AZ654" s="61"/>
      <c r="BA654" s="61"/>
      <c r="BB654" s="61"/>
      <c r="BC654" s="61"/>
      <c r="BD654" s="61"/>
      <c r="BE654" s="61"/>
      <c r="BF654" s="61"/>
      <c r="BG654" s="61"/>
      <c r="BH654" s="61"/>
      <c r="BI654" s="61"/>
      <c r="BJ654" s="61"/>
      <c r="BK654" s="61"/>
      <c r="BL654" s="61"/>
      <c r="BM654" s="61"/>
      <c r="BN654" s="2059">
        <f t="shared" si="28"/>
        <v>0</v>
      </c>
      <c r="BO654" s="2060"/>
      <c r="BP654" s="2060"/>
      <c r="BQ654" s="2060"/>
      <c r="BR654" s="2061"/>
      <c r="BS654" s="2058">
        <f t="shared" si="29"/>
        <v>0</v>
      </c>
      <c r="BT654" s="2058"/>
      <c r="BU654" s="2058"/>
      <c r="BV654" s="2058"/>
      <c r="BW654" s="2058"/>
      <c r="BX654" s="2058">
        <f t="shared" si="30"/>
        <v>0</v>
      </c>
      <c r="BY654" s="2058"/>
      <c r="BZ654" s="2058"/>
      <c r="CA654" s="2058"/>
      <c r="CB654" s="2058"/>
      <c r="CC654" s="2058">
        <f t="shared" si="31"/>
        <v>0</v>
      </c>
      <c r="CD654" s="2058"/>
      <c r="CE654" s="2058"/>
      <c r="CF654" s="2058"/>
      <c r="CG654" s="2058"/>
      <c r="CH654" s="2058">
        <f t="shared" si="32"/>
        <v>0</v>
      </c>
      <c r="CI654" s="2058"/>
      <c r="CJ654" s="2058"/>
      <c r="CK654" s="2058"/>
      <c r="CL654" s="2058"/>
      <c r="CM654" s="2058">
        <f t="shared" si="33"/>
        <v>0</v>
      </c>
      <c r="CN654" s="2058"/>
      <c r="CO654" s="2058"/>
      <c r="CP654" s="2058"/>
      <c r="CQ654" s="2058"/>
      <c r="CR654" s="265"/>
      <c r="CS654" s="2059">
        <f t="shared" si="34"/>
        <v>0</v>
      </c>
      <c r="CT654" s="2060"/>
      <c r="CU654" s="2060"/>
      <c r="CV654" s="2060"/>
      <c r="CW654" s="2061"/>
      <c r="CX654" s="2059">
        <f t="shared" si="35"/>
        <v>0</v>
      </c>
      <c r="CY654" s="2060"/>
      <c r="CZ654" s="2060"/>
      <c r="DA654" s="2060"/>
      <c r="DB654" s="2061"/>
      <c r="DC654" s="2059">
        <f t="shared" si="36"/>
        <v>0</v>
      </c>
      <c r="DD654" s="2060"/>
      <c r="DE654" s="2060"/>
      <c r="DF654" s="2060"/>
      <c r="DG654" s="2061"/>
      <c r="DH654" s="2059">
        <f t="shared" si="37"/>
        <v>0</v>
      </c>
      <c r="DI654" s="2060"/>
      <c r="DJ654" s="2060"/>
      <c r="DK654" s="2060"/>
      <c r="DL654" s="2061"/>
      <c r="DM654" s="2059">
        <f t="shared" si="38"/>
        <v>0</v>
      </c>
      <c r="DN654" s="2060"/>
      <c r="DO654" s="2060"/>
      <c r="DP654" s="2060"/>
      <c r="DQ654" s="2061"/>
      <c r="DR654" s="2059">
        <f t="shared" si="39"/>
        <v>0</v>
      </c>
      <c r="DS654" s="2060"/>
      <c r="DT654" s="2060"/>
      <c r="DU654" s="2060"/>
      <c r="DV654" s="2061"/>
      <c r="DX654" s="2063" t="e">
        <f t="shared" si="22"/>
        <v>#VALUE!</v>
      </c>
      <c r="DY654" s="2063"/>
      <c r="DZ654" s="2063"/>
      <c r="EA654" s="2063"/>
      <c r="EB654" s="2063"/>
      <c r="EC654" s="2063" t="e">
        <f t="shared" si="23"/>
        <v>#VALUE!</v>
      </c>
      <c r="ED654" s="2063"/>
      <c r="EE654" s="2063"/>
      <c r="EF654" s="2063"/>
      <c r="EG654" s="2063"/>
      <c r="EH654" s="2063" t="e">
        <f t="shared" si="24"/>
        <v>#VALUE!</v>
      </c>
      <c r="EI654" s="2063"/>
      <c r="EJ654" s="2063"/>
      <c r="EK654" s="2063"/>
      <c r="EL654" s="2063"/>
      <c r="EM654" s="2063" t="e">
        <f t="shared" si="25"/>
        <v>#VALUE!</v>
      </c>
      <c r="EN654" s="2063"/>
      <c r="EO654" s="2063"/>
      <c r="EP654" s="2063"/>
      <c r="EQ654" s="2063"/>
      <c r="ER654" s="2063" t="e">
        <f t="shared" si="26"/>
        <v>#VALUE!</v>
      </c>
      <c r="ES654" s="2063"/>
      <c r="ET654" s="2063"/>
      <c r="EU654" s="2063"/>
      <c r="EV654" s="2063"/>
      <c r="EW654" s="2063" t="e">
        <f t="shared" si="27"/>
        <v>#VALUE!</v>
      </c>
      <c r="EX654" s="2063"/>
      <c r="EY654" s="2063"/>
      <c r="EZ654" s="2063"/>
      <c r="FA654" s="2063"/>
    </row>
    <row r="655" spans="1:157" ht="12.75">
      <c r="A655" s="35"/>
      <c r="B655" s="12" t="s">
        <v>614</v>
      </c>
      <c r="G655" s="2044" t="s">
        <v>526</v>
      </c>
      <c r="H655" s="2044"/>
      <c r="I655" s="2044"/>
      <c r="J655" s="2044"/>
      <c r="K655" s="2044"/>
      <c r="L655" s="2044"/>
      <c r="M655" s="2044"/>
      <c r="N655" s="2044"/>
      <c r="O655" s="2044"/>
      <c r="P655" s="2044"/>
      <c r="Q655" s="2044"/>
      <c r="R655" s="2044"/>
      <c r="S655" s="88"/>
      <c r="T655" s="35"/>
      <c r="U655" s="12" t="s">
        <v>614</v>
      </c>
      <c r="Z655" s="2307" t="s">
        <v>2525</v>
      </c>
      <c r="AA655" s="2307"/>
      <c r="AB655" s="2307"/>
      <c r="AC655" s="2307"/>
      <c r="AD655" s="2307"/>
      <c r="AE655" s="2307"/>
      <c r="AF655" s="2307"/>
      <c r="AG655" s="2307"/>
      <c r="AH655" s="2307"/>
      <c r="AI655" s="2307"/>
      <c r="AJ655" s="2307"/>
      <c r="AK655" s="2307"/>
      <c r="AZ655" s="61"/>
      <c r="BA655" s="61"/>
      <c r="BB655" s="61"/>
      <c r="BC655" s="61"/>
      <c r="BD655" s="61"/>
      <c r="BE655" s="61"/>
      <c r="BF655" s="61"/>
      <c r="BG655" s="61"/>
      <c r="BH655" s="61"/>
      <c r="BI655" s="61"/>
      <c r="BJ655" s="61"/>
      <c r="BK655" s="61"/>
      <c r="BL655" s="61"/>
      <c r="BM655" s="61"/>
      <c r="BN655" s="2059">
        <f t="shared" si="28"/>
        <v>0</v>
      </c>
      <c r="BO655" s="2060"/>
      <c r="BP655" s="2060"/>
      <c r="BQ655" s="2060"/>
      <c r="BR655" s="2061"/>
      <c r="BS655" s="2058">
        <f t="shared" si="29"/>
        <v>0</v>
      </c>
      <c r="BT655" s="2058"/>
      <c r="BU655" s="2058"/>
      <c r="BV655" s="2058"/>
      <c r="BW655" s="2058"/>
      <c r="BX655" s="2058">
        <f t="shared" si="30"/>
        <v>0</v>
      </c>
      <c r="BY655" s="2058"/>
      <c r="BZ655" s="2058"/>
      <c r="CA655" s="2058"/>
      <c r="CB655" s="2058"/>
      <c r="CC655" s="2058">
        <f t="shared" si="31"/>
        <v>0</v>
      </c>
      <c r="CD655" s="2058"/>
      <c r="CE655" s="2058"/>
      <c r="CF655" s="2058"/>
      <c r="CG655" s="2058"/>
      <c r="CH655" s="2058">
        <f t="shared" si="32"/>
        <v>0</v>
      </c>
      <c r="CI655" s="2058"/>
      <c r="CJ655" s="2058"/>
      <c r="CK655" s="2058"/>
      <c r="CL655" s="2058"/>
      <c r="CM655" s="2058">
        <f t="shared" si="33"/>
        <v>0</v>
      </c>
      <c r="CN655" s="2058"/>
      <c r="CO655" s="2058"/>
      <c r="CP655" s="2058"/>
      <c r="CQ655" s="2058"/>
      <c r="CR655" s="265"/>
      <c r="CS655" s="2059">
        <f t="shared" si="34"/>
        <v>0</v>
      </c>
      <c r="CT655" s="2060"/>
      <c r="CU655" s="2060"/>
      <c r="CV655" s="2060"/>
      <c r="CW655" s="2061"/>
      <c r="CX655" s="2059">
        <f t="shared" si="35"/>
        <v>0</v>
      </c>
      <c r="CY655" s="2060"/>
      <c r="CZ655" s="2060"/>
      <c r="DA655" s="2060"/>
      <c r="DB655" s="2061"/>
      <c r="DC655" s="2059">
        <f t="shared" si="36"/>
        <v>0</v>
      </c>
      <c r="DD655" s="2060"/>
      <c r="DE655" s="2060"/>
      <c r="DF655" s="2060"/>
      <c r="DG655" s="2061"/>
      <c r="DH655" s="2059">
        <f t="shared" si="37"/>
        <v>0</v>
      </c>
      <c r="DI655" s="2060"/>
      <c r="DJ655" s="2060"/>
      <c r="DK655" s="2060"/>
      <c r="DL655" s="2061"/>
      <c r="DM655" s="2059">
        <f t="shared" si="38"/>
        <v>0</v>
      </c>
      <c r="DN655" s="2060"/>
      <c r="DO655" s="2060"/>
      <c r="DP655" s="2060"/>
      <c r="DQ655" s="2061"/>
      <c r="DR655" s="2059">
        <f t="shared" si="39"/>
        <v>0</v>
      </c>
      <c r="DS655" s="2060"/>
      <c r="DT655" s="2060"/>
      <c r="DU655" s="2060"/>
      <c r="DV655" s="2061"/>
      <c r="DX655" s="2063" t="e">
        <f t="shared" si="22"/>
        <v>#VALUE!</v>
      </c>
      <c r="DY655" s="2063"/>
      <c r="DZ655" s="2063"/>
      <c r="EA655" s="2063"/>
      <c r="EB655" s="2063"/>
      <c r="EC655" s="2063" t="e">
        <f t="shared" si="23"/>
        <v>#VALUE!</v>
      </c>
      <c r="ED655" s="2063"/>
      <c r="EE655" s="2063"/>
      <c r="EF655" s="2063"/>
      <c r="EG655" s="2063"/>
      <c r="EH655" s="2063" t="e">
        <f t="shared" si="24"/>
        <v>#VALUE!</v>
      </c>
      <c r="EI655" s="2063"/>
      <c r="EJ655" s="2063"/>
      <c r="EK655" s="2063"/>
      <c r="EL655" s="2063"/>
      <c r="EM655" s="2063" t="e">
        <f t="shared" si="25"/>
        <v>#VALUE!</v>
      </c>
      <c r="EN655" s="2063"/>
      <c r="EO655" s="2063"/>
      <c r="EP655" s="2063"/>
      <c r="EQ655" s="2063"/>
      <c r="ER655" s="2063" t="e">
        <f t="shared" si="26"/>
        <v>#VALUE!</v>
      </c>
      <c r="ES655" s="2063"/>
      <c r="ET655" s="2063"/>
      <c r="EU655" s="2063"/>
      <c r="EV655" s="2063"/>
      <c r="EW655" s="2063" t="e">
        <f t="shared" si="27"/>
        <v>#VALUE!</v>
      </c>
      <c r="EX655" s="2063"/>
      <c r="EY655" s="2063"/>
      <c r="EZ655" s="2063"/>
      <c r="FA655" s="2063"/>
    </row>
    <row r="656" spans="1:157" ht="12.75">
      <c r="A656" s="35"/>
      <c r="B656" s="12" t="s">
        <v>17</v>
      </c>
      <c r="G656" s="2044" t="s">
        <v>2597</v>
      </c>
      <c r="H656" s="2044"/>
      <c r="I656" s="2044"/>
      <c r="J656" s="2044"/>
      <c r="K656" s="2044"/>
      <c r="L656" s="2044"/>
      <c r="M656" s="2044"/>
      <c r="N656" s="2044"/>
      <c r="O656" s="2044"/>
      <c r="P656" s="2044"/>
      <c r="Q656" s="2044"/>
      <c r="R656" s="2044"/>
      <c r="S656" s="14"/>
      <c r="T656" s="35"/>
      <c r="U656" s="12" t="s">
        <v>17</v>
      </c>
      <c r="Z656" s="2307" t="s">
        <v>2742</v>
      </c>
      <c r="AA656" s="2307"/>
      <c r="AB656" s="2307"/>
      <c r="AC656" s="2307"/>
      <c r="AD656" s="2307"/>
      <c r="AE656" s="2307"/>
      <c r="AF656" s="2307"/>
      <c r="AG656" s="2307"/>
      <c r="AH656" s="2307"/>
      <c r="AI656" s="2307"/>
      <c r="AJ656" s="2307"/>
      <c r="AK656" s="2307"/>
      <c r="AZ656" s="61"/>
      <c r="BA656" s="61"/>
      <c r="BB656" s="61"/>
      <c r="BC656" s="61"/>
      <c r="BD656" s="61"/>
      <c r="BE656" s="61"/>
      <c r="BF656" s="61"/>
      <c r="BG656" s="61"/>
      <c r="BH656" s="61"/>
      <c r="BI656" s="61"/>
      <c r="BJ656" s="61"/>
      <c r="BK656" s="61"/>
      <c r="BL656" s="61"/>
      <c r="BM656" s="61"/>
      <c r="BN656" s="2059">
        <f t="shared" si="28"/>
        <v>0</v>
      </c>
      <c r="BO656" s="2060"/>
      <c r="BP656" s="2060"/>
      <c r="BQ656" s="2060"/>
      <c r="BR656" s="2061"/>
      <c r="BS656" s="2058">
        <f t="shared" si="29"/>
        <v>0</v>
      </c>
      <c r="BT656" s="2058"/>
      <c r="BU656" s="2058"/>
      <c r="BV656" s="2058"/>
      <c r="BW656" s="2058"/>
      <c r="BX656" s="2058">
        <f t="shared" si="30"/>
        <v>0</v>
      </c>
      <c r="BY656" s="2058"/>
      <c r="BZ656" s="2058"/>
      <c r="CA656" s="2058"/>
      <c r="CB656" s="2058"/>
      <c r="CC656" s="2058">
        <f t="shared" si="31"/>
        <v>0</v>
      </c>
      <c r="CD656" s="2058"/>
      <c r="CE656" s="2058"/>
      <c r="CF656" s="2058"/>
      <c r="CG656" s="2058"/>
      <c r="CH656" s="2058">
        <f t="shared" si="32"/>
        <v>0</v>
      </c>
      <c r="CI656" s="2058"/>
      <c r="CJ656" s="2058"/>
      <c r="CK656" s="2058"/>
      <c r="CL656" s="2058"/>
      <c r="CM656" s="2058">
        <f t="shared" si="33"/>
        <v>0</v>
      </c>
      <c r="CN656" s="2058"/>
      <c r="CO656" s="2058"/>
      <c r="CP656" s="2058"/>
      <c r="CQ656" s="2058"/>
      <c r="CR656" s="265"/>
      <c r="CS656" s="2059">
        <f t="shared" si="34"/>
        <v>0</v>
      </c>
      <c r="CT656" s="2060"/>
      <c r="CU656" s="2060"/>
      <c r="CV656" s="2060"/>
      <c r="CW656" s="2061"/>
      <c r="CX656" s="2059">
        <f t="shared" si="35"/>
        <v>0</v>
      </c>
      <c r="CY656" s="2060"/>
      <c r="CZ656" s="2060"/>
      <c r="DA656" s="2060"/>
      <c r="DB656" s="2061"/>
      <c r="DC656" s="2059">
        <f t="shared" si="36"/>
        <v>0</v>
      </c>
      <c r="DD656" s="2060"/>
      <c r="DE656" s="2060"/>
      <c r="DF656" s="2060"/>
      <c r="DG656" s="2061"/>
      <c r="DH656" s="2059">
        <f t="shared" si="37"/>
        <v>0</v>
      </c>
      <c r="DI656" s="2060"/>
      <c r="DJ656" s="2060"/>
      <c r="DK656" s="2060"/>
      <c r="DL656" s="2061"/>
      <c r="DM656" s="2059">
        <f t="shared" si="38"/>
        <v>0</v>
      </c>
      <c r="DN656" s="2060"/>
      <c r="DO656" s="2060"/>
      <c r="DP656" s="2060"/>
      <c r="DQ656" s="2061"/>
      <c r="DR656" s="2059">
        <f t="shared" si="39"/>
        <v>0</v>
      </c>
      <c r="DS656" s="2060"/>
      <c r="DT656" s="2060"/>
      <c r="DU656" s="2060"/>
      <c r="DV656" s="2061"/>
      <c r="DX656" s="2063" t="e">
        <f t="shared" si="22"/>
        <v>#VALUE!</v>
      </c>
      <c r="DY656" s="2063"/>
      <c r="DZ656" s="2063"/>
      <c r="EA656" s="2063"/>
      <c r="EB656" s="2063"/>
      <c r="EC656" s="2063" t="e">
        <f t="shared" si="23"/>
        <v>#VALUE!</v>
      </c>
      <c r="ED656" s="2063"/>
      <c r="EE656" s="2063"/>
      <c r="EF656" s="2063"/>
      <c r="EG656" s="2063"/>
      <c r="EH656" s="2063" t="e">
        <f t="shared" si="24"/>
        <v>#VALUE!</v>
      </c>
      <c r="EI656" s="2063"/>
      <c r="EJ656" s="2063"/>
      <c r="EK656" s="2063"/>
      <c r="EL656" s="2063"/>
      <c r="EM656" s="2063" t="e">
        <f t="shared" si="25"/>
        <v>#VALUE!</v>
      </c>
      <c r="EN656" s="2063"/>
      <c r="EO656" s="2063"/>
      <c r="EP656" s="2063"/>
      <c r="EQ656" s="2063"/>
      <c r="ER656" s="2063" t="e">
        <f t="shared" si="26"/>
        <v>#VALUE!</v>
      </c>
      <c r="ES656" s="2063"/>
      <c r="ET656" s="2063"/>
      <c r="EU656" s="2063"/>
      <c r="EV656" s="2063"/>
      <c r="EW656" s="2063" t="e">
        <f t="shared" si="27"/>
        <v>#VALUE!</v>
      </c>
      <c r="EX656" s="2063"/>
      <c r="EY656" s="2063"/>
      <c r="EZ656" s="2063"/>
      <c r="FA656" s="2063"/>
    </row>
    <row r="657" spans="1:157" ht="12.75">
      <c r="A657" s="35"/>
      <c r="B657" s="12" t="s">
        <v>325</v>
      </c>
      <c r="G657" s="2089">
        <v>2136217590</v>
      </c>
      <c r="H657" s="2089"/>
      <c r="I657" s="2089"/>
      <c r="J657" s="2089"/>
      <c r="K657" s="2089"/>
      <c r="L657" s="2089"/>
      <c r="O657" s="137" t="s">
        <v>212</v>
      </c>
      <c r="P657" s="2098"/>
      <c r="Q657" s="2098"/>
      <c r="R657" s="2098"/>
      <c r="S657" s="16"/>
      <c r="T657" s="35"/>
      <c r="U657" s="12" t="s">
        <v>325</v>
      </c>
      <c r="Z657" s="2089">
        <v>7604342935</v>
      </c>
      <c r="AA657" s="2089"/>
      <c r="AB657" s="2089"/>
      <c r="AC657" s="2089"/>
      <c r="AD657" s="2089"/>
      <c r="AE657" s="2089"/>
      <c r="AH657" s="137" t="s">
        <v>212</v>
      </c>
      <c r="AI657" s="2098"/>
      <c r="AJ657" s="2098"/>
      <c r="AK657" s="2098"/>
      <c r="AZ657" s="61"/>
      <c r="BA657" s="61"/>
      <c r="BB657" s="61"/>
      <c r="BC657" s="61"/>
      <c r="BD657" s="61"/>
      <c r="BE657" s="61"/>
      <c r="BF657" s="61"/>
      <c r="BG657" s="61"/>
      <c r="BH657" s="61"/>
      <c r="BI657" s="61"/>
      <c r="BJ657" s="61"/>
      <c r="BK657" s="61"/>
      <c r="BL657" s="61"/>
      <c r="BM657" s="61"/>
      <c r="BN657" s="2059">
        <f t="shared" si="28"/>
        <v>0</v>
      </c>
      <c r="BO657" s="2060"/>
      <c r="BP657" s="2060"/>
      <c r="BQ657" s="2060"/>
      <c r="BR657" s="2061"/>
      <c r="BS657" s="2058">
        <f t="shared" si="29"/>
        <v>0</v>
      </c>
      <c r="BT657" s="2058"/>
      <c r="BU657" s="2058"/>
      <c r="BV657" s="2058"/>
      <c r="BW657" s="2058"/>
      <c r="BX657" s="2058">
        <f t="shared" si="30"/>
        <v>0</v>
      </c>
      <c r="BY657" s="2058"/>
      <c r="BZ657" s="2058"/>
      <c r="CA657" s="2058"/>
      <c r="CB657" s="2058"/>
      <c r="CC657" s="2058">
        <f t="shared" si="31"/>
        <v>0</v>
      </c>
      <c r="CD657" s="2058"/>
      <c r="CE657" s="2058"/>
      <c r="CF657" s="2058"/>
      <c r="CG657" s="2058"/>
      <c r="CH657" s="2058">
        <f t="shared" si="32"/>
        <v>0</v>
      </c>
      <c r="CI657" s="2058"/>
      <c r="CJ657" s="2058"/>
      <c r="CK657" s="2058"/>
      <c r="CL657" s="2058"/>
      <c r="CM657" s="2058">
        <f t="shared" si="33"/>
        <v>0</v>
      </c>
      <c r="CN657" s="2058"/>
      <c r="CO657" s="2058"/>
      <c r="CP657" s="2058"/>
      <c r="CQ657" s="2058"/>
      <c r="CR657" s="265"/>
      <c r="CS657" s="2059">
        <f t="shared" si="34"/>
        <v>0</v>
      </c>
      <c r="CT657" s="2060"/>
      <c r="CU657" s="2060"/>
      <c r="CV657" s="2060"/>
      <c r="CW657" s="2061"/>
      <c r="CX657" s="2059">
        <f t="shared" si="35"/>
        <v>0</v>
      </c>
      <c r="CY657" s="2060"/>
      <c r="CZ657" s="2060"/>
      <c r="DA657" s="2060"/>
      <c r="DB657" s="2061"/>
      <c r="DC657" s="2059">
        <f t="shared" si="36"/>
        <v>0</v>
      </c>
      <c r="DD657" s="2060"/>
      <c r="DE657" s="2060"/>
      <c r="DF657" s="2060"/>
      <c r="DG657" s="2061"/>
      <c r="DH657" s="2059">
        <f t="shared" si="37"/>
        <v>0</v>
      </c>
      <c r="DI657" s="2060"/>
      <c r="DJ657" s="2060"/>
      <c r="DK657" s="2060"/>
      <c r="DL657" s="2061"/>
      <c r="DM657" s="2059">
        <f t="shared" si="38"/>
        <v>0</v>
      </c>
      <c r="DN657" s="2060"/>
      <c r="DO657" s="2060"/>
      <c r="DP657" s="2060"/>
      <c r="DQ657" s="2061"/>
      <c r="DR657" s="2059">
        <f t="shared" si="39"/>
        <v>0</v>
      </c>
      <c r="DS657" s="2060"/>
      <c r="DT657" s="2060"/>
      <c r="DU657" s="2060"/>
      <c r="DV657" s="2061"/>
      <c r="DX657" s="2063" t="e">
        <f t="shared" si="22"/>
        <v>#VALUE!</v>
      </c>
      <c r="DY657" s="2063"/>
      <c r="DZ657" s="2063"/>
      <c r="EA657" s="2063"/>
      <c r="EB657" s="2063"/>
      <c r="EC657" s="2063" t="e">
        <f t="shared" si="23"/>
        <v>#VALUE!</v>
      </c>
      <c r="ED657" s="2063"/>
      <c r="EE657" s="2063"/>
      <c r="EF657" s="2063"/>
      <c r="EG657" s="2063"/>
      <c r="EH657" s="2063" t="e">
        <f t="shared" si="24"/>
        <v>#VALUE!</v>
      </c>
      <c r="EI657" s="2063"/>
      <c r="EJ657" s="2063"/>
      <c r="EK657" s="2063"/>
      <c r="EL657" s="2063"/>
      <c r="EM657" s="2063" t="e">
        <f t="shared" si="25"/>
        <v>#VALUE!</v>
      </c>
      <c r="EN657" s="2063"/>
      <c r="EO657" s="2063"/>
      <c r="EP657" s="2063"/>
      <c r="EQ657" s="2063"/>
      <c r="ER657" s="2063" t="e">
        <f t="shared" si="26"/>
        <v>#VALUE!</v>
      </c>
      <c r="ES657" s="2063"/>
      <c r="ET657" s="2063"/>
      <c r="EU657" s="2063"/>
      <c r="EV657" s="2063"/>
      <c r="EW657" s="2063" t="e">
        <f t="shared" si="27"/>
        <v>#VALUE!</v>
      </c>
      <c r="EX657" s="2063"/>
      <c r="EY657" s="2063"/>
      <c r="EZ657" s="2063"/>
      <c r="FA657" s="2063"/>
    </row>
    <row r="658" spans="1:157" ht="12.75">
      <c r="A658" s="35"/>
      <c r="B658" s="12" t="s">
        <v>18</v>
      </c>
      <c r="H658" s="2044" t="s">
        <v>2604</v>
      </c>
      <c r="I658" s="2044"/>
      <c r="J658" s="2044"/>
      <c r="K658" s="2044"/>
      <c r="L658" s="2044"/>
      <c r="M658" s="2044"/>
      <c r="N658" s="2044"/>
      <c r="O658" s="2044"/>
      <c r="P658" s="2044"/>
      <c r="Q658" s="2044"/>
      <c r="R658" s="2044"/>
      <c r="S658" s="14"/>
      <c r="T658" s="35"/>
      <c r="U658" s="12" t="s">
        <v>18</v>
      </c>
      <c r="AA658" s="2044" t="s">
        <v>2600</v>
      </c>
      <c r="AB658" s="2044"/>
      <c r="AC658" s="2044"/>
      <c r="AD658" s="2044"/>
      <c r="AE658" s="2044"/>
      <c r="AF658" s="2044"/>
      <c r="AG658" s="2044"/>
      <c r="AH658" s="2044"/>
      <c r="AI658" s="2044"/>
      <c r="AJ658" s="2044"/>
      <c r="AK658" s="2044"/>
      <c r="AZ658" s="61"/>
      <c r="BA658" s="61"/>
      <c r="BB658" s="61"/>
      <c r="BC658" s="61"/>
      <c r="BD658" s="61"/>
      <c r="BE658" s="61"/>
      <c r="BF658" s="61"/>
      <c r="BG658" s="61"/>
      <c r="BH658" s="61"/>
      <c r="BI658" s="61"/>
      <c r="BJ658" s="61"/>
      <c r="BK658" s="61"/>
      <c r="BL658" s="61"/>
      <c r="BM658" s="61"/>
      <c r="BN658" s="2536">
        <f>SUM(BN648:BR657)</f>
        <v>0</v>
      </c>
      <c r="BO658" s="2605"/>
      <c r="BP658" s="2605"/>
      <c r="BQ658" s="2605"/>
      <c r="BR658" s="2537"/>
      <c r="BS658" s="2064">
        <f>SUM(BS648:BW657)</f>
        <v>0</v>
      </c>
      <c r="BT658" s="2065"/>
      <c r="BU658" s="2065"/>
      <c r="BV658" s="2065"/>
      <c r="BW658" s="2066"/>
      <c r="BX658" s="2064">
        <f>SUM(BX648:CB657)</f>
        <v>0</v>
      </c>
      <c r="BY658" s="2065"/>
      <c r="BZ658" s="2065"/>
      <c r="CA658" s="2065"/>
      <c r="CB658" s="2066"/>
      <c r="CC658" s="2064">
        <f>SUM(CC648:CG657)</f>
        <v>0</v>
      </c>
      <c r="CD658" s="2065"/>
      <c r="CE658" s="2065"/>
      <c r="CF658" s="2065"/>
      <c r="CG658" s="2066"/>
      <c r="CH658" s="2064">
        <f>SUM(CH648:CL657)</f>
        <v>0</v>
      </c>
      <c r="CI658" s="2065"/>
      <c r="CJ658" s="2065"/>
      <c r="CK658" s="2065"/>
      <c r="CL658" s="2066"/>
      <c r="CM658" s="2064">
        <f>SUM(CM648:CQ657)</f>
        <v>0</v>
      </c>
      <c r="CN658" s="2065"/>
      <c r="CO658" s="2065"/>
      <c r="CP658" s="2065"/>
      <c r="CQ658" s="2066"/>
      <c r="CR658" s="1804"/>
      <c r="CS658" s="2070">
        <f>SUM(CS648:CW657)</f>
        <v>0</v>
      </c>
      <c r="CT658" s="2070"/>
      <c r="CU658" s="2070"/>
      <c r="CV658" s="2070"/>
      <c r="CW658" s="2070"/>
      <c r="CX658" s="2070">
        <f>SUM(CX648:DB657)</f>
        <v>0</v>
      </c>
      <c r="CY658" s="2070"/>
      <c r="CZ658" s="2070"/>
      <c r="DA658" s="2070"/>
      <c r="DB658" s="2070"/>
      <c r="DC658" s="2070">
        <f>SUM(DC648:DG657)</f>
        <v>0</v>
      </c>
      <c r="DD658" s="2070"/>
      <c r="DE658" s="2070"/>
      <c r="DF658" s="2070"/>
      <c r="DG658" s="2070"/>
      <c r="DH658" s="2070">
        <f>SUM(DH648:DL657)</f>
        <v>0</v>
      </c>
      <c r="DI658" s="2070"/>
      <c r="DJ658" s="2070"/>
      <c r="DK658" s="2070"/>
      <c r="DL658" s="2070"/>
      <c r="DM658" s="2070">
        <f>SUM(DM648:DQ657)</f>
        <v>0</v>
      </c>
      <c r="DN658" s="2070"/>
      <c r="DO658" s="2070"/>
      <c r="DP658" s="2070"/>
      <c r="DQ658" s="2070"/>
      <c r="DR658" s="2070">
        <f>SUM(DR648:DV657)</f>
        <v>0</v>
      </c>
      <c r="DS658" s="2070"/>
      <c r="DT658" s="2070"/>
      <c r="DU658" s="2070"/>
      <c r="DV658" s="2070"/>
      <c r="DX658" s="2063" t="e">
        <f t="shared" si="22"/>
        <v>#VALUE!</v>
      </c>
      <c r="DY658" s="2063"/>
      <c r="DZ658" s="2063"/>
      <c r="EA658" s="2063"/>
      <c r="EB658" s="2063"/>
      <c r="EC658" s="2063" t="e">
        <f t="shared" si="23"/>
        <v>#VALUE!</v>
      </c>
      <c r="ED658" s="2063"/>
      <c r="EE658" s="2063"/>
      <c r="EF658" s="2063"/>
      <c r="EG658" s="2063"/>
      <c r="EH658" s="2063" t="e">
        <f t="shared" si="24"/>
        <v>#VALUE!</v>
      </c>
      <c r="EI658" s="2063"/>
      <c r="EJ658" s="2063"/>
      <c r="EK658" s="2063"/>
      <c r="EL658" s="2063"/>
      <c r="EM658" s="2063" t="e">
        <f t="shared" si="25"/>
        <v>#VALUE!</v>
      </c>
      <c r="EN658" s="2063"/>
      <c r="EO658" s="2063"/>
      <c r="EP658" s="2063"/>
      <c r="EQ658" s="2063"/>
      <c r="ER658" s="2063" t="e">
        <f t="shared" si="26"/>
        <v>#VALUE!</v>
      </c>
      <c r="ES658" s="2063"/>
      <c r="ET658" s="2063"/>
      <c r="EU658" s="2063"/>
      <c r="EV658" s="2063"/>
      <c r="EW658" s="2063" t="e">
        <f t="shared" si="27"/>
        <v>#VALUE!</v>
      </c>
      <c r="EX658" s="2063"/>
      <c r="EY658" s="2063"/>
      <c r="EZ658" s="2063"/>
      <c r="FA658" s="2063"/>
    </row>
    <row r="659" spans="1:157" ht="12.75">
      <c r="A659" s="35"/>
      <c r="B659" s="12" t="s">
        <v>20</v>
      </c>
      <c r="N659" s="2062" t="s">
        <v>577</v>
      </c>
      <c r="O659" s="2062"/>
      <c r="T659" s="35"/>
      <c r="U659" s="12" t="s">
        <v>20</v>
      </c>
      <c r="AG659" s="2062" t="s">
        <v>577</v>
      </c>
      <c r="AH659" s="2062"/>
      <c r="AZ659" s="61"/>
      <c r="BA659" s="61"/>
      <c r="BB659" s="61"/>
      <c r="BC659" s="61"/>
      <c r="BD659" s="61"/>
      <c r="BE659" s="61"/>
      <c r="BF659" s="61"/>
      <c r="BG659" s="61"/>
      <c r="BH659" s="61"/>
      <c r="BI659" s="61"/>
      <c r="BJ659" s="61"/>
      <c r="BK659" s="61"/>
      <c r="BL659" s="61"/>
      <c r="BM659" s="61"/>
      <c r="BN659" s="719"/>
      <c r="BO659" s="719"/>
      <c r="BP659" s="719"/>
      <c r="BQ659" s="719"/>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63" t="e">
        <f t="shared" si="22"/>
        <v>#VALUE!</v>
      </c>
      <c r="DY659" s="2063"/>
      <c r="DZ659" s="2063"/>
      <c r="EA659" s="2063"/>
      <c r="EB659" s="2063"/>
      <c r="EC659" s="2063" t="e">
        <f t="shared" si="23"/>
        <v>#VALUE!</v>
      </c>
      <c r="ED659" s="2063"/>
      <c r="EE659" s="2063"/>
      <c r="EF659" s="2063"/>
      <c r="EG659" s="2063"/>
      <c r="EH659" s="2063" t="e">
        <f t="shared" si="24"/>
        <v>#VALUE!</v>
      </c>
      <c r="EI659" s="2063"/>
      <c r="EJ659" s="2063"/>
      <c r="EK659" s="2063"/>
      <c r="EL659" s="2063"/>
      <c r="EM659" s="2063" t="e">
        <f t="shared" si="25"/>
        <v>#VALUE!</v>
      </c>
      <c r="EN659" s="2063"/>
      <c r="EO659" s="2063"/>
      <c r="EP659" s="2063"/>
      <c r="EQ659" s="2063"/>
      <c r="ER659" s="2063" t="e">
        <f t="shared" si="26"/>
        <v>#VALUE!</v>
      </c>
      <c r="ES659" s="2063"/>
      <c r="ET659" s="2063"/>
      <c r="EU659" s="2063"/>
      <c r="EV659" s="2063"/>
      <c r="EW659" s="2063" t="e">
        <f t="shared" si="27"/>
        <v>#VALUE!</v>
      </c>
      <c r="EX659" s="2063"/>
      <c r="EY659" s="2063"/>
      <c r="EZ659" s="2063"/>
      <c r="FA659" s="2063"/>
    </row>
    <row r="660" spans="1:157" ht="12.75">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2386</v>
      </c>
      <c r="CU660" s="58"/>
      <c r="CV660" s="58"/>
      <c r="CW660" s="58"/>
      <c r="CX660" s="58"/>
      <c r="CY660" s="58"/>
      <c r="CZ660" s="58"/>
      <c r="DA660" s="58"/>
      <c r="DB660" s="58"/>
      <c r="DC660" s="58"/>
      <c r="DD660" s="58"/>
      <c r="DE660" s="58"/>
      <c r="DF660" s="58"/>
      <c r="DQ660" s="136" t="s">
        <v>2398</v>
      </c>
      <c r="DR660" s="2063">
        <f>SUM(CS658:DV658)</f>
        <v>0</v>
      </c>
      <c r="DS660" s="2063"/>
      <c r="DT660" s="2063"/>
      <c r="DU660" s="2063"/>
      <c r="DV660" s="2063"/>
      <c r="DX660" s="2063" t="e">
        <f t="shared" si="22"/>
        <v>#VALUE!</v>
      </c>
      <c r="DY660" s="2063"/>
      <c r="DZ660" s="2063"/>
      <c r="EA660" s="2063"/>
      <c r="EB660" s="2063"/>
      <c r="EC660" s="2063" t="e">
        <f t="shared" si="23"/>
        <v>#VALUE!</v>
      </c>
      <c r="ED660" s="2063"/>
      <c r="EE660" s="2063"/>
      <c r="EF660" s="2063"/>
      <c r="EG660" s="2063"/>
      <c r="EH660" s="2063" t="e">
        <f t="shared" si="24"/>
        <v>#VALUE!</v>
      </c>
      <c r="EI660" s="2063"/>
      <c r="EJ660" s="2063"/>
      <c r="EK660" s="2063"/>
      <c r="EL660" s="2063"/>
      <c r="EM660" s="2063" t="e">
        <f t="shared" si="25"/>
        <v>#VALUE!</v>
      </c>
      <c r="EN660" s="2063"/>
      <c r="EO660" s="2063"/>
      <c r="EP660" s="2063"/>
      <c r="EQ660" s="2063"/>
      <c r="ER660" s="2063" t="e">
        <f t="shared" si="26"/>
        <v>#VALUE!</v>
      </c>
      <c r="ES660" s="2063"/>
      <c r="ET660" s="2063"/>
      <c r="EU660" s="2063"/>
      <c r="EV660" s="2063"/>
      <c r="EW660" s="2063" t="e">
        <f t="shared" si="27"/>
        <v>#VALUE!</v>
      </c>
      <c r="EX660" s="2063"/>
      <c r="EY660" s="2063"/>
      <c r="EZ660" s="2063"/>
      <c r="FA660" s="2063"/>
    </row>
    <row r="661" spans="1:157" ht="12.75">
      <c r="A661" s="87" t="s">
        <v>124</v>
      </c>
      <c r="B661" s="12" t="s">
        <v>495</v>
      </c>
      <c r="G661" s="2048" t="str">
        <f>C639</f>
        <v>Deferred Developer Fee</v>
      </c>
      <c r="H661" s="2048"/>
      <c r="I661" s="2048"/>
      <c r="J661" s="2048"/>
      <c r="K661" s="2048"/>
      <c r="L661" s="2048"/>
      <c r="M661" s="2048"/>
      <c r="N661" s="2048"/>
      <c r="O661" s="2048"/>
      <c r="P661" s="2048"/>
      <c r="Q661" s="2048"/>
      <c r="R661" s="2048"/>
      <c r="T661" s="87" t="s">
        <v>615</v>
      </c>
      <c r="U661" s="12" t="s">
        <v>495</v>
      </c>
      <c r="Z661" s="2048" t="str">
        <f>C640</f>
        <v>Income from Operations</v>
      </c>
      <c r="AA661" s="2048"/>
      <c r="AB661" s="2048"/>
      <c r="AC661" s="2048"/>
      <c r="AD661" s="2048"/>
      <c r="AE661" s="2048"/>
      <c r="AF661" s="2048"/>
      <c r="AG661" s="2048"/>
      <c r="AH661" s="2048"/>
      <c r="AI661" s="2048"/>
      <c r="AJ661" s="2048"/>
      <c r="AK661" s="2048"/>
      <c r="AZ661" s="61"/>
      <c r="BA661" s="61"/>
      <c r="BB661" s="61"/>
      <c r="BC661" s="61"/>
      <c r="BD661" s="61"/>
      <c r="BE661" s="61"/>
      <c r="BF661" s="61"/>
      <c r="BG661" s="61"/>
      <c r="BH661" s="61"/>
      <c r="BI661" s="61"/>
      <c r="BJ661" s="61"/>
      <c r="BK661" s="61"/>
      <c r="BL661" s="61"/>
      <c r="BM661" s="61"/>
      <c r="CR661" s="177"/>
      <c r="CS661" s="1469">
        <f>BR659+BW659+CB659+CG659+CL659+CQ659</f>
        <v>0</v>
      </c>
      <c r="CT661" s="134" t="s">
        <v>1978</v>
      </c>
      <c r="CU661" s="58"/>
      <c r="CV661" s="58"/>
      <c r="CW661" s="58"/>
      <c r="CX661" s="58"/>
      <c r="CY661" s="58"/>
      <c r="CZ661" s="58"/>
      <c r="DA661" s="58"/>
      <c r="DB661" s="58"/>
      <c r="DC661" s="58"/>
      <c r="DD661" s="58"/>
      <c r="DE661" s="58"/>
      <c r="DF661" s="58"/>
      <c r="DX661" s="2063" t="e">
        <f t="shared" si="22"/>
        <v>#VALUE!</v>
      </c>
      <c r="DY661" s="2063"/>
      <c r="DZ661" s="2063"/>
      <c r="EA661" s="2063"/>
      <c r="EB661" s="2063"/>
      <c r="EC661" s="2063" t="e">
        <f t="shared" si="23"/>
        <v>#VALUE!</v>
      </c>
      <c r="ED661" s="2063"/>
      <c r="EE661" s="2063"/>
      <c r="EF661" s="2063"/>
      <c r="EG661" s="2063"/>
      <c r="EH661" s="2063" t="e">
        <f t="shared" si="24"/>
        <v>#VALUE!</v>
      </c>
      <c r="EI661" s="2063"/>
      <c r="EJ661" s="2063"/>
      <c r="EK661" s="2063"/>
      <c r="EL661" s="2063"/>
      <c r="EM661" s="2063" t="e">
        <f t="shared" si="25"/>
        <v>#VALUE!</v>
      </c>
      <c r="EN661" s="2063"/>
      <c r="EO661" s="2063"/>
      <c r="EP661" s="2063"/>
      <c r="EQ661" s="2063"/>
      <c r="ER661" s="2063" t="e">
        <f t="shared" si="26"/>
        <v>#VALUE!</v>
      </c>
      <c r="ES661" s="2063"/>
      <c r="ET661" s="2063"/>
      <c r="EU661" s="2063"/>
      <c r="EV661" s="2063"/>
      <c r="EW661" s="2063" t="e">
        <f t="shared" si="27"/>
        <v>#VALUE!</v>
      </c>
      <c r="EX661" s="2063"/>
      <c r="EY661" s="2063"/>
      <c r="EZ661" s="2063"/>
      <c r="FA661" s="2063"/>
    </row>
    <row r="662" spans="1:157" ht="12.75">
      <c r="A662" s="35"/>
      <c r="B662" s="12" t="s">
        <v>90</v>
      </c>
      <c r="G662" s="2044" t="s">
        <v>2543</v>
      </c>
      <c r="H662" s="2044"/>
      <c r="I662" s="2044"/>
      <c r="J662" s="2044"/>
      <c r="K662" s="2044"/>
      <c r="L662" s="2044"/>
      <c r="M662" s="2044"/>
      <c r="N662" s="2044"/>
      <c r="O662" s="2044"/>
      <c r="P662" s="2044"/>
      <c r="Q662" s="2044"/>
      <c r="R662" s="2044"/>
      <c r="T662" s="35"/>
      <c r="U662" s="12" t="s">
        <v>90</v>
      </c>
      <c r="Z662" s="2044" t="s">
        <v>2543</v>
      </c>
      <c r="AA662" s="2044"/>
      <c r="AB662" s="2044"/>
      <c r="AC662" s="2044"/>
      <c r="AD662" s="2044"/>
      <c r="AE662" s="2044"/>
      <c r="AF662" s="2044"/>
      <c r="AG662" s="2044"/>
      <c r="AH662" s="2044"/>
      <c r="AI662" s="2044"/>
      <c r="AJ662" s="2044"/>
      <c r="AK662" s="204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63" t="e">
        <f t="shared" si="22"/>
        <v>#VALUE!</v>
      </c>
      <c r="DY662" s="2063"/>
      <c r="DZ662" s="2063"/>
      <c r="EA662" s="2063"/>
      <c r="EB662" s="2063"/>
      <c r="EC662" s="2063" t="e">
        <f t="shared" si="23"/>
        <v>#VALUE!</v>
      </c>
      <c r="ED662" s="2063"/>
      <c r="EE662" s="2063"/>
      <c r="EF662" s="2063"/>
      <c r="EG662" s="2063"/>
      <c r="EH662" s="2063" t="e">
        <f t="shared" si="24"/>
        <v>#VALUE!</v>
      </c>
      <c r="EI662" s="2063"/>
      <c r="EJ662" s="2063"/>
      <c r="EK662" s="2063"/>
      <c r="EL662" s="2063"/>
      <c r="EM662" s="2063" t="e">
        <f t="shared" si="25"/>
        <v>#VALUE!</v>
      </c>
      <c r="EN662" s="2063"/>
      <c r="EO662" s="2063"/>
      <c r="EP662" s="2063"/>
      <c r="EQ662" s="2063"/>
      <c r="ER662" s="2063" t="e">
        <f t="shared" si="26"/>
        <v>#VALUE!</v>
      </c>
      <c r="ES662" s="2063"/>
      <c r="ET662" s="2063"/>
      <c r="EU662" s="2063"/>
      <c r="EV662" s="2063"/>
      <c r="EW662" s="2063" t="e">
        <f t="shared" si="27"/>
        <v>#VALUE!</v>
      </c>
      <c r="EX662" s="2063"/>
      <c r="EY662" s="2063"/>
      <c r="EZ662" s="2063"/>
      <c r="FA662" s="2063"/>
    </row>
    <row r="663" spans="1:157" ht="12.75">
      <c r="A663" s="35"/>
      <c r="B663" s="12" t="s">
        <v>614</v>
      </c>
      <c r="G663" s="2307" t="s">
        <v>2544</v>
      </c>
      <c r="H663" s="2307"/>
      <c r="I663" s="2307"/>
      <c r="J663" s="2307"/>
      <c r="K663" s="2307"/>
      <c r="L663" s="2307"/>
      <c r="M663" s="2307"/>
      <c r="N663" s="2307"/>
      <c r="O663" s="2307"/>
      <c r="P663" s="2307"/>
      <c r="Q663" s="2307"/>
      <c r="R663" s="2307"/>
      <c r="T663" s="35"/>
      <c r="U663" s="12" t="s">
        <v>614</v>
      </c>
      <c r="Z663" s="2307" t="s">
        <v>2544</v>
      </c>
      <c r="AA663" s="2307"/>
      <c r="AB663" s="2307"/>
      <c r="AC663" s="2307"/>
      <c r="AD663" s="2307"/>
      <c r="AE663" s="2307"/>
      <c r="AF663" s="2307"/>
      <c r="AG663" s="2307"/>
      <c r="AH663" s="2307"/>
      <c r="AI663" s="2307"/>
      <c r="AJ663" s="2307"/>
      <c r="AK663" s="2307"/>
      <c r="AZ663" s="61"/>
      <c r="BA663" s="61"/>
      <c r="BB663" s="61"/>
      <c r="BC663" s="61"/>
      <c r="BD663" s="61"/>
      <c r="BE663" s="61"/>
      <c r="BF663" s="61"/>
      <c r="BG663" s="61"/>
      <c r="BH663" s="61"/>
      <c r="BI663" s="61"/>
      <c r="BJ663" s="61"/>
      <c r="BK663" s="61"/>
      <c r="BL663" s="61"/>
      <c r="BM663" s="61"/>
      <c r="BN663" s="2064">
        <f>BN635+BN644+BN658</f>
        <v>0</v>
      </c>
      <c r="BO663" s="2065"/>
      <c r="BP663" s="2065"/>
      <c r="BQ663" s="2065"/>
      <c r="BR663" s="2066"/>
      <c r="BS663" s="2064">
        <f>BS635+BS644+BS658</f>
        <v>23</v>
      </c>
      <c r="BT663" s="2065"/>
      <c r="BU663" s="2065"/>
      <c r="BV663" s="2065"/>
      <c r="BW663" s="2066"/>
      <c r="BX663" s="2064">
        <f>BX635+BX644+BX658</f>
        <v>18</v>
      </c>
      <c r="BY663" s="2065"/>
      <c r="BZ663" s="2065"/>
      <c r="CA663" s="2065"/>
      <c r="CB663" s="2066"/>
      <c r="CC663" s="2064">
        <f>CC635+CC644+CC658</f>
        <v>48</v>
      </c>
      <c r="CD663" s="2065"/>
      <c r="CE663" s="2065"/>
      <c r="CF663" s="2065"/>
      <c r="CG663" s="2066"/>
      <c r="CH663" s="2064">
        <f>CH635+CH644+CH658</f>
        <v>0</v>
      </c>
      <c r="CI663" s="2065"/>
      <c r="CJ663" s="2065"/>
      <c r="CK663" s="2065"/>
      <c r="CL663" s="2066"/>
      <c r="CM663" s="2067">
        <f>CM658+CM644+CM635</f>
        <v>0</v>
      </c>
      <c r="CN663" s="2068"/>
      <c r="CO663" s="2068"/>
      <c r="CP663" s="2068"/>
      <c r="CQ663" s="2069"/>
      <c r="CR663" s="177"/>
      <c r="CS663" s="1469">
        <f>CS637+CS661</f>
        <v>200</v>
      </c>
      <c r="CT663" s="134" t="s">
        <v>2391</v>
      </c>
      <c r="CU663" s="58"/>
      <c r="CV663" s="58"/>
      <c r="CW663" s="58"/>
      <c r="CX663" s="58"/>
      <c r="CY663" s="58"/>
      <c r="CZ663" s="58"/>
      <c r="DA663" s="58"/>
      <c r="DB663" s="58"/>
      <c r="DC663" s="58"/>
      <c r="DD663" s="58"/>
      <c r="DE663" s="58"/>
      <c r="DF663" s="58"/>
      <c r="DX663" s="2063">
        <f>SUMIF(DX638:EB662,"&gt;0")</f>
        <v>0</v>
      </c>
      <c r="DY663" s="2063"/>
      <c r="DZ663" s="2063"/>
      <c r="EA663" s="2063"/>
      <c r="EB663" s="2063"/>
      <c r="EC663" s="2063">
        <f>SUMIF(EC638:EG662,"&gt;0")</f>
        <v>1023.5652173913043</v>
      </c>
      <c r="ED663" s="2063"/>
      <c r="EE663" s="2063"/>
      <c r="EF663" s="2063"/>
      <c r="EG663" s="2063"/>
      <c r="EH663" s="2063">
        <f>SUMIF(EH638:EL662,"&gt;0")</f>
        <v>1371.8888888888889</v>
      </c>
      <c r="EI663" s="2063"/>
      <c r="EJ663" s="2063"/>
      <c r="EK663" s="2063"/>
      <c r="EL663" s="2063"/>
      <c r="EM663" s="2063">
        <f>SUMIF(EM638:EQ662,"&gt;0")</f>
        <v>1600.9148936170213</v>
      </c>
      <c r="EN663" s="2063"/>
      <c r="EO663" s="2063"/>
      <c r="EP663" s="2063"/>
      <c r="EQ663" s="2063"/>
      <c r="ER663" s="2063">
        <f>SUMIF(ER638:EV662,"&gt;0")</f>
        <v>0</v>
      </c>
      <c r="ES663" s="2063"/>
      <c r="ET663" s="2063"/>
      <c r="EU663" s="2063"/>
      <c r="EV663" s="2063"/>
      <c r="EW663" s="2063">
        <f>SUMIF(EW638:FA662,"&gt;0")</f>
        <v>0</v>
      </c>
      <c r="EX663" s="2063"/>
      <c r="EY663" s="2063"/>
      <c r="EZ663" s="2063"/>
      <c r="FA663" s="2063"/>
    </row>
    <row r="664" spans="1:157" ht="12.75">
      <c r="A664" s="35"/>
      <c r="B664" s="12" t="s">
        <v>17</v>
      </c>
      <c r="G664" s="2307" t="s">
        <v>2534</v>
      </c>
      <c r="H664" s="2307"/>
      <c r="I664" s="2307"/>
      <c r="J664" s="2307"/>
      <c r="K664" s="2307"/>
      <c r="L664" s="2307"/>
      <c r="M664" s="2307"/>
      <c r="N664" s="2307"/>
      <c r="O664" s="2307"/>
      <c r="P664" s="2307"/>
      <c r="Q664" s="2307"/>
      <c r="R664" s="2307"/>
      <c r="T664" s="35"/>
      <c r="U664" s="12" t="s">
        <v>17</v>
      </c>
      <c r="Z664" s="2307" t="s">
        <v>2534</v>
      </c>
      <c r="AA664" s="2307"/>
      <c r="AB664" s="2307"/>
      <c r="AC664" s="2307"/>
      <c r="AD664" s="2307"/>
      <c r="AE664" s="2307"/>
      <c r="AF664" s="2307"/>
      <c r="AG664" s="2307"/>
      <c r="AH664" s="2307"/>
      <c r="AI664" s="2307"/>
      <c r="AJ664" s="2307"/>
      <c r="AK664" s="230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89">
        <v>7142887600</v>
      </c>
      <c r="H665" s="2089"/>
      <c r="I665" s="2089"/>
      <c r="J665" s="2089"/>
      <c r="K665" s="2089"/>
      <c r="L665" s="2089"/>
      <c r="O665" s="137" t="s">
        <v>212</v>
      </c>
      <c r="P665" s="2098">
        <v>250</v>
      </c>
      <c r="Q665" s="2098"/>
      <c r="R665" s="2098"/>
      <c r="T665" s="35"/>
      <c r="U665" s="12" t="s">
        <v>325</v>
      </c>
      <c r="Z665" s="2089">
        <v>7142887600</v>
      </c>
      <c r="AA665" s="2089"/>
      <c r="AB665" s="2089"/>
      <c r="AC665" s="2089"/>
      <c r="AD665" s="2089"/>
      <c r="AE665" s="2089"/>
      <c r="AH665" s="137" t="s">
        <v>212</v>
      </c>
      <c r="AI665" s="2098">
        <v>250</v>
      </c>
      <c r="AJ665" s="2098"/>
      <c r="AK665" s="209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4" t="s">
        <v>490</v>
      </c>
      <c r="I666" s="2044"/>
      <c r="J666" s="2044"/>
      <c r="K666" s="2044"/>
      <c r="L666" s="2044"/>
      <c r="M666" s="2044"/>
      <c r="N666" s="2044"/>
      <c r="O666" s="2044"/>
      <c r="P666" s="2044"/>
      <c r="Q666" s="2044"/>
      <c r="R666" s="2044"/>
      <c r="T666" s="35"/>
      <c r="U666" s="12" t="s">
        <v>18</v>
      </c>
      <c r="AA666" s="2044" t="s">
        <v>2605</v>
      </c>
      <c r="AB666" s="2044"/>
      <c r="AC666" s="2044"/>
      <c r="AD666" s="2044"/>
      <c r="AE666" s="2044"/>
      <c r="AF666" s="2044"/>
      <c r="AG666" s="2044"/>
      <c r="AH666" s="2044"/>
      <c r="AI666" s="2044"/>
      <c r="AJ666" s="2044"/>
      <c r="AK666" s="2044"/>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62" t="s">
        <v>577</v>
      </c>
      <c r="O667" s="2062"/>
      <c r="T667" s="35"/>
      <c r="U667" s="12" t="s">
        <v>20</v>
      </c>
      <c r="AG667" s="2062" t="s">
        <v>577</v>
      </c>
      <c r="AH667" s="2062"/>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48" t="str">
        <f>C641</f>
        <v>General Partner Equity</v>
      </c>
      <c r="H669" s="2048"/>
      <c r="I669" s="2048"/>
      <c r="J669" s="2048"/>
      <c r="K669" s="2048"/>
      <c r="L669" s="2048"/>
      <c r="M669" s="2048"/>
      <c r="N669" s="2048"/>
      <c r="O669" s="2048"/>
      <c r="P669" s="2048"/>
      <c r="Q669" s="2048"/>
      <c r="R669" s="2048"/>
      <c r="T669" s="87" t="s">
        <v>618</v>
      </c>
      <c r="U669" s="12" t="s">
        <v>495</v>
      </c>
      <c r="Z669" s="2048">
        <f>C642</f>
        <v>0</v>
      </c>
      <c r="AA669" s="2048"/>
      <c r="AB669" s="2048"/>
      <c r="AC669" s="2048"/>
      <c r="AD669" s="2048"/>
      <c r="AE669" s="2048"/>
      <c r="AF669" s="2048"/>
      <c r="AG669" s="2048"/>
      <c r="AH669" s="2048"/>
      <c r="AI669" s="2048"/>
      <c r="AJ669" s="2048"/>
      <c r="AK669" s="2048"/>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4" t="s">
        <v>2543</v>
      </c>
      <c r="H670" s="2044"/>
      <c r="I670" s="2044"/>
      <c r="J670" s="2044"/>
      <c r="K670" s="2044"/>
      <c r="L670" s="2044"/>
      <c r="M670" s="2044"/>
      <c r="N670" s="2044"/>
      <c r="O670" s="2044"/>
      <c r="P670" s="2044"/>
      <c r="Q670" s="2044"/>
      <c r="R670" s="2044"/>
      <c r="T670" s="35"/>
      <c r="U670" s="12" t="s">
        <v>90</v>
      </c>
      <c r="Z670" s="2044"/>
      <c r="AA670" s="2044"/>
      <c r="AB670" s="2044"/>
      <c r="AC670" s="2044"/>
      <c r="AD670" s="2044"/>
      <c r="AE670" s="2044"/>
      <c r="AF670" s="2044"/>
      <c r="AG670" s="2044"/>
      <c r="AH670" s="2044"/>
      <c r="AI670" s="2044"/>
      <c r="AJ670" s="2044"/>
      <c r="AK670" s="2044"/>
      <c r="AZ670" s="58"/>
      <c r="BA670" s="446">
        <f t="shared" ref="BA670:BA694" si="40">IF($G728=0,"N/A",VLOOKUP($T$189,TC_Rent,(MATCH($B728,bedrooms,FALSE))))</f>
        <v>2272</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44" t="s">
        <v>2544</v>
      </c>
      <c r="H671" s="2044"/>
      <c r="I671" s="2044"/>
      <c r="J671" s="2044"/>
      <c r="K671" s="2044"/>
      <c r="L671" s="2044"/>
      <c r="M671" s="2044"/>
      <c r="N671" s="2044"/>
      <c r="O671" s="2044"/>
      <c r="P671" s="2044"/>
      <c r="Q671" s="2044"/>
      <c r="R671" s="2044"/>
      <c r="T671" s="35"/>
      <c r="U671" s="12" t="s">
        <v>614</v>
      </c>
      <c r="Z671" s="2307"/>
      <c r="AA671" s="2307"/>
      <c r="AB671" s="2307"/>
      <c r="AC671" s="2307"/>
      <c r="AD671" s="2307"/>
      <c r="AE671" s="2307"/>
      <c r="AF671" s="2307"/>
      <c r="AG671" s="2307"/>
      <c r="AH671" s="2307"/>
      <c r="AI671" s="2307"/>
      <c r="AJ671" s="2307"/>
      <c r="AK671" s="2307"/>
      <c r="AZ671" s="58"/>
      <c r="BA671" s="446">
        <f t="shared" si="40"/>
        <v>2726</v>
      </c>
      <c r="BB671" s="58"/>
      <c r="BC671" s="58"/>
      <c r="BD671" s="58"/>
      <c r="BE671" s="58"/>
      <c r="BF671" s="382"/>
      <c r="BG671" s="456">
        <f t="shared" ref="BG671:BG695" si="41">G728</f>
        <v>2</v>
      </c>
      <c r="BH671" s="460">
        <f>BG671/$BG$696</f>
        <v>2.2727272727272728E-2</v>
      </c>
      <c r="BI671" s="461">
        <f t="shared" ref="BI671:BI695" si="42">IF(BH671=0," ",BH671*AH728)</f>
        <v>6.8181818181818179E-3</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4" t="s">
        <v>2534</v>
      </c>
      <c r="H672" s="2044"/>
      <c r="I672" s="2044"/>
      <c r="J672" s="2044"/>
      <c r="K672" s="2044"/>
      <c r="L672" s="2044"/>
      <c r="M672" s="2044"/>
      <c r="N672" s="2044"/>
      <c r="O672" s="2044"/>
      <c r="P672" s="2044"/>
      <c r="Q672" s="2044"/>
      <c r="R672" s="2044"/>
      <c r="T672" s="35"/>
      <c r="U672" s="12" t="s">
        <v>17</v>
      </c>
      <c r="Z672" s="2307"/>
      <c r="AA672" s="2307"/>
      <c r="AB672" s="2307"/>
      <c r="AC672" s="2307"/>
      <c r="AD672" s="2307"/>
      <c r="AE672" s="2307"/>
      <c r="AF672" s="2307"/>
      <c r="AG672" s="2307"/>
      <c r="AH672" s="2307"/>
      <c r="AI672" s="2307"/>
      <c r="AJ672" s="2307"/>
      <c r="AK672" s="2307"/>
      <c r="AZ672" s="58"/>
      <c r="BA672" s="446">
        <f t="shared" si="40"/>
        <v>3150</v>
      </c>
      <c r="BB672" s="58"/>
      <c r="BC672" s="58"/>
      <c r="BD672" s="58"/>
      <c r="BE672" s="58"/>
      <c r="BF672" s="382"/>
      <c r="BG672" s="457">
        <f t="shared" si="41"/>
        <v>2</v>
      </c>
      <c r="BH672" s="460">
        <f t="shared" ref="BH672:BH695" si="43">BG672/$BG$696</f>
        <v>2.2727272727272728E-2</v>
      </c>
      <c r="BI672" s="461">
        <f t="shared" si="42"/>
        <v>6.8181818181818179E-3</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89">
        <v>7142887600</v>
      </c>
      <c r="H673" s="2089"/>
      <c r="I673" s="2089"/>
      <c r="J673" s="2089"/>
      <c r="K673" s="2089"/>
      <c r="L673" s="2089"/>
      <c r="O673" s="137" t="s">
        <v>212</v>
      </c>
      <c r="P673" s="2098">
        <v>250</v>
      </c>
      <c r="Q673" s="2098"/>
      <c r="R673" s="2098"/>
      <c r="T673" s="35"/>
      <c r="U673" s="12" t="s">
        <v>325</v>
      </c>
      <c r="Z673" s="2089"/>
      <c r="AA673" s="2089"/>
      <c r="AB673" s="2089"/>
      <c r="AC673" s="2089"/>
      <c r="AD673" s="2089"/>
      <c r="AE673" s="2089"/>
      <c r="AH673" s="137" t="s">
        <v>212</v>
      </c>
      <c r="AI673" s="2098"/>
      <c r="AJ673" s="2098"/>
      <c r="AK673" s="2098"/>
      <c r="AZ673" s="58"/>
      <c r="BA673" s="446">
        <f t="shared" si="40"/>
        <v>2272</v>
      </c>
      <c r="BB673" s="58"/>
      <c r="BC673" s="58"/>
      <c r="BD673" s="58"/>
      <c r="BE673" s="58"/>
      <c r="BF673" s="382"/>
      <c r="BG673" s="457">
        <f t="shared" si="41"/>
        <v>5</v>
      </c>
      <c r="BH673" s="460">
        <f t="shared" si="43"/>
        <v>5.6818181818181816E-2</v>
      </c>
      <c r="BI673" s="461">
        <f t="shared" si="42"/>
        <v>1.7045454545454544E-2</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4" t="s">
        <v>2601</v>
      </c>
      <c r="I674" s="2044"/>
      <c r="J674" s="2044"/>
      <c r="K674" s="2044"/>
      <c r="L674" s="2044"/>
      <c r="M674" s="2044"/>
      <c r="N674" s="2044"/>
      <c r="O674" s="2044"/>
      <c r="P674" s="2044"/>
      <c r="Q674" s="2044"/>
      <c r="R674" s="2044"/>
      <c r="T674" s="35"/>
      <c r="U674" s="12" t="s">
        <v>18</v>
      </c>
      <c r="AA674" s="2044"/>
      <c r="AB674" s="2044"/>
      <c r="AC674" s="2044"/>
      <c r="AD674" s="2044"/>
      <c r="AE674" s="2044"/>
      <c r="AF674" s="2044"/>
      <c r="AG674" s="2044"/>
      <c r="AH674" s="2044"/>
      <c r="AI674" s="2044"/>
      <c r="AJ674" s="2044"/>
      <c r="AK674" s="2044"/>
      <c r="AZ674" s="58"/>
      <c r="BA674" s="446">
        <f t="shared" si="40"/>
        <v>2726</v>
      </c>
      <c r="BB674" s="58"/>
      <c r="BC674" s="58"/>
      <c r="BD674" s="58"/>
      <c r="BE674" s="58"/>
      <c r="BF674" s="382"/>
      <c r="BG674" s="457">
        <f t="shared" si="41"/>
        <v>12</v>
      </c>
      <c r="BH674" s="460">
        <f t="shared" si="43"/>
        <v>0.13636363636363635</v>
      </c>
      <c r="BI674" s="461">
        <f t="shared" si="42"/>
        <v>5.4545454545454543E-2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62" t="s">
        <v>577</v>
      </c>
      <c r="O675" s="2062"/>
      <c r="T675" s="35"/>
      <c r="U675" s="12" t="s">
        <v>20</v>
      </c>
      <c r="AG675" s="2062" t="s">
        <v>705</v>
      </c>
      <c r="AH675" s="2062"/>
      <c r="AZ675" s="58"/>
      <c r="BA675" s="446">
        <f t="shared" si="40"/>
        <v>3150</v>
      </c>
      <c r="BB675" s="58"/>
      <c r="BC675" s="58"/>
      <c r="BD675" s="58"/>
      <c r="BE675" s="58"/>
      <c r="BF675" s="382"/>
      <c r="BG675" s="457">
        <f t="shared" si="41"/>
        <v>4</v>
      </c>
      <c r="BH675" s="460">
        <f t="shared" si="43"/>
        <v>4.5454545454545456E-2</v>
      </c>
      <c r="BI675" s="461">
        <f t="shared" si="42"/>
        <v>1.8181818181818184E-2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2272</v>
      </c>
      <c r="BB676" s="58"/>
      <c r="BC676" s="58"/>
      <c r="BD676" s="58"/>
      <c r="BE676" s="58"/>
      <c r="BF676" s="382"/>
      <c r="BG676" s="457">
        <f t="shared" si="41"/>
        <v>10</v>
      </c>
      <c r="BH676" s="460">
        <f t="shared" si="43"/>
        <v>0.11363636363636363</v>
      </c>
      <c r="BI676" s="461">
        <f t="shared" si="42"/>
        <v>4.5454545454545456E-2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48">
        <f>C643</f>
        <v>0</v>
      </c>
      <c r="H677" s="2048"/>
      <c r="I677" s="2048"/>
      <c r="J677" s="2048"/>
      <c r="K677" s="2048"/>
      <c r="L677" s="2048"/>
      <c r="M677" s="2048"/>
      <c r="N677" s="2048"/>
      <c r="O677" s="2048"/>
      <c r="P677" s="2048"/>
      <c r="Q677" s="2048"/>
      <c r="R677" s="2048"/>
      <c r="T677" s="87" t="s">
        <v>487</v>
      </c>
      <c r="U677" s="12" t="s">
        <v>495</v>
      </c>
      <c r="Z677" s="2048">
        <f>C644</f>
        <v>0</v>
      </c>
      <c r="AA677" s="2048"/>
      <c r="AB677" s="2048"/>
      <c r="AC677" s="2048"/>
      <c r="AD677" s="2048"/>
      <c r="AE677" s="2048"/>
      <c r="AF677" s="2048"/>
      <c r="AG677" s="2048"/>
      <c r="AH677" s="2048"/>
      <c r="AI677" s="2048"/>
      <c r="AJ677" s="2048"/>
      <c r="AK677" s="2048"/>
      <c r="AZ677" s="58"/>
      <c r="BA677" s="446">
        <f t="shared" si="40"/>
        <v>2726</v>
      </c>
      <c r="BB677" s="58"/>
      <c r="BC677" s="58"/>
      <c r="BD677" s="58"/>
      <c r="BE677" s="58"/>
      <c r="BF677" s="382"/>
      <c r="BG677" s="457">
        <f t="shared" si="41"/>
        <v>3</v>
      </c>
      <c r="BH677" s="460">
        <f t="shared" si="43"/>
        <v>3.4090909090909088E-2</v>
      </c>
      <c r="BI677" s="461">
        <f t="shared" si="42"/>
        <v>1.7045454545454544E-2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4"/>
      <c r="H678" s="2044"/>
      <c r="I678" s="2044"/>
      <c r="J678" s="2044"/>
      <c r="K678" s="2044"/>
      <c r="L678" s="2044"/>
      <c r="M678" s="2044"/>
      <c r="N678" s="2044"/>
      <c r="O678" s="2044"/>
      <c r="P678" s="2044"/>
      <c r="Q678" s="2044"/>
      <c r="R678" s="2044"/>
      <c r="T678" s="35"/>
      <c r="U678" s="12" t="s">
        <v>90</v>
      </c>
      <c r="Z678" s="2044"/>
      <c r="AA678" s="2044"/>
      <c r="AB678" s="2044"/>
      <c r="AC678" s="2044"/>
      <c r="AD678" s="2044"/>
      <c r="AE678" s="2044"/>
      <c r="AF678" s="2044"/>
      <c r="AG678" s="2044"/>
      <c r="AH678" s="2044"/>
      <c r="AI678" s="2044"/>
      <c r="AJ678" s="2044"/>
      <c r="AK678" s="2044"/>
      <c r="AZ678" s="58"/>
      <c r="BA678" s="446">
        <f t="shared" si="40"/>
        <v>3150</v>
      </c>
      <c r="BB678" s="58"/>
      <c r="BC678" s="58"/>
      <c r="BD678" s="58"/>
      <c r="BE678" s="58"/>
      <c r="BF678" s="382"/>
      <c r="BG678" s="457">
        <f t="shared" si="41"/>
        <v>2</v>
      </c>
      <c r="BH678" s="460">
        <f t="shared" si="43"/>
        <v>2.2727272727272728E-2</v>
      </c>
      <c r="BI678" s="461">
        <f t="shared" si="42"/>
        <v>1.1363636363636364E-2</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44"/>
      <c r="H679" s="2044"/>
      <c r="I679" s="2044"/>
      <c r="J679" s="2044"/>
      <c r="K679" s="2044"/>
      <c r="L679" s="2044"/>
      <c r="M679" s="2044"/>
      <c r="N679" s="2044"/>
      <c r="O679" s="2044"/>
      <c r="P679" s="2044"/>
      <c r="Q679" s="2044"/>
      <c r="R679" s="2044"/>
      <c r="T679" s="35"/>
      <c r="U679" s="12" t="s">
        <v>614</v>
      </c>
      <c r="Z679" s="2307"/>
      <c r="AA679" s="2307"/>
      <c r="AB679" s="2307"/>
      <c r="AC679" s="2307"/>
      <c r="AD679" s="2307"/>
      <c r="AE679" s="2307"/>
      <c r="AF679" s="2307"/>
      <c r="AG679" s="2307"/>
      <c r="AH679" s="2307"/>
      <c r="AI679" s="2307"/>
      <c r="AJ679" s="2307"/>
      <c r="AK679" s="2307"/>
      <c r="AZ679" s="58"/>
      <c r="BA679" s="446">
        <f t="shared" si="40"/>
        <v>2272</v>
      </c>
      <c r="BB679" s="58"/>
      <c r="BC679" s="58"/>
      <c r="BD679" s="58"/>
      <c r="BE679" s="58"/>
      <c r="BF679" s="382"/>
      <c r="BG679" s="457">
        <f t="shared" si="41"/>
        <v>5</v>
      </c>
      <c r="BH679" s="460">
        <f t="shared" si="43"/>
        <v>5.6818181818181816E-2</v>
      </c>
      <c r="BI679" s="461">
        <f t="shared" si="42"/>
        <v>2.8409090909090908E-2</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4"/>
      <c r="H680" s="2044"/>
      <c r="I680" s="2044"/>
      <c r="J680" s="2044"/>
      <c r="K680" s="2044"/>
      <c r="L680" s="2044"/>
      <c r="M680" s="2044"/>
      <c r="N680" s="2044"/>
      <c r="O680" s="2044"/>
      <c r="P680" s="2044"/>
      <c r="Q680" s="2044"/>
      <c r="R680" s="2044"/>
      <c r="T680" s="35"/>
      <c r="U680" s="12" t="s">
        <v>17</v>
      </c>
      <c r="Z680" s="2307"/>
      <c r="AA680" s="2307"/>
      <c r="AB680" s="2307"/>
      <c r="AC680" s="2307"/>
      <c r="AD680" s="2307"/>
      <c r="AE680" s="2307"/>
      <c r="AF680" s="2307"/>
      <c r="AG680" s="2307"/>
      <c r="AH680" s="2307"/>
      <c r="AI680" s="2307"/>
      <c r="AJ680" s="2307"/>
      <c r="AK680" s="2307"/>
      <c r="AZ680" s="58"/>
      <c r="BA680" s="446">
        <f t="shared" si="40"/>
        <v>2726</v>
      </c>
      <c r="BB680" s="58"/>
      <c r="BC680" s="58"/>
      <c r="BD680" s="58"/>
      <c r="BE680" s="58"/>
      <c r="BF680" s="382"/>
      <c r="BG680" s="457">
        <f t="shared" si="41"/>
        <v>6</v>
      </c>
      <c r="BH680" s="460">
        <f t="shared" si="43"/>
        <v>6.8181818181818177E-2</v>
      </c>
      <c r="BI680" s="461">
        <f t="shared" si="42"/>
        <v>4.0909090909090902E-2</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89"/>
      <c r="H681" s="2089"/>
      <c r="I681" s="2089"/>
      <c r="J681" s="2089"/>
      <c r="K681" s="2089"/>
      <c r="L681" s="2089"/>
      <c r="O681" s="137" t="s">
        <v>212</v>
      </c>
      <c r="P681" s="2098"/>
      <c r="Q681" s="2098"/>
      <c r="R681" s="2098"/>
      <c r="T681" s="35"/>
      <c r="U681" s="12" t="s">
        <v>325</v>
      </c>
      <c r="Z681" s="2089"/>
      <c r="AA681" s="2089"/>
      <c r="AB681" s="2089"/>
      <c r="AC681" s="2089"/>
      <c r="AD681" s="2089"/>
      <c r="AE681" s="2089"/>
      <c r="AH681" s="137" t="s">
        <v>212</v>
      </c>
      <c r="AI681" s="2098"/>
      <c r="AJ681" s="2098"/>
      <c r="AK681" s="2098"/>
      <c r="AZ681" s="58"/>
      <c r="BA681" s="446">
        <f t="shared" si="40"/>
        <v>3150</v>
      </c>
      <c r="BB681" s="58"/>
      <c r="BC681" s="58"/>
      <c r="BD681" s="58"/>
      <c r="BE681" s="58"/>
      <c r="BF681" s="382"/>
      <c r="BG681" s="457">
        <f t="shared" si="41"/>
        <v>8</v>
      </c>
      <c r="BH681" s="460">
        <f t="shared" si="43"/>
        <v>9.0909090909090912E-2</v>
      </c>
      <c r="BI681" s="461">
        <f t="shared" si="42"/>
        <v>5.4545454545454543E-2</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4"/>
      <c r="I682" s="2044"/>
      <c r="J682" s="2044"/>
      <c r="K682" s="2044"/>
      <c r="L682" s="2044"/>
      <c r="M682" s="2044"/>
      <c r="N682" s="2044"/>
      <c r="O682" s="2044"/>
      <c r="P682" s="2044"/>
      <c r="Q682" s="2044"/>
      <c r="R682" s="2044"/>
      <c r="T682" s="35"/>
      <c r="U682" s="12" t="s">
        <v>18</v>
      </c>
      <c r="AA682" s="2044"/>
      <c r="AB682" s="2044"/>
      <c r="AC682" s="2044"/>
      <c r="AD682" s="2044"/>
      <c r="AE682" s="2044"/>
      <c r="AF682" s="2044"/>
      <c r="AG682" s="2044"/>
      <c r="AH682" s="2044"/>
      <c r="AI682" s="2044"/>
      <c r="AJ682" s="2044"/>
      <c r="AK682" s="2044"/>
      <c r="AZ682" s="58"/>
      <c r="BA682" s="446">
        <f t="shared" si="40"/>
        <v>2726</v>
      </c>
      <c r="BB682" s="58"/>
      <c r="BC682" s="58"/>
      <c r="BD682" s="58"/>
      <c r="BE682" s="58"/>
      <c r="BF682" s="382"/>
      <c r="BG682" s="457">
        <f t="shared" si="41"/>
        <v>27</v>
      </c>
      <c r="BH682" s="460">
        <f t="shared" si="43"/>
        <v>0.30681818181818182</v>
      </c>
      <c r="BI682" s="461">
        <f t="shared" si="42"/>
        <v>0.18409090909090908</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62" t="s">
        <v>705</v>
      </c>
      <c r="O683" s="2062"/>
      <c r="T683" s="35"/>
      <c r="U683" s="12" t="s">
        <v>20</v>
      </c>
      <c r="AG683" s="2062" t="s">
        <v>705</v>
      </c>
      <c r="AH683" s="2062"/>
      <c r="AZ683" s="58"/>
      <c r="BA683" s="446" t="str">
        <f t="shared" si="40"/>
        <v>N/A</v>
      </c>
      <c r="BB683" s="58"/>
      <c r="BC683" s="58"/>
      <c r="BD683" s="58"/>
      <c r="BE683" s="58"/>
      <c r="BF683" s="382"/>
      <c r="BG683" s="457">
        <f t="shared" si="41"/>
        <v>2</v>
      </c>
      <c r="BH683" s="460">
        <f t="shared" si="43"/>
        <v>2.2727272727272728E-2</v>
      </c>
      <c r="BI683" s="461">
        <f t="shared" si="42"/>
        <v>1.3636363636363636E-2</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48">
        <f>C645</f>
        <v>0</v>
      </c>
      <c r="H685" s="2048"/>
      <c r="I685" s="2048"/>
      <c r="J685" s="2048"/>
      <c r="K685" s="2048"/>
      <c r="L685" s="2048"/>
      <c r="M685" s="2048"/>
      <c r="N685" s="2048"/>
      <c r="O685" s="2048"/>
      <c r="P685" s="2048"/>
      <c r="Q685" s="2048"/>
      <c r="R685" s="2048"/>
      <c r="T685" s="87" t="s">
        <v>680</v>
      </c>
      <c r="U685" s="12" t="s">
        <v>495</v>
      </c>
      <c r="Z685" s="2048">
        <f>C646</f>
        <v>0</v>
      </c>
      <c r="AA685" s="2048"/>
      <c r="AB685" s="2048"/>
      <c r="AC685" s="2048"/>
      <c r="AD685" s="2048"/>
      <c r="AE685" s="2048"/>
      <c r="AF685" s="2048"/>
      <c r="AG685" s="2048"/>
      <c r="AH685" s="2048"/>
      <c r="AI685" s="2048"/>
      <c r="AJ685" s="2048"/>
      <c r="AK685" s="2048"/>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4"/>
      <c r="H686" s="2044"/>
      <c r="I686" s="2044"/>
      <c r="J686" s="2044"/>
      <c r="K686" s="2044"/>
      <c r="L686" s="2044"/>
      <c r="M686" s="2044"/>
      <c r="N686" s="2044"/>
      <c r="O686" s="2044"/>
      <c r="P686" s="2044"/>
      <c r="Q686" s="2044"/>
      <c r="R686" s="2044"/>
      <c r="T686" s="35"/>
      <c r="U686" s="12" t="s">
        <v>90</v>
      </c>
      <c r="Z686" s="2044"/>
      <c r="AA686" s="2044"/>
      <c r="AB686" s="2044"/>
      <c r="AC686" s="2044"/>
      <c r="AD686" s="2044"/>
      <c r="AE686" s="2044"/>
      <c r="AF686" s="2044"/>
      <c r="AG686" s="2044"/>
      <c r="AH686" s="2044"/>
      <c r="AI686" s="2044"/>
      <c r="AJ686" s="2044"/>
      <c r="AK686" s="2044"/>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44"/>
      <c r="H687" s="2044"/>
      <c r="I687" s="2044"/>
      <c r="J687" s="2044"/>
      <c r="K687" s="2044"/>
      <c r="L687" s="2044"/>
      <c r="M687" s="2044"/>
      <c r="N687" s="2044"/>
      <c r="O687" s="2044"/>
      <c r="P687" s="2044"/>
      <c r="Q687" s="2044"/>
      <c r="R687" s="2044"/>
      <c r="T687" s="35"/>
      <c r="U687" s="12" t="s">
        <v>614</v>
      </c>
      <c r="Z687" s="2307"/>
      <c r="AA687" s="2307"/>
      <c r="AB687" s="2307"/>
      <c r="AC687" s="2307"/>
      <c r="AD687" s="2307"/>
      <c r="AE687" s="2307"/>
      <c r="AF687" s="2307"/>
      <c r="AG687" s="2307"/>
      <c r="AH687" s="2307"/>
      <c r="AI687" s="2307"/>
      <c r="AJ687" s="2307"/>
      <c r="AK687" s="2307"/>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4"/>
      <c r="H688" s="2044"/>
      <c r="I688" s="2044"/>
      <c r="J688" s="2044"/>
      <c r="K688" s="2044"/>
      <c r="L688" s="2044"/>
      <c r="M688" s="2044"/>
      <c r="N688" s="2044"/>
      <c r="O688" s="2044"/>
      <c r="P688" s="2044"/>
      <c r="Q688" s="2044"/>
      <c r="R688" s="2044"/>
      <c r="T688" s="35"/>
      <c r="U688" s="12" t="s">
        <v>17</v>
      </c>
      <c r="Z688" s="2307"/>
      <c r="AA688" s="2307"/>
      <c r="AB688" s="2307"/>
      <c r="AC688" s="2307"/>
      <c r="AD688" s="2307"/>
      <c r="AE688" s="2307"/>
      <c r="AF688" s="2307"/>
      <c r="AG688" s="2307"/>
      <c r="AH688" s="2307"/>
      <c r="AI688" s="2307"/>
      <c r="AJ688" s="2307"/>
      <c r="AK688" s="2307"/>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89"/>
      <c r="H689" s="2089"/>
      <c r="I689" s="2089"/>
      <c r="J689" s="2089"/>
      <c r="K689" s="2089"/>
      <c r="L689" s="2089"/>
      <c r="O689" s="137" t="s">
        <v>212</v>
      </c>
      <c r="P689" s="2098"/>
      <c r="Q689" s="2098"/>
      <c r="R689" s="2098"/>
      <c r="T689" s="35"/>
      <c r="U689" s="12" t="s">
        <v>325</v>
      </c>
      <c r="Z689" s="2089"/>
      <c r="AA689" s="2089"/>
      <c r="AB689" s="2089"/>
      <c r="AC689" s="2089"/>
      <c r="AD689" s="2089"/>
      <c r="AE689" s="2089"/>
      <c r="AH689" s="137" t="s">
        <v>212</v>
      </c>
      <c r="AI689" s="2098"/>
      <c r="AJ689" s="2098"/>
      <c r="AK689" s="2098"/>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4"/>
      <c r="I690" s="2044"/>
      <c r="J690" s="2044"/>
      <c r="K690" s="2044"/>
      <c r="L690" s="2044"/>
      <c r="M690" s="2044"/>
      <c r="N690" s="2044"/>
      <c r="O690" s="2044"/>
      <c r="P690" s="2044"/>
      <c r="Q690" s="2044"/>
      <c r="R690" s="2044"/>
      <c r="T690" s="35"/>
      <c r="U690" s="12" t="s">
        <v>18</v>
      </c>
      <c r="AA690" s="2044"/>
      <c r="AB690" s="2044"/>
      <c r="AC690" s="2044"/>
      <c r="AD690" s="2044"/>
      <c r="AE690" s="2044"/>
      <c r="AF690" s="2044"/>
      <c r="AG690" s="2044"/>
      <c r="AH690" s="2044"/>
      <c r="AI690" s="2044"/>
      <c r="AJ690" s="2044"/>
      <c r="AK690" s="2044"/>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62" t="s">
        <v>705</v>
      </c>
      <c r="O691" s="2062"/>
      <c r="T691" s="35"/>
      <c r="U691" s="12" t="s">
        <v>20</v>
      </c>
      <c r="AG691" s="2062" t="s">
        <v>705</v>
      </c>
      <c r="AH691" s="2062"/>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495</v>
      </c>
      <c r="G693" s="2048">
        <f>C647</f>
        <v>0</v>
      </c>
      <c r="H693" s="2048"/>
      <c r="I693" s="2048"/>
      <c r="J693" s="2048"/>
      <c r="K693" s="2048"/>
      <c r="L693" s="2048"/>
      <c r="M693" s="2048"/>
      <c r="N693" s="2048"/>
      <c r="O693" s="2048"/>
      <c r="P693" s="2048"/>
      <c r="Q693" s="2048"/>
      <c r="R693" s="2048"/>
      <c r="T693" s="87" t="s">
        <v>372</v>
      </c>
      <c r="U693" s="12" t="s">
        <v>495</v>
      </c>
      <c r="Z693" s="2048">
        <f>C648</f>
        <v>0</v>
      </c>
      <c r="AA693" s="2048"/>
      <c r="AB693" s="2048"/>
      <c r="AC693" s="2048"/>
      <c r="AD693" s="2048"/>
      <c r="AE693" s="2048"/>
      <c r="AF693" s="2048"/>
      <c r="AG693" s="2048"/>
      <c r="AH693" s="2048"/>
      <c r="AI693" s="2048"/>
      <c r="AJ693" s="2048"/>
      <c r="AK693" s="2048"/>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4"/>
      <c r="H694" s="2044"/>
      <c r="I694" s="2044"/>
      <c r="J694" s="2044"/>
      <c r="K694" s="2044"/>
      <c r="L694" s="2044"/>
      <c r="M694" s="2044"/>
      <c r="N694" s="2044"/>
      <c r="O694" s="2044"/>
      <c r="P694" s="2044"/>
      <c r="Q694" s="2044"/>
      <c r="R694" s="2044"/>
      <c r="T694" s="35"/>
      <c r="U694" s="12" t="s">
        <v>90</v>
      </c>
      <c r="Z694" s="2044"/>
      <c r="AA694" s="2044"/>
      <c r="AB694" s="2044"/>
      <c r="AC694" s="2044"/>
      <c r="AD694" s="2044"/>
      <c r="AE694" s="2044"/>
      <c r="AF694" s="2044"/>
      <c r="AG694" s="2044"/>
      <c r="AH694" s="2044"/>
      <c r="AI694" s="2044"/>
      <c r="AJ694" s="2044"/>
      <c r="AK694" s="2044"/>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44"/>
      <c r="H695" s="2044"/>
      <c r="I695" s="2044"/>
      <c r="J695" s="2044"/>
      <c r="K695" s="2044"/>
      <c r="L695" s="2044"/>
      <c r="M695" s="2044"/>
      <c r="N695" s="2044"/>
      <c r="O695" s="2044"/>
      <c r="P695" s="2044"/>
      <c r="Q695" s="2044"/>
      <c r="R695" s="2044"/>
      <c r="U695" s="12" t="s">
        <v>614</v>
      </c>
      <c r="Z695" s="2307"/>
      <c r="AA695" s="2307"/>
      <c r="AB695" s="2307"/>
      <c r="AC695" s="2307"/>
      <c r="AD695" s="2307"/>
      <c r="AE695" s="2307"/>
      <c r="AF695" s="2307"/>
      <c r="AG695" s="2307"/>
      <c r="AH695" s="2307"/>
      <c r="AI695" s="2307"/>
      <c r="AJ695" s="2307"/>
      <c r="AK695" s="2307"/>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4"/>
      <c r="H696" s="2044"/>
      <c r="I696" s="2044"/>
      <c r="J696" s="2044"/>
      <c r="K696" s="2044"/>
      <c r="L696" s="2044"/>
      <c r="M696" s="2044"/>
      <c r="N696" s="2044"/>
      <c r="O696" s="2044"/>
      <c r="P696" s="2044"/>
      <c r="Q696" s="2044"/>
      <c r="R696" s="2044"/>
      <c r="U696" s="12" t="s">
        <v>17</v>
      </c>
      <c r="Z696" s="2307"/>
      <c r="AA696" s="2307"/>
      <c r="AB696" s="2307"/>
      <c r="AC696" s="2307"/>
      <c r="AD696" s="2307"/>
      <c r="AE696" s="2307"/>
      <c r="AF696" s="2307"/>
      <c r="AG696" s="2307"/>
      <c r="AH696" s="2307"/>
      <c r="AI696" s="2307"/>
      <c r="AJ696" s="2307"/>
      <c r="AK696" s="2307"/>
      <c r="AZ696" s="58"/>
      <c r="BA696" s="58"/>
      <c r="BB696" s="58"/>
      <c r="BC696" s="58"/>
      <c r="BD696" s="58"/>
      <c r="BF696" s="453" t="s">
        <v>967</v>
      </c>
      <c r="BG696" s="462">
        <f>SUM(BG671:BG695)</f>
        <v>88</v>
      </c>
      <c r="BH696" s="463">
        <f>SUM(BH671:BH695)</f>
        <v>0.99999999999999978</v>
      </c>
      <c r="BI696" s="463">
        <f>SUM(BI671:BI695)</f>
        <v>0.49886363636363629</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89"/>
      <c r="H697" s="2089"/>
      <c r="I697" s="2089"/>
      <c r="J697" s="2089"/>
      <c r="K697" s="2089"/>
      <c r="L697" s="2089"/>
      <c r="O697" s="137" t="s">
        <v>212</v>
      </c>
      <c r="P697" s="2098"/>
      <c r="Q697" s="2098"/>
      <c r="R697" s="2098"/>
      <c r="U697" s="12" t="s">
        <v>325</v>
      </c>
      <c r="Z697" s="2089"/>
      <c r="AA697" s="2089"/>
      <c r="AB697" s="2089"/>
      <c r="AC697" s="2089"/>
      <c r="AD697" s="2089"/>
      <c r="AE697" s="2089"/>
      <c r="AH697" s="137" t="s">
        <v>212</v>
      </c>
      <c r="AI697" s="2098"/>
      <c r="AJ697" s="2098"/>
      <c r="AK697" s="2098"/>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4"/>
      <c r="I698" s="2044"/>
      <c r="J698" s="2044"/>
      <c r="K698" s="2044"/>
      <c r="L698" s="2044"/>
      <c r="M698" s="2044"/>
      <c r="N698" s="2044"/>
      <c r="O698" s="2044"/>
      <c r="P698" s="2044"/>
      <c r="Q698" s="2044"/>
      <c r="R698" s="2044"/>
      <c r="U698" s="12" t="s">
        <v>18</v>
      </c>
      <c r="AA698" s="2044"/>
      <c r="AB698" s="2044"/>
      <c r="AC698" s="2044"/>
      <c r="AD698" s="2044"/>
      <c r="AE698" s="2044"/>
      <c r="AF698" s="2044"/>
      <c r="AG698" s="2044"/>
      <c r="AH698" s="2044"/>
      <c r="AI698" s="2044"/>
      <c r="AJ698" s="2044"/>
      <c r="AK698" s="2044"/>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62" t="s">
        <v>705</v>
      </c>
      <c r="O699" s="2062"/>
      <c r="U699" s="12" t="s">
        <v>20</v>
      </c>
      <c r="AG699" s="2062" t="s">
        <v>705</v>
      </c>
      <c r="AH699" s="2062"/>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62" t="s">
        <v>577</v>
      </c>
      <c r="AF703" s="206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2</v>
      </c>
      <c r="BH703" s="460">
        <f>BG703/$BG$728</f>
        <v>2.2727272727272728E-2</v>
      </c>
      <c r="BI703" s="461">
        <f t="shared" ref="BI703:BI727" si="45">IF(BH703=0," ",BH703*AM728)</f>
        <v>6.8221830985915497E-3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62" t="s">
        <v>577</v>
      </c>
      <c r="AF704" s="206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v>
      </c>
      <c r="BH704" s="460">
        <f t="shared" ref="BH704:BH727" si="46">BG704/$BG$728</f>
        <v>2.2727272727272728E-2</v>
      </c>
      <c r="BI704" s="461">
        <f t="shared" si="45"/>
        <v>6.8198492629893944E-3</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61">
        <v>44341</v>
      </c>
      <c r="AF705" s="2361"/>
      <c r="AG705" s="2361"/>
      <c r="AH705" s="2361"/>
      <c r="AI705" s="2361"/>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5</v>
      </c>
      <c r="BH705" s="460">
        <f t="shared" si="46"/>
        <v>5.6818181818181816E-2</v>
      </c>
      <c r="BI705" s="461">
        <f t="shared" si="45"/>
        <v>1.7045454545454544E-2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0">
        <v>44419</v>
      </c>
      <c r="AF706" s="2360"/>
      <c r="AG706" s="2360"/>
      <c r="AH706" s="2360"/>
      <c r="AI706" s="236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12</v>
      </c>
      <c r="BH706" s="460">
        <f t="shared" si="46"/>
        <v>0.13636363636363635</v>
      </c>
      <c r="BI706" s="461">
        <f t="shared" si="45"/>
        <v>5.455745838668373E-2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4</v>
      </c>
      <c r="BH707" s="460">
        <f t="shared" si="46"/>
        <v>4.5454545454545456E-2</v>
      </c>
      <c r="BI707" s="461">
        <f t="shared" si="45"/>
        <v>1.8191822850663644E-2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61">
        <v>44601</v>
      </c>
      <c r="AF708" s="2361"/>
      <c r="AG708" s="2361"/>
      <c r="AH708" s="2361"/>
      <c r="AI708" s="2361"/>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10</v>
      </c>
      <c r="BH708" s="460">
        <f t="shared" si="46"/>
        <v>0.11363636363636363</v>
      </c>
      <c r="BI708" s="461">
        <f t="shared" si="45"/>
        <v>4.5454545454545456E-2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96">
        <v>0.51339999999999997</v>
      </c>
      <c r="AF709" s="2396"/>
      <c r="AG709" s="2396"/>
      <c r="AH709" s="2396"/>
      <c r="AI709" s="239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3</v>
      </c>
      <c r="BH709" s="460">
        <f t="shared" si="46"/>
        <v>3.4090909090909088E-2</v>
      </c>
      <c r="BI709" s="461">
        <f t="shared" si="45"/>
        <v>1.7045454545454544E-2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48" t="str">
        <f>H334</f>
        <v>CMFA</v>
      </c>
      <c r="X710" s="2048"/>
      <c r="Y710" s="2048"/>
      <c r="Z710" s="2048"/>
      <c r="AA710" s="2048"/>
      <c r="AB710" s="2048"/>
      <c r="AC710" s="2048"/>
      <c r="AD710" s="2048"/>
      <c r="AE710" s="2048"/>
      <c r="AF710" s="2048"/>
      <c r="AG710" s="2048"/>
      <c r="AH710" s="2048"/>
      <c r="AI710" s="2048"/>
      <c r="AJ710" s="2048"/>
      <c r="AK710" s="204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2</v>
      </c>
      <c r="BH710" s="460">
        <f t="shared" si="46"/>
        <v>2.2727272727272728E-2</v>
      </c>
      <c r="BI710" s="461">
        <f t="shared" si="45"/>
        <v>1.1363636363636364E-2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5</v>
      </c>
      <c r="BH711" s="460">
        <f t="shared" si="46"/>
        <v>5.6818181818181816E-2</v>
      </c>
      <c r="BI711" s="461">
        <f t="shared" si="45"/>
        <v>2.8409090909090908E-2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62" t="s">
        <v>705</v>
      </c>
      <c r="AF712" s="206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6</v>
      </c>
      <c r="BH712" s="460">
        <f t="shared" si="46"/>
        <v>6.8181818181818177E-2</v>
      </c>
      <c r="BI712" s="461">
        <f t="shared" si="45"/>
        <v>4.0933098591549297E-2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44"/>
      <c r="X713" s="2044"/>
      <c r="Y713" s="2044"/>
      <c r="Z713" s="2044"/>
      <c r="AA713" s="2044"/>
      <c r="AB713" s="2044"/>
      <c r="AC713" s="2044"/>
      <c r="AD713" s="2044"/>
      <c r="AE713" s="2044"/>
      <c r="AF713" s="2044"/>
      <c r="AG713" s="2044"/>
      <c r="AH713" s="2044"/>
      <c r="AI713" s="2044"/>
      <c r="AJ713" s="2044"/>
      <c r="AK713" s="204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8</v>
      </c>
      <c r="BH713" s="460">
        <f t="shared" si="46"/>
        <v>9.0909090909090912E-2</v>
      </c>
      <c r="BI713" s="461">
        <f t="shared" si="45"/>
        <v>5.4558794103915155E-2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4"/>
      <c r="K714" s="2044"/>
      <c r="L714" s="2044"/>
      <c r="M714" s="2044"/>
      <c r="N714" s="2044"/>
      <c r="O714" s="2044"/>
      <c r="P714" s="2044"/>
      <c r="Q714" s="2044"/>
      <c r="R714" s="2044"/>
      <c r="S714" s="2044"/>
      <c r="T714" s="2044"/>
      <c r="U714" s="2044"/>
      <c r="V714" s="2044"/>
      <c r="W714" s="2044"/>
      <c r="X714" s="204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27</v>
      </c>
      <c r="BH714" s="460">
        <f t="shared" si="46"/>
        <v>0.30681818181818182</v>
      </c>
      <c r="BI714" s="461">
        <f t="shared" si="45"/>
        <v>0.18409090909090908</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89"/>
      <c r="K715" s="2089"/>
      <c r="L715" s="2089"/>
      <c r="M715" s="2089"/>
      <c r="N715" s="2089"/>
      <c r="O715" s="2089"/>
      <c r="P715" s="7" t="s">
        <v>212</v>
      </c>
      <c r="Q715" s="7"/>
      <c r="R715" s="2098"/>
      <c r="S715" s="2098"/>
      <c r="T715" s="209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2</v>
      </c>
      <c r="BH715" s="460">
        <f t="shared" si="46"/>
        <v>2.2727272727272728E-2</v>
      </c>
      <c r="BI715" s="461">
        <f t="shared" si="45"/>
        <v>1.3639698525978789E-2</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44" t="s">
        <v>316</v>
      </c>
      <c r="X716" s="2044"/>
      <c r="Y716" s="2044"/>
      <c r="Z716" s="2044"/>
      <c r="AA716" s="2044"/>
      <c r="AB716" s="2044"/>
      <c r="AC716" s="2044"/>
      <c r="AD716" s="2044"/>
      <c r="AE716" s="2044"/>
      <c r="AF716" s="2044"/>
      <c r="AG716" s="2044"/>
      <c r="AH716" s="2044"/>
      <c r="AI716" s="2044"/>
      <c r="AJ716" s="2044"/>
      <c r="AK716" s="204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4" t="s">
        <v>343</v>
      </c>
      <c r="F717" s="2044"/>
      <c r="G717" s="2044"/>
      <c r="H717" s="2044"/>
      <c r="I717" s="2044"/>
      <c r="J717" s="2044"/>
      <c r="K717" s="2044"/>
      <c r="L717" s="2044"/>
      <c r="M717" s="2044"/>
      <c r="N717" s="2044"/>
      <c r="O717" s="2044"/>
      <c r="P717" s="2044"/>
      <c r="Q717" s="2044"/>
      <c r="R717" s="2044"/>
      <c r="S717" s="2044"/>
      <c r="T717" s="2044"/>
      <c r="U717" s="2044"/>
      <c r="V717" s="2044"/>
      <c r="W717" s="2044"/>
      <c r="X717" s="2044"/>
      <c r="Y717" s="2044"/>
      <c r="Z717" s="2044"/>
      <c r="AA717" s="2044"/>
      <c r="AB717" s="2044"/>
      <c r="AC717" s="2044"/>
      <c r="AD717" s="2044"/>
      <c r="AE717" s="2044"/>
      <c r="AF717" s="2044"/>
      <c r="AG717" s="2044"/>
      <c r="AH717" s="2044"/>
      <c r="AI717" s="2044"/>
      <c r="AJ717" s="2044"/>
      <c r="AK717" s="204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95" t="s">
        <v>100</v>
      </c>
      <c r="B719" s="1895"/>
      <c r="C719" s="1895"/>
      <c r="D719" s="1895"/>
      <c r="E719" s="1895"/>
      <c r="F719" s="1895"/>
      <c r="G719" s="1895"/>
      <c r="H719" s="1895"/>
      <c r="I719" s="1895"/>
      <c r="J719" s="1895"/>
      <c r="K719" s="1895"/>
      <c r="L719" s="1895"/>
      <c r="M719" s="1895"/>
      <c r="N719" s="1895"/>
      <c r="O719" s="1895"/>
      <c r="P719" s="1895"/>
      <c r="Q719" s="1895"/>
      <c r="R719" s="1895"/>
      <c r="S719" s="1895"/>
      <c r="T719" s="1895"/>
      <c r="U719" s="1895"/>
      <c r="V719" s="1895"/>
      <c r="W719" s="1895"/>
      <c r="X719" s="1895"/>
      <c r="Y719" s="1895"/>
      <c r="Z719" s="1895"/>
      <c r="AA719" s="1895"/>
      <c r="AB719" s="1895"/>
      <c r="AC719" s="1895"/>
      <c r="AD719" s="1895"/>
      <c r="AE719" s="1895"/>
      <c r="AF719" s="1895"/>
      <c r="AG719" s="1895"/>
      <c r="AH719" s="1895"/>
      <c r="AI719" s="1895"/>
      <c r="AJ719" s="1895"/>
      <c r="AK719" s="1895"/>
      <c r="AL719" s="1895"/>
      <c r="AM719" s="1895"/>
      <c r="AN719" s="1895"/>
      <c r="AO719" s="1895"/>
      <c r="AP719" s="1571"/>
      <c r="AQ719" s="1571"/>
      <c r="AR719" s="1571"/>
      <c r="AS719" s="1571"/>
      <c r="AT719" s="1571"/>
      <c r="AU719" s="1571"/>
      <c r="AV719" s="1571"/>
      <c r="AW719" s="1571"/>
      <c r="AX719" s="1571"/>
      <c r="AY719" s="1571"/>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95"/>
      <c r="B720" s="1895"/>
      <c r="C720" s="1895"/>
      <c r="D720" s="1895"/>
      <c r="E720" s="1895"/>
      <c r="F720" s="1895"/>
      <c r="G720" s="1895"/>
      <c r="H720" s="1895"/>
      <c r="I720" s="1895"/>
      <c r="J720" s="1895"/>
      <c r="K720" s="1895"/>
      <c r="L720" s="1895"/>
      <c r="M720" s="1895"/>
      <c r="N720" s="1895"/>
      <c r="O720" s="1895"/>
      <c r="P720" s="1895"/>
      <c r="Q720" s="1895"/>
      <c r="R720" s="1895"/>
      <c r="S720" s="1895"/>
      <c r="T720" s="1895"/>
      <c r="U720" s="1895"/>
      <c r="V720" s="1895"/>
      <c r="W720" s="1895"/>
      <c r="X720" s="1895"/>
      <c r="Y720" s="1895"/>
      <c r="Z720" s="1895"/>
      <c r="AA720" s="1895"/>
      <c r="AB720" s="1895"/>
      <c r="AC720" s="1895"/>
      <c r="AD720" s="1895"/>
      <c r="AE720" s="1895"/>
      <c r="AF720" s="1895"/>
      <c r="AG720" s="1895"/>
      <c r="AH720" s="1895"/>
      <c r="AI720" s="1895"/>
      <c r="AJ720" s="1895"/>
      <c r="AK720" s="1895"/>
      <c r="AL720" s="1895"/>
      <c r="AM720" s="1895"/>
      <c r="AN720" s="1895"/>
      <c r="AO720" s="1895"/>
      <c r="AP720" s="1571"/>
      <c r="AQ720" s="1571"/>
      <c r="AR720" s="1571"/>
      <c r="AS720" s="1571"/>
      <c r="AT720" s="1571"/>
      <c r="AU720" s="1571"/>
      <c r="AV720" s="1571"/>
      <c r="AW720" s="1571"/>
      <c r="AX720" s="1571"/>
      <c r="AY720" s="1571"/>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95"/>
      <c r="B721" s="1895"/>
      <c r="C721" s="1895"/>
      <c r="D721" s="1895"/>
      <c r="E721" s="1895"/>
      <c r="F721" s="1895"/>
      <c r="G721" s="1895"/>
      <c r="H721" s="1895"/>
      <c r="I721" s="1895"/>
      <c r="J721" s="1895"/>
      <c r="K721" s="1895"/>
      <c r="L721" s="1895"/>
      <c r="M721" s="1895"/>
      <c r="N721" s="1895"/>
      <c r="O721" s="1895"/>
      <c r="P721" s="1895"/>
      <c r="Q721" s="1895"/>
      <c r="R721" s="1895"/>
      <c r="S721" s="1895"/>
      <c r="T721" s="1895"/>
      <c r="U721" s="1895"/>
      <c r="V721" s="1895"/>
      <c r="W721" s="1895"/>
      <c r="X721" s="1895"/>
      <c r="Y721" s="1895"/>
      <c r="Z721" s="1895"/>
      <c r="AA721" s="1895"/>
      <c r="AB721" s="1895"/>
      <c r="AC721" s="1895"/>
      <c r="AD721" s="1895"/>
      <c r="AE721" s="1895"/>
      <c r="AF721" s="1895"/>
      <c r="AG721" s="1895"/>
      <c r="AH721" s="1895"/>
      <c r="AI721" s="1895"/>
      <c r="AJ721" s="1895"/>
      <c r="AK721" s="1895"/>
      <c r="AL721" s="1895"/>
      <c r="AM721" s="1895"/>
      <c r="AN721" s="1895"/>
      <c r="AO721" s="1895"/>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34" t="s">
        <v>406</v>
      </c>
      <c r="C724" s="2235"/>
      <c r="D724" s="2235"/>
      <c r="E724" s="2235"/>
      <c r="F724" s="2236"/>
      <c r="G724" s="2234" t="s">
        <v>291</v>
      </c>
      <c r="H724" s="2235"/>
      <c r="I724" s="2235"/>
      <c r="J724" s="2236"/>
      <c r="K724" s="2292" t="s">
        <v>2156</v>
      </c>
      <c r="L724" s="2293"/>
      <c r="M724" s="2293"/>
      <c r="N724" s="2294"/>
      <c r="O724" s="2234" t="s">
        <v>477</v>
      </c>
      <c r="P724" s="2235"/>
      <c r="Q724" s="2235"/>
      <c r="R724" s="2235"/>
      <c r="S724" s="2236"/>
      <c r="T724" s="2234" t="s">
        <v>292</v>
      </c>
      <c r="U724" s="2235"/>
      <c r="V724" s="2235"/>
      <c r="W724" s="2235"/>
      <c r="X724" s="2236"/>
      <c r="Y724" s="2234" t="s">
        <v>293</v>
      </c>
      <c r="Z724" s="2235"/>
      <c r="AA724" s="2235"/>
      <c r="AB724" s="2236"/>
      <c r="AC724" s="2234" t="s">
        <v>294</v>
      </c>
      <c r="AD724" s="2235"/>
      <c r="AE724" s="2235"/>
      <c r="AF724" s="2235"/>
      <c r="AG724" s="2236"/>
      <c r="AH724" s="2234" t="s">
        <v>407</v>
      </c>
      <c r="AI724" s="2235"/>
      <c r="AJ724" s="2235"/>
      <c r="AK724" s="2235"/>
      <c r="AL724" s="2236"/>
      <c r="AM724" s="2234" t="s">
        <v>681</v>
      </c>
      <c r="AN724" s="2235"/>
      <c r="AO724" s="2236"/>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37"/>
      <c r="C725" s="2238"/>
      <c r="D725" s="2238"/>
      <c r="E725" s="2238"/>
      <c r="F725" s="2239"/>
      <c r="G725" s="2237"/>
      <c r="H725" s="2238"/>
      <c r="I725" s="2238"/>
      <c r="J725" s="2239"/>
      <c r="K725" s="2295"/>
      <c r="L725" s="2296"/>
      <c r="M725" s="2296"/>
      <c r="N725" s="2297"/>
      <c r="O725" s="2237"/>
      <c r="P725" s="2238"/>
      <c r="Q725" s="2238"/>
      <c r="R725" s="2238"/>
      <c r="S725" s="2239"/>
      <c r="T725" s="2237"/>
      <c r="U725" s="2238"/>
      <c r="V725" s="2238"/>
      <c r="W725" s="2238"/>
      <c r="X725" s="2239"/>
      <c r="Y725" s="2237"/>
      <c r="Z725" s="2238"/>
      <c r="AA725" s="2238"/>
      <c r="AB725" s="2239"/>
      <c r="AC725" s="2237"/>
      <c r="AD725" s="2238"/>
      <c r="AE725" s="2238"/>
      <c r="AF725" s="2238"/>
      <c r="AG725" s="2239"/>
      <c r="AH725" s="2237"/>
      <c r="AI725" s="2238"/>
      <c r="AJ725" s="2238"/>
      <c r="AK725" s="2238"/>
      <c r="AL725" s="2239"/>
      <c r="AM725" s="2237"/>
      <c r="AN725" s="2238"/>
      <c r="AO725" s="2239"/>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37"/>
      <c r="C726" s="2238"/>
      <c r="D726" s="2238"/>
      <c r="E726" s="2238"/>
      <c r="F726" s="2239"/>
      <c r="G726" s="2237"/>
      <c r="H726" s="2238"/>
      <c r="I726" s="2238"/>
      <c r="J726" s="2239"/>
      <c r="K726" s="2295"/>
      <c r="L726" s="2296"/>
      <c r="M726" s="2296"/>
      <c r="N726" s="2297"/>
      <c r="O726" s="2237"/>
      <c r="P726" s="2238"/>
      <c r="Q726" s="2238"/>
      <c r="R726" s="2238"/>
      <c r="S726" s="2239"/>
      <c r="T726" s="2237"/>
      <c r="U726" s="2238"/>
      <c r="V726" s="2238"/>
      <c r="W726" s="2238"/>
      <c r="X726" s="2239"/>
      <c r="Y726" s="2237"/>
      <c r="Z726" s="2238"/>
      <c r="AA726" s="2238"/>
      <c r="AB726" s="2239"/>
      <c r="AC726" s="2237"/>
      <c r="AD726" s="2238"/>
      <c r="AE726" s="2238"/>
      <c r="AF726" s="2238"/>
      <c r="AG726" s="2239"/>
      <c r="AH726" s="2237"/>
      <c r="AI726" s="2238"/>
      <c r="AJ726" s="2238"/>
      <c r="AK726" s="2238"/>
      <c r="AL726" s="2239"/>
      <c r="AM726" s="2237"/>
      <c r="AN726" s="2238"/>
      <c r="AO726" s="2239"/>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40"/>
      <c r="C727" s="2241"/>
      <c r="D727" s="2241"/>
      <c r="E727" s="2241"/>
      <c r="F727" s="2242"/>
      <c r="G727" s="2240"/>
      <c r="H727" s="2241"/>
      <c r="I727" s="2241"/>
      <c r="J727" s="2242"/>
      <c r="K727" s="2295"/>
      <c r="L727" s="2296"/>
      <c r="M727" s="2296"/>
      <c r="N727" s="2297"/>
      <c r="O727" s="2240"/>
      <c r="P727" s="2241"/>
      <c r="Q727" s="2241"/>
      <c r="R727" s="2241"/>
      <c r="S727" s="2242"/>
      <c r="T727" s="2240"/>
      <c r="U727" s="2241"/>
      <c r="V727" s="2241"/>
      <c r="W727" s="2241"/>
      <c r="X727" s="2242"/>
      <c r="Y727" s="2240"/>
      <c r="Z727" s="2241"/>
      <c r="AA727" s="2241"/>
      <c r="AB727" s="2242"/>
      <c r="AC727" s="2240"/>
      <c r="AD727" s="2241"/>
      <c r="AE727" s="2241"/>
      <c r="AF727" s="2241"/>
      <c r="AG727" s="2242"/>
      <c r="AH727" s="2240"/>
      <c r="AI727" s="2241"/>
      <c r="AJ727" s="2241"/>
      <c r="AK727" s="2241"/>
      <c r="AL727" s="2242"/>
      <c r="AM727" s="2240"/>
      <c r="AN727" s="2241"/>
      <c r="AO727" s="2242"/>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10" t="s">
        <v>334</v>
      </c>
      <c r="C728" s="2211"/>
      <c r="D728" s="2211"/>
      <c r="E728" s="2211"/>
      <c r="F728" s="2212"/>
      <c r="G728" s="2355">
        <v>2</v>
      </c>
      <c r="H728" s="2356"/>
      <c r="I728" s="2356"/>
      <c r="J728" s="2357"/>
      <c r="K728" s="2223"/>
      <c r="L728" s="2224"/>
      <c r="M728" s="2224"/>
      <c r="N728" s="2225"/>
      <c r="O728" s="2285">
        <v>668</v>
      </c>
      <c r="P728" s="2286"/>
      <c r="Q728" s="2286"/>
      <c r="R728" s="2286"/>
      <c r="S728" s="2287"/>
      <c r="T728" s="2052">
        <f t="shared" ref="T728:T752" si="47">G728*O728</f>
        <v>1336</v>
      </c>
      <c r="U728" s="2053"/>
      <c r="V728" s="2053"/>
      <c r="W728" s="2053"/>
      <c r="X728" s="2054"/>
      <c r="Y728" s="2285">
        <v>14</v>
      </c>
      <c r="Z728" s="2286"/>
      <c r="AA728" s="2286"/>
      <c r="AB728" s="2287"/>
      <c r="AC728" s="2052">
        <f t="shared" ref="AC728:AC752" si="48">O728+Y728</f>
        <v>682</v>
      </c>
      <c r="AD728" s="2053"/>
      <c r="AE728" s="2053"/>
      <c r="AF728" s="2053"/>
      <c r="AG728" s="2054"/>
      <c r="AH728" s="2055">
        <v>0.3</v>
      </c>
      <c r="AI728" s="2056"/>
      <c r="AJ728" s="2056"/>
      <c r="AK728" s="2056"/>
      <c r="AL728" s="2057"/>
      <c r="AM728" s="2045">
        <f t="shared" ref="AM728:AM752" si="49">IF($AH728&gt;0,($AC728/$BA670), " ")</f>
        <v>0.30017605633802819</v>
      </c>
      <c r="AN728" s="2046"/>
      <c r="AO728" s="2047"/>
      <c r="AP728" s="239"/>
      <c r="AQ728" s="239"/>
      <c r="AR728" s="239"/>
      <c r="AS728" s="239"/>
      <c r="AT728" s="239"/>
      <c r="AU728" s="239"/>
      <c r="AV728" s="239"/>
      <c r="AW728" s="239"/>
      <c r="AX728" s="239"/>
      <c r="AY728" s="239"/>
      <c r="AZ728" s="58"/>
      <c r="BA728" s="58"/>
      <c r="BB728" s="58"/>
      <c r="BC728" s="58"/>
      <c r="BD728" s="58"/>
      <c r="BE728" s="58"/>
      <c r="BF728" s="58"/>
      <c r="BG728" s="1420">
        <f>SUM(BG703:BG727)</f>
        <v>88</v>
      </c>
      <c r="BH728" s="463">
        <f>SUM(BH703:BH727)</f>
        <v>0.99999999999999978</v>
      </c>
      <c r="BI728" s="463">
        <f>SUM(BI703:BI727)</f>
        <v>0.49893199572946245</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10" t="s">
        <v>168</v>
      </c>
      <c r="C729" s="2211"/>
      <c r="D729" s="2211"/>
      <c r="E729" s="2211"/>
      <c r="F729" s="2212"/>
      <c r="G729" s="2355">
        <v>2</v>
      </c>
      <c r="H729" s="2356"/>
      <c r="I729" s="2356"/>
      <c r="J729" s="2357"/>
      <c r="K729" s="2223"/>
      <c r="L729" s="2224"/>
      <c r="M729" s="2224"/>
      <c r="N729" s="2225"/>
      <c r="O729" s="2285">
        <v>799</v>
      </c>
      <c r="P729" s="2286"/>
      <c r="Q729" s="2286"/>
      <c r="R729" s="2286"/>
      <c r="S729" s="2287"/>
      <c r="T729" s="2052">
        <f t="shared" si="47"/>
        <v>1598</v>
      </c>
      <c r="U729" s="2053"/>
      <c r="V729" s="2053"/>
      <c r="W729" s="2053"/>
      <c r="X729" s="2054"/>
      <c r="Y729" s="2285">
        <v>19</v>
      </c>
      <c r="Z729" s="2286"/>
      <c r="AA729" s="2286"/>
      <c r="AB729" s="2287"/>
      <c r="AC729" s="2052">
        <f t="shared" si="48"/>
        <v>818</v>
      </c>
      <c r="AD729" s="2053"/>
      <c r="AE729" s="2053"/>
      <c r="AF729" s="2053"/>
      <c r="AG729" s="2054"/>
      <c r="AH729" s="2055">
        <v>0.3</v>
      </c>
      <c r="AI729" s="2056"/>
      <c r="AJ729" s="2056"/>
      <c r="AK729" s="2056"/>
      <c r="AL729" s="2057"/>
      <c r="AM729" s="2045">
        <f t="shared" si="49"/>
        <v>0.30007336757153336</v>
      </c>
      <c r="AN729" s="2046"/>
      <c r="AO729" s="2047"/>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10" t="s">
        <v>169</v>
      </c>
      <c r="C730" s="2211"/>
      <c r="D730" s="2211"/>
      <c r="E730" s="2211"/>
      <c r="F730" s="2212"/>
      <c r="G730" s="2355">
        <v>5</v>
      </c>
      <c r="H730" s="2356"/>
      <c r="I730" s="2356"/>
      <c r="J730" s="2357"/>
      <c r="K730" s="2223"/>
      <c r="L730" s="2224"/>
      <c r="M730" s="2224"/>
      <c r="N730" s="2225"/>
      <c r="O730" s="2285">
        <v>924</v>
      </c>
      <c r="P730" s="2286"/>
      <c r="Q730" s="2286"/>
      <c r="R730" s="2286"/>
      <c r="S730" s="2287"/>
      <c r="T730" s="2052">
        <f t="shared" si="47"/>
        <v>4620</v>
      </c>
      <c r="U730" s="2053"/>
      <c r="V730" s="2053"/>
      <c r="W730" s="2053"/>
      <c r="X730" s="2054"/>
      <c r="Y730" s="2285">
        <v>21</v>
      </c>
      <c r="Z730" s="2286"/>
      <c r="AA730" s="2286"/>
      <c r="AB730" s="2287"/>
      <c r="AC730" s="2052">
        <f t="shared" si="48"/>
        <v>945</v>
      </c>
      <c r="AD730" s="2053"/>
      <c r="AE730" s="2053"/>
      <c r="AF730" s="2053"/>
      <c r="AG730" s="2054"/>
      <c r="AH730" s="2055">
        <v>0.3</v>
      </c>
      <c r="AI730" s="2056"/>
      <c r="AJ730" s="2056"/>
      <c r="AK730" s="2056"/>
      <c r="AL730" s="2057"/>
      <c r="AM730" s="2045">
        <f t="shared" si="49"/>
        <v>0.3</v>
      </c>
      <c r="AN730" s="2046"/>
      <c r="AO730" s="2047"/>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10" t="s">
        <v>334</v>
      </c>
      <c r="C731" s="2211"/>
      <c r="D731" s="2211"/>
      <c r="E731" s="2211"/>
      <c r="F731" s="2212"/>
      <c r="G731" s="2355">
        <v>12</v>
      </c>
      <c r="H731" s="2356"/>
      <c r="I731" s="2356"/>
      <c r="J731" s="2357"/>
      <c r="K731" s="2223"/>
      <c r="L731" s="2224"/>
      <c r="M731" s="2224"/>
      <c r="N731" s="2225"/>
      <c r="O731" s="2285">
        <v>895</v>
      </c>
      <c r="P731" s="2286"/>
      <c r="Q731" s="2286"/>
      <c r="R731" s="2286"/>
      <c r="S731" s="2287"/>
      <c r="T731" s="2052">
        <f t="shared" si="47"/>
        <v>10740</v>
      </c>
      <c r="U731" s="2053"/>
      <c r="V731" s="2053"/>
      <c r="W731" s="2053"/>
      <c r="X731" s="2054"/>
      <c r="Y731" s="2285">
        <v>14</v>
      </c>
      <c r="Z731" s="2286"/>
      <c r="AA731" s="2286"/>
      <c r="AB731" s="2287"/>
      <c r="AC731" s="2052">
        <f t="shared" si="48"/>
        <v>909</v>
      </c>
      <c r="AD731" s="2053"/>
      <c r="AE731" s="2053"/>
      <c r="AF731" s="2053"/>
      <c r="AG731" s="2054"/>
      <c r="AH731" s="2055">
        <v>0.4</v>
      </c>
      <c r="AI731" s="2056"/>
      <c r="AJ731" s="2056"/>
      <c r="AK731" s="2056"/>
      <c r="AL731" s="2057"/>
      <c r="AM731" s="2045">
        <f t="shared" si="49"/>
        <v>0.40008802816901406</v>
      </c>
      <c r="AN731" s="2046"/>
      <c r="AO731" s="2047"/>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10" t="s">
        <v>168</v>
      </c>
      <c r="C732" s="2211"/>
      <c r="D732" s="2211"/>
      <c r="E732" s="2211"/>
      <c r="F732" s="2212"/>
      <c r="G732" s="2355">
        <v>4</v>
      </c>
      <c r="H732" s="2356"/>
      <c r="I732" s="2356"/>
      <c r="J732" s="2357"/>
      <c r="K732" s="2223"/>
      <c r="L732" s="2224"/>
      <c r="M732" s="2224"/>
      <c r="N732" s="2225"/>
      <c r="O732" s="2285">
        <v>1072</v>
      </c>
      <c r="P732" s="2286"/>
      <c r="Q732" s="2286"/>
      <c r="R732" s="2286"/>
      <c r="S732" s="2287"/>
      <c r="T732" s="2052">
        <f t="shared" si="47"/>
        <v>4288</v>
      </c>
      <c r="U732" s="2053"/>
      <c r="V732" s="2053"/>
      <c r="W732" s="2053"/>
      <c r="X732" s="2054"/>
      <c r="Y732" s="2285">
        <v>19</v>
      </c>
      <c r="Z732" s="2286"/>
      <c r="AA732" s="2286"/>
      <c r="AB732" s="2287"/>
      <c r="AC732" s="2052">
        <f t="shared" si="48"/>
        <v>1091</v>
      </c>
      <c r="AD732" s="2053"/>
      <c r="AE732" s="2053"/>
      <c r="AF732" s="2053"/>
      <c r="AG732" s="2054"/>
      <c r="AH732" s="2055">
        <v>0.4</v>
      </c>
      <c r="AI732" s="2056"/>
      <c r="AJ732" s="2056"/>
      <c r="AK732" s="2056"/>
      <c r="AL732" s="2057"/>
      <c r="AM732" s="2045">
        <f t="shared" si="49"/>
        <v>0.40022010271460012</v>
      </c>
      <c r="AN732" s="2046"/>
      <c r="AO732" s="2047"/>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10" t="s">
        <v>169</v>
      </c>
      <c r="C733" s="2211"/>
      <c r="D733" s="2211"/>
      <c r="E733" s="2211"/>
      <c r="F733" s="2212"/>
      <c r="G733" s="2355">
        <v>10</v>
      </c>
      <c r="H733" s="2356"/>
      <c r="I733" s="2356"/>
      <c r="J733" s="2357"/>
      <c r="K733" s="2223"/>
      <c r="L733" s="2224"/>
      <c r="M733" s="2224"/>
      <c r="N733" s="2225"/>
      <c r="O733" s="2285">
        <v>1239</v>
      </c>
      <c r="P733" s="2286"/>
      <c r="Q733" s="2286"/>
      <c r="R733" s="2286"/>
      <c r="S733" s="2287"/>
      <c r="T733" s="2052">
        <f t="shared" si="47"/>
        <v>12390</v>
      </c>
      <c r="U733" s="2053"/>
      <c r="V733" s="2053"/>
      <c r="W733" s="2053"/>
      <c r="X733" s="2054"/>
      <c r="Y733" s="2285">
        <v>21</v>
      </c>
      <c r="Z733" s="2286"/>
      <c r="AA733" s="2286"/>
      <c r="AB733" s="2287"/>
      <c r="AC733" s="2052">
        <f t="shared" si="48"/>
        <v>1260</v>
      </c>
      <c r="AD733" s="2053"/>
      <c r="AE733" s="2053"/>
      <c r="AF733" s="2053"/>
      <c r="AG733" s="2054"/>
      <c r="AH733" s="2055">
        <v>0.4</v>
      </c>
      <c r="AI733" s="2056"/>
      <c r="AJ733" s="2056"/>
      <c r="AK733" s="2056"/>
      <c r="AL733" s="2057"/>
      <c r="AM733" s="2045">
        <f t="shared" si="49"/>
        <v>0.4</v>
      </c>
      <c r="AN733" s="2046"/>
      <c r="AO733" s="2047"/>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10" t="s">
        <v>334</v>
      </c>
      <c r="C734" s="2211"/>
      <c r="D734" s="2211"/>
      <c r="E734" s="2211"/>
      <c r="F734" s="2212"/>
      <c r="G734" s="2355">
        <v>3</v>
      </c>
      <c r="H734" s="2356"/>
      <c r="I734" s="2356"/>
      <c r="J734" s="2357"/>
      <c r="K734" s="2223"/>
      <c r="L734" s="2224"/>
      <c r="M734" s="2224"/>
      <c r="N734" s="2225"/>
      <c r="O734" s="2285">
        <v>1122</v>
      </c>
      <c r="P734" s="2286"/>
      <c r="Q734" s="2286"/>
      <c r="R734" s="2286"/>
      <c r="S734" s="2287"/>
      <c r="T734" s="2052">
        <f t="shared" si="47"/>
        <v>3366</v>
      </c>
      <c r="U734" s="2053"/>
      <c r="V734" s="2053"/>
      <c r="W734" s="2053"/>
      <c r="X734" s="2054"/>
      <c r="Y734" s="2285">
        <v>14</v>
      </c>
      <c r="Z734" s="2286"/>
      <c r="AA734" s="2286"/>
      <c r="AB734" s="2287"/>
      <c r="AC734" s="2052">
        <f t="shared" si="48"/>
        <v>1136</v>
      </c>
      <c r="AD734" s="2053"/>
      <c r="AE734" s="2053"/>
      <c r="AF734" s="2053"/>
      <c r="AG734" s="2054"/>
      <c r="AH734" s="2055">
        <v>0.5</v>
      </c>
      <c r="AI734" s="2056"/>
      <c r="AJ734" s="2056"/>
      <c r="AK734" s="2056"/>
      <c r="AL734" s="2057"/>
      <c r="AM734" s="2045">
        <f t="shared" si="49"/>
        <v>0.5</v>
      </c>
      <c r="AN734" s="2046"/>
      <c r="AO734" s="2047"/>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10" t="s">
        <v>168</v>
      </c>
      <c r="C735" s="2211"/>
      <c r="D735" s="2211"/>
      <c r="E735" s="2211"/>
      <c r="F735" s="2212"/>
      <c r="G735" s="2355">
        <v>2</v>
      </c>
      <c r="H735" s="2356"/>
      <c r="I735" s="2356"/>
      <c r="J735" s="2357"/>
      <c r="K735" s="2223"/>
      <c r="L735" s="2224"/>
      <c r="M735" s="2224"/>
      <c r="N735" s="2225"/>
      <c r="O735" s="2285">
        <v>1344</v>
      </c>
      <c r="P735" s="2286"/>
      <c r="Q735" s="2286"/>
      <c r="R735" s="2286"/>
      <c r="S735" s="2287"/>
      <c r="T735" s="2052">
        <f t="shared" si="47"/>
        <v>2688</v>
      </c>
      <c r="U735" s="2053"/>
      <c r="V735" s="2053"/>
      <c r="W735" s="2053"/>
      <c r="X735" s="2054"/>
      <c r="Y735" s="2285">
        <v>19</v>
      </c>
      <c r="Z735" s="2286"/>
      <c r="AA735" s="2286"/>
      <c r="AB735" s="2287"/>
      <c r="AC735" s="2052">
        <f t="shared" si="48"/>
        <v>1363</v>
      </c>
      <c r="AD735" s="2053"/>
      <c r="AE735" s="2053"/>
      <c r="AF735" s="2053"/>
      <c r="AG735" s="2054"/>
      <c r="AH735" s="2055">
        <v>0.5</v>
      </c>
      <c r="AI735" s="2056"/>
      <c r="AJ735" s="2056"/>
      <c r="AK735" s="2056"/>
      <c r="AL735" s="2057"/>
      <c r="AM735" s="2045">
        <f t="shared" si="49"/>
        <v>0.5</v>
      </c>
      <c r="AN735" s="2046"/>
      <c r="AO735" s="2047"/>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10" t="s">
        <v>169</v>
      </c>
      <c r="C736" s="2211"/>
      <c r="D736" s="2211"/>
      <c r="E736" s="2211"/>
      <c r="F736" s="2212"/>
      <c r="G736" s="2355">
        <v>5</v>
      </c>
      <c r="H736" s="2356"/>
      <c r="I736" s="2356"/>
      <c r="J736" s="2357"/>
      <c r="K736" s="2223"/>
      <c r="L736" s="2224"/>
      <c r="M736" s="2224"/>
      <c r="N736" s="2225"/>
      <c r="O736" s="2285">
        <v>1554</v>
      </c>
      <c r="P736" s="2286"/>
      <c r="Q736" s="2286"/>
      <c r="R736" s="2286"/>
      <c r="S736" s="2287"/>
      <c r="T736" s="2052">
        <f t="shared" si="47"/>
        <v>7770</v>
      </c>
      <c r="U736" s="2053"/>
      <c r="V736" s="2053"/>
      <c r="W736" s="2053"/>
      <c r="X736" s="2054"/>
      <c r="Y736" s="2285">
        <v>21</v>
      </c>
      <c r="Z736" s="2286"/>
      <c r="AA736" s="2286"/>
      <c r="AB736" s="2287"/>
      <c r="AC736" s="2052">
        <f t="shared" si="48"/>
        <v>1575</v>
      </c>
      <c r="AD736" s="2053"/>
      <c r="AE736" s="2053"/>
      <c r="AF736" s="2053"/>
      <c r="AG736" s="2054"/>
      <c r="AH736" s="2055">
        <v>0.5</v>
      </c>
      <c r="AI736" s="2056"/>
      <c r="AJ736" s="2056"/>
      <c r="AK736" s="2056"/>
      <c r="AL736" s="2057"/>
      <c r="AM736" s="2045">
        <f t="shared" si="49"/>
        <v>0.5</v>
      </c>
      <c r="AN736" s="2046"/>
      <c r="AO736" s="2047"/>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10" t="s">
        <v>334</v>
      </c>
      <c r="C737" s="2211"/>
      <c r="D737" s="2211"/>
      <c r="E737" s="2211"/>
      <c r="F737" s="2212"/>
      <c r="G737" s="2355">
        <v>6</v>
      </c>
      <c r="H737" s="2356"/>
      <c r="I737" s="2356"/>
      <c r="J737" s="2357"/>
      <c r="K737" s="2223"/>
      <c r="L737" s="2224"/>
      <c r="M737" s="2224"/>
      <c r="N737" s="2225"/>
      <c r="O737" s="2285">
        <v>1350</v>
      </c>
      <c r="P737" s="2286"/>
      <c r="Q737" s="2286"/>
      <c r="R737" s="2286"/>
      <c r="S737" s="2287"/>
      <c r="T737" s="2052">
        <f t="shared" si="47"/>
        <v>8100</v>
      </c>
      <c r="U737" s="2053"/>
      <c r="V737" s="2053"/>
      <c r="W737" s="2053"/>
      <c r="X737" s="2054"/>
      <c r="Y737" s="2285">
        <v>14</v>
      </c>
      <c r="Z737" s="2286"/>
      <c r="AA737" s="2286"/>
      <c r="AB737" s="2287"/>
      <c r="AC737" s="2052">
        <f t="shared" si="48"/>
        <v>1364</v>
      </c>
      <c r="AD737" s="2053"/>
      <c r="AE737" s="2053"/>
      <c r="AF737" s="2053"/>
      <c r="AG737" s="2054"/>
      <c r="AH737" s="2055">
        <v>0.6</v>
      </c>
      <c r="AI737" s="2056"/>
      <c r="AJ737" s="2056"/>
      <c r="AK737" s="2056"/>
      <c r="AL737" s="2057"/>
      <c r="AM737" s="2045">
        <f t="shared" si="49"/>
        <v>0.60035211267605637</v>
      </c>
      <c r="AN737" s="2046"/>
      <c r="AO737" s="2047"/>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10" t="s">
        <v>168</v>
      </c>
      <c r="C738" s="2211"/>
      <c r="D738" s="2211"/>
      <c r="E738" s="2211"/>
      <c r="F738" s="2212"/>
      <c r="G738" s="2355">
        <v>8</v>
      </c>
      <c r="H738" s="2356"/>
      <c r="I738" s="2356"/>
      <c r="J738" s="2357"/>
      <c r="K738" s="2223"/>
      <c r="L738" s="2224"/>
      <c r="M738" s="2224"/>
      <c r="N738" s="2225"/>
      <c r="O738" s="2285">
        <v>1617</v>
      </c>
      <c r="P738" s="2286"/>
      <c r="Q738" s="2286"/>
      <c r="R738" s="2286"/>
      <c r="S738" s="2287"/>
      <c r="T738" s="2052">
        <f t="shared" si="47"/>
        <v>12936</v>
      </c>
      <c r="U738" s="2053"/>
      <c r="V738" s="2053"/>
      <c r="W738" s="2053"/>
      <c r="X738" s="2054"/>
      <c r="Y738" s="2285">
        <v>19</v>
      </c>
      <c r="Z738" s="2286"/>
      <c r="AA738" s="2286"/>
      <c r="AB738" s="2287"/>
      <c r="AC738" s="2052">
        <f t="shared" si="48"/>
        <v>1636</v>
      </c>
      <c r="AD738" s="2053"/>
      <c r="AE738" s="2053"/>
      <c r="AF738" s="2053"/>
      <c r="AG738" s="2054"/>
      <c r="AH738" s="2055">
        <v>0.6</v>
      </c>
      <c r="AI738" s="2056"/>
      <c r="AJ738" s="2056"/>
      <c r="AK738" s="2056"/>
      <c r="AL738" s="2057"/>
      <c r="AM738" s="2045">
        <f t="shared" si="49"/>
        <v>0.60014673514306671</v>
      </c>
      <c r="AN738" s="2046"/>
      <c r="AO738" s="2047"/>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10" t="s">
        <v>169</v>
      </c>
      <c r="C739" s="2211"/>
      <c r="D739" s="2211"/>
      <c r="E739" s="2211"/>
      <c r="F739" s="2212"/>
      <c r="G739" s="2355">
        <v>27</v>
      </c>
      <c r="H739" s="2356"/>
      <c r="I739" s="2356"/>
      <c r="J739" s="2357"/>
      <c r="K739" s="2223"/>
      <c r="L739" s="2224"/>
      <c r="M739" s="2224"/>
      <c r="N739" s="2225"/>
      <c r="O739" s="2285">
        <v>1869</v>
      </c>
      <c r="P739" s="2286"/>
      <c r="Q739" s="2286"/>
      <c r="R739" s="2286"/>
      <c r="S739" s="2287"/>
      <c r="T739" s="2052">
        <f t="shared" si="47"/>
        <v>50463</v>
      </c>
      <c r="U739" s="2053"/>
      <c r="V739" s="2053"/>
      <c r="W739" s="2053"/>
      <c r="X739" s="2054"/>
      <c r="Y739" s="2285">
        <v>21</v>
      </c>
      <c r="Z739" s="2286"/>
      <c r="AA739" s="2286"/>
      <c r="AB739" s="2287"/>
      <c r="AC739" s="2052">
        <f t="shared" si="48"/>
        <v>1890</v>
      </c>
      <c r="AD739" s="2053"/>
      <c r="AE739" s="2053"/>
      <c r="AF739" s="2053"/>
      <c r="AG739" s="2054"/>
      <c r="AH739" s="2055">
        <v>0.6</v>
      </c>
      <c r="AI739" s="2056"/>
      <c r="AJ739" s="2056"/>
      <c r="AK739" s="2056"/>
      <c r="AL739" s="2057"/>
      <c r="AM739" s="2045">
        <f t="shared" si="49"/>
        <v>0.6</v>
      </c>
      <c r="AN739" s="2046"/>
      <c r="AO739" s="2047"/>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10" t="s">
        <v>168</v>
      </c>
      <c r="C740" s="2211"/>
      <c r="D740" s="2211"/>
      <c r="E740" s="2211"/>
      <c r="F740" s="2212"/>
      <c r="G740" s="2355">
        <v>2</v>
      </c>
      <c r="H740" s="2356"/>
      <c r="I740" s="2356"/>
      <c r="J740" s="2357"/>
      <c r="K740" s="2223"/>
      <c r="L740" s="2224"/>
      <c r="M740" s="2224"/>
      <c r="N740" s="2225"/>
      <c r="O740" s="2285">
        <v>1592</v>
      </c>
      <c r="P740" s="2286"/>
      <c r="Q740" s="2286"/>
      <c r="R740" s="2286"/>
      <c r="S740" s="2287"/>
      <c r="T740" s="2052">
        <f t="shared" si="47"/>
        <v>3184</v>
      </c>
      <c r="U740" s="2053"/>
      <c r="V740" s="2053"/>
      <c r="W740" s="2053"/>
      <c r="X740" s="2054"/>
      <c r="Y740" s="2285">
        <v>44</v>
      </c>
      <c r="Z740" s="2286"/>
      <c r="AA740" s="2286"/>
      <c r="AB740" s="2287"/>
      <c r="AC740" s="2052">
        <f t="shared" si="48"/>
        <v>1636</v>
      </c>
      <c r="AD740" s="2053"/>
      <c r="AE740" s="2053"/>
      <c r="AF740" s="2053"/>
      <c r="AG740" s="2054"/>
      <c r="AH740" s="2055">
        <v>0.6</v>
      </c>
      <c r="AI740" s="2056"/>
      <c r="AJ740" s="2056"/>
      <c r="AK740" s="2056"/>
      <c r="AL740" s="2057"/>
      <c r="AM740" s="2045">
        <f t="shared" si="49"/>
        <v>0.60014673514306671</v>
      </c>
      <c r="AN740" s="2046"/>
      <c r="AO740" s="2047"/>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10"/>
      <c r="C741" s="2211"/>
      <c r="D741" s="2211"/>
      <c r="E741" s="2211"/>
      <c r="F741" s="2212"/>
      <c r="G741" s="2355"/>
      <c r="H741" s="2356"/>
      <c r="I741" s="2356"/>
      <c r="J741" s="2357"/>
      <c r="K741" s="2223"/>
      <c r="L741" s="2224"/>
      <c r="M741" s="2224"/>
      <c r="N741" s="2225"/>
      <c r="O741" s="2285"/>
      <c r="P741" s="2286"/>
      <c r="Q741" s="2286"/>
      <c r="R741" s="2286"/>
      <c r="S741" s="2287"/>
      <c r="T741" s="2052">
        <f t="shared" si="47"/>
        <v>0</v>
      </c>
      <c r="U741" s="2053"/>
      <c r="V741" s="2053"/>
      <c r="W741" s="2053"/>
      <c r="X741" s="2054"/>
      <c r="Y741" s="2285">
        <v>0</v>
      </c>
      <c r="Z741" s="2286"/>
      <c r="AA741" s="2286"/>
      <c r="AB741" s="2287"/>
      <c r="AC741" s="2052">
        <f t="shared" si="48"/>
        <v>0</v>
      </c>
      <c r="AD741" s="2053"/>
      <c r="AE741" s="2053"/>
      <c r="AF741" s="2053"/>
      <c r="AG741" s="2054"/>
      <c r="AH741" s="2055">
        <v>0</v>
      </c>
      <c r="AI741" s="2056"/>
      <c r="AJ741" s="2056"/>
      <c r="AK741" s="2056"/>
      <c r="AL741" s="2057"/>
      <c r="AM741" s="2045" t="str">
        <f t="shared" si="49"/>
        <v xml:space="preserve"> </v>
      </c>
      <c r="AN741" s="2046"/>
      <c r="AO741" s="2047"/>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10"/>
      <c r="C742" s="2211"/>
      <c r="D742" s="2211"/>
      <c r="E742" s="2211"/>
      <c r="F742" s="2212"/>
      <c r="G742" s="2355"/>
      <c r="H742" s="2356"/>
      <c r="I742" s="2356"/>
      <c r="J742" s="2357"/>
      <c r="K742" s="2223"/>
      <c r="L742" s="2224"/>
      <c r="M742" s="2224"/>
      <c r="N742" s="2225"/>
      <c r="O742" s="2285"/>
      <c r="P742" s="2286"/>
      <c r="Q742" s="2286"/>
      <c r="R742" s="2286"/>
      <c r="S742" s="2287"/>
      <c r="T742" s="2052">
        <f t="shared" si="47"/>
        <v>0</v>
      </c>
      <c r="U742" s="2053"/>
      <c r="V742" s="2053"/>
      <c r="W742" s="2053"/>
      <c r="X742" s="2054"/>
      <c r="Y742" s="2285">
        <v>0</v>
      </c>
      <c r="Z742" s="2286"/>
      <c r="AA742" s="2286"/>
      <c r="AB742" s="2287"/>
      <c r="AC742" s="2052">
        <f t="shared" si="48"/>
        <v>0</v>
      </c>
      <c r="AD742" s="2053"/>
      <c r="AE742" s="2053"/>
      <c r="AF742" s="2053"/>
      <c r="AG742" s="2054"/>
      <c r="AH742" s="2055">
        <v>0</v>
      </c>
      <c r="AI742" s="2056"/>
      <c r="AJ742" s="2056"/>
      <c r="AK742" s="2056"/>
      <c r="AL742" s="2057"/>
      <c r="AM742" s="2045" t="str">
        <f t="shared" si="49"/>
        <v xml:space="preserve"> </v>
      </c>
      <c r="AN742" s="2046"/>
      <c r="AO742" s="2047"/>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10"/>
      <c r="C743" s="2211"/>
      <c r="D743" s="2211"/>
      <c r="E743" s="2211"/>
      <c r="F743" s="2212"/>
      <c r="G743" s="2355"/>
      <c r="H743" s="2356"/>
      <c r="I743" s="2356"/>
      <c r="J743" s="2357"/>
      <c r="K743" s="2223"/>
      <c r="L743" s="2224"/>
      <c r="M743" s="2224"/>
      <c r="N743" s="2225"/>
      <c r="O743" s="2285"/>
      <c r="P743" s="2286"/>
      <c r="Q743" s="2286"/>
      <c r="R743" s="2286"/>
      <c r="S743" s="2287"/>
      <c r="T743" s="2052">
        <f t="shared" si="47"/>
        <v>0</v>
      </c>
      <c r="U743" s="2053"/>
      <c r="V743" s="2053"/>
      <c r="W743" s="2053"/>
      <c r="X743" s="2054"/>
      <c r="Y743" s="2285">
        <v>0</v>
      </c>
      <c r="Z743" s="2286"/>
      <c r="AA743" s="2286"/>
      <c r="AB743" s="2287"/>
      <c r="AC743" s="2052">
        <f t="shared" si="48"/>
        <v>0</v>
      </c>
      <c r="AD743" s="2053"/>
      <c r="AE743" s="2053"/>
      <c r="AF743" s="2053"/>
      <c r="AG743" s="2054"/>
      <c r="AH743" s="2055">
        <v>0</v>
      </c>
      <c r="AI743" s="2056"/>
      <c r="AJ743" s="2056"/>
      <c r="AK743" s="2056"/>
      <c r="AL743" s="2057"/>
      <c r="AM743" s="2045" t="str">
        <f t="shared" si="49"/>
        <v xml:space="preserve"> </v>
      </c>
      <c r="AN743" s="2046"/>
      <c r="AO743" s="2047"/>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10"/>
      <c r="C744" s="2211"/>
      <c r="D744" s="2211"/>
      <c r="E744" s="2211"/>
      <c r="F744" s="2212"/>
      <c r="G744" s="2355"/>
      <c r="H744" s="2356"/>
      <c r="I744" s="2356"/>
      <c r="J744" s="2357"/>
      <c r="K744" s="2223"/>
      <c r="L744" s="2224"/>
      <c r="M744" s="2224"/>
      <c r="N744" s="2225"/>
      <c r="O744" s="2285"/>
      <c r="P744" s="2286"/>
      <c r="Q744" s="2286"/>
      <c r="R744" s="2286"/>
      <c r="S744" s="2287"/>
      <c r="T744" s="2052">
        <f t="shared" si="47"/>
        <v>0</v>
      </c>
      <c r="U744" s="2053"/>
      <c r="V744" s="2053"/>
      <c r="W744" s="2053"/>
      <c r="X744" s="2054"/>
      <c r="Y744" s="2285">
        <v>0</v>
      </c>
      <c r="Z744" s="2286"/>
      <c r="AA744" s="2286"/>
      <c r="AB744" s="2287"/>
      <c r="AC744" s="2052">
        <f t="shared" si="48"/>
        <v>0</v>
      </c>
      <c r="AD744" s="2053"/>
      <c r="AE744" s="2053"/>
      <c r="AF744" s="2053"/>
      <c r="AG744" s="2054"/>
      <c r="AH744" s="2055">
        <v>0</v>
      </c>
      <c r="AI744" s="2056"/>
      <c r="AJ744" s="2056"/>
      <c r="AK744" s="2056"/>
      <c r="AL744" s="2057"/>
      <c r="AM744" s="2045" t="str">
        <f t="shared" si="49"/>
        <v xml:space="preserve"> </v>
      </c>
      <c r="AN744" s="2046"/>
      <c r="AO744" s="2047"/>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10"/>
      <c r="C745" s="2211"/>
      <c r="D745" s="2211"/>
      <c r="E745" s="2211"/>
      <c r="F745" s="2212"/>
      <c r="G745" s="2355"/>
      <c r="H745" s="2356"/>
      <c r="I745" s="2356"/>
      <c r="J745" s="2357"/>
      <c r="K745" s="2223"/>
      <c r="L745" s="2224"/>
      <c r="M745" s="2224"/>
      <c r="N745" s="2225"/>
      <c r="O745" s="2285"/>
      <c r="P745" s="2286"/>
      <c r="Q745" s="2286"/>
      <c r="R745" s="2286"/>
      <c r="S745" s="2287"/>
      <c r="T745" s="2052">
        <f t="shared" si="47"/>
        <v>0</v>
      </c>
      <c r="U745" s="2053"/>
      <c r="V745" s="2053"/>
      <c r="W745" s="2053"/>
      <c r="X745" s="2054"/>
      <c r="Y745" s="2285">
        <v>0</v>
      </c>
      <c r="Z745" s="2286"/>
      <c r="AA745" s="2286"/>
      <c r="AB745" s="2287"/>
      <c r="AC745" s="2052">
        <f t="shared" si="48"/>
        <v>0</v>
      </c>
      <c r="AD745" s="2053"/>
      <c r="AE745" s="2053"/>
      <c r="AF745" s="2053"/>
      <c r="AG745" s="2054"/>
      <c r="AH745" s="2055">
        <v>0</v>
      </c>
      <c r="AI745" s="2056"/>
      <c r="AJ745" s="2056"/>
      <c r="AK745" s="2056"/>
      <c r="AL745" s="2057"/>
      <c r="AM745" s="2045" t="str">
        <f t="shared" si="49"/>
        <v xml:space="preserve"> </v>
      </c>
      <c r="AN745" s="2046"/>
      <c r="AO745" s="2047"/>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10"/>
      <c r="C746" s="2211"/>
      <c r="D746" s="2211"/>
      <c r="E746" s="2211"/>
      <c r="F746" s="2212"/>
      <c r="G746" s="2355"/>
      <c r="H746" s="2356"/>
      <c r="I746" s="2356"/>
      <c r="J746" s="2357"/>
      <c r="K746" s="2223"/>
      <c r="L746" s="2224"/>
      <c r="M746" s="2224"/>
      <c r="N746" s="2225"/>
      <c r="O746" s="2285"/>
      <c r="P746" s="2286"/>
      <c r="Q746" s="2286"/>
      <c r="R746" s="2286"/>
      <c r="S746" s="2287"/>
      <c r="T746" s="2052">
        <f t="shared" si="47"/>
        <v>0</v>
      </c>
      <c r="U746" s="2053"/>
      <c r="V746" s="2053"/>
      <c r="W746" s="2053"/>
      <c r="X746" s="2054"/>
      <c r="Y746" s="2285">
        <v>0</v>
      </c>
      <c r="Z746" s="2286"/>
      <c r="AA746" s="2286"/>
      <c r="AB746" s="2287"/>
      <c r="AC746" s="2052">
        <f t="shared" si="48"/>
        <v>0</v>
      </c>
      <c r="AD746" s="2053"/>
      <c r="AE746" s="2053"/>
      <c r="AF746" s="2053"/>
      <c r="AG746" s="2054"/>
      <c r="AH746" s="2055">
        <v>0</v>
      </c>
      <c r="AI746" s="2056"/>
      <c r="AJ746" s="2056"/>
      <c r="AK746" s="2056"/>
      <c r="AL746" s="2057"/>
      <c r="AM746" s="2045" t="str">
        <f t="shared" si="49"/>
        <v xml:space="preserve"> </v>
      </c>
      <c r="AN746" s="2046"/>
      <c r="AO746" s="2047"/>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10"/>
      <c r="C747" s="2211"/>
      <c r="D747" s="2211"/>
      <c r="E747" s="2211"/>
      <c r="F747" s="2212"/>
      <c r="G747" s="2355"/>
      <c r="H747" s="2356"/>
      <c r="I747" s="2356"/>
      <c r="J747" s="2357"/>
      <c r="K747" s="2223"/>
      <c r="L747" s="2224"/>
      <c r="M747" s="2224"/>
      <c r="N747" s="2225"/>
      <c r="O747" s="2285"/>
      <c r="P747" s="2286"/>
      <c r="Q747" s="2286"/>
      <c r="R747" s="2286"/>
      <c r="S747" s="2287"/>
      <c r="T747" s="2052">
        <f t="shared" si="47"/>
        <v>0</v>
      </c>
      <c r="U747" s="2053"/>
      <c r="V747" s="2053"/>
      <c r="W747" s="2053"/>
      <c r="X747" s="2054"/>
      <c r="Y747" s="2285">
        <v>0</v>
      </c>
      <c r="Z747" s="2286"/>
      <c r="AA747" s="2286"/>
      <c r="AB747" s="2287"/>
      <c r="AC747" s="2052">
        <f t="shared" si="48"/>
        <v>0</v>
      </c>
      <c r="AD747" s="2053"/>
      <c r="AE747" s="2053"/>
      <c r="AF747" s="2053"/>
      <c r="AG747" s="2054"/>
      <c r="AH747" s="2055">
        <v>0</v>
      </c>
      <c r="AI747" s="2056"/>
      <c r="AJ747" s="2056"/>
      <c r="AK747" s="2056"/>
      <c r="AL747" s="2057"/>
      <c r="AM747" s="2045" t="str">
        <f t="shared" si="49"/>
        <v xml:space="preserve"> </v>
      </c>
      <c r="AN747" s="2046"/>
      <c r="AO747" s="2047"/>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10"/>
      <c r="C748" s="2211"/>
      <c r="D748" s="2211"/>
      <c r="E748" s="2211"/>
      <c r="F748" s="2212"/>
      <c r="G748" s="2355"/>
      <c r="H748" s="2356"/>
      <c r="I748" s="2356"/>
      <c r="J748" s="2357"/>
      <c r="K748" s="2223"/>
      <c r="L748" s="2224"/>
      <c r="M748" s="2224"/>
      <c r="N748" s="2225"/>
      <c r="O748" s="2285"/>
      <c r="P748" s="2286"/>
      <c r="Q748" s="2286"/>
      <c r="R748" s="2286"/>
      <c r="S748" s="2287"/>
      <c r="T748" s="2052">
        <f t="shared" si="47"/>
        <v>0</v>
      </c>
      <c r="U748" s="2053"/>
      <c r="V748" s="2053"/>
      <c r="W748" s="2053"/>
      <c r="X748" s="2054"/>
      <c r="Y748" s="2285">
        <v>0</v>
      </c>
      <c r="Z748" s="2286"/>
      <c r="AA748" s="2286"/>
      <c r="AB748" s="2287"/>
      <c r="AC748" s="2052">
        <f t="shared" si="48"/>
        <v>0</v>
      </c>
      <c r="AD748" s="2053"/>
      <c r="AE748" s="2053"/>
      <c r="AF748" s="2053"/>
      <c r="AG748" s="2054"/>
      <c r="AH748" s="2055">
        <v>0</v>
      </c>
      <c r="AI748" s="2056"/>
      <c r="AJ748" s="2056"/>
      <c r="AK748" s="2056"/>
      <c r="AL748" s="2057"/>
      <c r="AM748" s="2045" t="str">
        <f t="shared" si="49"/>
        <v xml:space="preserve"> </v>
      </c>
      <c r="AN748" s="2046"/>
      <c r="AO748" s="2047"/>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10"/>
      <c r="C749" s="2211"/>
      <c r="D749" s="2211"/>
      <c r="E749" s="2211"/>
      <c r="F749" s="2212"/>
      <c r="G749" s="2355"/>
      <c r="H749" s="2356"/>
      <c r="I749" s="2356"/>
      <c r="J749" s="2357"/>
      <c r="K749" s="2223"/>
      <c r="L749" s="2224"/>
      <c r="M749" s="2224"/>
      <c r="N749" s="2225"/>
      <c r="O749" s="2285"/>
      <c r="P749" s="2286"/>
      <c r="Q749" s="2286"/>
      <c r="R749" s="2286"/>
      <c r="S749" s="2287"/>
      <c r="T749" s="2052">
        <f t="shared" si="47"/>
        <v>0</v>
      </c>
      <c r="U749" s="2053"/>
      <c r="V749" s="2053"/>
      <c r="W749" s="2053"/>
      <c r="X749" s="2054"/>
      <c r="Y749" s="2285">
        <v>0</v>
      </c>
      <c r="Z749" s="2286"/>
      <c r="AA749" s="2286"/>
      <c r="AB749" s="2287"/>
      <c r="AC749" s="2052">
        <f t="shared" si="48"/>
        <v>0</v>
      </c>
      <c r="AD749" s="2053"/>
      <c r="AE749" s="2053"/>
      <c r="AF749" s="2053"/>
      <c r="AG749" s="2054"/>
      <c r="AH749" s="2055">
        <v>0</v>
      </c>
      <c r="AI749" s="2056"/>
      <c r="AJ749" s="2056"/>
      <c r="AK749" s="2056"/>
      <c r="AL749" s="2057"/>
      <c r="AM749" s="2045" t="str">
        <f t="shared" si="49"/>
        <v xml:space="preserve"> </v>
      </c>
      <c r="AN749" s="2046"/>
      <c r="AO749" s="2047"/>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10"/>
      <c r="C750" s="2211"/>
      <c r="D750" s="2211"/>
      <c r="E750" s="2211"/>
      <c r="F750" s="2212"/>
      <c r="G750" s="2355"/>
      <c r="H750" s="2356"/>
      <c r="I750" s="2356"/>
      <c r="J750" s="2357"/>
      <c r="K750" s="2223"/>
      <c r="L750" s="2224"/>
      <c r="M750" s="2224"/>
      <c r="N750" s="2225"/>
      <c r="O750" s="2285"/>
      <c r="P750" s="2286"/>
      <c r="Q750" s="2286"/>
      <c r="R750" s="2286"/>
      <c r="S750" s="2287"/>
      <c r="T750" s="2052">
        <f t="shared" si="47"/>
        <v>0</v>
      </c>
      <c r="U750" s="2053"/>
      <c r="V750" s="2053"/>
      <c r="W750" s="2053"/>
      <c r="X750" s="2054"/>
      <c r="Y750" s="2285">
        <v>0</v>
      </c>
      <c r="Z750" s="2286"/>
      <c r="AA750" s="2286"/>
      <c r="AB750" s="2287"/>
      <c r="AC750" s="2052">
        <f t="shared" si="48"/>
        <v>0</v>
      </c>
      <c r="AD750" s="2053"/>
      <c r="AE750" s="2053"/>
      <c r="AF750" s="2053"/>
      <c r="AG750" s="2054"/>
      <c r="AH750" s="2055">
        <v>0</v>
      </c>
      <c r="AI750" s="2056"/>
      <c r="AJ750" s="2056"/>
      <c r="AK750" s="2056"/>
      <c r="AL750" s="2057"/>
      <c r="AM750" s="2045" t="str">
        <f t="shared" si="49"/>
        <v xml:space="preserve"> </v>
      </c>
      <c r="AN750" s="2046"/>
      <c r="AO750" s="2047"/>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10"/>
      <c r="C751" s="2211"/>
      <c r="D751" s="2211"/>
      <c r="E751" s="2211"/>
      <c r="F751" s="2212"/>
      <c r="G751" s="2355"/>
      <c r="H751" s="2356"/>
      <c r="I751" s="2356"/>
      <c r="J751" s="2357"/>
      <c r="K751" s="2223"/>
      <c r="L751" s="2224"/>
      <c r="M751" s="2224"/>
      <c r="N751" s="2225"/>
      <c r="O751" s="2285"/>
      <c r="P751" s="2286"/>
      <c r="Q751" s="2286"/>
      <c r="R751" s="2286"/>
      <c r="S751" s="2287"/>
      <c r="T751" s="2052">
        <f t="shared" si="47"/>
        <v>0</v>
      </c>
      <c r="U751" s="2053"/>
      <c r="V751" s="2053"/>
      <c r="W751" s="2053"/>
      <c r="X751" s="2054"/>
      <c r="Y751" s="2285">
        <v>0</v>
      </c>
      <c r="Z751" s="2286"/>
      <c r="AA751" s="2286"/>
      <c r="AB751" s="2287"/>
      <c r="AC751" s="2052">
        <f t="shared" si="48"/>
        <v>0</v>
      </c>
      <c r="AD751" s="2053"/>
      <c r="AE751" s="2053"/>
      <c r="AF751" s="2053"/>
      <c r="AG751" s="2054"/>
      <c r="AH751" s="2055">
        <v>0</v>
      </c>
      <c r="AI751" s="2056"/>
      <c r="AJ751" s="2056"/>
      <c r="AK751" s="2056"/>
      <c r="AL751" s="2057"/>
      <c r="AM751" s="2045" t="str">
        <f t="shared" si="49"/>
        <v xml:space="preserve"> </v>
      </c>
      <c r="AN751" s="2046"/>
      <c r="AO751" s="2047"/>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10"/>
      <c r="C752" s="2211"/>
      <c r="D752" s="2211"/>
      <c r="E752" s="2211"/>
      <c r="F752" s="2212"/>
      <c r="G752" s="2355"/>
      <c r="H752" s="2356"/>
      <c r="I752" s="2356"/>
      <c r="J752" s="2357"/>
      <c r="K752" s="2223"/>
      <c r="L752" s="2224"/>
      <c r="M752" s="2224"/>
      <c r="N752" s="2225"/>
      <c r="O752" s="2285"/>
      <c r="P752" s="2286"/>
      <c r="Q752" s="2286"/>
      <c r="R752" s="2286"/>
      <c r="S752" s="2287"/>
      <c r="T752" s="2052">
        <f t="shared" si="47"/>
        <v>0</v>
      </c>
      <c r="U752" s="2053"/>
      <c r="V752" s="2053"/>
      <c r="W752" s="2053"/>
      <c r="X752" s="2054"/>
      <c r="Y752" s="2285">
        <v>0</v>
      </c>
      <c r="Z752" s="2286"/>
      <c r="AA752" s="2286"/>
      <c r="AB752" s="2287"/>
      <c r="AC752" s="2052">
        <f t="shared" si="48"/>
        <v>0</v>
      </c>
      <c r="AD752" s="2053"/>
      <c r="AE752" s="2053"/>
      <c r="AF752" s="2053"/>
      <c r="AG752" s="2054"/>
      <c r="AH752" s="2055">
        <v>0</v>
      </c>
      <c r="AI752" s="2056"/>
      <c r="AJ752" s="2056"/>
      <c r="AK752" s="2056"/>
      <c r="AL752" s="2057"/>
      <c r="AM752" s="2045" t="str">
        <f t="shared" si="49"/>
        <v xml:space="preserve"> </v>
      </c>
      <c r="AN752" s="2046"/>
      <c r="AO752" s="2047"/>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70" t="s">
        <v>130</v>
      </c>
      <c r="C753" s="2371"/>
      <c r="D753" s="2371"/>
      <c r="E753" s="2371"/>
      <c r="F753" s="2372"/>
      <c r="G753" s="2440">
        <f>SUM(G728:J752)</f>
        <v>88</v>
      </c>
      <c r="H753" s="2441"/>
      <c r="I753" s="2441"/>
      <c r="J753" s="2442"/>
      <c r="O753" s="1584" t="s">
        <v>129</v>
      </c>
      <c r="P753" s="1585"/>
      <c r="Q753" s="1585"/>
      <c r="R753" s="1585"/>
      <c r="S753" s="1586"/>
      <c r="T753" s="2052">
        <f>SUM(T728:X752)</f>
        <v>123479</v>
      </c>
      <c r="U753" s="2053"/>
      <c r="V753" s="2053"/>
      <c r="W753" s="2053"/>
      <c r="X753" s="2054"/>
      <c r="AC753" s="1588" t="s">
        <v>968</v>
      </c>
      <c r="AD753" s="1587"/>
      <c r="AE753" s="1587"/>
      <c r="AF753" s="1587"/>
      <c r="AG753" s="1589"/>
      <c r="AH753" s="2367">
        <f>BI696</f>
        <v>0.49886363636363629</v>
      </c>
      <c r="AI753" s="2368"/>
      <c r="AJ753" s="2368"/>
      <c r="AK753" s="2368"/>
      <c r="AL753" s="2369"/>
      <c r="AM753" s="2367">
        <f>BI728</f>
        <v>0.49893199572946245</v>
      </c>
      <c r="AN753" s="2368"/>
      <c r="AO753" s="2369"/>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6" t="s">
        <v>625</v>
      </c>
      <c r="AG755" s="2436"/>
      <c r="AH755" s="2436"/>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34" t="s">
        <v>406</v>
      </c>
      <c r="K768" s="2235"/>
      <c r="L768" s="2235"/>
      <c r="M768" s="2235"/>
      <c r="N768" s="2236"/>
      <c r="O768" s="2394" t="s">
        <v>291</v>
      </c>
      <c r="P768" s="2394"/>
      <c r="Q768" s="2394"/>
      <c r="R768" s="2394"/>
      <c r="S768" s="2394"/>
      <c r="T768" s="2292" t="s">
        <v>2156</v>
      </c>
      <c r="U768" s="2293"/>
      <c r="V768" s="2293"/>
      <c r="W768" s="2294"/>
      <c r="X768" s="2234" t="s">
        <v>477</v>
      </c>
      <c r="Y768" s="2235"/>
      <c r="Z768" s="2235"/>
      <c r="AA768" s="2235"/>
      <c r="AB768" s="2236"/>
      <c r="AC768" s="2234" t="s">
        <v>292</v>
      </c>
      <c r="AD768" s="2235"/>
      <c r="AE768" s="2235"/>
      <c r="AF768" s="2235"/>
      <c r="AG768" s="2236"/>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37"/>
      <c r="K769" s="2238"/>
      <c r="L769" s="2238"/>
      <c r="M769" s="2238"/>
      <c r="N769" s="2239"/>
      <c r="O769" s="2394"/>
      <c r="P769" s="2394"/>
      <c r="Q769" s="2394"/>
      <c r="R769" s="2394"/>
      <c r="S769" s="2394"/>
      <c r="T769" s="2295"/>
      <c r="U769" s="2296"/>
      <c r="V769" s="2296"/>
      <c r="W769" s="2297"/>
      <c r="X769" s="2237"/>
      <c r="Y769" s="2238"/>
      <c r="Z769" s="2238"/>
      <c r="AA769" s="2238"/>
      <c r="AB769" s="2239"/>
      <c r="AC769" s="2237"/>
      <c r="AD769" s="2238"/>
      <c r="AE769" s="2238"/>
      <c r="AF769" s="2238"/>
      <c r="AG769" s="2239"/>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37"/>
      <c r="K770" s="2238"/>
      <c r="L770" s="2238"/>
      <c r="M770" s="2238"/>
      <c r="N770" s="2239"/>
      <c r="O770" s="2394"/>
      <c r="P770" s="2394"/>
      <c r="Q770" s="2394"/>
      <c r="R770" s="2394"/>
      <c r="S770" s="2394"/>
      <c r="T770" s="2295"/>
      <c r="U770" s="2296"/>
      <c r="V770" s="2296"/>
      <c r="W770" s="2297"/>
      <c r="X770" s="2237"/>
      <c r="Y770" s="2238"/>
      <c r="Z770" s="2238"/>
      <c r="AA770" s="2238"/>
      <c r="AB770" s="2239"/>
      <c r="AC770" s="2237"/>
      <c r="AD770" s="2238"/>
      <c r="AE770" s="2238"/>
      <c r="AF770" s="2238"/>
      <c r="AG770" s="2239"/>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40"/>
      <c r="K771" s="2241"/>
      <c r="L771" s="2241"/>
      <c r="M771" s="2241"/>
      <c r="N771" s="2242"/>
      <c r="O771" s="2394"/>
      <c r="P771" s="2394"/>
      <c r="Q771" s="2394"/>
      <c r="R771" s="2394"/>
      <c r="S771" s="2394"/>
      <c r="T771" s="2298"/>
      <c r="U771" s="2299"/>
      <c r="V771" s="2299"/>
      <c r="W771" s="2300"/>
      <c r="X771" s="2240"/>
      <c r="Y771" s="2241"/>
      <c r="Z771" s="2241"/>
      <c r="AA771" s="2241"/>
      <c r="AB771" s="2242"/>
      <c r="AC771" s="2240"/>
      <c r="AD771" s="2241"/>
      <c r="AE771" s="2241"/>
      <c r="AF771" s="2241"/>
      <c r="AG771" s="2242"/>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10" t="s">
        <v>169</v>
      </c>
      <c r="K772" s="2211"/>
      <c r="L772" s="2211"/>
      <c r="M772" s="2211"/>
      <c r="N772" s="2212"/>
      <c r="O772" s="2301">
        <v>1</v>
      </c>
      <c r="P772" s="2301"/>
      <c r="Q772" s="2301"/>
      <c r="R772" s="2301"/>
      <c r="S772" s="2301"/>
      <c r="T772" s="2223"/>
      <c r="U772" s="2224"/>
      <c r="V772" s="2224"/>
      <c r="W772" s="2225"/>
      <c r="X772" s="2285"/>
      <c r="Y772" s="2286"/>
      <c r="Z772" s="2286"/>
      <c r="AA772" s="2286"/>
      <c r="AB772" s="2287"/>
      <c r="AC772" s="2052">
        <f>X772*O772</f>
        <v>0</v>
      </c>
      <c r="AD772" s="2053"/>
      <c r="AE772" s="2053"/>
      <c r="AF772" s="2053"/>
      <c r="AG772" s="2054"/>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10"/>
      <c r="K773" s="2211"/>
      <c r="L773" s="2211"/>
      <c r="M773" s="2211"/>
      <c r="N773" s="2212"/>
      <c r="O773" s="2301"/>
      <c r="P773" s="2301"/>
      <c r="Q773" s="2301"/>
      <c r="R773" s="2301"/>
      <c r="S773" s="2301"/>
      <c r="T773" s="2223"/>
      <c r="U773" s="2224"/>
      <c r="V773" s="2224"/>
      <c r="W773" s="2225"/>
      <c r="X773" s="2285"/>
      <c r="Y773" s="2286"/>
      <c r="Z773" s="2286"/>
      <c r="AA773" s="2286"/>
      <c r="AB773" s="2287"/>
      <c r="AC773" s="2052">
        <f>X773*O773</f>
        <v>0</v>
      </c>
      <c r="AD773" s="2053"/>
      <c r="AE773" s="2053"/>
      <c r="AF773" s="2053"/>
      <c r="AG773" s="2054"/>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10"/>
      <c r="K774" s="2211"/>
      <c r="L774" s="2211"/>
      <c r="M774" s="2211"/>
      <c r="N774" s="2212"/>
      <c r="O774" s="2301"/>
      <c r="P774" s="2301"/>
      <c r="Q774" s="2301"/>
      <c r="R774" s="2301"/>
      <c r="S774" s="2301"/>
      <c r="T774" s="2223"/>
      <c r="U774" s="2224"/>
      <c r="V774" s="2224"/>
      <c r="W774" s="2225"/>
      <c r="X774" s="2285"/>
      <c r="Y774" s="2286"/>
      <c r="Z774" s="2286"/>
      <c r="AA774" s="2286"/>
      <c r="AB774" s="2287"/>
      <c r="AC774" s="2052">
        <f>X774*O774</f>
        <v>0</v>
      </c>
      <c r="AD774" s="2053"/>
      <c r="AE774" s="2053"/>
      <c r="AF774" s="2053"/>
      <c r="AG774" s="2054"/>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10"/>
      <c r="K775" s="2211"/>
      <c r="L775" s="2211"/>
      <c r="M775" s="2211"/>
      <c r="N775" s="2212"/>
      <c r="O775" s="2301"/>
      <c r="P775" s="2301"/>
      <c r="Q775" s="2301"/>
      <c r="R775" s="2301"/>
      <c r="S775" s="2301"/>
      <c r="T775" s="2223"/>
      <c r="U775" s="2224"/>
      <c r="V775" s="2224"/>
      <c r="W775" s="2225"/>
      <c r="X775" s="2285"/>
      <c r="Y775" s="2286"/>
      <c r="Z775" s="2286"/>
      <c r="AA775" s="2286"/>
      <c r="AB775" s="2287"/>
      <c r="AC775" s="2052">
        <f>X775*O775</f>
        <v>0</v>
      </c>
      <c r="AD775" s="2053"/>
      <c r="AE775" s="2053"/>
      <c r="AF775" s="2053"/>
      <c r="AG775" s="2054"/>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70" t="s">
        <v>130</v>
      </c>
      <c r="K776" s="2371"/>
      <c r="L776" s="2371"/>
      <c r="M776" s="2371"/>
      <c r="N776" s="2372"/>
      <c r="O776" s="2362">
        <f>SUM(O772:S775)</f>
        <v>1</v>
      </c>
      <c r="P776" s="2363"/>
      <c r="Q776" s="2363"/>
      <c r="R776" s="2363"/>
      <c r="S776" s="2364"/>
      <c r="X776" s="2231" t="s">
        <v>129</v>
      </c>
      <c r="Y776" s="2232"/>
      <c r="Z776" s="2232"/>
      <c r="AA776" s="2232"/>
      <c r="AB776" s="2233"/>
      <c r="AC776" s="2052">
        <f>SUM(AC772:AG775)</f>
        <v>0</v>
      </c>
      <c r="AD776" s="2053"/>
      <c r="AE776" s="2053"/>
      <c r="AF776" s="2053"/>
      <c r="AG776" s="2054"/>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81" t="s">
        <v>705</v>
      </c>
      <c r="K778" s="2381"/>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34" t="s">
        <v>406</v>
      </c>
      <c r="K782" s="2235"/>
      <c r="L782" s="2235"/>
      <c r="M782" s="2235"/>
      <c r="N782" s="2236"/>
      <c r="O782" s="2394" t="s">
        <v>291</v>
      </c>
      <c r="P782" s="2394"/>
      <c r="Q782" s="2394"/>
      <c r="R782" s="2394"/>
      <c r="S782" s="2394"/>
      <c r="T782" s="2292" t="s">
        <v>2156</v>
      </c>
      <c r="U782" s="2293"/>
      <c r="V782" s="2293"/>
      <c r="W782" s="2294"/>
      <c r="X782" s="2234" t="s">
        <v>477</v>
      </c>
      <c r="Y782" s="2235"/>
      <c r="Z782" s="2235"/>
      <c r="AA782" s="2235"/>
      <c r="AB782" s="2236"/>
      <c r="AC782" s="2234" t="s">
        <v>292</v>
      </c>
      <c r="AD782" s="2235"/>
      <c r="AE782" s="2235"/>
      <c r="AF782" s="2235"/>
      <c r="AG782" s="2236"/>
      <c r="AH782" s="2438" t="s">
        <v>2396</v>
      </c>
      <c r="AI782" s="2235"/>
      <c r="AJ782" s="2235"/>
      <c r="AK782" s="2235"/>
      <c r="AL782" s="223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37"/>
      <c r="K783" s="2238"/>
      <c r="L783" s="2238"/>
      <c r="M783" s="2238"/>
      <c r="N783" s="2239"/>
      <c r="O783" s="2394"/>
      <c r="P783" s="2394"/>
      <c r="Q783" s="2394"/>
      <c r="R783" s="2394"/>
      <c r="S783" s="2394"/>
      <c r="T783" s="2295"/>
      <c r="U783" s="2296"/>
      <c r="V783" s="2296"/>
      <c r="W783" s="2297"/>
      <c r="X783" s="2237"/>
      <c r="Y783" s="2238"/>
      <c r="Z783" s="2238"/>
      <c r="AA783" s="2238"/>
      <c r="AB783" s="2239"/>
      <c r="AC783" s="2237"/>
      <c r="AD783" s="2238"/>
      <c r="AE783" s="2238"/>
      <c r="AF783" s="2238"/>
      <c r="AG783" s="2239"/>
      <c r="AH783" s="2237"/>
      <c r="AI783" s="2238"/>
      <c r="AJ783" s="2238"/>
      <c r="AK783" s="2238"/>
      <c r="AL783" s="223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37"/>
      <c r="K784" s="2238"/>
      <c r="L784" s="2238"/>
      <c r="M784" s="2238"/>
      <c r="N784" s="2239"/>
      <c r="O784" s="2394"/>
      <c r="P784" s="2394"/>
      <c r="Q784" s="2394"/>
      <c r="R784" s="2394"/>
      <c r="S784" s="2394"/>
      <c r="T784" s="2295"/>
      <c r="U784" s="2296"/>
      <c r="V784" s="2296"/>
      <c r="W784" s="2297"/>
      <c r="X784" s="2237"/>
      <c r="Y784" s="2238"/>
      <c r="Z784" s="2238"/>
      <c r="AA784" s="2238"/>
      <c r="AB784" s="2239"/>
      <c r="AC784" s="2237"/>
      <c r="AD784" s="2238"/>
      <c r="AE784" s="2238"/>
      <c r="AF784" s="2238"/>
      <c r="AG784" s="2239"/>
      <c r="AH784" s="2237"/>
      <c r="AI784" s="2238"/>
      <c r="AJ784" s="2238"/>
      <c r="AK784" s="2238"/>
      <c r="AL784" s="223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40"/>
      <c r="K785" s="2241"/>
      <c r="L785" s="2241"/>
      <c r="M785" s="2241"/>
      <c r="N785" s="2242"/>
      <c r="O785" s="2394"/>
      <c r="P785" s="2394"/>
      <c r="Q785" s="2394"/>
      <c r="R785" s="2394"/>
      <c r="S785" s="2394"/>
      <c r="T785" s="2298"/>
      <c r="U785" s="2299"/>
      <c r="V785" s="2299"/>
      <c r="W785" s="2300"/>
      <c r="X785" s="2240"/>
      <c r="Y785" s="2241"/>
      <c r="Z785" s="2241"/>
      <c r="AA785" s="2241"/>
      <c r="AB785" s="2242"/>
      <c r="AC785" s="2240"/>
      <c r="AD785" s="2241"/>
      <c r="AE785" s="2241"/>
      <c r="AF785" s="2241"/>
      <c r="AG785" s="2242"/>
      <c r="AH785" s="2240"/>
      <c r="AI785" s="2241"/>
      <c r="AJ785" s="2241"/>
      <c r="AK785" s="2241"/>
      <c r="AL785" s="224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10"/>
      <c r="K786" s="2211"/>
      <c r="L786" s="2211"/>
      <c r="M786" s="2211"/>
      <c r="N786" s="2212"/>
      <c r="O786" s="2301"/>
      <c r="P786" s="2301"/>
      <c r="Q786" s="2301"/>
      <c r="R786" s="2301"/>
      <c r="S786" s="2301"/>
      <c r="T786" s="2223"/>
      <c r="U786" s="2224"/>
      <c r="V786" s="2224"/>
      <c r="W786" s="2225"/>
      <c r="X786" s="2285"/>
      <c r="Y786" s="2286"/>
      <c r="Z786" s="2286"/>
      <c r="AA786" s="2286"/>
      <c r="AB786" s="2287"/>
      <c r="AC786" s="2052">
        <f t="shared" ref="AC786:AC795" si="50">X786*O786</f>
        <v>0</v>
      </c>
      <c r="AD786" s="2053"/>
      <c r="AE786" s="2053"/>
      <c r="AF786" s="2053"/>
      <c r="AG786" s="2054"/>
      <c r="AH786" s="2055"/>
      <c r="AI786" s="2056"/>
      <c r="AJ786" s="2056"/>
      <c r="AK786" s="2056"/>
      <c r="AL786" s="205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10"/>
      <c r="K787" s="2211"/>
      <c r="L787" s="2211"/>
      <c r="M787" s="2211"/>
      <c r="N787" s="2212"/>
      <c r="O787" s="2301"/>
      <c r="P787" s="2301"/>
      <c r="Q787" s="2301"/>
      <c r="R787" s="2301"/>
      <c r="S787" s="2301"/>
      <c r="T787" s="2223"/>
      <c r="U787" s="2224"/>
      <c r="V787" s="2224"/>
      <c r="W787" s="2225"/>
      <c r="X787" s="2285"/>
      <c r="Y787" s="2286"/>
      <c r="Z787" s="2286"/>
      <c r="AA787" s="2286"/>
      <c r="AB787" s="2287"/>
      <c r="AC787" s="2052">
        <f t="shared" si="50"/>
        <v>0</v>
      </c>
      <c r="AD787" s="2053"/>
      <c r="AE787" s="2053"/>
      <c r="AF787" s="2053"/>
      <c r="AG787" s="2054"/>
      <c r="AH787" s="2055"/>
      <c r="AI787" s="2056"/>
      <c r="AJ787" s="2056"/>
      <c r="AK787" s="2056"/>
      <c r="AL787" s="205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10"/>
      <c r="K788" s="2211"/>
      <c r="L788" s="2211"/>
      <c r="M788" s="2211"/>
      <c r="N788" s="2212"/>
      <c r="O788" s="2301"/>
      <c r="P788" s="2301"/>
      <c r="Q788" s="2301"/>
      <c r="R788" s="2301"/>
      <c r="S788" s="2301"/>
      <c r="T788" s="2223"/>
      <c r="U788" s="2224"/>
      <c r="V788" s="2224"/>
      <c r="W788" s="2225"/>
      <c r="X788" s="2285"/>
      <c r="Y788" s="2286"/>
      <c r="Z788" s="2286"/>
      <c r="AA788" s="2286"/>
      <c r="AB788" s="2287"/>
      <c r="AC788" s="2052">
        <f t="shared" si="50"/>
        <v>0</v>
      </c>
      <c r="AD788" s="2053"/>
      <c r="AE788" s="2053"/>
      <c r="AF788" s="2053"/>
      <c r="AG788" s="2054"/>
      <c r="AH788" s="2055"/>
      <c r="AI788" s="2056"/>
      <c r="AJ788" s="2056"/>
      <c r="AK788" s="2056"/>
      <c r="AL788" s="205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10"/>
      <c r="K789" s="2211"/>
      <c r="L789" s="2211"/>
      <c r="M789" s="2211"/>
      <c r="N789" s="2212"/>
      <c r="O789" s="2301"/>
      <c r="P789" s="2301"/>
      <c r="Q789" s="2301"/>
      <c r="R789" s="2301"/>
      <c r="S789" s="2301"/>
      <c r="T789" s="2223"/>
      <c r="U789" s="2224"/>
      <c r="V789" s="2224"/>
      <c r="W789" s="2225"/>
      <c r="X789" s="2285"/>
      <c r="Y789" s="2286"/>
      <c r="Z789" s="2286"/>
      <c r="AA789" s="2286"/>
      <c r="AB789" s="2287"/>
      <c r="AC789" s="2052">
        <f t="shared" si="50"/>
        <v>0</v>
      </c>
      <c r="AD789" s="2053"/>
      <c r="AE789" s="2053"/>
      <c r="AF789" s="2053"/>
      <c r="AG789" s="2054"/>
      <c r="AH789" s="2055"/>
      <c r="AI789" s="2056"/>
      <c r="AJ789" s="2056"/>
      <c r="AK789" s="2056"/>
      <c r="AL789" s="205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10"/>
      <c r="K790" s="2211"/>
      <c r="L790" s="2211"/>
      <c r="M790" s="2211"/>
      <c r="N790" s="2212"/>
      <c r="O790" s="2301"/>
      <c r="P790" s="2301"/>
      <c r="Q790" s="2301"/>
      <c r="R790" s="2301"/>
      <c r="S790" s="2301"/>
      <c r="T790" s="2223"/>
      <c r="U790" s="2224"/>
      <c r="V790" s="2224"/>
      <c r="W790" s="2225"/>
      <c r="X790" s="2285"/>
      <c r="Y790" s="2286"/>
      <c r="Z790" s="2286"/>
      <c r="AA790" s="2286"/>
      <c r="AB790" s="2287"/>
      <c r="AC790" s="2052">
        <f t="shared" si="50"/>
        <v>0</v>
      </c>
      <c r="AD790" s="2053"/>
      <c r="AE790" s="2053"/>
      <c r="AF790" s="2053"/>
      <c r="AG790" s="2054"/>
      <c r="AH790" s="2055"/>
      <c r="AI790" s="2056"/>
      <c r="AJ790" s="2056"/>
      <c r="AK790" s="2056"/>
      <c r="AL790" s="205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10"/>
      <c r="K791" s="2211"/>
      <c r="L791" s="2211"/>
      <c r="M791" s="2211"/>
      <c r="N791" s="2212"/>
      <c r="O791" s="2301"/>
      <c r="P791" s="2301"/>
      <c r="Q791" s="2301"/>
      <c r="R791" s="2301"/>
      <c r="S791" s="2301"/>
      <c r="T791" s="2223"/>
      <c r="U791" s="2224"/>
      <c r="V791" s="2224"/>
      <c r="W791" s="2225"/>
      <c r="X791" s="2285"/>
      <c r="Y791" s="2286"/>
      <c r="Z791" s="2286"/>
      <c r="AA791" s="2286"/>
      <c r="AB791" s="2287"/>
      <c r="AC791" s="2052">
        <f t="shared" si="50"/>
        <v>0</v>
      </c>
      <c r="AD791" s="2053"/>
      <c r="AE791" s="2053"/>
      <c r="AF791" s="2053"/>
      <c r="AG791" s="2054"/>
      <c r="AH791" s="2055"/>
      <c r="AI791" s="2056"/>
      <c r="AJ791" s="2056"/>
      <c r="AK791" s="2056"/>
      <c r="AL791" s="205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10"/>
      <c r="K792" s="2211"/>
      <c r="L792" s="2211"/>
      <c r="M792" s="2211"/>
      <c r="N792" s="2212"/>
      <c r="O792" s="2301"/>
      <c r="P792" s="2301"/>
      <c r="Q792" s="2301"/>
      <c r="R792" s="2301"/>
      <c r="S792" s="2301"/>
      <c r="T792" s="2223"/>
      <c r="U792" s="2224"/>
      <c r="V792" s="2224"/>
      <c r="W792" s="2225"/>
      <c r="X792" s="2285"/>
      <c r="Y792" s="2286"/>
      <c r="Z792" s="2286"/>
      <c r="AA792" s="2286"/>
      <c r="AB792" s="2287"/>
      <c r="AC792" s="2052">
        <f t="shared" si="50"/>
        <v>0</v>
      </c>
      <c r="AD792" s="2053"/>
      <c r="AE792" s="2053"/>
      <c r="AF792" s="2053"/>
      <c r="AG792" s="2054"/>
      <c r="AH792" s="2055"/>
      <c r="AI792" s="2056"/>
      <c r="AJ792" s="2056"/>
      <c r="AK792" s="2056"/>
      <c r="AL792" s="205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10"/>
      <c r="K793" s="2211"/>
      <c r="L793" s="2211"/>
      <c r="M793" s="2211"/>
      <c r="N793" s="2212"/>
      <c r="O793" s="2301"/>
      <c r="P793" s="2301"/>
      <c r="Q793" s="2301"/>
      <c r="R793" s="2301"/>
      <c r="S793" s="2301"/>
      <c r="T793" s="2223"/>
      <c r="U793" s="2224"/>
      <c r="V793" s="2224"/>
      <c r="W793" s="2225"/>
      <c r="X793" s="2285"/>
      <c r="Y793" s="2286"/>
      <c r="Z793" s="2286"/>
      <c r="AA793" s="2286"/>
      <c r="AB793" s="2287"/>
      <c r="AC793" s="2052">
        <f t="shared" si="50"/>
        <v>0</v>
      </c>
      <c r="AD793" s="2053"/>
      <c r="AE793" s="2053"/>
      <c r="AF793" s="2053"/>
      <c r="AG793" s="2054"/>
      <c r="AH793" s="2055"/>
      <c r="AI793" s="2056"/>
      <c r="AJ793" s="2056"/>
      <c r="AK793" s="2056"/>
      <c r="AL793" s="205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10"/>
      <c r="K794" s="2211"/>
      <c r="L794" s="2211"/>
      <c r="M794" s="2211"/>
      <c r="N794" s="2212"/>
      <c r="O794" s="2301"/>
      <c r="P794" s="2301"/>
      <c r="Q794" s="2301"/>
      <c r="R794" s="2301"/>
      <c r="S794" s="2301"/>
      <c r="T794" s="2223"/>
      <c r="U794" s="2224"/>
      <c r="V794" s="2224"/>
      <c r="W794" s="2225"/>
      <c r="X794" s="2285"/>
      <c r="Y794" s="2286"/>
      <c r="Z794" s="2286"/>
      <c r="AA794" s="2286"/>
      <c r="AB794" s="2287"/>
      <c r="AC794" s="2052">
        <f t="shared" si="50"/>
        <v>0</v>
      </c>
      <c r="AD794" s="2053"/>
      <c r="AE794" s="2053"/>
      <c r="AF794" s="2053"/>
      <c r="AG794" s="2054"/>
      <c r="AH794" s="2055"/>
      <c r="AI794" s="2056"/>
      <c r="AJ794" s="2056"/>
      <c r="AK794" s="2056"/>
      <c r="AL794" s="205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10"/>
      <c r="K795" s="2211"/>
      <c r="L795" s="2211"/>
      <c r="M795" s="2211"/>
      <c r="N795" s="2212"/>
      <c r="O795" s="2301"/>
      <c r="P795" s="2301"/>
      <c r="Q795" s="2301"/>
      <c r="R795" s="2301"/>
      <c r="S795" s="2301"/>
      <c r="T795" s="2223"/>
      <c r="U795" s="2224"/>
      <c r="V795" s="2224"/>
      <c r="W795" s="2225"/>
      <c r="X795" s="2285"/>
      <c r="Y795" s="2286"/>
      <c r="Z795" s="2286"/>
      <c r="AA795" s="2286"/>
      <c r="AB795" s="2287"/>
      <c r="AC795" s="2052">
        <f t="shared" si="50"/>
        <v>0</v>
      </c>
      <c r="AD795" s="2053"/>
      <c r="AE795" s="2053"/>
      <c r="AF795" s="2053"/>
      <c r="AG795" s="2054"/>
      <c r="AH795" s="2055"/>
      <c r="AI795" s="2056"/>
      <c r="AJ795" s="2056"/>
      <c r="AK795" s="2056"/>
      <c r="AL795" s="205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70" t="s">
        <v>130</v>
      </c>
      <c r="K796" s="2371"/>
      <c r="L796" s="2371"/>
      <c r="M796" s="2371"/>
      <c r="N796" s="2372"/>
      <c r="O796" s="2447">
        <f>SUM(O786:S795)</f>
        <v>0</v>
      </c>
      <c r="P796" s="2447"/>
      <c r="Q796" s="2447"/>
      <c r="R796" s="2447"/>
      <c r="S796" s="2447"/>
      <c r="X796" s="1601" t="s">
        <v>129</v>
      </c>
      <c r="Y796" s="1602"/>
      <c r="Z796" s="1602"/>
      <c r="AA796" s="1602"/>
      <c r="AB796" s="1603"/>
      <c r="AC796" s="2052">
        <f>SUM(AC786:AG795)</f>
        <v>0</v>
      </c>
      <c r="AD796" s="2053"/>
      <c r="AE796" s="2053"/>
      <c r="AF796" s="2053"/>
      <c r="AG796" s="205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95">
        <f>T753+AC776+AC796</f>
        <v>123479</v>
      </c>
      <c r="Z798" s="2395"/>
      <c r="AA798" s="2395"/>
      <c r="AB798" s="2395"/>
      <c r="AC798" s="239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95">
        <f>(T753+AC776+AC796)*12</f>
        <v>1481748</v>
      </c>
      <c r="Z799" s="2395"/>
      <c r="AA799" s="2395"/>
      <c r="AB799" s="2395"/>
      <c r="AC799" s="2395"/>
      <c r="AZ799" s="58"/>
      <c r="BA799" s="51" t="s">
        <v>666</v>
      </c>
      <c r="BB799" s="51"/>
      <c r="BC799" s="51"/>
      <c r="BD799" s="51"/>
      <c r="BE799" s="51"/>
      <c r="BF799" s="51"/>
      <c r="BG799" s="51"/>
      <c r="BH799" s="51"/>
      <c r="BI799" s="51"/>
      <c r="BJ799" s="51"/>
      <c r="BK799" s="51"/>
      <c r="BL799" s="51"/>
      <c r="BM799" s="51"/>
      <c r="BN799" s="2392" t="s">
        <v>501</v>
      </c>
      <c r="BO799" s="2393"/>
      <c r="BP799" s="58"/>
      <c r="BQ799" s="58"/>
      <c r="BR799" s="58"/>
      <c r="BS799" s="51" t="s">
        <v>668</v>
      </c>
      <c r="BT799" s="51"/>
      <c r="BU799" s="51"/>
      <c r="BV799" s="51"/>
      <c r="BW799" s="51"/>
      <c r="BX799" s="51"/>
      <c r="BY799" s="51"/>
      <c r="BZ799" s="51"/>
      <c r="CA799" s="51"/>
      <c r="CB799" s="2389" t="str">
        <f>T189</f>
        <v>San Diego</v>
      </c>
      <c r="CC799" s="2390"/>
      <c r="CD799" s="2390"/>
      <c r="CE799" s="2390"/>
      <c r="CF799" s="2390"/>
      <c r="CG799" s="2390"/>
      <c r="CH799" s="239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78"/>
      <c r="AA804" s="2279"/>
      <c r="AB804" s="2279"/>
      <c r="AC804" s="2279"/>
      <c r="AD804" s="2279"/>
      <c r="AE804" s="228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439"/>
      <c r="AA805" s="2279"/>
      <c r="AB805" s="2279"/>
      <c r="AC805" s="2279"/>
      <c r="AD805" s="2279"/>
      <c r="AE805" s="228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37">
        <v>0</v>
      </c>
      <c r="AA806" s="2283"/>
      <c r="AB806" s="2283"/>
      <c r="AC806" s="2283"/>
      <c r="AD806" s="2283"/>
      <c r="AE806" s="228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77">
        <f>'Subsidy Contract Calculation'!I30</f>
        <v>0</v>
      </c>
      <c r="AA807" s="2378"/>
      <c r="AB807" s="2378"/>
      <c r="AC807" s="2378"/>
      <c r="AD807" s="2378"/>
      <c r="AE807" s="237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9">
        <v>6408</v>
      </c>
      <c r="AA811" s="2050"/>
      <c r="AB811" s="2050"/>
      <c r="AC811" s="2050"/>
      <c r="AD811" s="2050"/>
      <c r="AE811" s="205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9"/>
      <c r="AA812" s="2050"/>
      <c r="AB812" s="2050"/>
      <c r="AC812" s="2050"/>
      <c r="AD812" s="2050"/>
      <c r="AE812" s="205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9"/>
      <c r="AA813" s="2050"/>
      <c r="AB813" s="2050"/>
      <c r="AC813" s="2050"/>
      <c r="AD813" s="2050"/>
      <c r="AE813" s="205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98" t="s">
        <v>343</v>
      </c>
      <c r="Q814" s="2399"/>
      <c r="R814" s="2399"/>
      <c r="S814" s="2399"/>
      <c r="T814" s="2399"/>
      <c r="U814" s="2399"/>
      <c r="V814" s="2399"/>
      <c r="W814" s="2399"/>
      <c r="X814" s="2399"/>
      <c r="Y814" s="2400"/>
      <c r="Z814" s="2049"/>
      <c r="AA814" s="2050"/>
      <c r="AB814" s="2050"/>
      <c r="AC814" s="2050"/>
      <c r="AD814" s="2050"/>
      <c r="AE814" s="205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77">
        <f>SUM(Z811:AE814)</f>
        <v>6408</v>
      </c>
      <c r="AA815" s="2378"/>
      <c r="AB815" s="2378"/>
      <c r="AC815" s="2378"/>
      <c r="AD815" s="2378"/>
      <c r="AE815" s="237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377">
        <f>Z815+Y799+Z807</f>
        <v>1488156</v>
      </c>
      <c r="AA816" s="2378"/>
      <c r="AB816" s="2378"/>
      <c r="AC816" s="2378"/>
      <c r="AD816" s="2378"/>
      <c r="AE816" s="237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43" t="s">
        <v>131</v>
      </c>
      <c r="N821" s="2443"/>
      <c r="O821" s="2443"/>
      <c r="P821" s="2444"/>
      <c r="Q821" s="2359" t="s">
        <v>298</v>
      </c>
      <c r="R821" s="2359"/>
      <c r="S821" s="2359"/>
      <c r="T821" s="2359"/>
      <c r="U821" s="2359" t="s">
        <v>299</v>
      </c>
      <c r="V821" s="2359"/>
      <c r="W821" s="2359"/>
      <c r="X821" s="2359"/>
      <c r="Y821" s="2359" t="s">
        <v>300</v>
      </c>
      <c r="Z821" s="2359"/>
      <c r="AA821" s="2359"/>
      <c r="AB821" s="2359"/>
      <c r="AC821" s="2359" t="s">
        <v>370</v>
      </c>
      <c r="AD821" s="2359"/>
      <c r="AE821" s="2359"/>
      <c r="AF821" s="2359"/>
      <c r="AG821" s="2302" t="s">
        <v>2606</v>
      </c>
      <c r="AH821" s="2302"/>
      <c r="AI821" s="2302"/>
      <c r="AJ821" s="230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45"/>
      <c r="N822" s="2445"/>
      <c r="O822" s="2445"/>
      <c r="P822" s="2446"/>
      <c r="Q822" s="2359"/>
      <c r="R822" s="2359"/>
      <c r="S822" s="2359"/>
      <c r="T822" s="2359"/>
      <c r="U822" s="2359"/>
      <c r="V822" s="2359"/>
      <c r="W822" s="2359"/>
      <c r="X822" s="2359"/>
      <c r="Y822" s="2359"/>
      <c r="Z822" s="2359"/>
      <c r="AA822" s="2359"/>
      <c r="AB822" s="2359"/>
      <c r="AC822" s="2359"/>
      <c r="AD822" s="2359"/>
      <c r="AE822" s="2359"/>
      <c r="AF822" s="2359"/>
      <c r="AG822" s="2302"/>
      <c r="AH822" s="2302"/>
      <c r="AI822" s="2302"/>
      <c r="AJ822" s="230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288" t="s">
        <v>43</v>
      </c>
      <c r="D823" s="2289"/>
      <c r="E823" s="2289"/>
      <c r="F823" s="2289"/>
      <c r="G823" s="2289"/>
      <c r="H823" s="2289"/>
      <c r="I823" s="80"/>
      <c r="J823" s="80"/>
      <c r="K823" s="80"/>
      <c r="L823" s="81"/>
      <c r="M823" s="2222"/>
      <c r="N823" s="2222"/>
      <c r="O823" s="2222"/>
      <c r="P823" s="2222"/>
      <c r="Q823" s="2222">
        <v>3</v>
      </c>
      <c r="R823" s="2222"/>
      <c r="S823" s="2222"/>
      <c r="T823" s="2222"/>
      <c r="U823" s="2222">
        <v>4</v>
      </c>
      <c r="V823" s="2222"/>
      <c r="W823" s="2222"/>
      <c r="X823" s="2222"/>
      <c r="Y823" s="2222">
        <v>4</v>
      </c>
      <c r="Z823" s="2222"/>
      <c r="AA823" s="2222"/>
      <c r="AB823" s="2222"/>
      <c r="AC823" s="2102"/>
      <c r="AD823" s="2103"/>
      <c r="AE823" s="2103"/>
      <c r="AF823" s="2104"/>
      <c r="AG823" s="2102">
        <v>12</v>
      </c>
      <c r="AH823" s="2103"/>
      <c r="AI823" s="2103"/>
      <c r="AJ823" s="210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290" t="s">
        <v>44</v>
      </c>
      <c r="D824" s="2291"/>
      <c r="E824" s="2291"/>
      <c r="F824" s="2291"/>
      <c r="G824" s="2291"/>
      <c r="H824" s="2291"/>
      <c r="I824" s="77"/>
      <c r="J824" s="77"/>
      <c r="K824" s="77"/>
      <c r="L824" s="78"/>
      <c r="M824" s="2222"/>
      <c r="N824" s="2222"/>
      <c r="O824" s="2222"/>
      <c r="P824" s="2222"/>
      <c r="Q824" s="2222"/>
      <c r="R824" s="2222"/>
      <c r="S824" s="2222"/>
      <c r="T824" s="2222"/>
      <c r="U824" s="2222"/>
      <c r="V824" s="2222"/>
      <c r="W824" s="2222"/>
      <c r="X824" s="2222"/>
      <c r="Y824" s="2222"/>
      <c r="Z824" s="2222"/>
      <c r="AA824" s="2222"/>
      <c r="AB824" s="2222"/>
      <c r="AC824" s="2102"/>
      <c r="AD824" s="2103"/>
      <c r="AE824" s="2103"/>
      <c r="AF824" s="2104"/>
      <c r="AG824" s="2102">
        <v>12</v>
      </c>
      <c r="AH824" s="2103"/>
      <c r="AI824" s="2103"/>
      <c r="AJ824" s="210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290" t="s">
        <v>45</v>
      </c>
      <c r="D825" s="2291"/>
      <c r="E825" s="2291"/>
      <c r="F825" s="2291"/>
      <c r="G825" s="2291"/>
      <c r="H825" s="2291"/>
      <c r="I825" s="96"/>
      <c r="J825" s="96"/>
      <c r="K825" s="96"/>
      <c r="L825" s="97"/>
      <c r="M825" s="2222"/>
      <c r="N825" s="2222"/>
      <c r="O825" s="2222"/>
      <c r="P825" s="2222"/>
      <c r="Q825" s="2222">
        <v>2</v>
      </c>
      <c r="R825" s="2222"/>
      <c r="S825" s="2222"/>
      <c r="T825" s="2222"/>
      <c r="U825" s="2222">
        <v>3</v>
      </c>
      <c r="V825" s="2222"/>
      <c r="W825" s="2222"/>
      <c r="X825" s="2222"/>
      <c r="Y825" s="2222">
        <v>3</v>
      </c>
      <c r="Z825" s="2222"/>
      <c r="AA825" s="2222"/>
      <c r="AB825" s="2222"/>
      <c r="AC825" s="2102"/>
      <c r="AD825" s="2103"/>
      <c r="AE825" s="2103"/>
      <c r="AF825" s="2104"/>
      <c r="AG825" s="2102">
        <v>8</v>
      </c>
      <c r="AH825" s="2103"/>
      <c r="AI825" s="2103"/>
      <c r="AJ825" s="210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290" t="s">
        <v>819</v>
      </c>
      <c r="D826" s="2291"/>
      <c r="E826" s="2291"/>
      <c r="F826" s="2291"/>
      <c r="G826" s="2291"/>
      <c r="H826" s="2291"/>
      <c r="I826" s="96"/>
      <c r="J826" s="96"/>
      <c r="K826" s="96"/>
      <c r="L826" s="97"/>
      <c r="M826" s="2222"/>
      <c r="N826" s="2222"/>
      <c r="O826" s="2222"/>
      <c r="P826" s="2222"/>
      <c r="Q826" s="2222"/>
      <c r="R826" s="2222"/>
      <c r="S826" s="2222"/>
      <c r="T826" s="2222"/>
      <c r="U826" s="2222"/>
      <c r="V826" s="2222"/>
      <c r="W826" s="2222"/>
      <c r="X826" s="2222"/>
      <c r="Y826" s="2222"/>
      <c r="Z826" s="2222"/>
      <c r="AA826" s="2222"/>
      <c r="AB826" s="2222"/>
      <c r="AC826" s="2102"/>
      <c r="AD826" s="2103"/>
      <c r="AE826" s="2103"/>
      <c r="AF826" s="2104"/>
      <c r="AG826" s="2102"/>
      <c r="AH826" s="2103"/>
      <c r="AI826" s="2103"/>
      <c r="AJ826" s="210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290" t="s">
        <v>491</v>
      </c>
      <c r="D827" s="2291"/>
      <c r="E827" s="2291"/>
      <c r="F827" s="2291"/>
      <c r="G827" s="2291"/>
      <c r="H827" s="2291"/>
      <c r="I827" s="96"/>
      <c r="J827" s="96"/>
      <c r="K827" s="96"/>
      <c r="L827" s="97"/>
      <c r="M827" s="2222"/>
      <c r="N827" s="2222"/>
      <c r="O827" s="2222"/>
      <c r="P827" s="2222"/>
      <c r="Q827" s="2222">
        <v>9</v>
      </c>
      <c r="R827" s="2222"/>
      <c r="S827" s="2222"/>
      <c r="T827" s="2222"/>
      <c r="U827" s="2222">
        <v>12</v>
      </c>
      <c r="V827" s="2222"/>
      <c r="W827" s="2222"/>
      <c r="X827" s="2222"/>
      <c r="Y827" s="2222">
        <v>14</v>
      </c>
      <c r="Z827" s="2222"/>
      <c r="AA827" s="2222"/>
      <c r="AB827" s="2222"/>
      <c r="AC827" s="2102"/>
      <c r="AD827" s="2103"/>
      <c r="AE827" s="2103"/>
      <c r="AF827" s="2104"/>
      <c r="AG827" s="2102">
        <v>12</v>
      </c>
      <c r="AH827" s="2103"/>
      <c r="AI827" s="2103"/>
      <c r="AJ827" s="210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432" t="s">
        <v>840</v>
      </c>
      <c r="D828" s="2291"/>
      <c r="E828" s="2291"/>
      <c r="F828" s="2291"/>
      <c r="G828" s="2291"/>
      <c r="H828" s="2291"/>
      <c r="I828" s="96"/>
      <c r="J828" s="96"/>
      <c r="K828" s="96"/>
      <c r="L828" s="97"/>
      <c r="M828" s="2222"/>
      <c r="N828" s="2222"/>
      <c r="O828" s="2222"/>
      <c r="P828" s="2222"/>
      <c r="Q828" s="2222"/>
      <c r="R828" s="2222"/>
      <c r="S828" s="2222"/>
      <c r="T828" s="2222"/>
      <c r="U828" s="2222"/>
      <c r="V828" s="2222"/>
      <c r="W828" s="2222"/>
      <c r="X828" s="2222"/>
      <c r="Y828" s="2222"/>
      <c r="Z828" s="2222"/>
      <c r="AA828" s="2222"/>
      <c r="AB828" s="2222"/>
      <c r="AC828" s="2102"/>
      <c r="AD828" s="2103"/>
      <c r="AE828" s="2103"/>
      <c r="AF828" s="2104"/>
      <c r="AG828" s="2102"/>
      <c r="AH828" s="2103"/>
      <c r="AI828" s="2103"/>
      <c r="AJ828" s="210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83" t="s">
        <v>2678</v>
      </c>
      <c r="G829" s="2243"/>
      <c r="H829" s="2243"/>
      <c r="I829" s="2243"/>
      <c r="J829" s="2243"/>
      <c r="K829" s="2243"/>
      <c r="L829" s="2244"/>
      <c r="M829" s="2222"/>
      <c r="N829" s="2222"/>
      <c r="O829" s="2222"/>
      <c r="P829" s="2222"/>
      <c r="Q829" s="2222"/>
      <c r="R829" s="2222"/>
      <c r="S829" s="2222"/>
      <c r="T829" s="2222"/>
      <c r="U829" s="2222"/>
      <c r="V829" s="2222"/>
      <c r="W829" s="2222"/>
      <c r="X829" s="2222"/>
      <c r="Y829" s="2222"/>
      <c r="Z829" s="2222"/>
      <c r="AA829" s="2222"/>
      <c r="AB829" s="2222"/>
      <c r="AC829" s="2102"/>
      <c r="AD829" s="2103"/>
      <c r="AE829" s="2103"/>
      <c r="AF829" s="2104"/>
      <c r="AG829" s="2102"/>
      <c r="AH829" s="2103"/>
      <c r="AI829" s="2103"/>
      <c r="AJ829" s="210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370" t="s">
        <v>129</v>
      </c>
      <c r="D830" s="2371"/>
      <c r="E830" s="2371"/>
      <c r="F830" s="2371"/>
      <c r="G830" s="2371"/>
      <c r="H830" s="2371"/>
      <c r="I830" s="2371"/>
      <c r="J830" s="2371"/>
      <c r="K830" s="2371"/>
      <c r="L830" s="2372"/>
      <c r="M830" s="2366">
        <f>SUM(M823:P829)</f>
        <v>0</v>
      </c>
      <c r="N830" s="2366"/>
      <c r="O830" s="2366"/>
      <c r="P830" s="2366"/>
      <c r="Q830" s="2366">
        <f>SUM(Q823:T829)</f>
        <v>14</v>
      </c>
      <c r="R830" s="2366"/>
      <c r="S830" s="2366"/>
      <c r="T830" s="2366"/>
      <c r="U830" s="2366">
        <f>SUM(U823:X829)</f>
        <v>19</v>
      </c>
      <c r="V830" s="2366"/>
      <c r="W830" s="2366"/>
      <c r="X830" s="2366"/>
      <c r="Y830" s="2366">
        <f>SUM(Y823:AB829)</f>
        <v>21</v>
      </c>
      <c r="Z830" s="2366"/>
      <c r="AA830" s="2366"/>
      <c r="AB830" s="2366"/>
      <c r="AC830" s="2366">
        <f>SUM(AC823:AF829)</f>
        <v>0</v>
      </c>
      <c r="AD830" s="2366"/>
      <c r="AE830" s="2366"/>
      <c r="AF830" s="2366"/>
      <c r="AG830" s="2366">
        <f>SUM(AG823:AJ829)</f>
        <v>44</v>
      </c>
      <c r="AH830" s="2366"/>
      <c r="AI830" s="2366"/>
      <c r="AJ830" s="236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226" t="s">
        <v>2607</v>
      </c>
      <c r="D835" s="2227"/>
      <c r="E835" s="2227"/>
      <c r="F835" s="2227"/>
      <c r="G835" s="2227"/>
      <c r="H835" s="2227"/>
      <c r="I835" s="2227"/>
      <c r="J835" s="2227"/>
      <c r="K835" s="2227"/>
      <c r="L835" s="2227"/>
      <c r="M835" s="2227"/>
      <c r="N835" s="2227"/>
      <c r="O835" s="2227"/>
      <c r="P835" s="2227"/>
      <c r="Q835" s="2227"/>
      <c r="R835" s="2227"/>
      <c r="S835" s="2227"/>
      <c r="T835" s="2227"/>
      <c r="U835" s="2227"/>
      <c r="V835" s="2227"/>
      <c r="W835" s="2227"/>
      <c r="X835" s="2227"/>
      <c r="Y835" s="2227"/>
      <c r="Z835" s="2227"/>
      <c r="AA835" s="2227"/>
      <c r="AB835" s="2227"/>
      <c r="AC835" s="2227"/>
      <c r="AD835" s="2227"/>
      <c r="AE835" s="2227"/>
      <c r="AF835" s="2227"/>
      <c r="AG835" s="2227"/>
      <c r="AH835" s="2227"/>
      <c r="AI835" s="2227"/>
      <c r="AJ835" s="222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77">
        <v>3000</v>
      </c>
      <c r="X840" s="2077"/>
      <c r="Y840" s="2077"/>
      <c r="Z840" s="2077"/>
      <c r="AA840" s="2077"/>
      <c r="AB840" s="2077"/>
      <c r="AC840" s="207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77">
        <v>4000</v>
      </c>
      <c r="X841" s="2077"/>
      <c r="Y841" s="2077"/>
      <c r="Z841" s="2077"/>
      <c r="AA841" s="2077"/>
      <c r="AB841" s="2077"/>
      <c r="AC841" s="207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77">
        <v>12000</v>
      </c>
      <c r="X842" s="2077"/>
      <c r="Y842" s="2077"/>
      <c r="Z842" s="2077"/>
      <c r="AA842" s="2077"/>
      <c r="AB842" s="2077"/>
      <c r="AC842" s="207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77">
        <v>15000</v>
      </c>
      <c r="X843" s="2077"/>
      <c r="Y843" s="2077"/>
      <c r="Z843" s="2077"/>
      <c r="AA843" s="2077"/>
      <c r="AB843" s="2077"/>
      <c r="AC843" s="207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71" t="s">
        <v>343</v>
      </c>
      <c r="N844" s="2243"/>
      <c r="O844" s="2243"/>
      <c r="P844" s="2243"/>
      <c r="Q844" s="2243"/>
      <c r="R844" s="2243"/>
      <c r="S844" s="2243"/>
      <c r="T844" s="2243"/>
      <c r="U844" s="2243"/>
      <c r="V844" s="2244"/>
      <c r="W844" s="2077">
        <v>13940</v>
      </c>
      <c r="X844" s="2077"/>
      <c r="Y844" s="2077"/>
      <c r="Z844" s="2077"/>
      <c r="AA844" s="2077"/>
      <c r="AB844" s="2077"/>
      <c r="AC844" s="207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58">
        <f>ROUNDDOWN(BC932*2,2)</f>
        <v>0</v>
      </c>
      <c r="BJ844" s="2358"/>
      <c r="BK844" s="2358"/>
      <c r="BL844" s="2358"/>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377">
        <f>SUM(W840:AC844)</f>
        <v>47940</v>
      </c>
      <c r="X845" s="2378"/>
      <c r="Y845" s="2378"/>
      <c r="Z845" s="2378"/>
      <c r="AA845" s="2378"/>
      <c r="AB845" s="2378"/>
      <c r="AC845" s="237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370" t="s">
        <v>354</v>
      </c>
      <c r="K847" s="2371"/>
      <c r="L847" s="2371"/>
      <c r="M847" s="2371"/>
      <c r="N847" s="2371"/>
      <c r="O847" s="2371"/>
      <c r="P847" s="2371"/>
      <c r="Q847" s="2371"/>
      <c r="R847" s="2371"/>
      <c r="S847" s="2371"/>
      <c r="T847" s="2371"/>
      <c r="U847" s="2371"/>
      <c r="V847" s="2372"/>
      <c r="W847" s="2049">
        <v>113100</v>
      </c>
      <c r="X847" s="2050"/>
      <c r="Y847" s="2050"/>
      <c r="Z847" s="2050"/>
      <c r="AA847" s="2050"/>
      <c r="AB847" s="2050"/>
      <c r="AC847" s="2051"/>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303"/>
      <c r="X849" s="2303"/>
      <c r="Y849" s="2303"/>
      <c r="Z849" s="2303"/>
      <c r="AA849" s="2303"/>
      <c r="AB849" s="2303"/>
      <c r="AC849" s="230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303">
        <v>2000</v>
      </c>
      <c r="X850" s="2303"/>
      <c r="Y850" s="2303"/>
      <c r="Z850" s="2303"/>
      <c r="AA850" s="2303"/>
      <c r="AB850" s="2303"/>
      <c r="AC850" s="230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303">
        <v>14240</v>
      </c>
      <c r="X851" s="2303"/>
      <c r="Y851" s="2303"/>
      <c r="Z851" s="2303"/>
      <c r="AA851" s="2303"/>
      <c r="AB851" s="2303"/>
      <c r="AC851" s="230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80"/>
      <c r="BH851" s="2380"/>
      <c r="BI851" s="2380"/>
      <c r="BJ851" s="2380"/>
      <c r="BK851" s="2380"/>
      <c r="BL851" s="2380"/>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303">
        <v>97900</v>
      </c>
      <c r="X852" s="2303"/>
      <c r="Y852" s="2303"/>
      <c r="Z852" s="2303"/>
      <c r="AA852" s="2303"/>
      <c r="AB852" s="2303"/>
      <c r="AC852" s="230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33">
        <f>SUM(W849:AC852)</f>
        <v>114140</v>
      </c>
      <c r="X853" s="2433"/>
      <c r="Y853" s="2433"/>
      <c r="Z853" s="2433"/>
      <c r="AA853" s="2433"/>
      <c r="AB853" s="2433"/>
      <c r="AC853" s="243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31">
        <f>SUM(AZ821:AZ849)</f>
        <v>0</v>
      </c>
      <c r="BA854" s="2431"/>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403">
        <v>42500</v>
      </c>
      <c r="X855" s="2404"/>
      <c r="Y855" s="2404"/>
      <c r="Z855" s="2404"/>
      <c r="AA855" s="2404"/>
      <c r="AB855" s="2404"/>
      <c r="AC855" s="2405"/>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2008</v>
      </c>
      <c r="K856" s="77"/>
      <c r="L856" s="77"/>
      <c r="M856" s="77"/>
      <c r="N856" s="77"/>
      <c r="O856" s="77"/>
      <c r="P856" s="77"/>
      <c r="Q856" s="77"/>
      <c r="R856" s="77"/>
      <c r="S856" s="77"/>
      <c r="T856" s="2422"/>
      <c r="U856" s="2423"/>
      <c r="V856" s="2424"/>
      <c r="W856" s="1491"/>
      <c r="X856" s="1492"/>
      <c r="Y856" s="1492"/>
      <c r="Z856" s="1492"/>
      <c r="AA856" s="1492"/>
      <c r="AB856" s="1492"/>
      <c r="AC856" s="1493"/>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403">
        <v>30000</v>
      </c>
      <c r="X857" s="2404"/>
      <c r="Y857" s="2404"/>
      <c r="Z857" s="2404"/>
      <c r="AA857" s="2404"/>
      <c r="AB857" s="2404"/>
      <c r="AC857" s="2405"/>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422"/>
      <c r="U858" s="2423"/>
      <c r="V858" s="2424"/>
      <c r="W858" s="1491"/>
      <c r="X858" s="1492"/>
      <c r="Y858" s="1492"/>
      <c r="Z858" s="1492"/>
      <c r="AA858" s="1492"/>
      <c r="AB858" s="1492"/>
      <c r="AC858" s="1493"/>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83" t="s">
        <v>2608</v>
      </c>
      <c r="N859" s="2243"/>
      <c r="O859" s="2243"/>
      <c r="P859" s="2243"/>
      <c r="Q859" s="2243"/>
      <c r="R859" s="2243"/>
      <c r="S859" s="2243"/>
      <c r="T859" s="2243"/>
      <c r="U859" s="2243"/>
      <c r="V859" s="2244"/>
      <c r="W859" s="2403">
        <v>18850</v>
      </c>
      <c r="X859" s="2404"/>
      <c r="Y859" s="2404"/>
      <c r="Z859" s="2404"/>
      <c r="AA859" s="2404"/>
      <c r="AB859" s="2404"/>
      <c r="AC859" s="2405"/>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04">
        <f>SUM(W855:AC859)</f>
        <v>91350</v>
      </c>
      <c r="X860" s="2305"/>
      <c r="Y860" s="2305"/>
      <c r="Z860" s="2305"/>
      <c r="AA860" s="2305"/>
      <c r="AB860" s="2305"/>
      <c r="AC860" s="2306"/>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403">
        <v>20000</v>
      </c>
      <c r="X861" s="2404"/>
      <c r="Y861" s="2404"/>
      <c r="Z861" s="2404"/>
      <c r="AA861" s="2404"/>
      <c r="AB861" s="2404"/>
      <c r="AC861" s="2405"/>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077">
        <v>12000</v>
      </c>
      <c r="X863" s="2077"/>
      <c r="Y863" s="2077"/>
      <c r="Z863" s="2077"/>
      <c r="AA863" s="2077"/>
      <c r="AB863" s="2077"/>
      <c r="AC863" s="2077"/>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77">
        <v>30500</v>
      </c>
      <c r="X864" s="2077"/>
      <c r="Y864" s="2077"/>
      <c r="Z864" s="2077"/>
      <c r="AA864" s="2077"/>
      <c r="AB864" s="2077"/>
      <c r="AC864" s="2077"/>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77">
        <v>26700</v>
      </c>
      <c r="X865" s="2077"/>
      <c r="Y865" s="2077"/>
      <c r="Z865" s="2077"/>
      <c r="AA865" s="2077"/>
      <c r="AB865" s="2077"/>
      <c r="AC865" s="2077"/>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77">
        <v>7000</v>
      </c>
      <c r="X866" s="2077"/>
      <c r="Y866" s="2077"/>
      <c r="Z866" s="2077"/>
      <c r="AA866" s="2077"/>
      <c r="AB866" s="2077"/>
      <c r="AC866" s="2077"/>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77">
        <v>14000</v>
      </c>
      <c r="X867" s="2077"/>
      <c r="Y867" s="2077"/>
      <c r="Z867" s="2077"/>
      <c r="AA867" s="2077"/>
      <c r="AB867" s="2077"/>
      <c r="AC867" s="207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77">
        <v>7000</v>
      </c>
      <c r="X868" s="2077"/>
      <c r="Y868" s="2077"/>
      <c r="Z868" s="2077"/>
      <c r="AA868" s="2077"/>
      <c r="AB868" s="2077"/>
      <c r="AC868" s="207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83" t="s">
        <v>2609</v>
      </c>
      <c r="N869" s="2243"/>
      <c r="O869" s="2243"/>
      <c r="P869" s="2243"/>
      <c r="Q869" s="2243"/>
      <c r="R869" s="2243"/>
      <c r="S869" s="2243"/>
      <c r="T869" s="2243"/>
      <c r="U869" s="2243"/>
      <c r="V869" s="2244"/>
      <c r="W869" s="2077">
        <v>10500</v>
      </c>
      <c r="X869" s="2077"/>
      <c r="Y869" s="2077"/>
      <c r="Z869" s="2077"/>
      <c r="AA869" s="2077"/>
      <c r="AB869" s="2077"/>
      <c r="AC869" s="2077"/>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95">
        <f>SUM(W863:AC869)</f>
        <v>107700</v>
      </c>
      <c r="X870" s="2395"/>
      <c r="Y870" s="2395"/>
      <c r="Z870" s="2395"/>
      <c r="AA870" s="2395"/>
      <c r="AB870" s="2395"/>
      <c r="AC870" s="239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271" t="s">
        <v>343</v>
      </c>
      <c r="N872" s="2243"/>
      <c r="O872" s="2243"/>
      <c r="P872" s="2243"/>
      <c r="Q872" s="2243"/>
      <c r="R872" s="2243"/>
      <c r="S872" s="2243"/>
      <c r="T872" s="2243"/>
      <c r="U872" s="2243"/>
      <c r="V872" s="2244"/>
      <c r="W872" s="2049"/>
      <c r="X872" s="2050"/>
      <c r="Y872" s="2050"/>
      <c r="Z872" s="2050"/>
      <c r="AA872" s="2050"/>
      <c r="AB872" s="2050"/>
      <c r="AC872" s="2051"/>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271" t="s">
        <v>343</v>
      </c>
      <c r="N873" s="2243"/>
      <c r="O873" s="2243"/>
      <c r="P873" s="2243"/>
      <c r="Q873" s="2243"/>
      <c r="R873" s="2243"/>
      <c r="S873" s="2243"/>
      <c r="T873" s="2243"/>
      <c r="U873" s="2243"/>
      <c r="V873" s="2244"/>
      <c r="W873" s="2049"/>
      <c r="X873" s="2050"/>
      <c r="Y873" s="2050"/>
      <c r="Z873" s="2050"/>
      <c r="AA873" s="2050"/>
      <c r="AB873" s="2050"/>
      <c r="AC873" s="2051"/>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71" t="s">
        <v>343</v>
      </c>
      <c r="N874" s="2243"/>
      <c r="O874" s="2243"/>
      <c r="P874" s="2243"/>
      <c r="Q874" s="2243"/>
      <c r="R874" s="2243"/>
      <c r="S874" s="2243"/>
      <c r="T874" s="2243"/>
      <c r="U874" s="2243"/>
      <c r="V874" s="2244"/>
      <c r="W874" s="2049"/>
      <c r="X874" s="2050"/>
      <c r="Y874" s="2050"/>
      <c r="Z874" s="2050"/>
      <c r="AA874" s="2050"/>
      <c r="AB874" s="2050"/>
      <c r="AC874" s="205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71" t="s">
        <v>343</v>
      </c>
      <c r="N875" s="2243"/>
      <c r="O875" s="2243"/>
      <c r="P875" s="2243"/>
      <c r="Q875" s="2243"/>
      <c r="R875" s="2243"/>
      <c r="S875" s="2243"/>
      <c r="T875" s="2243"/>
      <c r="U875" s="2243"/>
      <c r="V875" s="2244"/>
      <c r="W875" s="2049"/>
      <c r="X875" s="2050"/>
      <c r="Y875" s="2050"/>
      <c r="Z875" s="2050"/>
      <c r="AA875" s="2050"/>
      <c r="AB875" s="2050"/>
      <c r="AC875" s="205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71" t="s">
        <v>343</v>
      </c>
      <c r="N876" s="2243"/>
      <c r="O876" s="2243"/>
      <c r="P876" s="2243"/>
      <c r="Q876" s="2243"/>
      <c r="R876" s="2243"/>
      <c r="S876" s="2243"/>
      <c r="T876" s="2243"/>
      <c r="U876" s="2243"/>
      <c r="V876" s="2244"/>
      <c r="W876" s="2049"/>
      <c r="X876" s="2050"/>
      <c r="Y876" s="2050"/>
      <c r="Z876" s="2050"/>
      <c r="AA876" s="2050"/>
      <c r="AB876" s="2050"/>
      <c r="AC876" s="205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77">
        <f>SUM(W872:AC876)</f>
        <v>0</v>
      </c>
      <c r="X877" s="2378"/>
      <c r="Y877" s="2378"/>
      <c r="Z877" s="2378"/>
      <c r="AA877" s="2378"/>
      <c r="AB877" s="2378"/>
      <c r="AC877" s="237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283</v>
      </c>
      <c r="AC881" s="2378">
        <f>W845+W853+W860+W861+W870+W877+W847</f>
        <v>494230</v>
      </c>
      <c r="AD881" s="2378"/>
      <c r="AE881" s="2378"/>
      <c r="AF881" s="2378"/>
      <c r="AG881" s="2378"/>
      <c r="AH881" s="237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543</v>
      </c>
      <c r="AC882" s="2420">
        <f>O796+O776+G753</f>
        <v>89</v>
      </c>
      <c r="AD882" s="2420"/>
      <c r="AE882" s="2420"/>
      <c r="AF882" s="2420"/>
      <c r="AG882" s="2420"/>
      <c r="AH882" s="242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229" t="s">
        <v>33</v>
      </c>
      <c r="F883" s="2229"/>
      <c r="G883" s="2229"/>
      <c r="H883" s="2229"/>
      <c r="I883" s="2229"/>
      <c r="J883" s="2229"/>
      <c r="K883" s="2229"/>
      <c r="L883" s="2229"/>
      <c r="M883" s="2229"/>
      <c r="N883" s="2229"/>
      <c r="O883" s="2229"/>
      <c r="P883" s="2229"/>
      <c r="Q883" s="2229"/>
      <c r="R883" s="2229"/>
      <c r="S883" s="2229"/>
      <c r="T883" s="2229"/>
      <c r="U883" s="2229"/>
      <c r="V883" s="2229"/>
      <c r="W883" s="2229"/>
      <c r="X883" s="2229"/>
      <c r="Y883" s="2229"/>
      <c r="Z883" s="2229"/>
      <c r="AA883" s="2229"/>
      <c r="AB883" s="2230"/>
      <c r="AC883" s="2395">
        <f>IF(ISERROR((ROUNDDOWN(AC881/AC882,0))),0,(ROUNDDOWN(AC881/AC882,0)))</f>
        <v>5553</v>
      </c>
      <c r="AD883" s="2395"/>
      <c r="AE883" s="2395"/>
      <c r="AF883" s="2395"/>
      <c r="AG883" s="2395"/>
      <c r="AH883" s="239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818</v>
      </c>
      <c r="AC884" s="2427">
        <v>327000</v>
      </c>
      <c r="AD884" s="2428"/>
      <c r="AE884" s="2428"/>
      <c r="AF884" s="2428"/>
      <c r="AG884" s="2428"/>
      <c r="AH884" s="242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1354</v>
      </c>
      <c r="AC885" s="2051"/>
      <c r="AD885" s="2077"/>
      <c r="AE885" s="2077"/>
      <c r="AF885" s="2077"/>
      <c r="AG885" s="2077"/>
      <c r="AH885" s="207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542</v>
      </c>
      <c r="AC886" s="2050">
        <v>60000</v>
      </c>
      <c r="AD886" s="2050"/>
      <c r="AE886" s="2050"/>
      <c r="AF886" s="2050"/>
      <c r="AG886" s="2050"/>
      <c r="AH886" s="205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50">
        <v>26700</v>
      </c>
      <c r="AD887" s="2050"/>
      <c r="AE887" s="2050"/>
      <c r="AF887" s="2050"/>
      <c r="AG887" s="2050"/>
      <c r="AH887" s="205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2155</v>
      </c>
      <c r="AC888" s="2102"/>
      <c r="AD888" s="2103"/>
      <c r="AE888" s="2103"/>
      <c r="AF888" s="2103"/>
      <c r="AG888" s="2103"/>
      <c r="AH888" s="210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50">
        <v>20000</v>
      </c>
      <c r="AD889" s="2050"/>
      <c r="AE889" s="2050"/>
      <c r="AF889" s="2050"/>
      <c r="AG889" s="2050"/>
      <c r="AH889" s="2051"/>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2010</v>
      </c>
      <c r="AC890" s="2050"/>
      <c r="AD890" s="2050"/>
      <c r="AE890" s="2050"/>
      <c r="AF890" s="2050"/>
      <c r="AG890" s="2050"/>
      <c r="AH890" s="205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72" t="s">
        <v>2610</v>
      </c>
      <c r="D891" s="2573"/>
      <c r="E891" s="2573"/>
      <c r="F891" s="2573"/>
      <c r="G891" s="2573"/>
      <c r="H891" s="2573"/>
      <c r="I891" s="2573"/>
      <c r="J891" s="2573"/>
      <c r="K891" s="2573"/>
      <c r="L891" s="2573"/>
      <c r="M891" s="2573"/>
      <c r="N891" s="2573"/>
      <c r="O891" s="2573"/>
      <c r="P891" s="2573"/>
      <c r="Q891" s="2573"/>
      <c r="R891" s="2573"/>
      <c r="S891" s="2573"/>
      <c r="T891" s="2573"/>
      <c r="U891" s="2573"/>
      <c r="V891" s="2573"/>
      <c r="W891" s="2573"/>
      <c r="X891" s="2573"/>
      <c r="Y891" s="2573"/>
      <c r="Z891" s="2573"/>
      <c r="AA891" s="2573"/>
      <c r="AB891" s="2574"/>
      <c r="AC891" s="2077">
        <v>800</v>
      </c>
      <c r="AD891" s="2077"/>
      <c r="AE891" s="2077"/>
      <c r="AF891" s="2077"/>
      <c r="AG891" s="2077"/>
      <c r="AH891" s="207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572" t="s">
        <v>1034</v>
      </c>
      <c r="D892" s="2573"/>
      <c r="E892" s="2573"/>
      <c r="F892" s="2573"/>
      <c r="G892" s="2573"/>
      <c r="H892" s="2573"/>
      <c r="I892" s="2573"/>
      <c r="J892" s="2573"/>
      <c r="K892" s="2573"/>
      <c r="L892" s="2573"/>
      <c r="M892" s="2573"/>
      <c r="N892" s="2573"/>
      <c r="O892" s="2573"/>
      <c r="P892" s="2573"/>
      <c r="Q892" s="2573"/>
      <c r="R892" s="2573"/>
      <c r="S892" s="2573"/>
      <c r="T892" s="2573"/>
      <c r="U892" s="2573"/>
      <c r="V892" s="2573"/>
      <c r="W892" s="2573"/>
      <c r="X892" s="2573"/>
      <c r="Y892" s="2573"/>
      <c r="Z892" s="2573"/>
      <c r="AA892" s="2573"/>
      <c r="AB892" s="2574"/>
      <c r="AC892" s="2077"/>
      <c r="AD892" s="2077"/>
      <c r="AE892" s="2077"/>
      <c r="AF892" s="2077"/>
      <c r="AG892" s="2077"/>
      <c r="AH892" s="207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49"/>
      <c r="AA896" s="2050"/>
      <c r="AB896" s="2050"/>
      <c r="AC896" s="2050"/>
      <c r="AD896" s="2050"/>
      <c r="AE896" s="2051"/>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49"/>
      <c r="AA897" s="2050"/>
      <c r="AB897" s="2050"/>
      <c r="AC897" s="2050"/>
      <c r="AD897" s="2050"/>
      <c r="AE897" s="205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49"/>
      <c r="AA898" s="2050"/>
      <c r="AB898" s="2050"/>
      <c r="AC898" s="2050"/>
      <c r="AD898" s="2050"/>
      <c r="AE898" s="205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77">
        <f>Z896-(Z897+Z898)</f>
        <v>0</v>
      </c>
      <c r="AA899" s="2378"/>
      <c r="AB899" s="2378"/>
      <c r="AC899" s="2378"/>
      <c r="AD899" s="2378"/>
      <c r="AE899" s="2379"/>
      <c r="AZ899" s="61"/>
      <c r="BA899" s="25"/>
      <c r="BB899" s="127"/>
      <c r="BC899" s="127"/>
      <c r="BD899" s="1286"/>
      <c r="BE899" s="1286"/>
      <c r="BF899" s="1286"/>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412"/>
      <c r="BE901" s="2412"/>
      <c r="BF901" s="1286"/>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435"/>
      <c r="BE902" s="2435"/>
      <c r="BF902" s="1286"/>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65"/>
      <c r="BE903" s="2365"/>
      <c r="BF903" s="1286"/>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65"/>
      <c r="BE904" s="2365"/>
      <c r="BF904" s="1286"/>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65"/>
      <c r="BE905" s="2365"/>
      <c r="BF905" s="1286"/>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412"/>
      <c r="BE906" s="2365"/>
      <c r="BF906" s="1286"/>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425" t="s">
        <v>101</v>
      </c>
      <c r="B907" s="2425"/>
      <c r="C907" s="2425"/>
      <c r="D907" s="2425"/>
      <c r="E907" s="2425"/>
      <c r="F907" s="2425"/>
      <c r="G907" s="2425"/>
      <c r="H907" s="2425"/>
      <c r="I907" s="2425"/>
      <c r="J907" s="2425"/>
      <c r="K907" s="2425"/>
      <c r="L907" s="2425"/>
      <c r="M907" s="2425"/>
      <c r="N907" s="2425"/>
      <c r="O907" s="2425"/>
      <c r="P907" s="2425"/>
      <c r="Q907" s="2425"/>
      <c r="R907" s="2425"/>
      <c r="S907" s="2425"/>
      <c r="T907" s="2425"/>
      <c r="U907" s="2425"/>
      <c r="V907" s="2425"/>
      <c r="W907" s="2425"/>
      <c r="X907" s="2425"/>
      <c r="Y907" s="2425"/>
      <c r="Z907" s="2425"/>
      <c r="AA907" s="2425"/>
      <c r="AB907" s="2425"/>
      <c r="AC907" s="2425"/>
      <c r="AD907" s="2425"/>
      <c r="AE907" s="2425"/>
      <c r="AF907" s="2425"/>
      <c r="AG907" s="2425"/>
      <c r="AH907" s="2425"/>
      <c r="AI907" s="2425"/>
      <c r="AJ907" s="2425"/>
      <c r="AK907" s="2425"/>
      <c r="AL907" s="2425"/>
      <c r="AM907" s="144"/>
      <c r="AN907" s="144"/>
      <c r="AO907" s="144"/>
      <c r="AP907" s="144"/>
      <c r="AQ907" s="144"/>
      <c r="AR907" s="144"/>
      <c r="AS907" s="144"/>
      <c r="AT907" s="144"/>
      <c r="AU907" s="144"/>
      <c r="AV907" s="144"/>
      <c r="AW907" s="144"/>
      <c r="AX907" s="144"/>
      <c r="AY907" s="144"/>
      <c r="AZ907" s="61"/>
      <c r="BA907" s="25"/>
      <c r="BB907" s="127"/>
      <c r="BC907" s="1606"/>
      <c r="BD907" s="2434"/>
      <c r="BE907" s="2434"/>
      <c r="BF907" s="2434"/>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426"/>
      <c r="B908" s="2426"/>
      <c r="C908" s="2426"/>
      <c r="D908" s="2426"/>
      <c r="E908" s="2426"/>
      <c r="F908" s="2426"/>
      <c r="G908" s="2426"/>
      <c r="H908" s="2426"/>
      <c r="I908" s="2426"/>
      <c r="J908" s="2426"/>
      <c r="K908" s="2426"/>
      <c r="L908" s="2426"/>
      <c r="M908" s="2426"/>
      <c r="N908" s="2426"/>
      <c r="O908" s="2426"/>
      <c r="P908" s="2426"/>
      <c r="Q908" s="2426"/>
      <c r="R908" s="2426"/>
      <c r="S908" s="2426"/>
      <c r="T908" s="2426"/>
      <c r="U908" s="2426"/>
      <c r="V908" s="2426"/>
      <c r="W908" s="2426"/>
      <c r="X908" s="2426"/>
      <c r="Y908" s="2426"/>
      <c r="Z908" s="2426"/>
      <c r="AA908" s="2426"/>
      <c r="AB908" s="2426"/>
      <c r="AC908" s="2426"/>
      <c r="AD908" s="2426"/>
      <c r="AE908" s="2426"/>
      <c r="AF908" s="2426"/>
      <c r="AG908" s="2426"/>
      <c r="AH908" s="2426"/>
      <c r="AI908" s="2426"/>
      <c r="AJ908" s="2426"/>
      <c r="AK908" s="2426"/>
      <c r="AL908" s="2426"/>
      <c r="AM908" s="144"/>
      <c r="AN908" s="144"/>
      <c r="AO908" s="144"/>
      <c r="AP908" s="144"/>
      <c r="AQ908" s="144"/>
      <c r="AR908" s="144"/>
      <c r="AS908" s="144"/>
      <c r="AT908" s="144"/>
      <c r="AU908" s="144"/>
      <c r="AV908" s="144"/>
      <c r="AW908" s="144"/>
      <c r="AX908" s="144"/>
      <c r="AY908" s="144"/>
      <c r="AZ908" s="61"/>
      <c r="BA908" s="25"/>
      <c r="BB908" s="127"/>
      <c r="BC908" s="1606"/>
      <c r="BD908" s="2430"/>
      <c r="BE908" s="2430"/>
      <c r="BF908" s="2430"/>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65"/>
      <c r="BE909" s="2365"/>
      <c r="BF909" s="1286"/>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412"/>
      <c r="BE910" s="2365"/>
      <c r="BF910" s="1286"/>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9" t="s">
        <v>849</v>
      </c>
      <c r="G912" s="2340"/>
      <c r="H912" s="2340"/>
      <c r="I912" s="2340"/>
      <c r="J912" s="2340"/>
      <c r="K912" s="2340"/>
      <c r="L912" s="2340"/>
      <c r="M912" s="2340"/>
      <c r="N912" s="2340"/>
      <c r="O912" s="2340"/>
      <c r="P912" s="2340"/>
      <c r="Q912" s="2340"/>
      <c r="R912" s="2340"/>
      <c r="S912" s="2340"/>
      <c r="T912" s="2341"/>
      <c r="U912" s="2330" t="s">
        <v>32</v>
      </c>
      <c r="V912" s="2331"/>
      <c r="W912" s="2331"/>
      <c r="X912" s="2331"/>
      <c r="Y912" s="2331"/>
      <c r="Z912" s="2331"/>
      <c r="AA912" s="73"/>
      <c r="AB912" s="161"/>
      <c r="AC912" s="161"/>
      <c r="AD912" s="161"/>
      <c r="AE912" s="161"/>
      <c r="AF912" s="162"/>
      <c r="AZ912" s="61"/>
      <c r="BA912" s="1605"/>
      <c r="BB912" s="127"/>
      <c r="BC912" s="127"/>
      <c r="BD912" s="2412"/>
      <c r="BE912" s="2365"/>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333" t="s">
        <v>878</v>
      </c>
      <c r="G913" s="2334"/>
      <c r="H913" s="2334"/>
      <c r="I913" s="2334"/>
      <c r="J913" s="2334"/>
      <c r="K913" s="2334"/>
      <c r="L913" s="2334"/>
      <c r="M913" s="2334"/>
      <c r="N913" s="2334"/>
      <c r="O913" s="2334"/>
      <c r="P913" s="2334"/>
      <c r="Q913" s="2334"/>
      <c r="R913" s="2334"/>
      <c r="S913" s="2334"/>
      <c r="T913" s="2335"/>
      <c r="U913" s="2333"/>
      <c r="V913" s="2334"/>
      <c r="W913" s="2334"/>
      <c r="X913" s="2334"/>
      <c r="Y913" s="2334"/>
      <c r="Z913" s="2334"/>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336"/>
      <c r="G914" s="2337"/>
      <c r="H914" s="2337"/>
      <c r="I914" s="2337"/>
      <c r="J914" s="2337"/>
      <c r="K914" s="2337"/>
      <c r="L914" s="2337"/>
      <c r="M914" s="2337"/>
      <c r="N914" s="2337"/>
      <c r="O914" s="2337"/>
      <c r="P914" s="2337"/>
      <c r="Q914" s="2337"/>
      <c r="R914" s="2337"/>
      <c r="S914" s="2337"/>
      <c r="T914" s="2338"/>
      <c r="U914" s="2336"/>
      <c r="V914" s="2337"/>
      <c r="W914" s="2337"/>
      <c r="X914" s="2337"/>
      <c r="Y914" s="2337"/>
      <c r="Z914" s="2337"/>
      <c r="AA914" s="164"/>
      <c r="AB914" s="2429" t="s">
        <v>409</v>
      </c>
      <c r="AC914" s="2429"/>
      <c r="AD914" s="2429"/>
      <c r="AE914" s="2429"/>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72" t="s">
        <v>577</v>
      </c>
      <c r="V915" s="2273"/>
      <c r="W915" s="2273"/>
      <c r="X915" s="2273"/>
      <c r="Y915" s="2273"/>
      <c r="Z915" s="2274"/>
      <c r="AA915" s="2219">
        <v>27000000</v>
      </c>
      <c r="AB915" s="2220"/>
      <c r="AC915" s="2220"/>
      <c r="AD915" s="2220"/>
      <c r="AE915" s="2220"/>
      <c r="AF915" s="222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72" t="s">
        <v>577</v>
      </c>
      <c r="V916" s="2273"/>
      <c r="W916" s="2273"/>
      <c r="X916" s="2273"/>
      <c r="Y916" s="2273"/>
      <c r="Z916" s="2274"/>
      <c r="AA916" s="2219">
        <f>AM565</f>
        <v>4193578</v>
      </c>
      <c r="AB916" s="2220"/>
      <c r="AC916" s="2220"/>
      <c r="AD916" s="2220"/>
      <c r="AE916" s="2220"/>
      <c r="AF916" s="222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72" t="s">
        <v>625</v>
      </c>
      <c r="V917" s="2273"/>
      <c r="W917" s="2273"/>
      <c r="X917" s="2273"/>
      <c r="Y917" s="2273"/>
      <c r="Z917" s="2274"/>
      <c r="AA917" s="2219"/>
      <c r="AB917" s="2220"/>
      <c r="AC917" s="2220"/>
      <c r="AD917" s="2220"/>
      <c r="AE917" s="2220"/>
      <c r="AF917" s="222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72" t="s">
        <v>625</v>
      </c>
      <c r="V918" s="2273"/>
      <c r="W918" s="2273"/>
      <c r="X918" s="2273"/>
      <c r="Y918" s="2273"/>
      <c r="Z918" s="2274"/>
      <c r="AA918" s="2219"/>
      <c r="AB918" s="2220"/>
      <c r="AC918" s="2220"/>
      <c r="AD918" s="2220"/>
      <c r="AE918" s="2220"/>
      <c r="AF918" s="222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72" t="s">
        <v>625</v>
      </c>
      <c r="V919" s="2273"/>
      <c r="W919" s="2273"/>
      <c r="X919" s="2273"/>
      <c r="Y919" s="2273"/>
      <c r="Z919" s="2274"/>
      <c r="AA919" s="2219"/>
      <c r="AB919" s="2220"/>
      <c r="AC919" s="2220"/>
      <c r="AD919" s="2220"/>
      <c r="AE919" s="2220"/>
      <c r="AF919" s="222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72" t="s">
        <v>625</v>
      </c>
      <c r="V920" s="2273"/>
      <c r="W920" s="2273"/>
      <c r="X920" s="2273"/>
      <c r="Y920" s="2273"/>
      <c r="Z920" s="2274"/>
      <c r="AA920" s="2219"/>
      <c r="AB920" s="2220"/>
      <c r="AC920" s="2220"/>
      <c r="AD920" s="2220"/>
      <c r="AE920" s="2220"/>
      <c r="AF920" s="222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72" t="s">
        <v>625</v>
      </c>
      <c r="V921" s="2273"/>
      <c r="W921" s="2273"/>
      <c r="X921" s="2273"/>
      <c r="Y921" s="2273"/>
      <c r="Z921" s="2274"/>
      <c r="AA921" s="2219"/>
      <c r="AB921" s="2220"/>
      <c r="AC921" s="2220"/>
      <c r="AD921" s="2220"/>
      <c r="AE921" s="2220"/>
      <c r="AF921" s="222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72" t="s">
        <v>625</v>
      </c>
      <c r="V922" s="2273"/>
      <c r="W922" s="2273"/>
      <c r="X922" s="2273"/>
      <c r="Y922" s="2273"/>
      <c r="Z922" s="2274"/>
      <c r="AA922" s="2219"/>
      <c r="AB922" s="2220"/>
      <c r="AC922" s="2220"/>
      <c r="AD922" s="2220"/>
      <c r="AE922" s="2220"/>
      <c r="AF922" s="222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72" t="s">
        <v>625</v>
      </c>
      <c r="V923" s="2273"/>
      <c r="W923" s="2273"/>
      <c r="X923" s="2273"/>
      <c r="Y923" s="2273"/>
      <c r="Z923" s="2274"/>
      <c r="AA923" s="2219"/>
      <c r="AB923" s="2220"/>
      <c r="AC923" s="2220"/>
      <c r="AD923" s="2220"/>
      <c r="AE923" s="2220"/>
      <c r="AF923" s="222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72" t="s">
        <v>625</v>
      </c>
      <c r="V924" s="2273"/>
      <c r="W924" s="2273"/>
      <c r="X924" s="2273"/>
      <c r="Y924" s="2273"/>
      <c r="Z924" s="2274"/>
      <c r="AA924" s="2219"/>
      <c r="AB924" s="2220"/>
      <c r="AC924" s="2220"/>
      <c r="AD924" s="2220"/>
      <c r="AE924" s="2220"/>
      <c r="AF924" s="222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272" t="s">
        <v>625</v>
      </c>
      <c r="V925" s="2273"/>
      <c r="W925" s="2273"/>
      <c r="X925" s="2273"/>
      <c r="Y925" s="2273"/>
      <c r="Z925" s="2274"/>
      <c r="AA925" s="2219"/>
      <c r="AB925" s="2220"/>
      <c r="AC925" s="2220"/>
      <c r="AD925" s="2220"/>
      <c r="AE925" s="2220"/>
      <c r="AF925" s="222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72" t="s">
        <v>625</v>
      </c>
      <c r="V926" s="2273"/>
      <c r="W926" s="2273"/>
      <c r="X926" s="2273"/>
      <c r="Y926" s="2273"/>
      <c r="Z926" s="2274"/>
      <c r="AA926" s="2219"/>
      <c r="AB926" s="2220"/>
      <c r="AC926" s="2220"/>
      <c r="AD926" s="2220"/>
      <c r="AE926" s="2220"/>
      <c r="AF926" s="222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72" t="s">
        <v>625</v>
      </c>
      <c r="V927" s="2273"/>
      <c r="W927" s="2273"/>
      <c r="X927" s="2273"/>
      <c r="Y927" s="2273"/>
      <c r="Z927" s="2274"/>
      <c r="AA927" s="2219"/>
      <c r="AB927" s="2220"/>
      <c r="AC927" s="2220"/>
      <c r="AD927" s="2220"/>
      <c r="AE927" s="2220"/>
      <c r="AF927" s="222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272" t="s">
        <v>625</v>
      </c>
      <c r="V928" s="2273"/>
      <c r="W928" s="2273"/>
      <c r="X928" s="2273"/>
      <c r="Y928" s="2273"/>
      <c r="Z928" s="2274"/>
      <c r="AA928" s="2219"/>
      <c r="AB928" s="2220"/>
      <c r="AC928" s="2220"/>
      <c r="AD928" s="2220"/>
      <c r="AE928" s="2220"/>
      <c r="AF928" s="222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272" t="s">
        <v>625</v>
      </c>
      <c r="V929" s="2273"/>
      <c r="W929" s="2273"/>
      <c r="X929" s="2273"/>
      <c r="Y929" s="2273"/>
      <c r="Z929" s="2274"/>
      <c r="AA929" s="2219"/>
      <c r="AB929" s="2220"/>
      <c r="AC929" s="2220"/>
      <c r="AD929" s="2220"/>
      <c r="AE929" s="2220"/>
      <c r="AF929" s="222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72" t="s">
        <v>705</v>
      </c>
      <c r="Q930" s="2273"/>
      <c r="R930" s="2273"/>
      <c r="S930" s="2273"/>
      <c r="T930" s="2274"/>
      <c r="U930" s="2272" t="s">
        <v>625</v>
      </c>
      <c r="V930" s="2273"/>
      <c r="W930" s="2273"/>
      <c r="X930" s="2273"/>
      <c r="Y930" s="2273"/>
      <c r="Z930" s="2274"/>
      <c r="AA930" s="2219"/>
      <c r="AB930" s="2220"/>
      <c r="AC930" s="2220"/>
      <c r="AD930" s="2220"/>
      <c r="AE930" s="2220"/>
      <c r="AF930" s="222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16" t="s">
        <v>343</v>
      </c>
      <c r="J931" s="2417"/>
      <c r="K931" s="2417"/>
      <c r="L931" s="2417"/>
      <c r="M931" s="2417"/>
      <c r="N931" s="2417"/>
      <c r="O931" s="2417"/>
      <c r="P931" s="2417"/>
      <c r="Q931" s="2417"/>
      <c r="R931" s="2417"/>
      <c r="S931" s="2417"/>
      <c r="T931" s="2418"/>
      <c r="U931" s="2272" t="s">
        <v>625</v>
      </c>
      <c r="V931" s="2273"/>
      <c r="W931" s="2273"/>
      <c r="X931" s="2273"/>
      <c r="Y931" s="2273"/>
      <c r="Z931" s="2274"/>
      <c r="AA931" s="2219"/>
      <c r="AB931" s="2220"/>
      <c r="AC931" s="2220"/>
      <c r="AD931" s="2220"/>
      <c r="AE931" s="2220"/>
      <c r="AF931" s="222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416" t="s">
        <v>2522</v>
      </c>
      <c r="J932" s="2399"/>
      <c r="K932" s="2399"/>
      <c r="L932" s="2399"/>
      <c r="M932" s="2399"/>
      <c r="N932" s="2399"/>
      <c r="O932" s="2399"/>
      <c r="P932" s="2399"/>
      <c r="Q932" s="2399"/>
      <c r="R932" s="2399"/>
      <c r="S932" s="2399"/>
      <c r="T932" s="2400"/>
      <c r="U932" s="2272" t="s">
        <v>577</v>
      </c>
      <c r="V932" s="2273"/>
      <c r="W932" s="2273"/>
      <c r="X932" s="2273"/>
      <c r="Y932" s="2273"/>
      <c r="Z932" s="2274"/>
      <c r="AA932" s="2219">
        <v>7408000</v>
      </c>
      <c r="AB932" s="2220"/>
      <c r="AC932" s="2220"/>
      <c r="AD932" s="2220"/>
      <c r="AE932" s="2220"/>
      <c r="AF932" s="222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98" t="s">
        <v>343</v>
      </c>
      <c r="J933" s="2399"/>
      <c r="K933" s="2399"/>
      <c r="L933" s="2399"/>
      <c r="M933" s="2399"/>
      <c r="N933" s="2399"/>
      <c r="O933" s="2399"/>
      <c r="P933" s="2399"/>
      <c r="Q933" s="2399"/>
      <c r="R933" s="2399"/>
      <c r="S933" s="2399"/>
      <c r="T933" s="2400"/>
      <c r="U933" s="2272" t="s">
        <v>625</v>
      </c>
      <c r="V933" s="2273"/>
      <c r="W933" s="2273"/>
      <c r="X933" s="2273"/>
      <c r="Y933" s="2273"/>
      <c r="Z933" s="2274"/>
      <c r="AA933" s="2219"/>
      <c r="AB933" s="2220"/>
      <c r="AC933" s="2220"/>
      <c r="AD933" s="2220"/>
      <c r="AE933" s="2220"/>
      <c r="AF933" s="222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98" t="s">
        <v>343</v>
      </c>
      <c r="J934" s="2399"/>
      <c r="K934" s="2399"/>
      <c r="L934" s="2399"/>
      <c r="M934" s="2399"/>
      <c r="N934" s="2399"/>
      <c r="O934" s="2399"/>
      <c r="P934" s="2399"/>
      <c r="Q934" s="2399"/>
      <c r="R934" s="2399"/>
      <c r="S934" s="2399"/>
      <c r="T934" s="2400"/>
      <c r="U934" s="2272" t="s">
        <v>625</v>
      </c>
      <c r="V934" s="2273"/>
      <c r="W934" s="2273"/>
      <c r="X934" s="2273"/>
      <c r="Y934" s="2273"/>
      <c r="Z934" s="2274"/>
      <c r="AA934" s="2219"/>
      <c r="AB934" s="2220"/>
      <c r="AC934" s="2220"/>
      <c r="AD934" s="2220"/>
      <c r="AE934" s="2220"/>
      <c r="AF934" s="222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82"/>
      <c r="N939" s="2283"/>
      <c r="O939" s="2283"/>
      <c r="P939" s="2283"/>
      <c r="Q939" s="2283"/>
      <c r="R939" s="2283"/>
      <c r="S939" s="2284"/>
      <c r="U939" s="103" t="s">
        <v>11</v>
      </c>
      <c r="V939" s="77"/>
      <c r="W939" s="77"/>
      <c r="X939" s="77"/>
      <c r="Y939" s="77"/>
      <c r="Z939" s="77"/>
      <c r="AA939" s="77"/>
      <c r="AB939" s="77"/>
      <c r="AC939" s="77"/>
      <c r="AD939" s="78"/>
      <c r="AE939" s="2282"/>
      <c r="AF939" s="2283"/>
      <c r="AG939" s="2283"/>
      <c r="AH939" s="2283"/>
      <c r="AI939" s="2283"/>
      <c r="AJ939" s="2283"/>
      <c r="AK939" s="228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409"/>
      <c r="N940" s="2410"/>
      <c r="O940" s="2410"/>
      <c r="P940" s="2410"/>
      <c r="Q940" s="2410"/>
      <c r="R940" s="2410"/>
      <c r="S940" s="2411"/>
      <c r="U940" s="103" t="s">
        <v>12</v>
      </c>
      <c r="V940" s="77"/>
      <c r="W940" s="77"/>
      <c r="X940" s="77"/>
      <c r="Y940" s="77"/>
      <c r="Z940" s="77"/>
      <c r="AA940" s="77"/>
      <c r="AB940" s="77"/>
      <c r="AC940" s="77"/>
      <c r="AD940" s="78"/>
      <c r="AE940" s="2409"/>
      <c r="AF940" s="2410"/>
      <c r="AG940" s="2410"/>
      <c r="AH940" s="2410"/>
      <c r="AI940" s="2410"/>
      <c r="AJ940" s="2410"/>
      <c r="AK940" s="241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406" t="s">
        <v>316</v>
      </c>
      <c r="K941" s="2407"/>
      <c r="L941" s="2407"/>
      <c r="M941" s="2407"/>
      <c r="N941" s="2407"/>
      <c r="O941" s="2407"/>
      <c r="P941" s="2407"/>
      <c r="Q941" s="2407"/>
      <c r="R941" s="2407"/>
      <c r="S941" s="2408"/>
      <c r="U941" s="103" t="s">
        <v>944</v>
      </c>
      <c r="V941" s="77"/>
      <c r="W941" s="77"/>
      <c r="AB941" s="2406" t="s">
        <v>316</v>
      </c>
      <c r="AC941" s="2407"/>
      <c r="AD941" s="2407"/>
      <c r="AE941" s="2407"/>
      <c r="AF941" s="2407"/>
      <c r="AG941" s="2407"/>
      <c r="AH941" s="2407"/>
      <c r="AI941" s="2407"/>
      <c r="AJ941" s="2407"/>
      <c r="AK941" s="240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68"/>
      <c r="N942" s="2269"/>
      <c r="O942" s="2269"/>
      <c r="P942" s="2269"/>
      <c r="Q942" s="2269"/>
      <c r="R942" s="2269"/>
      <c r="S942" s="2270"/>
      <c r="U942" s="103" t="s">
        <v>13</v>
      </c>
      <c r="V942" s="77"/>
      <c r="W942" s="77"/>
      <c r="X942" s="77"/>
      <c r="Y942" s="77"/>
      <c r="Z942" s="77"/>
      <c r="AA942" s="77"/>
      <c r="AB942" s="77"/>
      <c r="AC942" s="77"/>
      <c r="AD942" s="78"/>
      <c r="AE942" s="2281"/>
      <c r="AF942" s="2269"/>
      <c r="AG942" s="2269"/>
      <c r="AH942" s="2269"/>
      <c r="AI942" s="2269"/>
      <c r="AJ942" s="2269"/>
      <c r="AK942" s="227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8"/>
      <c r="N943" s="2279"/>
      <c r="O943" s="2279"/>
      <c r="P943" s="2279"/>
      <c r="Q943" s="2279"/>
      <c r="R943" s="2279"/>
      <c r="S943" s="2280"/>
      <c r="U943" s="103" t="s">
        <v>14</v>
      </c>
      <c r="V943" s="77"/>
      <c r="W943" s="77"/>
      <c r="X943" s="77"/>
      <c r="Y943" s="77"/>
      <c r="Z943" s="77"/>
      <c r="AA943" s="77"/>
      <c r="AB943" s="77"/>
      <c r="AC943" s="77"/>
      <c r="AD943" s="78"/>
      <c r="AE943" s="2278"/>
      <c r="AF943" s="2279"/>
      <c r="AG943" s="2279"/>
      <c r="AH943" s="2279"/>
      <c r="AI943" s="2279"/>
      <c r="AJ943" s="2279"/>
      <c r="AK943" s="228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9"/>
      <c r="N944" s="2220"/>
      <c r="O944" s="2220"/>
      <c r="P944" s="2220"/>
      <c r="Q944" s="2220"/>
      <c r="R944" s="2220"/>
      <c r="S944" s="2221"/>
      <c r="U944" s="103" t="s">
        <v>15</v>
      </c>
      <c r="V944" s="77"/>
      <c r="W944" s="77"/>
      <c r="X944" s="77"/>
      <c r="Y944" s="77"/>
      <c r="Z944" s="77"/>
      <c r="AA944" s="77"/>
      <c r="AB944" s="77"/>
      <c r="AC944" s="77"/>
      <c r="AD944" s="78"/>
      <c r="AE944" s="2219"/>
      <c r="AF944" s="2220"/>
      <c r="AG944" s="2220"/>
      <c r="AH944" s="2220"/>
      <c r="AI944" s="2220"/>
      <c r="AJ944" s="2220"/>
      <c r="AK944" s="222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9"/>
      <c r="N945" s="2220"/>
      <c r="O945" s="2220"/>
      <c r="P945" s="2220"/>
      <c r="Q945" s="2220"/>
      <c r="R945" s="2220"/>
      <c r="S945" s="2221"/>
      <c r="U945" s="103" t="s">
        <v>16</v>
      </c>
      <c r="V945" s="77"/>
      <c r="W945" s="77"/>
      <c r="X945" s="77"/>
      <c r="Y945" s="77"/>
      <c r="Z945" s="77"/>
      <c r="AA945" s="77"/>
      <c r="AB945" s="77"/>
      <c r="AC945" s="77"/>
      <c r="AD945" s="78"/>
      <c r="AE945" s="2219"/>
      <c r="AF945" s="2220"/>
      <c r="AG945" s="2220"/>
      <c r="AH945" s="2220"/>
      <c r="AI945" s="2220"/>
      <c r="AJ945" s="2220"/>
      <c r="AK945" s="222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115"/>
      <c r="N946" s="2116"/>
      <c r="O946" s="2116"/>
      <c r="P946" s="2116"/>
      <c r="Q946" s="2116"/>
      <c r="R946" s="2116"/>
      <c r="S946" s="2117"/>
      <c r="U946" s="103" t="s">
        <v>604</v>
      </c>
      <c r="V946" s="77"/>
      <c r="W946" s="77"/>
      <c r="X946" s="77"/>
      <c r="Y946" s="77"/>
      <c r="Z946" s="77"/>
      <c r="AA946" s="77"/>
      <c r="AB946" s="77"/>
      <c r="AC946" s="77"/>
      <c r="AD946" s="78"/>
      <c r="AE946" s="2115"/>
      <c r="AF946" s="2116"/>
      <c r="AG946" s="2116"/>
      <c r="AH946" s="2116"/>
      <c r="AI946" s="2116"/>
      <c r="AJ946" s="2116"/>
      <c r="AK946" s="211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13"/>
      <c r="N951" s="2214"/>
      <c r="O951" s="2214"/>
      <c r="P951" s="2214"/>
      <c r="Q951" s="2214"/>
      <c r="R951" s="2214"/>
      <c r="S951" s="2215"/>
      <c r="T951" s="103" t="s">
        <v>847</v>
      </c>
      <c r="U951" s="77"/>
      <c r="V951" s="77"/>
      <c r="W951" s="77"/>
      <c r="X951" s="77"/>
      <c r="Y951" s="77"/>
      <c r="Z951" s="78"/>
      <c r="AA951" s="2213"/>
      <c r="AB951" s="2214"/>
      <c r="AC951" s="2214"/>
      <c r="AD951" s="2214"/>
      <c r="AE951" s="2214"/>
      <c r="AF951" s="2214"/>
      <c r="AG951" s="221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13"/>
      <c r="N952" s="2214"/>
      <c r="O952" s="2214"/>
      <c r="P952" s="2214"/>
      <c r="Q952" s="2214"/>
      <c r="R952" s="2214"/>
      <c r="S952" s="2215"/>
      <c r="T952" s="103" t="s">
        <v>846</v>
      </c>
      <c r="U952" s="77"/>
      <c r="V952" s="77"/>
      <c r="W952" s="77"/>
      <c r="X952" s="77"/>
      <c r="Y952" s="77"/>
      <c r="Z952" s="78"/>
      <c r="AA952" s="2213"/>
      <c r="AB952" s="2214"/>
      <c r="AC952" s="2214"/>
      <c r="AD952" s="2214"/>
      <c r="AE952" s="2214"/>
      <c r="AF952" s="2214"/>
      <c r="AG952" s="221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275" t="s">
        <v>625</v>
      </c>
      <c r="N953" s="2276"/>
      <c r="O953" s="2276"/>
      <c r="P953" s="2276"/>
      <c r="Q953" s="2276"/>
      <c r="R953" s="2276"/>
      <c r="S953" s="2277"/>
      <c r="T953" s="76" t="s">
        <v>345</v>
      </c>
      <c r="U953" s="77"/>
      <c r="V953" s="77"/>
      <c r="W953" s="77"/>
      <c r="X953" s="77"/>
      <c r="Y953" s="77"/>
      <c r="Z953" s="78"/>
      <c r="AA953" s="2213"/>
      <c r="AB953" s="2214"/>
      <c r="AC953" s="2214"/>
      <c r="AD953" s="2214"/>
      <c r="AE953" s="2214"/>
      <c r="AF953" s="2214"/>
      <c r="AG953" s="221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13"/>
      <c r="N954" s="2214"/>
      <c r="O954" s="2214"/>
      <c r="P954" s="2214"/>
      <c r="Q954" s="2214"/>
      <c r="R954" s="2214"/>
      <c r="S954" s="2215"/>
      <c r="T954" s="76" t="s">
        <v>346</v>
      </c>
      <c r="U954" s="77"/>
      <c r="V954" s="77"/>
      <c r="W954" s="77"/>
      <c r="X954" s="77"/>
      <c r="Y954" s="77"/>
      <c r="Z954" s="78"/>
      <c r="AA954" s="2213"/>
      <c r="AB954" s="2214"/>
      <c r="AC954" s="2214"/>
      <c r="AD954" s="2214"/>
      <c r="AE954" s="2214"/>
      <c r="AF954" s="2214"/>
      <c r="AG954" s="221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13"/>
      <c r="N955" s="2214"/>
      <c r="O955" s="2214"/>
      <c r="P955" s="2214"/>
      <c r="Q955" s="2214"/>
      <c r="R955" s="2214"/>
      <c r="S955" s="2215"/>
      <c r="T955" s="76" t="s">
        <v>393</v>
      </c>
      <c r="U955" s="77"/>
      <c r="V955" s="77"/>
      <c r="W955" s="77"/>
      <c r="X955" s="77"/>
      <c r="Y955" s="77"/>
      <c r="Z955" s="78"/>
      <c r="AA955" s="2213"/>
      <c r="AB955" s="2214"/>
      <c r="AC955" s="2214"/>
      <c r="AD955" s="2214"/>
      <c r="AE955" s="2214"/>
      <c r="AF955" s="2214"/>
      <c r="AG955" s="221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216" t="s">
        <v>316</v>
      </c>
      <c r="N956" s="2217"/>
      <c r="O956" s="2217"/>
      <c r="P956" s="2217"/>
      <c r="Q956" s="2217"/>
      <c r="R956" s="2217"/>
      <c r="S956" s="2218"/>
      <c r="T956" s="2245"/>
      <c r="U956" s="2246"/>
      <c r="V956" s="2246"/>
      <c r="W956" s="2246"/>
      <c r="X956" s="2246"/>
      <c r="Y956" s="2246"/>
      <c r="Z956" s="2247"/>
      <c r="AA956" s="2213"/>
      <c r="AB956" s="2214"/>
      <c r="AC956" s="2214"/>
      <c r="AD956" s="2214"/>
      <c r="AE956" s="2214"/>
      <c r="AF956" s="2214"/>
      <c r="AG956" s="221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13"/>
      <c r="N957" s="2214"/>
      <c r="O957" s="2214"/>
      <c r="P957" s="2214"/>
      <c r="Q957" s="2214"/>
      <c r="R957" s="2214"/>
      <c r="S957" s="2215"/>
      <c r="T957" s="2245"/>
      <c r="U957" s="2246"/>
      <c r="V957" s="2246"/>
      <c r="W957" s="2246"/>
      <c r="X957" s="2246"/>
      <c r="Y957" s="2246"/>
      <c r="Z957" s="2247"/>
      <c r="AA957" s="2213"/>
      <c r="AB957" s="2214"/>
      <c r="AC957" s="2214"/>
      <c r="AD957" s="2214"/>
      <c r="AE957" s="2214"/>
      <c r="AF957" s="2214"/>
      <c r="AG957" s="221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401" t="s">
        <v>705</v>
      </c>
      <c r="P958" s="2402"/>
      <c r="Q958" s="139"/>
      <c r="R958" s="139"/>
      <c r="S958" s="140"/>
      <c r="T958" s="71" t="s">
        <v>175</v>
      </c>
      <c r="U958" s="72"/>
      <c r="V958" s="72"/>
      <c r="W958" s="2271" t="s">
        <v>343</v>
      </c>
      <c r="X958" s="2243"/>
      <c r="Y958" s="2243"/>
      <c r="Z958" s="2243"/>
      <c r="AA958" s="2243"/>
      <c r="AB958" s="2243"/>
      <c r="AC958" s="2243"/>
      <c r="AD958" s="2243"/>
      <c r="AE958" s="2243"/>
      <c r="AF958" s="2243"/>
      <c r="AG958" s="224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288" t="s">
        <v>34</v>
      </c>
      <c r="G959" s="2289"/>
      <c r="H959" s="2289"/>
      <c r="I959" s="2289"/>
      <c r="J959" s="2289"/>
      <c r="K959" s="2289"/>
      <c r="L959" s="2289"/>
      <c r="M959" s="2213"/>
      <c r="N959" s="2214"/>
      <c r="O959" s="2214"/>
      <c r="P959" s="2214"/>
      <c r="Q959" s="2214"/>
      <c r="R959" s="2214"/>
      <c r="S959" s="2215"/>
      <c r="T959" s="79"/>
      <c r="U959" s="80"/>
      <c r="V959" s="80"/>
      <c r="W959" s="80"/>
      <c r="X959" s="80"/>
      <c r="Y959" s="80"/>
      <c r="Z959" s="188" t="s">
        <v>139</v>
      </c>
      <c r="AA959" s="2413"/>
      <c r="AB959" s="2414"/>
      <c r="AC959" s="2414"/>
      <c r="AD959" s="2414"/>
      <c r="AE959" s="2414"/>
      <c r="AF959" s="2414"/>
      <c r="AG959" s="241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419" t="s">
        <v>580</v>
      </c>
      <c r="B963" s="2419"/>
      <c r="C963" s="2419"/>
      <c r="D963" s="2419"/>
      <c r="E963" s="2419"/>
      <c r="F963" s="2419"/>
      <c r="G963" s="2419"/>
      <c r="H963" s="2419"/>
      <c r="I963" s="2419"/>
      <c r="J963" s="2419"/>
      <c r="K963" s="2419"/>
      <c r="L963" s="2419"/>
      <c r="M963" s="2419"/>
      <c r="N963" s="2419"/>
      <c r="O963" s="2419"/>
      <c r="P963" s="2419"/>
      <c r="Q963" s="2419"/>
      <c r="R963" s="2419"/>
      <c r="S963" s="2419"/>
      <c r="T963" s="2419"/>
      <c r="U963" s="2419"/>
      <c r="V963" s="2419"/>
      <c r="W963" s="2419"/>
      <c r="X963" s="2419"/>
      <c r="Y963" s="2419"/>
      <c r="Z963" s="2419"/>
      <c r="AA963" s="2419"/>
      <c r="AB963" s="2419"/>
      <c r="AC963" s="2419"/>
      <c r="AD963" s="2419"/>
      <c r="AE963" s="2419"/>
      <c r="AF963" s="2419"/>
      <c r="AG963" s="2419"/>
      <c r="AH963" s="2419"/>
      <c r="AI963" s="2419"/>
      <c r="AJ963" s="2419"/>
      <c r="AK963" s="2419"/>
      <c r="AL963" s="2419"/>
      <c r="AM963" s="2419"/>
      <c r="AN963" s="2419"/>
      <c r="AO963" s="2419"/>
      <c r="AP963" s="2419"/>
      <c r="AQ963" s="2419"/>
      <c r="AR963" s="2419"/>
      <c r="AS963" s="241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419"/>
      <c r="B964" s="2419"/>
      <c r="C964" s="2419"/>
      <c r="D964" s="2419"/>
      <c r="E964" s="2419"/>
      <c r="F964" s="2419"/>
      <c r="G964" s="2419"/>
      <c r="H964" s="2419"/>
      <c r="I964" s="2419"/>
      <c r="J964" s="2419"/>
      <c r="K964" s="2419"/>
      <c r="L964" s="2419"/>
      <c r="M964" s="2419"/>
      <c r="N964" s="2419"/>
      <c r="O964" s="2419"/>
      <c r="P964" s="2419"/>
      <c r="Q964" s="2419"/>
      <c r="R964" s="2419"/>
      <c r="S964" s="2419"/>
      <c r="T964" s="2419"/>
      <c r="U964" s="2419"/>
      <c r="V964" s="2419"/>
      <c r="W964" s="2419"/>
      <c r="X964" s="2419"/>
      <c r="Y964" s="2419"/>
      <c r="Z964" s="2419"/>
      <c r="AA964" s="2419"/>
      <c r="AB964" s="2419"/>
      <c r="AC964" s="2419"/>
      <c r="AD964" s="2419"/>
      <c r="AE964" s="2419"/>
      <c r="AF964" s="2419"/>
      <c r="AG964" s="2419"/>
      <c r="AH964" s="2419"/>
      <c r="AI964" s="2419"/>
      <c r="AJ964" s="2419"/>
      <c r="AK964" s="2419"/>
      <c r="AL964" s="2419"/>
      <c r="AM964" s="2419"/>
      <c r="AN964" s="2419"/>
      <c r="AO964" s="2419"/>
      <c r="AP964" s="2419"/>
      <c r="AQ964" s="2419"/>
      <c r="AR964" s="2419"/>
      <c r="AS964" s="241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80"/>
      <c r="BH965" s="2380"/>
      <c r="BI965" s="2380"/>
      <c r="BJ965" s="2380"/>
      <c r="BK965" s="2380"/>
      <c r="BL965" s="2380"/>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5"/>
      <c r="D968" s="2109" t="s">
        <v>672</v>
      </c>
      <c r="E968" s="2110"/>
      <c r="F968" s="2110"/>
      <c r="G968" s="2110"/>
      <c r="H968" s="2110"/>
      <c r="I968" s="2110"/>
      <c r="J968" s="2110"/>
      <c r="K968" s="2110"/>
      <c r="L968" s="2110"/>
      <c r="M968" s="2110"/>
      <c r="N968" s="2110"/>
      <c r="O968" s="2110"/>
      <c r="P968" s="2110"/>
      <c r="Q968" s="2111"/>
      <c r="R968" s="2109" t="s">
        <v>673</v>
      </c>
      <c r="S968" s="2110"/>
      <c r="T968" s="2110"/>
      <c r="U968" s="2110"/>
      <c r="V968" s="2110"/>
      <c r="W968" s="2110"/>
      <c r="X968" s="2110"/>
      <c r="Y968" s="2110"/>
      <c r="Z968" s="2110"/>
      <c r="AA968" s="2111"/>
      <c r="AB968" s="2109" t="s">
        <v>674</v>
      </c>
      <c r="AC968" s="2110"/>
      <c r="AD968" s="2110"/>
      <c r="AE968" s="2110"/>
      <c r="AF968" s="2110"/>
      <c r="AG968" s="2110"/>
      <c r="AH968" s="2110"/>
      <c r="AI968" s="2111"/>
      <c r="AJ968" s="2109" t="s">
        <v>675</v>
      </c>
      <c r="AK968" s="2110"/>
      <c r="AL968" s="2110"/>
      <c r="AM968" s="2110"/>
      <c r="AN968" s="2110"/>
      <c r="AO968" s="2110"/>
      <c r="AP968" s="2110"/>
      <c r="AQ968" s="2111"/>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75">
      <c r="B969" s="110"/>
      <c r="C969" s="1626"/>
      <c r="D969" s="2198" t="s">
        <v>667</v>
      </c>
      <c r="E969" s="2199"/>
      <c r="F969" s="2199"/>
      <c r="G969" s="2199"/>
      <c r="H969" s="2199"/>
      <c r="I969" s="2199"/>
      <c r="J969" s="2199"/>
      <c r="K969" s="2199"/>
      <c r="L969" s="2199"/>
      <c r="M969" s="2199"/>
      <c r="N969" s="2199"/>
      <c r="O969" s="2199"/>
      <c r="P969" s="2199"/>
      <c r="Q969" s="2200"/>
      <c r="R969" s="2197">
        <f>IF(ISNA(IF($BN$799="4%",(INDEX($BP$809:$BT$866,MATCH($CB$799,$BO$809:$BO$866,0),MATCH(D969,$BP$808:$BT$808,0))),(INDEX($BW$809:$CA$866,MATCH($CB$799,$BV$809:$BV$866,0),MATCH(D969,$BW$808:$CA$808,0))))),0,IF($BN$799="4%",(INDEX($BP$809:$BT$866,MATCH($CB$799,$BO$809:$BO$866,0),MATCH(D969,$BP$808:$BT$808,0))),(INDEX($BW$809:$CA$866,MATCH($CB$799,$BV$809:$BV$866,0),MATCH(D969,$BW$808:$CA$808,0)))))</f>
        <v>260566</v>
      </c>
      <c r="S969" s="2197"/>
      <c r="T969" s="2197"/>
      <c r="U969" s="2197"/>
      <c r="V969" s="2197"/>
      <c r="W969" s="2197"/>
      <c r="X969" s="2197"/>
      <c r="Y969" s="2197"/>
      <c r="Z969" s="2197"/>
      <c r="AA969" s="2197"/>
      <c r="AB969" s="2112">
        <f>BN663</f>
        <v>0</v>
      </c>
      <c r="AC969" s="2113"/>
      <c r="AD969" s="2113"/>
      <c r="AE969" s="2113"/>
      <c r="AF969" s="2113"/>
      <c r="AG969" s="2113"/>
      <c r="AH969" s="2113"/>
      <c r="AI969" s="2114"/>
      <c r="AJ969" s="2179">
        <f>IF(ISERROR((R969*AB969)),0,(R969*AB969))</f>
        <v>0</v>
      </c>
      <c r="AK969" s="2180"/>
      <c r="AL969" s="2180"/>
      <c r="AM969" s="2180"/>
      <c r="AN969" s="2180"/>
      <c r="AO969" s="2180"/>
      <c r="AP969" s="2180"/>
      <c r="AQ969" s="2181"/>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75">
      <c r="B970" s="110"/>
      <c r="C970" s="1627"/>
      <c r="D970" s="2198" t="s">
        <v>334</v>
      </c>
      <c r="E970" s="2199"/>
      <c r="F970" s="2199"/>
      <c r="G970" s="2199"/>
      <c r="H970" s="2199"/>
      <c r="I970" s="2199"/>
      <c r="J970" s="2199"/>
      <c r="K970" s="2199"/>
      <c r="L970" s="2199"/>
      <c r="M970" s="2199"/>
      <c r="N970" s="2199"/>
      <c r="O970" s="2199"/>
      <c r="P970" s="2199"/>
      <c r="Q970" s="2200"/>
      <c r="R970" s="2197">
        <f>IF(ISNA(IF($BN$799="4%",(INDEX($BP$809:$BT$866,MATCH($CB$799,$BO$809:$BO$866,0),MATCH(D970,$BP$808:$BT$808,0))),(INDEX($BW$809:$CA$866,MATCH($CB$799,$BV$809:$BV$866,0),MATCH(D970,$BW$808:$CA$808,0))))),0,IF($BN$799="4%",(INDEX($BP$809:$BT$866,MATCH($CB$799,$BO$809:$BO$866,0),MATCH(D970,$BP$808:$BT$808,0))),(INDEX($BW$809:$CA$866,MATCH($CB$799,$BV$809:$BV$866,0),MATCH(D970,$BW$808:$CA$808,0)))))</f>
        <v>300430</v>
      </c>
      <c r="S970" s="2197"/>
      <c r="T970" s="2197"/>
      <c r="U970" s="2197"/>
      <c r="V970" s="2197"/>
      <c r="W970" s="2197"/>
      <c r="X970" s="2197"/>
      <c r="Y970" s="2197"/>
      <c r="Z970" s="2197"/>
      <c r="AA970" s="2197"/>
      <c r="AB970" s="2112">
        <f>BS663</f>
        <v>23</v>
      </c>
      <c r="AC970" s="2113"/>
      <c r="AD970" s="2113"/>
      <c r="AE970" s="2113"/>
      <c r="AF970" s="2113"/>
      <c r="AG970" s="2113"/>
      <c r="AH970" s="2113"/>
      <c r="AI970" s="2114"/>
      <c r="AJ970" s="2179">
        <f>IF(ISERROR((R970*AB970)),0,(R970*AB970))</f>
        <v>6909890</v>
      </c>
      <c r="AK970" s="2180"/>
      <c r="AL970" s="2180"/>
      <c r="AM970" s="2180"/>
      <c r="AN970" s="2180"/>
      <c r="AO970" s="2180"/>
      <c r="AP970" s="2180"/>
      <c r="AQ970" s="2181"/>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198" t="s">
        <v>168</v>
      </c>
      <c r="E971" s="2199"/>
      <c r="F971" s="2199"/>
      <c r="G971" s="2199"/>
      <c r="H971" s="2199"/>
      <c r="I971" s="2199"/>
      <c r="J971" s="2199"/>
      <c r="K971" s="2199"/>
      <c r="L971" s="2199"/>
      <c r="M971" s="2199"/>
      <c r="N971" s="2199"/>
      <c r="O971" s="2199"/>
      <c r="P971" s="2199"/>
      <c r="Q971" s="2200"/>
      <c r="R971" s="2197">
        <f>IF(ISNA(IF($BN$799="4%",(INDEX($BP$809:$BT$866,MATCH($CB$799,$BO$809:$BO$866,0),MATCH(D971,$BP$808:$BT$808,0))),(INDEX($BW$809:$CA$866,MATCH($CB$799,$BV$809:$BV$866,0),MATCH(D971,$BW$808:$CA$808,0))))),0,IF($BN$799="4%",(INDEX($BP$809:$BT$866,MATCH($CB$799,$BO$809:$BO$866,0),MATCH(D971,$BP$808:$BT$808,0))),(INDEX($BW$809:$CA$866,MATCH($CB$799,$BV$809:$BV$866,0),MATCH(D971,$BW$808:$CA$808,0)))))</f>
        <v>362400</v>
      </c>
      <c r="S971" s="2197"/>
      <c r="T971" s="2197"/>
      <c r="U971" s="2197"/>
      <c r="V971" s="2197"/>
      <c r="W971" s="2197"/>
      <c r="X971" s="2197"/>
      <c r="Y971" s="2197"/>
      <c r="Z971" s="2197"/>
      <c r="AA971" s="2197"/>
      <c r="AB971" s="2112">
        <f>BX663</f>
        <v>18</v>
      </c>
      <c r="AC971" s="2113"/>
      <c r="AD971" s="2113"/>
      <c r="AE971" s="2113"/>
      <c r="AF971" s="2113"/>
      <c r="AG971" s="2113"/>
      <c r="AH971" s="2113"/>
      <c r="AI971" s="2114"/>
      <c r="AJ971" s="2179">
        <f>IF(ISERROR((R971*AB971)),0,(R971*AB971))</f>
        <v>6523200</v>
      </c>
      <c r="AK971" s="2180"/>
      <c r="AL971" s="2180"/>
      <c r="AM971" s="2180"/>
      <c r="AN971" s="2180"/>
      <c r="AO971" s="2180"/>
      <c r="AP971" s="2180"/>
      <c r="AQ971" s="2181"/>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75">
      <c r="B972" s="110"/>
      <c r="C972" s="1627"/>
      <c r="D972" s="2198" t="s">
        <v>169</v>
      </c>
      <c r="E972" s="2199"/>
      <c r="F972" s="2199"/>
      <c r="G972" s="2199"/>
      <c r="H972" s="2199"/>
      <c r="I972" s="2199"/>
      <c r="J972" s="2199"/>
      <c r="K972" s="2199"/>
      <c r="L972" s="2199"/>
      <c r="M972" s="2199"/>
      <c r="N972" s="2199"/>
      <c r="O972" s="2199"/>
      <c r="P972" s="2199"/>
      <c r="Q972" s="2200"/>
      <c r="R972" s="2197">
        <f>IF(ISNA(IF($BN$799="4%",(INDEX($BP$809:$BT$866,MATCH($CB$799,$BO$809:$BO$866,0),MATCH(D972,$BP$808:$BT$808,0))),(INDEX($BW$809:$CA$866,MATCH($CB$799,$BV$809:$BV$866,0),MATCH(D972,$BW$808:$CA$808,0))))),0,IF($BN$799="4%",(INDEX($BP$809:$BT$866,MATCH($CB$799,$BO$809:$BO$866,0),MATCH(D972,$BP$808:$BT$808,0))),(INDEX($BW$809:$CA$866,MATCH($CB$799,$BV$809:$BV$866,0),MATCH(D972,$BW$808:$CA$808,0)))))</f>
        <v>463872</v>
      </c>
      <c r="S972" s="2197"/>
      <c r="T972" s="2197"/>
      <c r="U972" s="2197"/>
      <c r="V972" s="2197"/>
      <c r="W972" s="2197"/>
      <c r="X972" s="2197"/>
      <c r="Y972" s="2197"/>
      <c r="Z972" s="2197"/>
      <c r="AA972" s="2197"/>
      <c r="AB972" s="2112">
        <f>CC663</f>
        <v>48</v>
      </c>
      <c r="AC972" s="2113"/>
      <c r="AD972" s="2113"/>
      <c r="AE972" s="2113"/>
      <c r="AF972" s="2113"/>
      <c r="AG972" s="2113"/>
      <c r="AH972" s="2113"/>
      <c r="AI972" s="2114"/>
      <c r="AJ972" s="2179">
        <f>IF(ISERROR((R972*AB972)),0,(R972*AB972))</f>
        <v>22265856</v>
      </c>
      <c r="AK972" s="2180"/>
      <c r="AL972" s="2180"/>
      <c r="AM972" s="2180"/>
      <c r="AN972" s="2180"/>
      <c r="AO972" s="2180"/>
      <c r="AP972" s="2180"/>
      <c r="AQ972" s="2181"/>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198" t="s">
        <v>492</v>
      </c>
      <c r="E973" s="2199"/>
      <c r="F973" s="2199"/>
      <c r="G973" s="2199"/>
      <c r="H973" s="2199"/>
      <c r="I973" s="2199"/>
      <c r="J973" s="2199"/>
      <c r="K973" s="2199"/>
      <c r="L973" s="2199"/>
      <c r="M973" s="2199"/>
      <c r="N973" s="2199"/>
      <c r="O973" s="2199"/>
      <c r="P973" s="2199"/>
      <c r="Q973" s="2200"/>
      <c r="R973" s="2197">
        <f>IF(ISNA(IF($BN$799="4%",(INDEX($BP$809:$BT$866,MATCH($CB$799,$BO$809:$BO$866,0),MATCH(D973,$BP$808:$BT$808,0))),(INDEX($BW$809:$CA$866,MATCH($CB$799,$BV$809:$BV$866,0),MATCH(D973,$BW$808:$CA$808,0))))),0,IF($BN$799="4%",(INDEX($BP$809:$BT$866,MATCH($CB$799,$BO$809:$BO$866,0),MATCH(D973,$BP$808:$BT$808,0))),(INDEX($BW$809:$CA$866,MATCH($CB$799,$BV$809:$BV$866,0),MATCH(D973,$BW$808:$CA$808,0)))))</f>
        <v>516782</v>
      </c>
      <c r="S973" s="2197"/>
      <c r="T973" s="2197"/>
      <c r="U973" s="2197"/>
      <c r="V973" s="2197"/>
      <c r="W973" s="2197"/>
      <c r="X973" s="2197"/>
      <c r="Y973" s="2197"/>
      <c r="Z973" s="2197"/>
      <c r="AA973" s="2197"/>
      <c r="AB973" s="2112">
        <f>CM663+CH663</f>
        <v>0</v>
      </c>
      <c r="AC973" s="2113"/>
      <c r="AD973" s="2113"/>
      <c r="AE973" s="2113"/>
      <c r="AF973" s="2113"/>
      <c r="AG973" s="2113"/>
      <c r="AH973" s="2113"/>
      <c r="AI973" s="2114"/>
      <c r="AJ973" s="2179">
        <f>IF(ISERROR((R973*AB973)),0,(R973*AB973))</f>
        <v>0</v>
      </c>
      <c r="AK973" s="2180"/>
      <c r="AL973" s="2180"/>
      <c r="AM973" s="2180"/>
      <c r="AN973" s="2180"/>
      <c r="AO973" s="2180"/>
      <c r="AP973" s="2180"/>
      <c r="AQ973" s="2181"/>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207" t="s">
        <v>848</v>
      </c>
      <c r="C974" s="2208"/>
      <c r="D974" s="2208"/>
      <c r="E974" s="2208"/>
      <c r="F974" s="2208"/>
      <c r="G974" s="2208"/>
      <c r="H974" s="2208"/>
      <c r="I974" s="2208"/>
      <c r="J974" s="2208"/>
      <c r="K974" s="2208"/>
      <c r="L974" s="2208"/>
      <c r="M974" s="2208"/>
      <c r="N974" s="2208"/>
      <c r="O974" s="2208"/>
      <c r="P974" s="2208"/>
      <c r="Q974" s="2208"/>
      <c r="R974" s="2208"/>
      <c r="S974" s="2208"/>
      <c r="T974" s="2208"/>
      <c r="U974" s="2208"/>
      <c r="V974" s="2208"/>
      <c r="W974" s="2208"/>
      <c r="X974" s="2208"/>
      <c r="Y974" s="2208"/>
      <c r="Z974" s="2208"/>
      <c r="AA974" s="2209"/>
      <c r="AB974" s="2112">
        <f>SUM(AB969:AI973)</f>
        <v>89</v>
      </c>
      <c r="AC974" s="2113"/>
      <c r="AD974" s="2113"/>
      <c r="AE974" s="2113"/>
      <c r="AF974" s="2113"/>
      <c r="AG974" s="2113"/>
      <c r="AH974" s="2113"/>
      <c r="AI974" s="2114"/>
      <c r="AJ974" s="2179"/>
      <c r="AK974" s="2180"/>
      <c r="AL974" s="2180"/>
      <c r="AM974" s="2180"/>
      <c r="AN974" s="2180"/>
      <c r="AO974" s="2180"/>
      <c r="AP974" s="2180"/>
      <c r="AQ974" s="2181"/>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4" customHeight="1">
      <c r="A975" s="51"/>
      <c r="B975" s="2176" t="s">
        <v>544</v>
      </c>
      <c r="C975" s="2177"/>
      <c r="D975" s="2177"/>
      <c r="E975" s="2177"/>
      <c r="F975" s="2177"/>
      <c r="G975" s="2177"/>
      <c r="H975" s="2177"/>
      <c r="I975" s="2177"/>
      <c r="J975" s="2177"/>
      <c r="K975" s="2177"/>
      <c r="L975" s="2177"/>
      <c r="M975" s="2177"/>
      <c r="N975" s="2177"/>
      <c r="O975" s="2177"/>
      <c r="P975" s="2177"/>
      <c r="Q975" s="2177"/>
      <c r="R975" s="2177"/>
      <c r="S975" s="2177"/>
      <c r="T975" s="2177"/>
      <c r="U975" s="2177"/>
      <c r="V975" s="2177"/>
      <c r="W975" s="2177"/>
      <c r="X975" s="2177"/>
      <c r="Y975" s="2177"/>
      <c r="Z975" s="2177"/>
      <c r="AA975" s="2177"/>
      <c r="AB975" s="2177"/>
      <c r="AC975" s="2177"/>
      <c r="AD975" s="2177"/>
      <c r="AE975" s="2177"/>
      <c r="AF975" s="2177"/>
      <c r="AG975" s="2177"/>
      <c r="AH975" s="2177"/>
      <c r="AI975" s="2178"/>
      <c r="AJ975" s="2179">
        <f>SUM(AJ969:AQ973)</f>
        <v>35698946</v>
      </c>
      <c r="AK975" s="2180"/>
      <c r="AL975" s="2180"/>
      <c r="AM975" s="2180"/>
      <c r="AN975" s="2180"/>
      <c r="AO975" s="2180"/>
      <c r="AP975" s="2180"/>
      <c r="AQ975" s="2181"/>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182"/>
      <c r="C976" s="2183"/>
      <c r="D976" s="2183"/>
      <c r="E976" s="2183"/>
      <c r="F976" s="2183"/>
      <c r="G976" s="2183"/>
      <c r="H976" s="2183"/>
      <c r="I976" s="2183"/>
      <c r="J976" s="2183"/>
      <c r="K976" s="2183"/>
      <c r="L976" s="2183"/>
      <c r="M976" s="2183"/>
      <c r="N976" s="2183"/>
      <c r="O976" s="2183"/>
      <c r="P976" s="2183"/>
      <c r="Q976" s="2183"/>
      <c r="R976" s="2183"/>
      <c r="S976" s="2183"/>
      <c r="T976" s="2183"/>
      <c r="U976" s="2183"/>
      <c r="V976" s="2183"/>
      <c r="W976" s="2183"/>
      <c r="X976" s="2183"/>
      <c r="Y976" s="2183"/>
      <c r="Z976" s="2183"/>
      <c r="AA976" s="2183"/>
      <c r="AB976" s="2183"/>
      <c r="AC976" s="2183"/>
      <c r="AD976" s="2183"/>
      <c r="AE976" s="2184"/>
      <c r="AF976" s="2185" t="s">
        <v>702</v>
      </c>
      <c r="AG976" s="2186"/>
      <c r="AH976" s="2186"/>
      <c r="AI976" s="2187"/>
      <c r="AJ976" s="2182"/>
      <c r="AK976" s="2183"/>
      <c r="AL976" s="2183"/>
      <c r="AM976" s="2183"/>
      <c r="AN976" s="2183"/>
      <c r="AO976" s="2183"/>
      <c r="AP976" s="2183"/>
      <c r="AQ976" s="2184"/>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704</v>
      </c>
      <c r="D977" s="2192" t="s">
        <v>1430</v>
      </c>
      <c r="E977" s="2193"/>
      <c r="F977" s="2193"/>
      <c r="G977" s="2193"/>
      <c r="H977" s="2193"/>
      <c r="I977" s="2193"/>
      <c r="J977" s="2193"/>
      <c r="K977" s="2193"/>
      <c r="L977" s="2193"/>
      <c r="M977" s="2193"/>
      <c r="N977" s="2193"/>
      <c r="O977" s="2193"/>
      <c r="P977" s="2193"/>
      <c r="Q977" s="2193"/>
      <c r="R977" s="2193"/>
      <c r="S977" s="2193"/>
      <c r="T977" s="2193"/>
      <c r="U977" s="2193"/>
      <c r="V977" s="2193"/>
      <c r="W977" s="2193"/>
      <c r="X977" s="2193"/>
      <c r="Y977" s="2193"/>
      <c r="Z977" s="2193"/>
      <c r="AA977" s="2193"/>
      <c r="AB977" s="2193"/>
      <c r="AC977" s="2193"/>
      <c r="AD977" s="2193"/>
      <c r="AE977" s="2194"/>
      <c r="AF977" s="117"/>
      <c r="AG977" s="2188" t="s">
        <v>705</v>
      </c>
      <c r="AH977" s="2189"/>
      <c r="AI977" s="125"/>
      <c r="AJ977" s="2137">
        <f>ROUND(IF(AND(AG977="yes",D979&gt;0),AJ975*0.2,0),0)</f>
        <v>0</v>
      </c>
      <c r="AK977" s="2138"/>
      <c r="AL977" s="2138"/>
      <c r="AM977" s="2138"/>
      <c r="AN977" s="2138"/>
      <c r="AO977" s="2138"/>
      <c r="AP977" s="2138"/>
      <c r="AQ977" s="2139"/>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2"/>
      <c r="C978" s="411"/>
      <c r="D978" s="2119" t="s">
        <v>1431</v>
      </c>
      <c r="E978" s="2120"/>
      <c r="F978" s="2120"/>
      <c r="G978" s="2120"/>
      <c r="H978" s="2120"/>
      <c r="I978" s="2120"/>
      <c r="J978" s="2120"/>
      <c r="K978" s="2120"/>
      <c r="L978" s="2120"/>
      <c r="M978" s="2120"/>
      <c r="N978" s="2120"/>
      <c r="O978" s="2120"/>
      <c r="P978" s="2120"/>
      <c r="Q978" s="2120"/>
      <c r="R978" s="2120"/>
      <c r="S978" s="2120"/>
      <c r="T978" s="2120"/>
      <c r="U978" s="2120"/>
      <c r="V978" s="2120"/>
      <c r="W978" s="2120"/>
      <c r="X978" s="2120"/>
      <c r="Y978" s="2120"/>
      <c r="Z978" s="2120"/>
      <c r="AA978" s="2120"/>
      <c r="AB978" s="2120"/>
      <c r="AC978" s="2120"/>
      <c r="AD978" s="2120"/>
      <c r="AE978" s="2121"/>
      <c r="AF978" s="110"/>
      <c r="AG978" s="112"/>
      <c r="AH978" s="112"/>
      <c r="AI978" s="121"/>
      <c r="AJ978" s="2140"/>
      <c r="AK978" s="2141"/>
      <c r="AL978" s="2141"/>
      <c r="AM978" s="2141"/>
      <c r="AN978" s="2141"/>
      <c r="AO978" s="2141"/>
      <c r="AP978" s="2141"/>
      <c r="AQ978" s="2142"/>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4" customHeight="1">
      <c r="A979" s="51"/>
      <c r="B979" s="412"/>
      <c r="C979" s="411"/>
      <c r="D979" s="2122"/>
      <c r="E979" s="2123"/>
      <c r="F979" s="2123"/>
      <c r="G979" s="2123"/>
      <c r="H979" s="2123"/>
      <c r="I979" s="2123"/>
      <c r="J979" s="2123"/>
      <c r="K979" s="2123"/>
      <c r="L979" s="2123"/>
      <c r="M979" s="2123"/>
      <c r="N979" s="2123"/>
      <c r="O979" s="2123"/>
      <c r="P979" s="2123"/>
      <c r="Q979" s="2123"/>
      <c r="R979" s="2123"/>
      <c r="S979" s="2123"/>
      <c r="T979" s="2123"/>
      <c r="U979" s="2123"/>
      <c r="V979" s="2123"/>
      <c r="W979" s="2123"/>
      <c r="X979" s="2123"/>
      <c r="Y979" s="2123"/>
      <c r="Z979" s="2123"/>
      <c r="AA979" s="2123"/>
      <c r="AB979" s="2123"/>
      <c r="AC979" s="2123"/>
      <c r="AD979" s="2123"/>
      <c r="AE979" s="2124"/>
      <c r="AF979" s="115"/>
      <c r="AG979" s="11"/>
      <c r="AH979" s="11"/>
      <c r="AI979" s="116"/>
      <c r="AJ979" s="2143"/>
      <c r="AK979" s="2144"/>
      <c r="AL979" s="2144"/>
      <c r="AM979" s="2144"/>
      <c r="AN979" s="2144"/>
      <c r="AO979" s="2144"/>
      <c r="AP979" s="2144"/>
      <c r="AQ979" s="2145"/>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10"/>
      <c r="C980" s="501"/>
      <c r="D980" s="2125" t="s">
        <v>1530</v>
      </c>
      <c r="E980" s="2126"/>
      <c r="F980" s="2126"/>
      <c r="G980" s="2126"/>
      <c r="H980" s="2126"/>
      <c r="I980" s="2126"/>
      <c r="J980" s="2126"/>
      <c r="K980" s="2126"/>
      <c r="L980" s="2126"/>
      <c r="M980" s="2126"/>
      <c r="N980" s="2126"/>
      <c r="O980" s="2126"/>
      <c r="P980" s="2126"/>
      <c r="Q980" s="2126"/>
      <c r="R980" s="2126"/>
      <c r="S980" s="2126"/>
      <c r="T980" s="2126"/>
      <c r="U980" s="2126"/>
      <c r="V980" s="2126"/>
      <c r="W980" s="2126"/>
      <c r="X980" s="2126"/>
      <c r="Y980" s="2126"/>
      <c r="Z980" s="2126"/>
      <c r="AA980" s="2126"/>
      <c r="AB980" s="2126"/>
      <c r="AC980" s="2126"/>
      <c r="AD980" s="2126"/>
      <c r="AE980" s="2127"/>
      <c r="AF980" s="117"/>
      <c r="AG980" s="2190" t="s">
        <v>705</v>
      </c>
      <c r="AH980" s="2191"/>
      <c r="AI980" s="125"/>
      <c r="AJ980" s="2137">
        <f>ROUND(IF(AG980="yes",AJ975*0.05,0),0)</f>
        <v>0</v>
      </c>
      <c r="AK980" s="2138"/>
      <c r="AL980" s="2138"/>
      <c r="AM980" s="2138"/>
      <c r="AN980" s="2138"/>
      <c r="AO980" s="2138"/>
      <c r="AP980" s="2138"/>
      <c r="AQ980" s="2139"/>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4" customHeight="1">
      <c r="A981" s="51"/>
      <c r="B981" s="412"/>
      <c r="C981" s="120"/>
      <c r="D981" s="2119" t="s">
        <v>1528</v>
      </c>
      <c r="E981" s="2120"/>
      <c r="F981" s="2120"/>
      <c r="G981" s="2120"/>
      <c r="H981" s="2120"/>
      <c r="I981" s="2120"/>
      <c r="J981" s="2120"/>
      <c r="K981" s="2120"/>
      <c r="L981" s="2120"/>
      <c r="M981" s="2120"/>
      <c r="N981" s="2120"/>
      <c r="O981" s="2120"/>
      <c r="P981" s="2120"/>
      <c r="Q981" s="2120"/>
      <c r="R981" s="2120"/>
      <c r="S981" s="2120"/>
      <c r="T981" s="2120"/>
      <c r="U981" s="2120"/>
      <c r="V981" s="2120"/>
      <c r="W981" s="2120"/>
      <c r="X981" s="2120"/>
      <c r="Y981" s="2120"/>
      <c r="Z981" s="2120"/>
      <c r="AA981" s="2120"/>
      <c r="AB981" s="2120"/>
      <c r="AC981" s="2120"/>
      <c r="AD981" s="2120"/>
      <c r="AE981" s="2121"/>
      <c r="AF981" s="110"/>
      <c r="AG981" s="112"/>
      <c r="AH981" s="112"/>
      <c r="AI981" s="121"/>
      <c r="AJ981" s="2140"/>
      <c r="AK981" s="2141"/>
      <c r="AL981" s="2141"/>
      <c r="AM981" s="2141"/>
      <c r="AN981" s="2141"/>
      <c r="AO981" s="2141"/>
      <c r="AP981" s="2141"/>
      <c r="AQ981" s="2142"/>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2"/>
      <c r="C982" s="120"/>
      <c r="D982" s="2119"/>
      <c r="E982" s="2120"/>
      <c r="F982" s="2120"/>
      <c r="G982" s="2120"/>
      <c r="H982" s="2120"/>
      <c r="I982" s="2120"/>
      <c r="J982" s="2120"/>
      <c r="K982" s="2120"/>
      <c r="L982" s="2120"/>
      <c r="M982" s="2120"/>
      <c r="N982" s="2120"/>
      <c r="O982" s="2120"/>
      <c r="P982" s="2120"/>
      <c r="Q982" s="2120"/>
      <c r="R982" s="2120"/>
      <c r="S982" s="2120"/>
      <c r="T982" s="2120"/>
      <c r="U982" s="2120"/>
      <c r="V982" s="2120"/>
      <c r="W982" s="2120"/>
      <c r="X982" s="2120"/>
      <c r="Y982" s="2120"/>
      <c r="Z982" s="2120"/>
      <c r="AA982" s="2120"/>
      <c r="AB982" s="2120"/>
      <c r="AC982" s="2120"/>
      <c r="AD982" s="2120"/>
      <c r="AE982" s="2121"/>
      <c r="AF982" s="110"/>
      <c r="AG982" s="112"/>
      <c r="AH982" s="112"/>
      <c r="AI982" s="121"/>
      <c r="AJ982" s="2140"/>
      <c r="AK982" s="2141"/>
      <c r="AL982" s="2141"/>
      <c r="AM982" s="2141"/>
      <c r="AN982" s="2141"/>
      <c r="AO982" s="2141"/>
      <c r="AP982" s="2141"/>
      <c r="AQ982" s="2142"/>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19"/>
      <c r="E983" s="2120"/>
      <c r="F983" s="2120"/>
      <c r="G983" s="2120"/>
      <c r="H983" s="2120"/>
      <c r="I983" s="2120"/>
      <c r="J983" s="2120"/>
      <c r="K983" s="2120"/>
      <c r="L983" s="2120"/>
      <c r="M983" s="2120"/>
      <c r="N983" s="2120"/>
      <c r="O983" s="2120"/>
      <c r="P983" s="2120"/>
      <c r="Q983" s="2120"/>
      <c r="R983" s="2120"/>
      <c r="S983" s="2120"/>
      <c r="T983" s="2120"/>
      <c r="U983" s="2120"/>
      <c r="V983" s="2120"/>
      <c r="W983" s="2120"/>
      <c r="X983" s="2120"/>
      <c r="Y983" s="2120"/>
      <c r="Z983" s="2120"/>
      <c r="AA983" s="2120"/>
      <c r="AB983" s="2120"/>
      <c r="AC983" s="2120"/>
      <c r="AD983" s="2120"/>
      <c r="AE983" s="2121"/>
      <c r="AF983" s="110"/>
      <c r="AG983" s="112"/>
      <c r="AH983" s="112"/>
      <c r="AI983" s="121"/>
      <c r="AJ983" s="2140"/>
      <c r="AK983" s="2141"/>
      <c r="AL983" s="2141"/>
      <c r="AM983" s="2141"/>
      <c r="AN983" s="2141"/>
      <c r="AO983" s="2141"/>
      <c r="AP983" s="2141"/>
      <c r="AQ983" s="2142"/>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19"/>
      <c r="E984" s="2120"/>
      <c r="F984" s="2120"/>
      <c r="G984" s="2120"/>
      <c r="H984" s="2120"/>
      <c r="I984" s="2120"/>
      <c r="J984" s="2120"/>
      <c r="K984" s="2120"/>
      <c r="L984" s="2120"/>
      <c r="M984" s="2120"/>
      <c r="N984" s="2120"/>
      <c r="O984" s="2120"/>
      <c r="P984" s="2120"/>
      <c r="Q984" s="2120"/>
      <c r="R984" s="2120"/>
      <c r="S984" s="2120"/>
      <c r="T984" s="2120"/>
      <c r="U984" s="2120"/>
      <c r="V984" s="2120"/>
      <c r="W984" s="2120"/>
      <c r="X984" s="2120"/>
      <c r="Y984" s="2120"/>
      <c r="Z984" s="2120"/>
      <c r="AA984" s="2120"/>
      <c r="AB984" s="2120"/>
      <c r="AC984" s="2120"/>
      <c r="AD984" s="2120"/>
      <c r="AE984" s="2121"/>
      <c r="AF984" s="110"/>
      <c r="AG984" s="112"/>
      <c r="AH984" s="112"/>
      <c r="AI984" s="121"/>
      <c r="AJ984" s="2140"/>
      <c r="AK984" s="2141"/>
      <c r="AL984" s="2141"/>
      <c r="AM984" s="2141"/>
      <c r="AN984" s="2141"/>
      <c r="AO984" s="2141"/>
      <c r="AP984" s="2141"/>
      <c r="AQ984" s="2142"/>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28"/>
      <c r="E985" s="2129"/>
      <c r="F985" s="2129"/>
      <c r="G985" s="2129"/>
      <c r="H985" s="2129"/>
      <c r="I985" s="2129"/>
      <c r="J985" s="2129"/>
      <c r="K985" s="2129"/>
      <c r="L985" s="2129"/>
      <c r="M985" s="2129"/>
      <c r="N985" s="2129"/>
      <c r="O985" s="2129"/>
      <c r="P985" s="2129"/>
      <c r="Q985" s="2129"/>
      <c r="R985" s="2129"/>
      <c r="S985" s="2129"/>
      <c r="T985" s="2129"/>
      <c r="U985" s="2129"/>
      <c r="V985" s="2129"/>
      <c r="W985" s="2129"/>
      <c r="X985" s="2129"/>
      <c r="Y985" s="2129"/>
      <c r="Z985" s="2129"/>
      <c r="AA985" s="2129"/>
      <c r="AB985" s="2129"/>
      <c r="AC985" s="2129"/>
      <c r="AD985" s="2129"/>
      <c r="AE985" s="2130"/>
      <c r="AF985" s="115"/>
      <c r="AG985" s="11"/>
      <c r="AH985" s="11"/>
      <c r="AI985" s="116"/>
      <c r="AJ985" s="2143"/>
      <c r="AK985" s="2144"/>
      <c r="AL985" s="2144"/>
      <c r="AM985" s="2144"/>
      <c r="AN985" s="2144"/>
      <c r="AO985" s="2144"/>
      <c r="AP985" s="2144"/>
      <c r="AQ985" s="2145"/>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125" t="s">
        <v>2171</v>
      </c>
      <c r="E986" s="2126"/>
      <c r="F986" s="2126"/>
      <c r="G986" s="2126"/>
      <c r="H986" s="2126"/>
      <c r="I986" s="2126"/>
      <c r="J986" s="2126"/>
      <c r="K986" s="2126"/>
      <c r="L986" s="2126"/>
      <c r="M986" s="2126"/>
      <c r="N986" s="2126"/>
      <c r="O986" s="2126"/>
      <c r="P986" s="2126"/>
      <c r="Q986" s="2126"/>
      <c r="R986" s="2126"/>
      <c r="S986" s="2126"/>
      <c r="T986" s="2126"/>
      <c r="U986" s="2126"/>
      <c r="V986" s="2126"/>
      <c r="W986" s="2126"/>
      <c r="X986" s="2126"/>
      <c r="Y986" s="2126"/>
      <c r="Z986" s="2126"/>
      <c r="AA986" s="2126"/>
      <c r="AB986" s="2126"/>
      <c r="AC986" s="2126"/>
      <c r="AD986" s="2126"/>
      <c r="AE986" s="2127"/>
      <c r="AF986" s="124"/>
      <c r="AG986" s="2190" t="s">
        <v>705</v>
      </c>
      <c r="AH986" s="2191"/>
      <c r="AI986" s="125"/>
      <c r="AJ986" s="2137">
        <f>ROUND(IF(AG986="yes",AJ975*0.1,0),0)</f>
        <v>0</v>
      </c>
      <c r="AK986" s="2138"/>
      <c r="AL986" s="2138"/>
      <c r="AM986" s="2138"/>
      <c r="AN986" s="2138"/>
      <c r="AO986" s="2138"/>
      <c r="AP986" s="2138"/>
      <c r="AQ986" s="2139"/>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131" t="s">
        <v>1529</v>
      </c>
      <c r="E987" s="2132"/>
      <c r="F987" s="2132"/>
      <c r="G987" s="2132"/>
      <c r="H987" s="2132"/>
      <c r="I987" s="2132"/>
      <c r="J987" s="2132"/>
      <c r="K987" s="2132"/>
      <c r="L987" s="2132"/>
      <c r="M987" s="2132"/>
      <c r="N987" s="2132"/>
      <c r="O987" s="2132"/>
      <c r="P987" s="2132"/>
      <c r="Q987" s="2132"/>
      <c r="R987" s="2132"/>
      <c r="S987" s="2132"/>
      <c r="T987" s="2132"/>
      <c r="U987" s="2132"/>
      <c r="V987" s="2132"/>
      <c r="W987" s="2132"/>
      <c r="X987" s="2132"/>
      <c r="Y987" s="2132"/>
      <c r="Z987" s="2132"/>
      <c r="AA987" s="2132"/>
      <c r="AB987" s="2132"/>
      <c r="AC987" s="2132"/>
      <c r="AD987" s="2132"/>
      <c r="AE987" s="2133"/>
      <c r="AF987" s="110"/>
      <c r="AG987" s="25"/>
      <c r="AH987" s="25"/>
      <c r="AI987" s="121"/>
      <c r="AJ987" s="2140"/>
      <c r="AK987" s="2141"/>
      <c r="AL987" s="2141"/>
      <c r="AM987" s="2141"/>
      <c r="AN987" s="2141"/>
      <c r="AO987" s="2141"/>
      <c r="AP987" s="2141"/>
      <c r="AQ987" s="2142"/>
      <c r="AR987" s="1582"/>
      <c r="AS987" s="1582"/>
      <c r="AT987" s="1582"/>
      <c r="AU987" s="1582"/>
      <c r="AV987" s="1582"/>
      <c r="AW987" s="1582"/>
      <c r="AX987" s="1582"/>
      <c r="AY987" s="1582"/>
      <c r="AZ987" s="61"/>
      <c r="BA987" s="1611">
        <f>G753+O796</f>
        <v>88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131"/>
      <c r="E988" s="2132"/>
      <c r="F988" s="2132"/>
      <c r="G988" s="2132"/>
      <c r="H988" s="2132"/>
      <c r="I988" s="2132"/>
      <c r="J988" s="2132"/>
      <c r="K988" s="2132"/>
      <c r="L988" s="2132"/>
      <c r="M988" s="2132"/>
      <c r="N988" s="2132"/>
      <c r="O988" s="2132"/>
      <c r="P988" s="2132"/>
      <c r="Q988" s="2132"/>
      <c r="R988" s="2132"/>
      <c r="S988" s="2132"/>
      <c r="T988" s="2132"/>
      <c r="U988" s="2132"/>
      <c r="V988" s="2132"/>
      <c r="W988" s="2132"/>
      <c r="X988" s="2132"/>
      <c r="Y988" s="2132"/>
      <c r="Z988" s="2132"/>
      <c r="AA988" s="2132"/>
      <c r="AB988" s="2132"/>
      <c r="AC988" s="2132"/>
      <c r="AD988" s="2132"/>
      <c r="AE988" s="2133"/>
      <c r="AF988" s="110"/>
      <c r="AG988" s="112"/>
      <c r="AH988" s="112"/>
      <c r="AI988" s="121"/>
      <c r="AJ988" s="2140"/>
      <c r="AK988" s="2141"/>
      <c r="AL988" s="2141"/>
      <c r="AM988" s="2141"/>
      <c r="AN988" s="2141"/>
      <c r="AO988" s="2141"/>
      <c r="AP988" s="2141"/>
      <c r="AQ988" s="2142"/>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134"/>
      <c r="E989" s="2135"/>
      <c r="F989" s="2135"/>
      <c r="G989" s="2135"/>
      <c r="H989" s="2135"/>
      <c r="I989" s="2135"/>
      <c r="J989" s="2135"/>
      <c r="K989" s="2135"/>
      <c r="L989" s="2135"/>
      <c r="M989" s="2135"/>
      <c r="N989" s="2135"/>
      <c r="O989" s="2135"/>
      <c r="P989" s="2135"/>
      <c r="Q989" s="2135"/>
      <c r="R989" s="2135"/>
      <c r="S989" s="2135"/>
      <c r="T989" s="2135"/>
      <c r="U989" s="2135"/>
      <c r="V989" s="2135"/>
      <c r="W989" s="2135"/>
      <c r="X989" s="2135"/>
      <c r="Y989" s="2135"/>
      <c r="Z989" s="2135"/>
      <c r="AA989" s="2135"/>
      <c r="AB989" s="2135"/>
      <c r="AC989" s="2135"/>
      <c r="AD989" s="2135"/>
      <c r="AE989" s="2136"/>
      <c r="AF989" s="115"/>
      <c r="AG989" s="11"/>
      <c r="AH989" s="11"/>
      <c r="AI989" s="116"/>
      <c r="AJ989" s="2143"/>
      <c r="AK989" s="2144"/>
      <c r="AL989" s="2144"/>
      <c r="AM989" s="2144"/>
      <c r="AN989" s="2144"/>
      <c r="AO989" s="2144"/>
      <c r="AP989" s="2144"/>
      <c r="AQ989" s="2145"/>
      <c r="AR989" s="1582"/>
      <c r="AS989" s="1582"/>
      <c r="AT989" s="1582"/>
      <c r="AU989" s="1582"/>
      <c r="AV989" s="1582"/>
      <c r="AW989" s="1582"/>
      <c r="AX989" s="1582"/>
      <c r="AY989" s="1582"/>
      <c r="AZ989" s="61"/>
      <c r="BA989" s="1610">
        <f>ROUNDDOWN(X1027/I1027,2)</f>
        <v>0.4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25" t="s">
        <v>1531</v>
      </c>
      <c r="E990" s="2126"/>
      <c r="F990" s="2126"/>
      <c r="G990" s="2126"/>
      <c r="H990" s="2126"/>
      <c r="I990" s="2126"/>
      <c r="J990" s="2126"/>
      <c r="K990" s="2126"/>
      <c r="L990" s="2126"/>
      <c r="M990" s="2126"/>
      <c r="N990" s="2126"/>
      <c r="O990" s="2126"/>
      <c r="P990" s="2126"/>
      <c r="Q990" s="2126"/>
      <c r="R990" s="2126"/>
      <c r="S990" s="2126"/>
      <c r="T990" s="2126"/>
      <c r="U990" s="2126"/>
      <c r="V990" s="2126"/>
      <c r="W990" s="2126"/>
      <c r="X990" s="2126"/>
      <c r="Y990" s="2126"/>
      <c r="Z990" s="2126"/>
      <c r="AA990" s="2126"/>
      <c r="AB990" s="2126"/>
      <c r="AC990" s="2126"/>
      <c r="AD990" s="2126"/>
      <c r="AE990" s="2127"/>
      <c r="AF990" s="117"/>
      <c r="AG990" s="2190" t="s">
        <v>705</v>
      </c>
      <c r="AH990" s="2191"/>
      <c r="AI990" s="125"/>
      <c r="AJ990" s="2137">
        <f>ROUND(IF(AG990="yes",AJ975*0.02,0),0)</f>
        <v>0</v>
      </c>
      <c r="AK990" s="2138"/>
      <c r="AL990" s="2138"/>
      <c r="AM990" s="2138"/>
      <c r="AN990" s="2138"/>
      <c r="AO990" s="2138"/>
      <c r="AP990" s="2138"/>
      <c r="AQ990" s="2139"/>
      <c r="AR990" s="1582"/>
      <c r="AS990" s="1582"/>
      <c r="AT990" s="1582"/>
      <c r="AU990" s="1582"/>
      <c r="AV990" s="1582"/>
      <c r="AW990" s="1582"/>
      <c r="AX990" s="1582"/>
      <c r="AY990" s="1582"/>
      <c r="AZ990" s="61"/>
      <c r="BA990" s="1610">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34" t="s">
        <v>1532</v>
      </c>
      <c r="E991" s="2135"/>
      <c r="F991" s="2135"/>
      <c r="G991" s="2135"/>
      <c r="H991" s="2135"/>
      <c r="I991" s="2135"/>
      <c r="J991" s="2135"/>
      <c r="K991" s="2135"/>
      <c r="L991" s="2135"/>
      <c r="M991" s="2135"/>
      <c r="N991" s="2135"/>
      <c r="O991" s="2135"/>
      <c r="P991" s="2135"/>
      <c r="Q991" s="2135"/>
      <c r="R991" s="2135"/>
      <c r="S991" s="2135"/>
      <c r="T991" s="2135"/>
      <c r="U991" s="2135"/>
      <c r="V991" s="2135"/>
      <c r="W991" s="2135"/>
      <c r="X991" s="2135"/>
      <c r="Y991" s="2135"/>
      <c r="Z991" s="2135"/>
      <c r="AA991" s="2135"/>
      <c r="AB991" s="2135"/>
      <c r="AC991" s="2135"/>
      <c r="AD991" s="2135"/>
      <c r="AE991" s="2136"/>
      <c r="AF991" s="115"/>
      <c r="AG991" s="11"/>
      <c r="AH991" s="11"/>
      <c r="AI991" s="116"/>
      <c r="AJ991" s="2143"/>
      <c r="AK991" s="2144"/>
      <c r="AL991" s="2144"/>
      <c r="AM991" s="2144"/>
      <c r="AN991" s="2144"/>
      <c r="AO991" s="2144"/>
      <c r="AP991" s="2144"/>
      <c r="AQ991" s="2145"/>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221</v>
      </c>
      <c r="D992" s="2125" t="s">
        <v>1533</v>
      </c>
      <c r="E992" s="2126"/>
      <c r="F992" s="2126"/>
      <c r="G992" s="2126"/>
      <c r="H992" s="2126"/>
      <c r="I992" s="2126"/>
      <c r="J992" s="2126"/>
      <c r="K992" s="2126"/>
      <c r="L992" s="2126"/>
      <c r="M992" s="2126"/>
      <c r="N992" s="2126"/>
      <c r="O992" s="2126"/>
      <c r="P992" s="2126"/>
      <c r="Q992" s="2126"/>
      <c r="R992" s="2126"/>
      <c r="S992" s="2126"/>
      <c r="T992" s="2126"/>
      <c r="U992" s="2126"/>
      <c r="V992" s="2126"/>
      <c r="W992" s="2126"/>
      <c r="X992" s="2126"/>
      <c r="Y992" s="2126"/>
      <c r="Z992" s="2126"/>
      <c r="AA992" s="2126"/>
      <c r="AB992" s="2126"/>
      <c r="AC992" s="2126"/>
      <c r="AD992" s="2126"/>
      <c r="AE992" s="2127"/>
      <c r="AF992" s="117"/>
      <c r="AG992" s="2190" t="s">
        <v>705</v>
      </c>
      <c r="AH992" s="2191"/>
      <c r="AI992" s="117"/>
      <c r="AJ992" s="2137">
        <f>ROUND(IF(AG992="yes",AJ975*0.02,0),0)</f>
        <v>0</v>
      </c>
      <c r="AK992" s="2138"/>
      <c r="AL992" s="2138"/>
      <c r="AM992" s="2138"/>
      <c r="AN992" s="2138"/>
      <c r="AO992" s="2138"/>
      <c r="AP992" s="2138"/>
      <c r="AQ992" s="2139"/>
      <c r="AR992" s="1582"/>
      <c r="AS992" s="1582"/>
      <c r="AT992" s="1582"/>
      <c r="AU992" s="1582"/>
      <c r="AV992" s="1582"/>
      <c r="AW992" s="1582"/>
      <c r="AX992" s="1582"/>
      <c r="AY992" s="1582"/>
      <c r="BB992" s="32"/>
      <c r="BC992" s="32"/>
      <c r="BD992" s="32"/>
      <c r="BE992" s="32"/>
      <c r="BF992" s="32"/>
    </row>
    <row r="993" spans="1:96" s="719" customFormat="1" ht="12.75" customHeight="1">
      <c r="A993" s="51"/>
      <c r="B993" s="110"/>
      <c r="C993" s="111"/>
      <c r="D993" s="2131" t="s">
        <v>1534</v>
      </c>
      <c r="E993" s="2132"/>
      <c r="F993" s="2132"/>
      <c r="G993" s="2132"/>
      <c r="H993" s="2132"/>
      <c r="I993" s="2132"/>
      <c r="J993" s="2132"/>
      <c r="K993" s="2132"/>
      <c r="L993" s="2132"/>
      <c r="M993" s="2132"/>
      <c r="N993" s="2132"/>
      <c r="O993" s="2132"/>
      <c r="P993" s="2132"/>
      <c r="Q993" s="2132"/>
      <c r="R993" s="2132"/>
      <c r="S993" s="2132"/>
      <c r="T993" s="2132"/>
      <c r="U993" s="2132"/>
      <c r="V993" s="2132"/>
      <c r="W993" s="2132"/>
      <c r="X993" s="2132"/>
      <c r="Y993" s="2132"/>
      <c r="Z993" s="2132"/>
      <c r="AA993" s="2132"/>
      <c r="AB993" s="2132"/>
      <c r="AC993" s="2132"/>
      <c r="AD993" s="2132"/>
      <c r="AE993" s="2133"/>
      <c r="AF993" s="110"/>
      <c r="AG993" s="25"/>
      <c r="AH993" s="25"/>
      <c r="AI993" s="112"/>
      <c r="AJ993" s="2140"/>
      <c r="AK993" s="2141"/>
      <c r="AL993" s="2141"/>
      <c r="AM993" s="2141"/>
      <c r="AN993" s="2141"/>
      <c r="AO993" s="2141"/>
      <c r="AP993" s="2141"/>
      <c r="AQ993" s="2142"/>
      <c r="AR993" s="1582"/>
      <c r="AS993" s="1582"/>
      <c r="AT993" s="1582"/>
      <c r="AU993" s="1582"/>
      <c r="AV993" s="1582"/>
      <c r="AW993" s="1582"/>
      <c r="AX993" s="1582"/>
      <c r="AY993" s="1582"/>
      <c r="BB993" s="902"/>
      <c r="BC993" s="902"/>
      <c r="BD993" s="902"/>
      <c r="BE993" s="902"/>
      <c r="BF993" s="902"/>
      <c r="CR993" s="25"/>
    </row>
    <row r="994" spans="1:96" ht="12.75" customHeight="1">
      <c r="A994" s="51"/>
      <c r="B994" s="113"/>
      <c r="C994" s="114"/>
      <c r="D994" s="2134"/>
      <c r="E994" s="2135"/>
      <c r="F994" s="2135"/>
      <c r="G994" s="2135"/>
      <c r="H994" s="2135"/>
      <c r="I994" s="2135"/>
      <c r="J994" s="2135"/>
      <c r="K994" s="2135"/>
      <c r="L994" s="2135"/>
      <c r="M994" s="2135"/>
      <c r="N994" s="2135"/>
      <c r="O994" s="2135"/>
      <c r="P994" s="2135"/>
      <c r="Q994" s="2135"/>
      <c r="R994" s="2135"/>
      <c r="S994" s="2135"/>
      <c r="T994" s="2135"/>
      <c r="U994" s="2135"/>
      <c r="V994" s="2135"/>
      <c r="W994" s="2135"/>
      <c r="X994" s="2135"/>
      <c r="Y994" s="2135"/>
      <c r="Z994" s="2135"/>
      <c r="AA994" s="2135"/>
      <c r="AB994" s="2135"/>
      <c r="AC994" s="2135"/>
      <c r="AD994" s="2135"/>
      <c r="AE994" s="2136"/>
      <c r="AF994" s="115"/>
      <c r="AG994" s="11"/>
      <c r="AH994" s="11"/>
      <c r="AI994" s="116"/>
      <c r="AJ994" s="2143"/>
      <c r="AK994" s="2144"/>
      <c r="AL994" s="2144"/>
      <c r="AM994" s="2144"/>
      <c r="AN994" s="2144"/>
      <c r="AO994" s="2144"/>
      <c r="AP994" s="2144"/>
      <c r="AQ994" s="2145"/>
      <c r="AR994" s="1582"/>
      <c r="AS994" s="1582"/>
      <c r="AT994" s="1582"/>
      <c r="AU994" s="1582"/>
      <c r="AV994" s="1582"/>
      <c r="AW994" s="1582"/>
      <c r="AX994" s="1582"/>
      <c r="AY994" s="1582"/>
    </row>
    <row r="995" spans="1:96" s="719" customFormat="1" ht="12.75" customHeight="1">
      <c r="A995" s="51"/>
      <c r="B995" s="117"/>
      <c r="C995" s="118" t="s">
        <v>224</v>
      </c>
      <c r="D995" s="2192" t="s">
        <v>1535</v>
      </c>
      <c r="E995" s="2193"/>
      <c r="F995" s="2193"/>
      <c r="G995" s="2193"/>
      <c r="H995" s="2193"/>
      <c r="I995" s="2193"/>
      <c r="J995" s="2193"/>
      <c r="K995" s="2193"/>
      <c r="L995" s="2193"/>
      <c r="M995" s="2193"/>
      <c r="N995" s="2193"/>
      <c r="O995" s="2193"/>
      <c r="P995" s="2193"/>
      <c r="Q995" s="2193"/>
      <c r="R995" s="2193"/>
      <c r="S995" s="2193"/>
      <c r="T995" s="2193"/>
      <c r="U995" s="2193"/>
      <c r="V995" s="2193"/>
      <c r="W995" s="2193"/>
      <c r="X995" s="2193"/>
      <c r="Y995" s="2193"/>
      <c r="Z995" s="2193"/>
      <c r="AA995" s="2193"/>
      <c r="AB995" s="2193"/>
      <c r="AC995" s="2193"/>
      <c r="AD995" s="2193"/>
      <c r="AE995" s="2194"/>
      <c r="AF995" s="117"/>
      <c r="AG995" s="2190" t="s">
        <v>705</v>
      </c>
      <c r="AH995" s="2191"/>
      <c r="AI995" s="125"/>
      <c r="AJ995" s="2137">
        <f>IF(AG995="yes",AJ975*BA995,0)</f>
        <v>0</v>
      </c>
      <c r="AK995" s="2138"/>
      <c r="AL995" s="2138"/>
      <c r="AM995" s="2138"/>
      <c r="AN995" s="2138"/>
      <c r="AO995" s="2138"/>
      <c r="AP995" s="2138"/>
      <c r="AQ995" s="2139"/>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131" t="s">
        <v>1536</v>
      </c>
      <c r="E996" s="2132"/>
      <c r="F996" s="2132"/>
      <c r="G996" s="2132"/>
      <c r="H996" s="2132"/>
      <c r="I996" s="2132"/>
      <c r="J996" s="2132"/>
      <c r="K996" s="2132"/>
      <c r="L996" s="2132"/>
      <c r="M996" s="2132"/>
      <c r="N996" s="2132"/>
      <c r="O996" s="2132"/>
      <c r="P996" s="2132"/>
      <c r="Q996" s="2132"/>
      <c r="R996" s="2132"/>
      <c r="S996" s="2132"/>
      <c r="T996" s="2132"/>
      <c r="U996" s="2132"/>
      <c r="V996" s="2132"/>
      <c r="W996" s="2132"/>
      <c r="X996" s="2132"/>
      <c r="Y996" s="2132"/>
      <c r="Z996" s="2132"/>
      <c r="AA996" s="2132"/>
      <c r="AB996" s="2132"/>
      <c r="AC996" s="2132"/>
      <c r="AD996" s="2132"/>
      <c r="AE996" s="2133"/>
      <c r="AF996" s="110"/>
      <c r="AG996" s="112"/>
      <c r="AH996" s="112"/>
      <c r="AI996" s="121"/>
      <c r="AJ996" s="2140"/>
      <c r="AK996" s="2141"/>
      <c r="AL996" s="2141"/>
      <c r="AM996" s="2141"/>
      <c r="AN996" s="2141"/>
      <c r="AO996" s="2141"/>
      <c r="AP996" s="2141"/>
      <c r="AQ996" s="2142"/>
      <c r="AR996" s="1582"/>
      <c r="AS996" s="1582"/>
      <c r="AT996" s="1582"/>
      <c r="AU996" s="1582"/>
      <c r="AV996" s="1582"/>
      <c r="AW996" s="1582"/>
      <c r="AX996" s="1582"/>
      <c r="AY996" s="1582"/>
    </row>
    <row r="997" spans="1:96" ht="12.75" customHeight="1">
      <c r="A997" s="51"/>
      <c r="B997" s="110"/>
      <c r="C997" s="111"/>
      <c r="D997" s="2131"/>
      <c r="E997" s="2132"/>
      <c r="F997" s="2132"/>
      <c r="G997" s="2132"/>
      <c r="H997" s="2132"/>
      <c r="I997" s="2132"/>
      <c r="J997" s="2132"/>
      <c r="K997" s="2132"/>
      <c r="L997" s="2132"/>
      <c r="M997" s="2132"/>
      <c r="N997" s="2132"/>
      <c r="O997" s="2132"/>
      <c r="P997" s="2132"/>
      <c r="Q997" s="2132"/>
      <c r="R997" s="2132"/>
      <c r="S997" s="2132"/>
      <c r="T997" s="2132"/>
      <c r="U997" s="2132"/>
      <c r="V997" s="2132"/>
      <c r="W997" s="2132"/>
      <c r="X997" s="2132"/>
      <c r="Y997" s="2132"/>
      <c r="Z997" s="2132"/>
      <c r="AA997" s="2132"/>
      <c r="AB997" s="2132"/>
      <c r="AC997" s="2132"/>
      <c r="AD997" s="2132"/>
      <c r="AE997" s="2133"/>
      <c r="AF997" s="110"/>
      <c r="AG997" s="112"/>
      <c r="AH997" s="112"/>
      <c r="AI997" s="121"/>
      <c r="AJ997" s="2140"/>
      <c r="AK997" s="2141"/>
      <c r="AL997" s="2141"/>
      <c r="AM997" s="2141"/>
      <c r="AN997" s="2141"/>
      <c r="AO997" s="2141"/>
      <c r="AP997" s="2141"/>
      <c r="AQ997" s="2142"/>
      <c r="AR997" s="1582"/>
      <c r="AS997" s="1582"/>
      <c r="AT997" s="1582"/>
      <c r="AU997" s="1582"/>
      <c r="AV997" s="1582"/>
      <c r="AW997" s="1582"/>
      <c r="AX997" s="1582"/>
      <c r="AY997" s="1582"/>
      <c r="BA997" s="320">
        <f>IF(A1044="Yes",0.05,0)</f>
        <v>0</v>
      </c>
    </row>
    <row r="998" spans="1:96" ht="15" customHeight="1">
      <c r="A998" s="51"/>
      <c r="B998" s="119"/>
      <c r="C998" s="120"/>
      <c r="D998" s="2134"/>
      <c r="E998" s="2135"/>
      <c r="F998" s="2135"/>
      <c r="G998" s="2135"/>
      <c r="H998" s="2135"/>
      <c r="I998" s="2135"/>
      <c r="J998" s="2135"/>
      <c r="K998" s="2135"/>
      <c r="L998" s="2135"/>
      <c r="M998" s="2135"/>
      <c r="N998" s="2135"/>
      <c r="O998" s="2135"/>
      <c r="P998" s="2135"/>
      <c r="Q998" s="2135"/>
      <c r="R998" s="2135"/>
      <c r="S998" s="2135"/>
      <c r="T998" s="2135"/>
      <c r="U998" s="2135"/>
      <c r="V998" s="2135"/>
      <c r="W998" s="2135"/>
      <c r="X998" s="2135"/>
      <c r="Y998" s="2135"/>
      <c r="Z998" s="2135"/>
      <c r="AA998" s="2135"/>
      <c r="AB998" s="2135"/>
      <c r="AC998" s="2135"/>
      <c r="AD998" s="2135"/>
      <c r="AE998" s="2136"/>
      <c r="AF998" s="115"/>
      <c r="AG998" s="11"/>
      <c r="AH998" s="11"/>
      <c r="AI998" s="116"/>
      <c r="AJ998" s="2143"/>
      <c r="AK998" s="2144"/>
      <c r="AL998" s="2144"/>
      <c r="AM998" s="2144"/>
      <c r="AN998" s="2144"/>
      <c r="AO998" s="2144"/>
      <c r="AP998" s="2144"/>
      <c r="AQ998" s="2145"/>
      <c r="AR998" s="1582"/>
      <c r="AS998" s="1582"/>
      <c r="AT998" s="1582"/>
      <c r="AU998" s="1582"/>
      <c r="AV998" s="1582"/>
      <c r="AW998" s="1582"/>
      <c r="AX998" s="1582"/>
      <c r="AY998" s="1582"/>
      <c r="BA998" s="320">
        <f>IF(A1050="Yes",0.02,0)</f>
        <v>0</v>
      </c>
    </row>
    <row r="999" spans="1:96" s="719" customFormat="1" ht="15" customHeight="1">
      <c r="A999" s="51"/>
      <c r="B999" s="117"/>
      <c r="C999" s="118" t="s">
        <v>229</v>
      </c>
      <c r="D999" s="2167" t="s">
        <v>1537</v>
      </c>
      <c r="E999" s="2168"/>
      <c r="F999" s="2168"/>
      <c r="G999" s="2168"/>
      <c r="H999" s="2168"/>
      <c r="I999" s="2168"/>
      <c r="J999" s="2168"/>
      <c r="K999" s="2168"/>
      <c r="L999" s="2168"/>
      <c r="M999" s="2168"/>
      <c r="N999" s="2168"/>
      <c r="O999" s="2168"/>
      <c r="P999" s="2168"/>
      <c r="Q999" s="2168"/>
      <c r="R999" s="2168"/>
      <c r="S999" s="2168"/>
      <c r="T999" s="2168"/>
      <c r="U999" s="2168"/>
      <c r="V999" s="2168"/>
      <c r="W999" s="2168"/>
      <c r="X999" s="2168"/>
      <c r="Y999" s="2168"/>
      <c r="Z999" s="2168"/>
      <c r="AA999" s="2168"/>
      <c r="AB999" s="2168"/>
      <c r="AC999" s="2168"/>
      <c r="AD999" s="2168"/>
      <c r="AE999" s="2169"/>
      <c r="AF999" s="117"/>
      <c r="AG999" s="2190" t="s">
        <v>705</v>
      </c>
      <c r="AH999" s="2191"/>
      <c r="AI999" s="125"/>
      <c r="AJ999" s="2146"/>
      <c r="AK999" s="2147"/>
      <c r="AL999" s="2147"/>
      <c r="AM999" s="2147"/>
      <c r="AN999" s="2147"/>
      <c r="AO999" s="2147"/>
      <c r="AP999" s="2147"/>
      <c r="AQ999" s="2148"/>
      <c r="AR999" s="1582"/>
      <c r="AS999" s="1582"/>
      <c r="AT999" s="1582"/>
      <c r="AU999" s="1582"/>
      <c r="AV999" s="1582"/>
      <c r="AW999" s="1582"/>
      <c r="AX999" s="1582"/>
      <c r="AY999" s="1582"/>
      <c r="BA999" s="320">
        <f>IF(A1056="Yes",0.04,0)</f>
        <v>0</v>
      </c>
      <c r="CR999" s="25"/>
    </row>
    <row r="1000" spans="1:96" ht="12.75">
      <c r="A1000" s="51"/>
      <c r="B1000" s="119"/>
      <c r="C1000" s="122"/>
      <c r="D1000" s="2170"/>
      <c r="E1000" s="2171"/>
      <c r="F1000" s="2171"/>
      <c r="G1000" s="2171"/>
      <c r="H1000" s="2171"/>
      <c r="I1000" s="2171"/>
      <c r="J1000" s="2171"/>
      <c r="K1000" s="2171"/>
      <c r="L1000" s="2171"/>
      <c r="M1000" s="2171"/>
      <c r="N1000" s="2171"/>
      <c r="O1000" s="2171"/>
      <c r="P1000" s="2171"/>
      <c r="Q1000" s="2171"/>
      <c r="R1000" s="2171"/>
      <c r="S1000" s="2171"/>
      <c r="T1000" s="2171"/>
      <c r="U1000" s="2171"/>
      <c r="V1000" s="2171"/>
      <c r="W1000" s="2171"/>
      <c r="X1000" s="2171"/>
      <c r="Y1000" s="2171"/>
      <c r="Z1000" s="2171"/>
      <c r="AA1000" s="2171"/>
      <c r="AB1000" s="2171"/>
      <c r="AC1000" s="2171"/>
      <c r="AD1000" s="2171"/>
      <c r="AE1000" s="2172"/>
      <c r="AF1000" s="2155">
        <f>IF(AG999="yes","Please Select Type and Enter Amount:",0)</f>
        <v>0</v>
      </c>
      <c r="AG1000" s="2156"/>
      <c r="AH1000" s="2156"/>
      <c r="AI1000" s="2157"/>
      <c r="AJ1000" s="2149"/>
      <c r="AK1000" s="2150"/>
      <c r="AL1000" s="2150"/>
      <c r="AM1000" s="2150"/>
      <c r="AN1000" s="2150"/>
      <c r="AO1000" s="2150"/>
      <c r="AP1000" s="2150"/>
      <c r="AQ1000" s="2151"/>
      <c r="AR1000" s="1582"/>
      <c r="AS1000" s="1582"/>
      <c r="AT1000" s="1582"/>
      <c r="AU1000" s="1582"/>
      <c r="AV1000" s="1582"/>
      <c r="AW1000" s="1582"/>
      <c r="AX1000" s="1582"/>
      <c r="AY1000" s="1582"/>
      <c r="BA1000" s="320">
        <f>IF(A1063="Yes",0.04,0)</f>
        <v>0</v>
      </c>
    </row>
    <row r="1001" spans="1:96" ht="12.75" customHeight="1">
      <c r="A1001" s="51"/>
      <c r="B1001" s="119"/>
      <c r="C1001" s="122"/>
      <c r="D1001" s="2131" t="s">
        <v>1538</v>
      </c>
      <c r="E1001" s="2132"/>
      <c r="F1001" s="2132"/>
      <c r="G1001" s="2132"/>
      <c r="H1001" s="2132"/>
      <c r="I1001" s="2132"/>
      <c r="J1001" s="2132"/>
      <c r="K1001" s="2132"/>
      <c r="L1001" s="2132"/>
      <c r="M1001" s="2132"/>
      <c r="N1001" s="2132"/>
      <c r="O1001" s="2132"/>
      <c r="P1001" s="2132"/>
      <c r="Q1001" s="2132"/>
      <c r="R1001" s="2132"/>
      <c r="S1001" s="2132"/>
      <c r="T1001" s="2132"/>
      <c r="U1001" s="2132"/>
      <c r="V1001" s="2132"/>
      <c r="W1001" s="2132"/>
      <c r="X1001" s="2132"/>
      <c r="Y1001" s="2132"/>
      <c r="Z1001" s="2132"/>
      <c r="AA1001" s="2132"/>
      <c r="AB1001" s="2132"/>
      <c r="AC1001" s="2132"/>
      <c r="AD1001" s="2132"/>
      <c r="AE1001" s="2133"/>
      <c r="AF1001" s="2155"/>
      <c r="AG1001" s="2156"/>
      <c r="AH1001" s="2156"/>
      <c r="AI1001" s="2157"/>
      <c r="AJ1001" s="2149"/>
      <c r="AK1001" s="2150"/>
      <c r="AL1001" s="2150"/>
      <c r="AM1001" s="2150"/>
      <c r="AN1001" s="2150"/>
      <c r="AO1001" s="2150"/>
      <c r="AP1001" s="2150"/>
      <c r="AQ1001" s="2151"/>
      <c r="AR1001" s="1582"/>
      <c r="AS1001" s="1582"/>
      <c r="AT1001" s="1582"/>
      <c r="AU1001" s="1582"/>
      <c r="AV1001" s="1582"/>
      <c r="AW1001" s="1582"/>
      <c r="AX1001" s="1582"/>
      <c r="AY1001" s="1582"/>
      <c r="BA1001" s="320">
        <f>IF(A1066="Yes",0.01,0)</f>
        <v>0</v>
      </c>
    </row>
    <row r="1002" spans="1:96" ht="12.75" customHeight="1">
      <c r="A1002" s="51"/>
      <c r="B1002" s="119"/>
      <c r="C1002" s="122"/>
      <c r="D1002" s="2131"/>
      <c r="E1002" s="2132"/>
      <c r="F1002" s="2132"/>
      <c r="G1002" s="2132"/>
      <c r="H1002" s="2132"/>
      <c r="I1002" s="2132"/>
      <c r="J1002" s="2132"/>
      <c r="K1002" s="2132"/>
      <c r="L1002" s="2132"/>
      <c r="M1002" s="2132"/>
      <c r="N1002" s="2132"/>
      <c r="O1002" s="2132"/>
      <c r="P1002" s="2132"/>
      <c r="Q1002" s="2132"/>
      <c r="R1002" s="2132"/>
      <c r="S1002" s="2132"/>
      <c r="T1002" s="2132"/>
      <c r="U1002" s="2132"/>
      <c r="V1002" s="2132"/>
      <c r="W1002" s="2132"/>
      <c r="X1002" s="2132"/>
      <c r="Y1002" s="2132"/>
      <c r="Z1002" s="2132"/>
      <c r="AA1002" s="2132"/>
      <c r="AB1002" s="2132"/>
      <c r="AC1002" s="2132"/>
      <c r="AD1002" s="2132"/>
      <c r="AE1002" s="2133"/>
      <c r="AF1002" s="2155"/>
      <c r="AG1002" s="2156"/>
      <c r="AH1002" s="2156"/>
      <c r="AI1002" s="2157"/>
      <c r="AJ1002" s="2149"/>
      <c r="AK1002" s="2150"/>
      <c r="AL1002" s="2150"/>
      <c r="AM1002" s="2150"/>
      <c r="AN1002" s="2150"/>
      <c r="AO1002" s="2150"/>
      <c r="AP1002" s="2150"/>
      <c r="AQ1002" s="2151"/>
      <c r="AR1002" s="1582"/>
      <c r="AS1002" s="1582"/>
      <c r="AT1002" s="1582"/>
      <c r="AU1002" s="1582"/>
      <c r="AV1002" s="1582"/>
      <c r="AW1002" s="1582"/>
      <c r="AX1002" s="1582"/>
      <c r="AY1002" s="1582"/>
      <c r="BA1002" s="320">
        <f>IF(A1071="Yes",0.01,0)</f>
        <v>0</v>
      </c>
    </row>
    <row r="1003" spans="1:96" s="719" customFormat="1" ht="12.75" customHeight="1">
      <c r="A1003" s="51"/>
      <c r="B1003" s="119"/>
      <c r="C1003" s="122"/>
      <c r="D1003" s="906" t="s">
        <v>368</v>
      </c>
      <c r="E1003" s="133"/>
      <c r="F1003" s="133"/>
      <c r="G1003" s="160"/>
      <c r="H1003" s="160"/>
      <c r="I1003" s="81"/>
      <c r="J1003" s="2173" t="s">
        <v>625</v>
      </c>
      <c r="K1003" s="2174"/>
      <c r="L1003" s="2174"/>
      <c r="M1003" s="2174"/>
      <c r="N1003" s="2174"/>
      <c r="O1003" s="2174"/>
      <c r="P1003" s="2174"/>
      <c r="Q1003" s="2174"/>
      <c r="R1003" s="2174"/>
      <c r="S1003" s="2174"/>
      <c r="T1003" s="2174"/>
      <c r="U1003" s="2174"/>
      <c r="V1003" s="2174"/>
      <c r="W1003" s="2174"/>
      <c r="X1003" s="2174"/>
      <c r="Y1003" s="2174"/>
      <c r="Z1003" s="2174"/>
      <c r="AA1003" s="2174"/>
      <c r="AB1003" s="2174"/>
      <c r="AC1003" s="2174"/>
      <c r="AD1003" s="2174"/>
      <c r="AE1003" s="2175"/>
      <c r="AF1003" s="2158"/>
      <c r="AG1003" s="2159"/>
      <c r="AH1003" s="2159"/>
      <c r="AI1003" s="2160"/>
      <c r="AJ1003" s="2152"/>
      <c r="AK1003" s="2153"/>
      <c r="AL1003" s="2153"/>
      <c r="AM1003" s="2153"/>
      <c r="AN1003" s="2153"/>
      <c r="AO1003" s="2153"/>
      <c r="AP1003" s="2153"/>
      <c r="AQ1003" s="2154"/>
      <c r="AR1003" s="1582"/>
      <c r="AS1003" s="1582"/>
      <c r="AT1003" s="1582"/>
      <c r="AU1003" s="1582"/>
      <c r="AV1003" s="1582"/>
      <c r="AW1003" s="1582"/>
      <c r="AX1003" s="1582"/>
      <c r="AY1003" s="1582"/>
      <c r="BA1003" s="320">
        <f>IF(A1074="Yes",0.01,0)</f>
        <v>0</v>
      </c>
      <c r="CR1003" s="25"/>
    </row>
    <row r="1004" spans="1:96" ht="12.75" customHeight="1">
      <c r="A1004" s="51"/>
      <c r="B1004" s="117"/>
      <c r="C1004" s="118" t="s">
        <v>235</v>
      </c>
      <c r="D1004" s="2125" t="s">
        <v>1539</v>
      </c>
      <c r="E1004" s="2126"/>
      <c r="F1004" s="2126"/>
      <c r="G1004" s="2126"/>
      <c r="H1004" s="2126"/>
      <c r="I1004" s="2126"/>
      <c r="J1004" s="2126"/>
      <c r="K1004" s="2126"/>
      <c r="L1004" s="2126"/>
      <c r="M1004" s="2126"/>
      <c r="N1004" s="2126"/>
      <c r="O1004" s="2126"/>
      <c r="P1004" s="2126"/>
      <c r="Q1004" s="2126"/>
      <c r="R1004" s="2126"/>
      <c r="S1004" s="2126"/>
      <c r="T1004" s="2126"/>
      <c r="U1004" s="2126"/>
      <c r="V1004" s="2126"/>
      <c r="W1004" s="2126"/>
      <c r="X1004" s="2126"/>
      <c r="Y1004" s="2126"/>
      <c r="Z1004" s="2126"/>
      <c r="AA1004" s="2126"/>
      <c r="AB1004" s="2126"/>
      <c r="AC1004" s="2126"/>
      <c r="AD1004" s="2126"/>
      <c r="AE1004" s="2127"/>
      <c r="AF1004" s="117"/>
      <c r="AG1004" s="2190" t="s">
        <v>705</v>
      </c>
      <c r="AH1004" s="2191"/>
      <c r="AI1004" s="125"/>
      <c r="AJ1004" s="2146"/>
      <c r="AK1004" s="2147"/>
      <c r="AL1004" s="2147"/>
      <c r="AM1004" s="2147"/>
      <c r="AN1004" s="2147"/>
      <c r="AO1004" s="2147"/>
      <c r="AP1004" s="2147"/>
      <c r="AQ1004" s="2148"/>
      <c r="AR1004" s="1582"/>
      <c r="AS1004" s="1582"/>
      <c r="AT1004" s="1582"/>
      <c r="AU1004" s="1582"/>
      <c r="AV1004" s="1582"/>
      <c r="AW1004" s="1582"/>
      <c r="AX1004" s="1582"/>
      <c r="AY1004" s="1582"/>
      <c r="BA1004" s="320">
        <f>IF(A1078="Yes",0.02,0)</f>
        <v>0</v>
      </c>
    </row>
    <row r="1005" spans="1:96" ht="12.75" customHeight="1">
      <c r="A1005" s="51"/>
      <c r="B1005" s="110"/>
      <c r="C1005" s="111"/>
      <c r="D1005" s="2131" t="s">
        <v>2178</v>
      </c>
      <c r="E1005" s="2132"/>
      <c r="F1005" s="2132"/>
      <c r="G1005" s="2132"/>
      <c r="H1005" s="2132"/>
      <c r="I1005" s="2132"/>
      <c r="J1005" s="2132"/>
      <c r="K1005" s="2132"/>
      <c r="L1005" s="2132"/>
      <c r="M1005" s="2132"/>
      <c r="N1005" s="2132"/>
      <c r="O1005" s="2132"/>
      <c r="P1005" s="2132"/>
      <c r="Q1005" s="2132"/>
      <c r="R1005" s="2132"/>
      <c r="S1005" s="2132"/>
      <c r="T1005" s="2132"/>
      <c r="U1005" s="2132"/>
      <c r="V1005" s="2132"/>
      <c r="W1005" s="2132"/>
      <c r="X1005" s="2132"/>
      <c r="Y1005" s="2132"/>
      <c r="Z1005" s="2132"/>
      <c r="AA1005" s="2132"/>
      <c r="AB1005" s="2132"/>
      <c r="AC1005" s="2132"/>
      <c r="AD1005" s="2132"/>
      <c r="AE1005" s="2133"/>
      <c r="AF1005" s="2161">
        <f>IF(AG1004="yes","Please Enter Amount:",0)</f>
        <v>0</v>
      </c>
      <c r="AG1005" s="2162"/>
      <c r="AH1005" s="2162"/>
      <c r="AI1005" s="2163"/>
      <c r="AJ1005" s="2149"/>
      <c r="AK1005" s="2150"/>
      <c r="AL1005" s="2150"/>
      <c r="AM1005" s="2150"/>
      <c r="AN1005" s="2150"/>
      <c r="AO1005" s="2150"/>
      <c r="AP1005" s="2150"/>
      <c r="AQ1005" s="2151"/>
      <c r="AR1005" s="1582"/>
      <c r="AS1005" s="1582"/>
      <c r="AT1005" s="1582"/>
      <c r="AU1005" s="1582"/>
      <c r="AV1005" s="1582"/>
      <c r="AW1005" s="1582"/>
      <c r="AX1005" s="1582"/>
      <c r="AY1005" s="1582"/>
      <c r="BA1005" s="321">
        <f>IF(A1082="Yes",0.02,0)</f>
        <v>0</v>
      </c>
    </row>
    <row r="1006" spans="1:96" ht="12.75" customHeight="1">
      <c r="A1006" s="51"/>
      <c r="B1006" s="110"/>
      <c r="C1006" s="111"/>
      <c r="D1006" s="2131"/>
      <c r="E1006" s="2132"/>
      <c r="F1006" s="2132"/>
      <c r="G1006" s="2132"/>
      <c r="H1006" s="2132"/>
      <c r="I1006" s="2132"/>
      <c r="J1006" s="2132"/>
      <c r="K1006" s="2132"/>
      <c r="L1006" s="2132"/>
      <c r="M1006" s="2132"/>
      <c r="N1006" s="2132"/>
      <c r="O1006" s="2132"/>
      <c r="P1006" s="2132"/>
      <c r="Q1006" s="2132"/>
      <c r="R1006" s="2132"/>
      <c r="S1006" s="2132"/>
      <c r="T1006" s="2132"/>
      <c r="U1006" s="2132"/>
      <c r="V1006" s="2132"/>
      <c r="W1006" s="2132"/>
      <c r="X1006" s="2132"/>
      <c r="Y1006" s="2132"/>
      <c r="Z1006" s="2132"/>
      <c r="AA1006" s="2132"/>
      <c r="AB1006" s="2132"/>
      <c r="AC1006" s="2132"/>
      <c r="AD1006" s="2132"/>
      <c r="AE1006" s="2133"/>
      <c r="AF1006" s="2161"/>
      <c r="AG1006" s="2162"/>
      <c r="AH1006" s="2162"/>
      <c r="AI1006" s="2163"/>
      <c r="AJ1006" s="2149"/>
      <c r="AK1006" s="2150"/>
      <c r="AL1006" s="2150"/>
      <c r="AM1006" s="2150"/>
      <c r="AN1006" s="2150"/>
      <c r="AO1006" s="2150"/>
      <c r="AP1006" s="2150"/>
      <c r="AQ1006" s="2151"/>
      <c r="AR1006" s="1582"/>
      <c r="AS1006" s="1582"/>
      <c r="AT1006" s="1582"/>
      <c r="AU1006" s="1582"/>
      <c r="AV1006" s="1582"/>
      <c r="AW1006" s="1582"/>
      <c r="AX1006" s="1582"/>
      <c r="AY1006" s="1582"/>
    </row>
    <row r="1007" spans="1:96" ht="12.75" customHeight="1">
      <c r="A1007" s="51"/>
      <c r="B1007" s="123"/>
      <c r="C1007" s="122"/>
      <c r="D1007" s="2134"/>
      <c r="E1007" s="2135"/>
      <c r="F1007" s="2135"/>
      <c r="G1007" s="2135"/>
      <c r="H1007" s="2135"/>
      <c r="I1007" s="2135"/>
      <c r="J1007" s="2135"/>
      <c r="K1007" s="2135"/>
      <c r="L1007" s="2135"/>
      <c r="M1007" s="2135"/>
      <c r="N1007" s="2135"/>
      <c r="O1007" s="2135"/>
      <c r="P1007" s="2135"/>
      <c r="Q1007" s="2135"/>
      <c r="R1007" s="2135"/>
      <c r="S1007" s="2135"/>
      <c r="T1007" s="2135"/>
      <c r="U1007" s="2135"/>
      <c r="V1007" s="2135"/>
      <c r="W1007" s="2135"/>
      <c r="X1007" s="2135"/>
      <c r="Y1007" s="2135"/>
      <c r="Z1007" s="2135"/>
      <c r="AA1007" s="2135"/>
      <c r="AB1007" s="2135"/>
      <c r="AC1007" s="2135"/>
      <c r="AD1007" s="2135"/>
      <c r="AE1007" s="2136"/>
      <c r="AF1007" s="2164"/>
      <c r="AG1007" s="2165"/>
      <c r="AH1007" s="2165"/>
      <c r="AI1007" s="2166"/>
      <c r="AJ1007" s="2152"/>
      <c r="AK1007" s="2153"/>
      <c r="AL1007" s="2153"/>
      <c r="AM1007" s="2153"/>
      <c r="AN1007" s="2153"/>
      <c r="AO1007" s="2153"/>
      <c r="AP1007" s="2153"/>
      <c r="AQ1007" s="2154"/>
      <c r="AR1007" s="1582"/>
      <c r="AS1007" s="1582"/>
      <c r="AT1007" s="1582"/>
      <c r="AU1007" s="1582"/>
      <c r="AV1007" s="1582"/>
      <c r="AW1007" s="1582"/>
      <c r="AX1007" s="1582"/>
      <c r="AY1007" s="1582"/>
    </row>
    <row r="1008" spans="1:96" s="719" customFormat="1" ht="12.75" customHeight="1">
      <c r="A1008" s="51"/>
      <c r="B1008" s="117"/>
      <c r="C1008" s="118" t="s">
        <v>240</v>
      </c>
      <c r="D1008" s="2192" t="s">
        <v>1540</v>
      </c>
      <c r="E1008" s="2193"/>
      <c r="F1008" s="2193"/>
      <c r="G1008" s="2193"/>
      <c r="H1008" s="2193"/>
      <c r="I1008" s="2193"/>
      <c r="J1008" s="2193"/>
      <c r="K1008" s="2193"/>
      <c r="L1008" s="2193"/>
      <c r="M1008" s="2193"/>
      <c r="N1008" s="2193"/>
      <c r="O1008" s="2193"/>
      <c r="P1008" s="2193"/>
      <c r="Q1008" s="2193"/>
      <c r="R1008" s="2193"/>
      <c r="S1008" s="2193"/>
      <c r="T1008" s="2193"/>
      <c r="U1008" s="2193"/>
      <c r="V1008" s="2193"/>
      <c r="W1008" s="2193"/>
      <c r="X1008" s="2193"/>
      <c r="Y1008" s="2193"/>
      <c r="Z1008" s="2193"/>
      <c r="AA1008" s="2193"/>
      <c r="AB1008" s="2193"/>
      <c r="AC1008" s="2193"/>
      <c r="AD1008" s="2193"/>
      <c r="AE1008" s="2194"/>
      <c r="AF1008" s="117"/>
      <c r="AG1008" s="2190" t="s">
        <v>705</v>
      </c>
      <c r="AH1008" s="2191"/>
      <c r="AI1008" s="125"/>
      <c r="AJ1008" s="2137">
        <f>ROUND(IF(AG1008="yes",(AJ975*0.1),0),0)</f>
        <v>0</v>
      </c>
      <c r="AK1008" s="2138"/>
      <c r="AL1008" s="2138"/>
      <c r="AM1008" s="2138"/>
      <c r="AN1008" s="2138"/>
      <c r="AO1008" s="2138"/>
      <c r="AP1008" s="2138"/>
      <c r="AQ1008" s="2139"/>
      <c r="AR1008" s="1582"/>
      <c r="AS1008" s="1582"/>
      <c r="AT1008" s="1582"/>
      <c r="AU1008" s="1582"/>
      <c r="AV1008" s="1582"/>
      <c r="AW1008" s="1582"/>
      <c r="AX1008" s="1582"/>
      <c r="AY1008" s="1582"/>
      <c r="CR1008" s="25"/>
    </row>
    <row r="1009" spans="1:96" ht="12.75" customHeight="1">
      <c r="A1009" s="51"/>
      <c r="B1009" s="110"/>
      <c r="C1009" s="111"/>
      <c r="D1009" s="2131" t="s">
        <v>1541</v>
      </c>
      <c r="E1009" s="2132"/>
      <c r="F1009" s="2132"/>
      <c r="G1009" s="2132"/>
      <c r="H1009" s="2132"/>
      <c r="I1009" s="2132"/>
      <c r="J1009" s="2132"/>
      <c r="K1009" s="2132"/>
      <c r="L1009" s="2132"/>
      <c r="M1009" s="2132"/>
      <c r="N1009" s="2132"/>
      <c r="O1009" s="2132"/>
      <c r="P1009" s="2132"/>
      <c r="Q1009" s="2132"/>
      <c r="R1009" s="2132"/>
      <c r="S1009" s="2132"/>
      <c r="T1009" s="2132"/>
      <c r="U1009" s="2132"/>
      <c r="V1009" s="2132"/>
      <c r="W1009" s="2132"/>
      <c r="X1009" s="2132"/>
      <c r="Y1009" s="2132"/>
      <c r="Z1009" s="2132"/>
      <c r="AA1009" s="2132"/>
      <c r="AB1009" s="2132"/>
      <c r="AC1009" s="2132"/>
      <c r="AD1009" s="2132"/>
      <c r="AE1009" s="2133"/>
      <c r="AF1009" s="110"/>
      <c r="AG1009" s="112"/>
      <c r="AH1009" s="112"/>
      <c r="AI1009" s="121"/>
      <c r="AJ1009" s="2140"/>
      <c r="AK1009" s="2141"/>
      <c r="AL1009" s="2141"/>
      <c r="AM1009" s="2141"/>
      <c r="AN1009" s="2141"/>
      <c r="AO1009" s="2141"/>
      <c r="AP1009" s="2141"/>
      <c r="AQ1009" s="2142"/>
      <c r="AR1009" s="1582"/>
      <c r="AS1009" s="1582"/>
      <c r="AT1009" s="1582"/>
      <c r="AU1009" s="1582"/>
      <c r="AV1009" s="1582"/>
      <c r="AW1009" s="1582"/>
      <c r="AX1009" s="1582"/>
      <c r="AY1009" s="1582"/>
    </row>
    <row r="1010" spans="1:96" ht="12.75" customHeight="1">
      <c r="A1010" s="51"/>
      <c r="B1010" s="115"/>
      <c r="C1010" s="111"/>
      <c r="D1010" s="2134"/>
      <c r="E1010" s="2135"/>
      <c r="F1010" s="2135"/>
      <c r="G1010" s="2135"/>
      <c r="H1010" s="2135"/>
      <c r="I1010" s="2135"/>
      <c r="J1010" s="2135"/>
      <c r="K1010" s="2135"/>
      <c r="L1010" s="2135"/>
      <c r="M1010" s="2135"/>
      <c r="N1010" s="2135"/>
      <c r="O1010" s="2135"/>
      <c r="P1010" s="2135"/>
      <c r="Q1010" s="2135"/>
      <c r="R1010" s="2135"/>
      <c r="S1010" s="2135"/>
      <c r="T1010" s="2135"/>
      <c r="U1010" s="2135"/>
      <c r="V1010" s="2135"/>
      <c r="W1010" s="2135"/>
      <c r="X1010" s="2135"/>
      <c r="Y1010" s="2135"/>
      <c r="Z1010" s="2135"/>
      <c r="AA1010" s="2135"/>
      <c r="AB1010" s="2135"/>
      <c r="AC1010" s="2135"/>
      <c r="AD1010" s="2135"/>
      <c r="AE1010" s="2136"/>
      <c r="AF1010" s="110"/>
      <c r="AG1010" s="112"/>
      <c r="AH1010" s="112"/>
      <c r="AI1010" s="121"/>
      <c r="AJ1010" s="2143"/>
      <c r="AK1010" s="2144"/>
      <c r="AL1010" s="2144"/>
      <c r="AM1010" s="2144"/>
      <c r="AN1010" s="2144"/>
      <c r="AO1010" s="2144"/>
      <c r="AP1010" s="2144"/>
      <c r="AQ1010" s="2145"/>
      <c r="AR1010" s="1582"/>
      <c r="AS1010" s="1582"/>
      <c r="AT1010" s="1582"/>
      <c r="AU1010" s="1582"/>
      <c r="AV1010" s="1582"/>
      <c r="AW1010" s="1582"/>
      <c r="AX1010" s="1582"/>
      <c r="AY1010" s="1582"/>
    </row>
    <row r="1011" spans="1:96" s="719" customFormat="1" ht="12.75" customHeight="1">
      <c r="A1011" s="51"/>
      <c r="B1011" s="110"/>
      <c r="C1011" s="531" t="s">
        <v>724</v>
      </c>
      <c r="D1011" s="2125" t="s">
        <v>2174</v>
      </c>
      <c r="E1011" s="2126"/>
      <c r="F1011" s="2126"/>
      <c r="G1011" s="2126"/>
      <c r="H1011" s="2126"/>
      <c r="I1011" s="2126"/>
      <c r="J1011" s="2126"/>
      <c r="K1011" s="2126"/>
      <c r="L1011" s="2126"/>
      <c r="M1011" s="2126"/>
      <c r="N1011" s="2126"/>
      <c r="O1011" s="2126"/>
      <c r="P1011" s="2126"/>
      <c r="Q1011" s="2126"/>
      <c r="R1011" s="2126"/>
      <c r="S1011" s="2126"/>
      <c r="T1011" s="2126"/>
      <c r="U1011" s="2126"/>
      <c r="V1011" s="2126"/>
      <c r="W1011" s="2126"/>
      <c r="X1011" s="2126"/>
      <c r="Y1011" s="2126"/>
      <c r="Z1011" s="2126"/>
      <c r="AA1011" s="2126"/>
      <c r="AB1011" s="2126"/>
      <c r="AC1011" s="2126"/>
      <c r="AD1011" s="2126"/>
      <c r="AE1011" s="2127"/>
      <c r="AF1011" s="117"/>
      <c r="AG1011" s="2190" t="s">
        <v>705</v>
      </c>
      <c r="AH1011" s="2191"/>
      <c r="AI1011" s="125"/>
      <c r="AJ1011" s="2137">
        <f>ROUND(IF(AG1011="yes",(AJ975*0.15),0),0)</f>
        <v>0</v>
      </c>
      <c r="AK1011" s="2138"/>
      <c r="AL1011" s="2138"/>
      <c r="AM1011" s="2138"/>
      <c r="AN1011" s="2138"/>
      <c r="AO1011" s="2138"/>
      <c r="AP1011" s="2138"/>
      <c r="AQ1011" s="2139"/>
      <c r="AR1011" s="1582"/>
      <c r="AS1011" s="1582"/>
      <c r="AT1011" s="1582"/>
      <c r="AU1011" s="1582"/>
      <c r="AV1011" s="1582"/>
      <c r="AW1011" s="1582"/>
      <c r="AX1011" s="1582"/>
      <c r="AY1011" s="1582"/>
      <c r="CR1011" s="25"/>
    </row>
    <row r="1012" spans="1:96" s="719" customFormat="1" ht="12.75" customHeight="1">
      <c r="A1012" s="51"/>
      <c r="B1012" s="110"/>
      <c r="C1012" s="111"/>
      <c r="D1012" s="2201" t="s">
        <v>2175</v>
      </c>
      <c r="E1012" s="2202"/>
      <c r="F1012" s="2202"/>
      <c r="G1012" s="2202"/>
      <c r="H1012" s="2202"/>
      <c r="I1012" s="2202"/>
      <c r="J1012" s="2202"/>
      <c r="K1012" s="2202"/>
      <c r="L1012" s="2202"/>
      <c r="M1012" s="2202"/>
      <c r="N1012" s="2202"/>
      <c r="O1012" s="2202"/>
      <c r="P1012" s="2202"/>
      <c r="Q1012" s="2202"/>
      <c r="R1012" s="2202"/>
      <c r="S1012" s="2202"/>
      <c r="T1012" s="2202"/>
      <c r="U1012" s="2202"/>
      <c r="V1012" s="2202"/>
      <c r="W1012" s="2202"/>
      <c r="X1012" s="2202"/>
      <c r="Y1012" s="2202"/>
      <c r="Z1012" s="2202"/>
      <c r="AA1012" s="2202"/>
      <c r="AB1012" s="2202"/>
      <c r="AC1012" s="2202"/>
      <c r="AD1012" s="2202"/>
      <c r="AE1012" s="2203"/>
      <c r="AF1012" s="1612"/>
      <c r="AG1012" s="1613"/>
      <c r="AH1012" s="1613"/>
      <c r="AI1012" s="1614"/>
      <c r="AJ1012" s="2140"/>
      <c r="AK1012" s="2141"/>
      <c r="AL1012" s="2141"/>
      <c r="AM1012" s="2141"/>
      <c r="AN1012" s="2141"/>
      <c r="AO1012" s="2141"/>
      <c r="AP1012" s="2141"/>
      <c r="AQ1012" s="2142"/>
      <c r="AR1012" s="1582"/>
      <c r="AS1012" s="1582"/>
      <c r="AT1012" s="1582"/>
      <c r="AU1012" s="1582"/>
      <c r="AV1012" s="1582"/>
      <c r="AW1012" s="1582"/>
      <c r="AX1012" s="1582"/>
      <c r="AY1012" s="1582"/>
      <c r="CR1012" s="25"/>
    </row>
    <row r="1013" spans="1:96" s="719" customFormat="1" ht="12.75" customHeight="1">
      <c r="A1013" s="51"/>
      <c r="B1013" s="110"/>
      <c r="C1013" s="111"/>
      <c r="D1013" s="2201"/>
      <c r="E1013" s="2202"/>
      <c r="F1013" s="2202"/>
      <c r="G1013" s="2202"/>
      <c r="H1013" s="2202"/>
      <c r="I1013" s="2202"/>
      <c r="J1013" s="2202"/>
      <c r="K1013" s="2202"/>
      <c r="L1013" s="2202"/>
      <c r="M1013" s="2202"/>
      <c r="N1013" s="2202"/>
      <c r="O1013" s="2202"/>
      <c r="P1013" s="2202"/>
      <c r="Q1013" s="2202"/>
      <c r="R1013" s="2202"/>
      <c r="S1013" s="2202"/>
      <c r="T1013" s="2202"/>
      <c r="U1013" s="2202"/>
      <c r="V1013" s="2202"/>
      <c r="W1013" s="2202"/>
      <c r="X1013" s="2202"/>
      <c r="Y1013" s="2202"/>
      <c r="Z1013" s="2202"/>
      <c r="AA1013" s="2202"/>
      <c r="AB1013" s="2202"/>
      <c r="AC1013" s="2202"/>
      <c r="AD1013" s="2202"/>
      <c r="AE1013" s="2203"/>
      <c r="AF1013" s="1612"/>
      <c r="AG1013" s="1613"/>
      <c r="AH1013" s="1613"/>
      <c r="AI1013" s="1614"/>
      <c r="AJ1013" s="2140"/>
      <c r="AK1013" s="2141"/>
      <c r="AL1013" s="2141"/>
      <c r="AM1013" s="2141"/>
      <c r="AN1013" s="2141"/>
      <c r="AO1013" s="2141"/>
      <c r="AP1013" s="2141"/>
      <c r="AQ1013" s="2142"/>
      <c r="AR1013" s="1582"/>
      <c r="AS1013" s="1582"/>
      <c r="AT1013" s="1582"/>
      <c r="AU1013" s="1582"/>
      <c r="AV1013" s="1582"/>
      <c r="AW1013" s="1582"/>
      <c r="AX1013" s="1582"/>
      <c r="AY1013" s="1582"/>
      <c r="CR1013" s="25"/>
    </row>
    <row r="1014" spans="1:96" s="719" customFormat="1" ht="12.75" customHeight="1">
      <c r="A1014" s="51"/>
      <c r="B1014" s="110"/>
      <c r="C1014" s="111"/>
      <c r="D1014" s="2204"/>
      <c r="E1014" s="2205"/>
      <c r="F1014" s="2205"/>
      <c r="G1014" s="2205"/>
      <c r="H1014" s="2205"/>
      <c r="I1014" s="2205"/>
      <c r="J1014" s="2205"/>
      <c r="K1014" s="2205"/>
      <c r="L1014" s="2205"/>
      <c r="M1014" s="2205"/>
      <c r="N1014" s="2205"/>
      <c r="O1014" s="2205"/>
      <c r="P1014" s="2205"/>
      <c r="Q1014" s="2205"/>
      <c r="R1014" s="2205"/>
      <c r="S1014" s="2205"/>
      <c r="T1014" s="2205"/>
      <c r="U1014" s="2205"/>
      <c r="V1014" s="2205"/>
      <c r="W1014" s="2205"/>
      <c r="X1014" s="2205"/>
      <c r="Y1014" s="2205"/>
      <c r="Z1014" s="2205"/>
      <c r="AA1014" s="2205"/>
      <c r="AB1014" s="2205"/>
      <c r="AC1014" s="2205"/>
      <c r="AD1014" s="2205"/>
      <c r="AE1014" s="2206"/>
      <c r="AF1014" s="1615"/>
      <c r="AG1014" s="1616"/>
      <c r="AH1014" s="1616"/>
      <c r="AI1014" s="1617"/>
      <c r="AJ1014" s="2143"/>
      <c r="AK1014" s="2144"/>
      <c r="AL1014" s="2144"/>
      <c r="AM1014" s="2144"/>
      <c r="AN1014" s="2144"/>
      <c r="AO1014" s="2144"/>
      <c r="AP1014" s="2144"/>
      <c r="AQ1014" s="2145"/>
      <c r="AR1014" s="1582"/>
      <c r="AS1014" s="1582"/>
      <c r="AT1014" s="1582"/>
      <c r="AU1014" s="1582"/>
      <c r="AV1014" s="1582"/>
      <c r="AW1014" s="1582"/>
      <c r="AX1014" s="1582"/>
      <c r="AY1014" s="1582"/>
      <c r="CR1014" s="25"/>
    </row>
    <row r="1015" spans="1:96" s="719" customFormat="1" ht="12.75" customHeight="1">
      <c r="A1015" s="51"/>
      <c r="B1015" s="110"/>
      <c r="C1015" s="531" t="s">
        <v>724</v>
      </c>
      <c r="D1015" s="2192" t="s">
        <v>2176</v>
      </c>
      <c r="E1015" s="2193"/>
      <c r="F1015" s="2193"/>
      <c r="G1015" s="2193"/>
      <c r="H1015" s="2193"/>
      <c r="I1015" s="2193"/>
      <c r="J1015" s="2193"/>
      <c r="K1015" s="2193"/>
      <c r="L1015" s="2193"/>
      <c r="M1015" s="2193"/>
      <c r="N1015" s="2193"/>
      <c r="O1015" s="2193"/>
      <c r="P1015" s="2193"/>
      <c r="Q1015" s="2193"/>
      <c r="R1015" s="2193"/>
      <c r="S1015" s="2193"/>
      <c r="T1015" s="2193"/>
      <c r="U1015" s="2193"/>
      <c r="V1015" s="2193"/>
      <c r="W1015" s="2193"/>
      <c r="X1015" s="2193"/>
      <c r="Y1015" s="2193"/>
      <c r="Z1015" s="2193"/>
      <c r="AA1015" s="2193"/>
      <c r="AB1015" s="2193"/>
      <c r="AC1015" s="2193"/>
      <c r="AD1015" s="2193"/>
      <c r="AE1015" s="2194"/>
      <c r="AF1015" s="110"/>
      <c r="AG1015" s="2254" t="s">
        <v>705</v>
      </c>
      <c r="AH1015" s="2255"/>
      <c r="AI1015" s="121"/>
      <c r="AJ1015" s="2137">
        <f>ROUND(IF(AG1015="yes",(AJ975*0.1),0),0)</f>
        <v>0</v>
      </c>
      <c r="AK1015" s="2138"/>
      <c r="AL1015" s="2138"/>
      <c r="AM1015" s="2138"/>
      <c r="AN1015" s="2138"/>
      <c r="AO1015" s="2138"/>
      <c r="AP1015" s="2138"/>
      <c r="AQ1015" s="2139"/>
      <c r="AR1015" s="1582"/>
      <c r="AS1015" s="1582"/>
      <c r="AT1015" s="1582"/>
      <c r="AU1015" s="1582"/>
      <c r="AV1015" s="1582"/>
      <c r="AW1015" s="1582"/>
      <c r="AX1015" s="1582"/>
      <c r="AY1015" s="1582"/>
      <c r="CR1015" s="25"/>
    </row>
    <row r="1016" spans="1:96" s="719" customFormat="1" ht="12.75" customHeight="1">
      <c r="A1016" s="51"/>
      <c r="B1016" s="110"/>
      <c r="C1016" s="111"/>
      <c r="D1016" s="2201" t="s">
        <v>2177</v>
      </c>
      <c r="E1016" s="2202"/>
      <c r="F1016" s="2202"/>
      <c r="G1016" s="2202"/>
      <c r="H1016" s="2202"/>
      <c r="I1016" s="2202"/>
      <c r="J1016" s="2202"/>
      <c r="K1016" s="2202"/>
      <c r="L1016" s="2202"/>
      <c r="M1016" s="2202"/>
      <c r="N1016" s="2202"/>
      <c r="O1016" s="2202"/>
      <c r="P1016" s="2202"/>
      <c r="Q1016" s="2202"/>
      <c r="R1016" s="2202"/>
      <c r="S1016" s="2202"/>
      <c r="T1016" s="2202"/>
      <c r="U1016" s="2202"/>
      <c r="V1016" s="2202"/>
      <c r="W1016" s="2202"/>
      <c r="X1016" s="2202"/>
      <c r="Y1016" s="2202"/>
      <c r="Z1016" s="2202"/>
      <c r="AA1016" s="2202"/>
      <c r="AB1016" s="2202"/>
      <c r="AC1016" s="2202"/>
      <c r="AD1016" s="2202"/>
      <c r="AE1016" s="2203"/>
      <c r="AF1016" s="110"/>
      <c r="AG1016" s="112"/>
      <c r="AH1016" s="112"/>
      <c r="AI1016" s="121"/>
      <c r="AJ1016" s="2140"/>
      <c r="AK1016" s="2141"/>
      <c r="AL1016" s="2141"/>
      <c r="AM1016" s="2141"/>
      <c r="AN1016" s="2141"/>
      <c r="AO1016" s="2141"/>
      <c r="AP1016" s="2141"/>
      <c r="AQ1016" s="2142"/>
      <c r="AR1016" s="1582"/>
      <c r="AS1016" s="1582"/>
      <c r="AT1016" s="1582"/>
      <c r="AU1016" s="1582"/>
      <c r="AV1016" s="1582"/>
      <c r="AW1016" s="1582"/>
      <c r="AX1016" s="1582"/>
      <c r="AY1016" s="1582"/>
      <c r="CR1016" s="25"/>
    </row>
    <row r="1017" spans="1:96" s="719" customFormat="1" ht="12.75" customHeight="1">
      <c r="A1017" s="51"/>
      <c r="B1017" s="110"/>
      <c r="C1017" s="111"/>
      <c r="D1017" s="2201"/>
      <c r="E1017" s="2202"/>
      <c r="F1017" s="2202"/>
      <c r="G1017" s="2202"/>
      <c r="H1017" s="2202"/>
      <c r="I1017" s="2202"/>
      <c r="J1017" s="2202"/>
      <c r="K1017" s="2202"/>
      <c r="L1017" s="2202"/>
      <c r="M1017" s="2202"/>
      <c r="N1017" s="2202"/>
      <c r="O1017" s="2202"/>
      <c r="P1017" s="2202"/>
      <c r="Q1017" s="2202"/>
      <c r="R1017" s="2202"/>
      <c r="S1017" s="2202"/>
      <c r="T1017" s="2202"/>
      <c r="U1017" s="2202"/>
      <c r="V1017" s="2202"/>
      <c r="W1017" s="2202"/>
      <c r="X1017" s="2202"/>
      <c r="Y1017" s="2202"/>
      <c r="Z1017" s="2202"/>
      <c r="AA1017" s="2202"/>
      <c r="AB1017" s="2202"/>
      <c r="AC1017" s="2202"/>
      <c r="AD1017" s="2202"/>
      <c r="AE1017" s="2203"/>
      <c r="AF1017" s="110"/>
      <c r="AG1017" s="112"/>
      <c r="AH1017" s="112"/>
      <c r="AI1017" s="121"/>
      <c r="AJ1017" s="2140"/>
      <c r="AK1017" s="2141"/>
      <c r="AL1017" s="2141"/>
      <c r="AM1017" s="2141"/>
      <c r="AN1017" s="2141"/>
      <c r="AO1017" s="2141"/>
      <c r="AP1017" s="2141"/>
      <c r="AQ1017" s="2142"/>
      <c r="AR1017" s="1582"/>
      <c r="AS1017" s="1582"/>
      <c r="AT1017" s="1582"/>
      <c r="AU1017" s="1582"/>
      <c r="AV1017" s="1582"/>
      <c r="AW1017" s="1582"/>
      <c r="AX1017" s="1582"/>
      <c r="AY1017" s="1582"/>
      <c r="CR1017" s="25"/>
    </row>
    <row r="1018" spans="1:96" s="719" customFormat="1" ht="12.75" customHeight="1">
      <c r="A1018" s="51"/>
      <c r="B1018" s="110"/>
      <c r="C1018" s="111"/>
      <c r="D1018" s="2201"/>
      <c r="E1018" s="2202"/>
      <c r="F1018" s="2202"/>
      <c r="G1018" s="2202"/>
      <c r="H1018" s="2202"/>
      <c r="I1018" s="2202"/>
      <c r="J1018" s="2202"/>
      <c r="K1018" s="2202"/>
      <c r="L1018" s="2202"/>
      <c r="M1018" s="2202"/>
      <c r="N1018" s="2202"/>
      <c r="O1018" s="2202"/>
      <c r="P1018" s="2202"/>
      <c r="Q1018" s="2202"/>
      <c r="R1018" s="2202"/>
      <c r="S1018" s="2202"/>
      <c r="T1018" s="2202"/>
      <c r="U1018" s="2202"/>
      <c r="V1018" s="2202"/>
      <c r="W1018" s="2202"/>
      <c r="X1018" s="2202"/>
      <c r="Y1018" s="2202"/>
      <c r="Z1018" s="2202"/>
      <c r="AA1018" s="2202"/>
      <c r="AB1018" s="2202"/>
      <c r="AC1018" s="2202"/>
      <c r="AD1018" s="2202"/>
      <c r="AE1018" s="2203"/>
      <c r="AF1018" s="110"/>
      <c r="AG1018" s="112"/>
      <c r="AH1018" s="112"/>
      <c r="AI1018" s="121"/>
      <c r="AJ1018" s="2140"/>
      <c r="AK1018" s="2141"/>
      <c r="AL1018" s="2141"/>
      <c r="AM1018" s="2141"/>
      <c r="AN1018" s="2141"/>
      <c r="AO1018" s="2141"/>
      <c r="AP1018" s="2141"/>
      <c r="AQ1018" s="2142"/>
      <c r="AR1018" s="1582"/>
      <c r="AS1018" s="1582"/>
      <c r="AT1018" s="1582"/>
      <c r="AU1018" s="1582"/>
      <c r="AV1018" s="1582"/>
      <c r="AW1018" s="1582"/>
      <c r="AX1018" s="1582"/>
      <c r="AY1018" s="1582"/>
      <c r="CR1018" s="25"/>
    </row>
    <row r="1019" spans="1:96" s="719" customFormat="1" ht="12.75" customHeight="1">
      <c r="A1019" s="51"/>
      <c r="B1019" s="110"/>
      <c r="C1019" s="111"/>
      <c r="D1019" s="2204"/>
      <c r="E1019" s="2205"/>
      <c r="F1019" s="2205"/>
      <c r="G1019" s="2205"/>
      <c r="H1019" s="2205"/>
      <c r="I1019" s="2205"/>
      <c r="J1019" s="2205"/>
      <c r="K1019" s="2205"/>
      <c r="L1019" s="2205"/>
      <c r="M1019" s="2205"/>
      <c r="N1019" s="2205"/>
      <c r="O1019" s="2205"/>
      <c r="P1019" s="2205"/>
      <c r="Q1019" s="2205"/>
      <c r="R1019" s="2205"/>
      <c r="S1019" s="2205"/>
      <c r="T1019" s="2205"/>
      <c r="U1019" s="2205"/>
      <c r="V1019" s="2205"/>
      <c r="W1019" s="2205"/>
      <c r="X1019" s="2205"/>
      <c r="Y1019" s="2205"/>
      <c r="Z1019" s="2205"/>
      <c r="AA1019" s="2205"/>
      <c r="AB1019" s="2205"/>
      <c r="AC1019" s="2205"/>
      <c r="AD1019" s="2205"/>
      <c r="AE1019" s="2206"/>
      <c r="AF1019" s="110"/>
      <c r="AG1019" s="112"/>
      <c r="AH1019" s="112"/>
      <c r="AI1019" s="121"/>
      <c r="AJ1019" s="2140"/>
      <c r="AK1019" s="2141"/>
      <c r="AL1019" s="2141"/>
      <c r="AM1019" s="2141"/>
      <c r="AN1019" s="2141"/>
      <c r="AO1019" s="2141"/>
      <c r="AP1019" s="2141"/>
      <c r="AQ1019" s="2142"/>
      <c r="AR1019" s="1582"/>
      <c r="AS1019" s="1582"/>
      <c r="AT1019" s="1582"/>
      <c r="AU1019" s="1582"/>
      <c r="AV1019" s="1582"/>
      <c r="AW1019" s="1582"/>
      <c r="AX1019" s="1582"/>
      <c r="AY1019" s="1582"/>
      <c r="CR1019" s="25"/>
    </row>
    <row r="1020" spans="1:96" s="719" customFormat="1" ht="12.75" customHeight="1">
      <c r="A1020" s="51"/>
      <c r="B1020" s="117"/>
      <c r="C1020" s="198" t="s">
        <v>1116</v>
      </c>
      <c r="D1020" s="2125" t="s">
        <v>1542</v>
      </c>
      <c r="E1020" s="2126"/>
      <c r="F1020" s="2126"/>
      <c r="G1020" s="2126"/>
      <c r="H1020" s="2126"/>
      <c r="I1020" s="2126"/>
      <c r="J1020" s="2126"/>
      <c r="K1020" s="2126"/>
      <c r="L1020" s="2126"/>
      <c r="M1020" s="2126"/>
      <c r="N1020" s="2126"/>
      <c r="O1020" s="2126"/>
      <c r="P1020" s="2126"/>
      <c r="Q1020" s="2126"/>
      <c r="R1020" s="2126"/>
      <c r="S1020" s="2126"/>
      <c r="T1020" s="2126"/>
      <c r="U1020" s="2126"/>
      <c r="V1020" s="2126"/>
      <c r="W1020" s="2126"/>
      <c r="X1020" s="2126"/>
      <c r="Y1020" s="2126"/>
      <c r="Z1020" s="2126"/>
      <c r="AA1020" s="2126"/>
      <c r="AB1020" s="2126"/>
      <c r="AC1020" s="2126"/>
      <c r="AD1020" s="2126"/>
      <c r="AE1020" s="2127"/>
      <c r="AF1020" s="117"/>
      <c r="AG1020" s="2190" t="s">
        <v>705</v>
      </c>
      <c r="AH1020" s="2191"/>
      <c r="AI1020" s="125"/>
      <c r="AJ1020" s="2137">
        <f>ROUND(IF(AG1020="yes",(AJ975*0.1),0),0)</f>
        <v>0</v>
      </c>
      <c r="AK1020" s="2138"/>
      <c r="AL1020" s="2138"/>
      <c r="AM1020" s="2138"/>
      <c r="AN1020" s="2138"/>
      <c r="AO1020" s="2138"/>
      <c r="AP1020" s="2138"/>
      <c r="AQ1020" s="2139"/>
      <c r="AR1020" s="1582"/>
      <c r="AS1020" s="1582"/>
      <c r="AT1020" s="1582"/>
      <c r="AU1020" s="1582"/>
      <c r="AV1020" s="1582"/>
      <c r="AW1020" s="1582"/>
      <c r="AX1020" s="1582"/>
      <c r="AY1020" s="1582"/>
      <c r="CR1020" s="25"/>
    </row>
    <row r="1021" spans="1:96" ht="12.75" customHeight="1">
      <c r="A1021" s="51"/>
      <c r="B1021" s="110"/>
      <c r="C1021" s="111"/>
      <c r="D1021" s="2131" t="s">
        <v>1543</v>
      </c>
      <c r="E1021" s="2132"/>
      <c r="F1021" s="2132"/>
      <c r="G1021" s="2132"/>
      <c r="H1021" s="2132"/>
      <c r="I1021" s="2132"/>
      <c r="J1021" s="2132"/>
      <c r="K1021" s="2132"/>
      <c r="L1021" s="2132"/>
      <c r="M1021" s="2132"/>
      <c r="N1021" s="2132"/>
      <c r="O1021" s="2132"/>
      <c r="P1021" s="2132"/>
      <c r="Q1021" s="2132"/>
      <c r="R1021" s="2132"/>
      <c r="S1021" s="2132"/>
      <c r="T1021" s="2132"/>
      <c r="U1021" s="2132"/>
      <c r="V1021" s="2132"/>
      <c r="W1021" s="2132"/>
      <c r="X1021" s="2132"/>
      <c r="Y1021" s="2132"/>
      <c r="Z1021" s="2132"/>
      <c r="AA1021" s="2132"/>
      <c r="AB1021" s="2132"/>
      <c r="AC1021" s="2132"/>
      <c r="AD1021" s="2132"/>
      <c r="AE1021" s="2133"/>
      <c r="AF1021" s="110"/>
      <c r="AG1021" s="112"/>
      <c r="AH1021" s="112"/>
      <c r="AI1021" s="121"/>
      <c r="AJ1021" s="2140"/>
      <c r="AK1021" s="2141"/>
      <c r="AL1021" s="2141"/>
      <c r="AM1021" s="2141"/>
      <c r="AN1021" s="2141"/>
      <c r="AO1021" s="2141"/>
      <c r="AP1021" s="2141"/>
      <c r="AQ1021" s="2142"/>
      <c r="AR1021" s="1582"/>
      <c r="AS1021" s="1582"/>
      <c r="AT1021" s="1582"/>
      <c r="AU1021" s="1582"/>
      <c r="AV1021" s="1582"/>
      <c r="AW1021" s="1582"/>
      <c r="AX1021" s="1582"/>
      <c r="AY1021" s="1582"/>
    </row>
    <row r="1022" spans="1:96" ht="12.75" customHeight="1">
      <c r="A1022" s="51"/>
      <c r="B1022" s="110"/>
      <c r="C1022" s="111"/>
      <c r="D1022" s="2131"/>
      <c r="E1022" s="2132"/>
      <c r="F1022" s="2132"/>
      <c r="G1022" s="2132"/>
      <c r="H1022" s="2132"/>
      <c r="I1022" s="2132"/>
      <c r="J1022" s="2132"/>
      <c r="K1022" s="2132"/>
      <c r="L1022" s="2132"/>
      <c r="M1022" s="2132"/>
      <c r="N1022" s="2132"/>
      <c r="O1022" s="2132"/>
      <c r="P1022" s="2132"/>
      <c r="Q1022" s="2132"/>
      <c r="R1022" s="2132"/>
      <c r="S1022" s="2132"/>
      <c r="T1022" s="2132"/>
      <c r="U1022" s="2132"/>
      <c r="V1022" s="2132"/>
      <c r="W1022" s="2132"/>
      <c r="X1022" s="2132"/>
      <c r="Y1022" s="2132"/>
      <c r="Z1022" s="2132"/>
      <c r="AA1022" s="2132"/>
      <c r="AB1022" s="2132"/>
      <c r="AC1022" s="2132"/>
      <c r="AD1022" s="2132"/>
      <c r="AE1022" s="2133"/>
      <c r="AF1022" s="110"/>
      <c r="AG1022" s="112"/>
      <c r="AH1022" s="112"/>
      <c r="AI1022" s="121"/>
      <c r="AJ1022" s="2140"/>
      <c r="AK1022" s="2141"/>
      <c r="AL1022" s="2141"/>
      <c r="AM1022" s="2141"/>
      <c r="AN1022" s="2141"/>
      <c r="AO1022" s="2141"/>
      <c r="AP1022" s="2141"/>
      <c r="AQ1022" s="2142"/>
      <c r="AR1022" s="1582"/>
      <c r="AS1022" s="1582"/>
      <c r="AT1022" s="1582"/>
      <c r="AU1022" s="1582"/>
      <c r="AV1022" s="1582"/>
      <c r="AW1022" s="1582"/>
      <c r="AX1022" s="1582"/>
      <c r="AY1022" s="1582"/>
    </row>
    <row r="1023" spans="1:96" s="682" customFormat="1" ht="12.75" customHeight="1">
      <c r="A1023" s="51"/>
      <c r="B1023" s="110"/>
      <c r="C1023" s="111"/>
      <c r="D1023" s="2134"/>
      <c r="E1023" s="2135"/>
      <c r="F1023" s="2135"/>
      <c r="G1023" s="2135"/>
      <c r="H1023" s="2135"/>
      <c r="I1023" s="2135"/>
      <c r="J1023" s="2135"/>
      <c r="K1023" s="2135"/>
      <c r="L1023" s="2135"/>
      <c r="M1023" s="2135"/>
      <c r="N1023" s="2135"/>
      <c r="O1023" s="2135"/>
      <c r="P1023" s="2135"/>
      <c r="Q1023" s="2135"/>
      <c r="R1023" s="2135"/>
      <c r="S1023" s="2135"/>
      <c r="T1023" s="2135"/>
      <c r="U1023" s="2135"/>
      <c r="V1023" s="2135"/>
      <c r="W1023" s="2135"/>
      <c r="X1023" s="2135"/>
      <c r="Y1023" s="2135"/>
      <c r="Z1023" s="2135"/>
      <c r="AA1023" s="2135"/>
      <c r="AB1023" s="2135"/>
      <c r="AC1023" s="2135"/>
      <c r="AD1023" s="2135"/>
      <c r="AE1023" s="2136"/>
      <c r="AF1023" s="110"/>
      <c r="AG1023" s="112"/>
      <c r="AH1023" s="112"/>
      <c r="AI1023" s="121"/>
      <c r="AJ1023" s="2143"/>
      <c r="AK1023" s="2144"/>
      <c r="AL1023" s="2144"/>
      <c r="AM1023" s="2144"/>
      <c r="AN1023" s="2144"/>
      <c r="AO1023" s="2144"/>
      <c r="AP1023" s="2144"/>
      <c r="AQ1023" s="2145"/>
      <c r="AR1023" s="1582"/>
      <c r="AS1023" s="1582"/>
      <c r="AT1023" s="1582"/>
      <c r="AU1023" s="1582"/>
      <c r="AV1023" s="1582"/>
      <c r="AW1023" s="1582"/>
      <c r="AX1023" s="1582"/>
      <c r="AY1023" s="1582"/>
      <c r="CR1023" s="25"/>
    </row>
    <row r="1024" spans="1:96" ht="12.75" customHeight="1">
      <c r="A1024" s="51"/>
      <c r="B1024" s="117"/>
      <c r="C1024" s="198" t="s">
        <v>2172</v>
      </c>
      <c r="D1024" s="2192" t="s">
        <v>2393</v>
      </c>
      <c r="E1024" s="2193"/>
      <c r="F1024" s="2193"/>
      <c r="G1024" s="2193"/>
      <c r="H1024" s="2193"/>
      <c r="I1024" s="2193"/>
      <c r="J1024" s="2193"/>
      <c r="K1024" s="2193"/>
      <c r="L1024" s="2193"/>
      <c r="M1024" s="2193"/>
      <c r="N1024" s="2193"/>
      <c r="O1024" s="2193"/>
      <c r="P1024" s="2193"/>
      <c r="Q1024" s="2193"/>
      <c r="R1024" s="2193"/>
      <c r="S1024" s="2193"/>
      <c r="T1024" s="2193"/>
      <c r="U1024" s="2193"/>
      <c r="V1024" s="2193"/>
      <c r="W1024" s="2193"/>
      <c r="X1024" s="2193"/>
      <c r="Y1024" s="2193"/>
      <c r="Z1024" s="2193"/>
      <c r="AA1024" s="2193"/>
      <c r="AB1024" s="2193"/>
      <c r="AC1024" s="2193"/>
      <c r="AD1024" s="2193"/>
      <c r="AE1024" s="2194"/>
      <c r="AF1024" s="117"/>
      <c r="AG1024" s="2195" t="str">
        <f>IF(X1027&gt;0,"Yes","No")</f>
        <v>Yes</v>
      </c>
      <c r="AH1024" s="2196"/>
      <c r="AI1024" s="125"/>
      <c r="AJ1024" s="2256">
        <f>IF((X1027=0),0,BA989*AJ975)</f>
        <v>14279578.4</v>
      </c>
      <c r="AK1024" s="2257"/>
      <c r="AL1024" s="2257"/>
      <c r="AM1024" s="2257"/>
      <c r="AN1024" s="2257"/>
      <c r="AO1024" s="2257"/>
      <c r="AP1024" s="2257"/>
      <c r="AQ1024" s="2258"/>
      <c r="AR1024" s="1582"/>
      <c r="AS1024" s="1582"/>
      <c r="AT1024" s="1582"/>
      <c r="AU1024" s="1582"/>
      <c r="AV1024" s="1582"/>
      <c r="AW1024" s="1582"/>
      <c r="AX1024" s="1582"/>
      <c r="AY1024" s="1582"/>
    </row>
    <row r="1025" spans="1:96" ht="12.75" customHeight="1">
      <c r="A1025" s="51"/>
      <c r="B1025" s="110"/>
      <c r="C1025" s="702"/>
      <c r="D1025" s="2131" t="s">
        <v>1545</v>
      </c>
      <c r="E1025" s="2132"/>
      <c r="F1025" s="2132"/>
      <c r="G1025" s="2132"/>
      <c r="H1025" s="2132"/>
      <c r="I1025" s="2132"/>
      <c r="J1025" s="2132"/>
      <c r="K1025" s="2132"/>
      <c r="L1025" s="2132"/>
      <c r="M1025" s="2132"/>
      <c r="N1025" s="2132"/>
      <c r="O1025" s="2132"/>
      <c r="P1025" s="2132"/>
      <c r="Q1025" s="2132"/>
      <c r="R1025" s="2132"/>
      <c r="S1025" s="2132"/>
      <c r="T1025" s="2132"/>
      <c r="U1025" s="2132"/>
      <c r="V1025" s="2132"/>
      <c r="W1025" s="2132"/>
      <c r="X1025" s="2132"/>
      <c r="Y1025" s="2132"/>
      <c r="Z1025" s="2132"/>
      <c r="AA1025" s="2132"/>
      <c r="AB1025" s="2132"/>
      <c r="AC1025" s="2132"/>
      <c r="AD1025" s="2132"/>
      <c r="AE1025" s="2133"/>
      <c r="AF1025" s="110"/>
      <c r="AG1025" s="703"/>
      <c r="AH1025" s="703"/>
      <c r="AI1025" s="121"/>
      <c r="AJ1025" s="2259"/>
      <c r="AK1025" s="2260"/>
      <c r="AL1025" s="2260"/>
      <c r="AM1025" s="2260"/>
      <c r="AN1025" s="2260"/>
      <c r="AO1025" s="2260"/>
      <c r="AP1025" s="2260"/>
      <c r="AQ1025" s="2261"/>
      <c r="AR1025" s="1582"/>
      <c r="AS1025" s="1582"/>
      <c r="AT1025" s="1582"/>
      <c r="AU1025" s="1582"/>
      <c r="AV1025" s="1582"/>
      <c r="AW1025" s="1582"/>
      <c r="AX1025" s="1582"/>
      <c r="AY1025" s="1582"/>
    </row>
    <row r="1026" spans="1:96" ht="12.75" customHeight="1">
      <c r="A1026" s="51"/>
      <c r="B1026" s="110"/>
      <c r="C1026" s="702"/>
      <c r="D1026" s="2131"/>
      <c r="E1026" s="2132"/>
      <c r="F1026" s="2132"/>
      <c r="G1026" s="2132"/>
      <c r="H1026" s="2132"/>
      <c r="I1026" s="2132"/>
      <c r="J1026" s="2132"/>
      <c r="K1026" s="2132"/>
      <c r="L1026" s="2132"/>
      <c r="M1026" s="2132"/>
      <c r="N1026" s="2132"/>
      <c r="O1026" s="2132"/>
      <c r="P1026" s="2132"/>
      <c r="Q1026" s="2132"/>
      <c r="R1026" s="2132"/>
      <c r="S1026" s="2132"/>
      <c r="T1026" s="2132"/>
      <c r="U1026" s="2132"/>
      <c r="V1026" s="2132"/>
      <c r="W1026" s="2132"/>
      <c r="X1026" s="2132"/>
      <c r="Y1026" s="2132"/>
      <c r="Z1026" s="2132"/>
      <c r="AA1026" s="2132"/>
      <c r="AB1026" s="2132"/>
      <c r="AC1026" s="2132"/>
      <c r="AD1026" s="2132"/>
      <c r="AE1026" s="2133"/>
      <c r="AF1026" s="110"/>
      <c r="AG1026" s="703"/>
      <c r="AH1026" s="703"/>
      <c r="AI1026" s="121"/>
      <c r="AJ1026" s="2259"/>
      <c r="AK1026" s="2260"/>
      <c r="AL1026" s="2260"/>
      <c r="AM1026" s="2260"/>
      <c r="AN1026" s="2260"/>
      <c r="AO1026" s="2260"/>
      <c r="AP1026" s="2260"/>
      <c r="AQ1026" s="2261"/>
      <c r="AR1026" s="1582"/>
      <c r="AS1026" s="1582"/>
      <c r="AT1026" s="1582"/>
      <c r="AU1026" s="1582"/>
      <c r="AV1026" s="1582"/>
      <c r="AW1026" s="1582"/>
      <c r="AX1026" s="1582"/>
      <c r="AY1026" s="1582"/>
    </row>
    <row r="1027" spans="1:96" s="719" customFormat="1" ht="12.75" customHeight="1">
      <c r="A1027" s="51"/>
      <c r="B1027" s="115"/>
      <c r="C1027" s="116"/>
      <c r="D1027" s="199" t="s">
        <v>1050</v>
      </c>
      <c r="E1027" s="200"/>
      <c r="F1027" s="200"/>
      <c r="G1027" s="200"/>
      <c r="H1027" s="200"/>
      <c r="I1027" s="2252">
        <f>BA987</f>
        <v>88</v>
      </c>
      <c r="J1027" s="2253"/>
      <c r="K1027" s="11"/>
      <c r="L1027" s="200"/>
      <c r="M1027" s="200"/>
      <c r="N1027" s="200"/>
      <c r="O1027" s="200"/>
      <c r="P1027" s="200"/>
      <c r="Q1027" s="200"/>
      <c r="R1027" s="200"/>
      <c r="S1027" s="200"/>
      <c r="T1027" s="200"/>
      <c r="U1027" s="200"/>
      <c r="V1027" s="201" t="s">
        <v>1051</v>
      </c>
      <c r="W1027" s="80"/>
      <c r="X1027" s="2250">
        <f>BG635</f>
        <v>36</v>
      </c>
      <c r="Y1027" s="2251"/>
      <c r="Z1027" s="80"/>
      <c r="AA1027" s="80"/>
      <c r="AB1027" s="80"/>
      <c r="AC1027" s="80"/>
      <c r="AD1027" s="80"/>
      <c r="AE1027" s="81"/>
      <c r="AF1027" s="1621"/>
      <c r="AG1027" s="1622"/>
      <c r="AH1027" s="1622"/>
      <c r="AI1027" s="1623"/>
      <c r="AJ1027" s="2262"/>
      <c r="AK1027" s="2263"/>
      <c r="AL1027" s="2263"/>
      <c r="AM1027" s="2263"/>
      <c r="AN1027" s="2263"/>
      <c r="AO1027" s="2263"/>
      <c r="AP1027" s="2263"/>
      <c r="AQ1027" s="2264"/>
      <c r="AR1027" s="1582"/>
      <c r="AS1027" s="1582"/>
      <c r="AT1027" s="1582"/>
      <c r="AU1027" s="1582"/>
      <c r="AV1027" s="1582"/>
      <c r="AW1027" s="1582"/>
      <c r="AX1027" s="1582"/>
      <c r="AY1027" s="1582"/>
      <c r="CR1027" s="25"/>
    </row>
    <row r="1028" spans="1:96" ht="12.75" customHeight="1">
      <c r="A1028" s="51"/>
      <c r="B1028" s="117"/>
      <c r="C1028" s="198" t="s">
        <v>2173</v>
      </c>
      <c r="D1028" s="2125" t="s">
        <v>2394</v>
      </c>
      <c r="E1028" s="2126"/>
      <c r="F1028" s="2126"/>
      <c r="G1028" s="2126"/>
      <c r="H1028" s="2126"/>
      <c r="I1028" s="2126"/>
      <c r="J1028" s="2126"/>
      <c r="K1028" s="2126"/>
      <c r="L1028" s="2126"/>
      <c r="M1028" s="2126"/>
      <c r="N1028" s="2126"/>
      <c r="O1028" s="2126"/>
      <c r="P1028" s="2126"/>
      <c r="Q1028" s="2126"/>
      <c r="R1028" s="2126"/>
      <c r="S1028" s="2126"/>
      <c r="T1028" s="2126"/>
      <c r="U1028" s="2126"/>
      <c r="V1028" s="2126"/>
      <c r="W1028" s="2126"/>
      <c r="X1028" s="2126"/>
      <c r="Y1028" s="2126"/>
      <c r="Z1028" s="2126"/>
      <c r="AA1028" s="2126"/>
      <c r="AB1028" s="2126"/>
      <c r="AC1028" s="2126"/>
      <c r="AD1028" s="2126"/>
      <c r="AE1028" s="2127"/>
      <c r="AF1028" s="110"/>
      <c r="AG1028" s="2195" t="str">
        <f>IF(X1031&gt;0,"Yes","No")</f>
        <v>Yes</v>
      </c>
      <c r="AH1028" s="2196"/>
      <c r="AI1028" s="121"/>
      <c r="AJ1028" s="2256">
        <f>IF((X1031=0),0,(2*BA990)*AJ975)</f>
        <v>7139789.2000000002</v>
      </c>
      <c r="AK1028" s="2257"/>
      <c r="AL1028" s="2257"/>
      <c r="AM1028" s="2257"/>
      <c r="AN1028" s="2257"/>
      <c r="AO1028" s="2257"/>
      <c r="AP1028" s="2257"/>
      <c r="AQ1028" s="2258"/>
      <c r="AR1028" s="1582"/>
      <c r="AS1028" s="1582"/>
      <c r="AT1028" s="1582"/>
      <c r="AU1028" s="1582"/>
      <c r="AV1028" s="1582"/>
      <c r="AW1028" s="1582"/>
      <c r="AX1028" s="1582"/>
      <c r="AY1028" s="1582"/>
    </row>
    <row r="1029" spans="1:96" ht="12.75" customHeight="1">
      <c r="A1029" s="51"/>
      <c r="B1029" s="110"/>
      <c r="C1029" s="702"/>
      <c r="D1029" s="2131" t="s">
        <v>1544</v>
      </c>
      <c r="E1029" s="2132"/>
      <c r="F1029" s="2132"/>
      <c r="G1029" s="2132"/>
      <c r="H1029" s="2132"/>
      <c r="I1029" s="2132"/>
      <c r="J1029" s="2132"/>
      <c r="K1029" s="2132"/>
      <c r="L1029" s="2132"/>
      <c r="M1029" s="2132"/>
      <c r="N1029" s="2132"/>
      <c r="O1029" s="2132"/>
      <c r="P1029" s="2132"/>
      <c r="Q1029" s="2132"/>
      <c r="R1029" s="2132"/>
      <c r="S1029" s="2132"/>
      <c r="T1029" s="2132"/>
      <c r="U1029" s="2132"/>
      <c r="V1029" s="2132"/>
      <c r="W1029" s="2132"/>
      <c r="X1029" s="2132"/>
      <c r="Y1029" s="2132"/>
      <c r="Z1029" s="2132"/>
      <c r="AA1029" s="2132"/>
      <c r="AB1029" s="2132"/>
      <c r="AC1029" s="2132"/>
      <c r="AD1029" s="2132"/>
      <c r="AE1029" s="2133"/>
      <c r="AF1029" s="110"/>
      <c r="AG1029" s="703"/>
      <c r="AH1029" s="703"/>
      <c r="AI1029" s="121"/>
      <c r="AJ1029" s="2259"/>
      <c r="AK1029" s="2260"/>
      <c r="AL1029" s="2260"/>
      <c r="AM1029" s="2260"/>
      <c r="AN1029" s="2260"/>
      <c r="AO1029" s="2260"/>
      <c r="AP1029" s="2260"/>
      <c r="AQ1029" s="2261"/>
      <c r="AR1029" s="1582"/>
      <c r="AS1029" s="1582"/>
      <c r="AT1029" s="1582"/>
      <c r="AU1029" s="1582"/>
      <c r="AV1029" s="1582"/>
      <c r="AW1029" s="1582"/>
      <c r="AX1029" s="1582"/>
      <c r="AY1029" s="1582"/>
    </row>
    <row r="1030" spans="1:96" ht="12.75" customHeight="1">
      <c r="A1030" s="51"/>
      <c r="B1030" s="110"/>
      <c r="C1030" s="121"/>
      <c r="D1030" s="2131"/>
      <c r="E1030" s="2132"/>
      <c r="F1030" s="2132"/>
      <c r="G1030" s="2132"/>
      <c r="H1030" s="2132"/>
      <c r="I1030" s="2132"/>
      <c r="J1030" s="2132"/>
      <c r="K1030" s="2132"/>
      <c r="L1030" s="2132"/>
      <c r="M1030" s="2132"/>
      <c r="N1030" s="2132"/>
      <c r="O1030" s="2132"/>
      <c r="P1030" s="2132"/>
      <c r="Q1030" s="2132"/>
      <c r="R1030" s="2132"/>
      <c r="S1030" s="2132"/>
      <c r="T1030" s="2132"/>
      <c r="U1030" s="2132"/>
      <c r="V1030" s="2132"/>
      <c r="W1030" s="2132"/>
      <c r="X1030" s="2132"/>
      <c r="Y1030" s="2132"/>
      <c r="Z1030" s="2132"/>
      <c r="AA1030" s="2132"/>
      <c r="AB1030" s="2132"/>
      <c r="AC1030" s="2132"/>
      <c r="AD1030" s="2132"/>
      <c r="AE1030" s="2133"/>
      <c r="AF1030" s="1618"/>
      <c r="AG1030" s="1619"/>
      <c r="AH1030" s="1619"/>
      <c r="AI1030" s="1620"/>
      <c r="AJ1030" s="2259"/>
      <c r="AK1030" s="2260"/>
      <c r="AL1030" s="2260"/>
      <c r="AM1030" s="2260"/>
      <c r="AN1030" s="2260"/>
      <c r="AO1030" s="2260"/>
      <c r="AP1030" s="2260"/>
      <c r="AQ1030" s="2261"/>
      <c r="AR1030" s="1582"/>
      <c r="AS1030" s="1582"/>
      <c r="AT1030" s="1582"/>
      <c r="AU1030" s="1582"/>
      <c r="AV1030" s="1582"/>
      <c r="AW1030" s="1582"/>
      <c r="AX1030" s="1582"/>
      <c r="AY1030" s="1582"/>
    </row>
    <row r="1031" spans="1:96" s="719" customFormat="1" ht="12.75" customHeight="1">
      <c r="A1031" s="51"/>
      <c r="B1031" s="115"/>
      <c r="C1031" s="116"/>
      <c r="D1031" s="199" t="s">
        <v>1050</v>
      </c>
      <c r="E1031" s="200"/>
      <c r="F1031" s="200"/>
      <c r="G1031" s="200"/>
      <c r="H1031" s="200"/>
      <c r="I1031" s="2252">
        <f>BA987</f>
        <v>88</v>
      </c>
      <c r="J1031" s="2253"/>
      <c r="K1031" s="51"/>
      <c r="L1031" s="200"/>
      <c r="M1031" s="200"/>
      <c r="N1031" s="200"/>
      <c r="O1031" s="200"/>
      <c r="P1031" s="200"/>
      <c r="Q1031" s="200"/>
      <c r="R1031" s="200"/>
      <c r="S1031" s="200"/>
      <c r="T1031" s="200"/>
      <c r="U1031" s="200"/>
      <c r="V1031" s="201" t="s">
        <v>1052</v>
      </c>
      <c r="X1031" s="2250">
        <f>BK635</f>
        <v>9</v>
      </c>
      <c r="Y1031" s="2251"/>
      <c r="AF1031" s="1621"/>
      <c r="AG1031" s="1622"/>
      <c r="AH1031" s="1622"/>
      <c r="AI1031" s="1623"/>
      <c r="AJ1031" s="2262"/>
      <c r="AK1031" s="2263"/>
      <c r="AL1031" s="2263"/>
      <c r="AM1031" s="2263"/>
      <c r="AN1031" s="2263"/>
      <c r="AO1031" s="2263"/>
      <c r="AP1031" s="2263"/>
      <c r="AQ1031" s="2264"/>
      <c r="AR1031" s="1582"/>
      <c r="AS1031" s="1582"/>
      <c r="AT1031" s="1582"/>
      <c r="AU1031" s="1582"/>
      <c r="AV1031" s="1582"/>
      <c r="AW1031" s="1582"/>
      <c r="AX1031" s="1582"/>
      <c r="AY1031" s="1582"/>
      <c r="CR1031" s="25"/>
    </row>
    <row r="1032" spans="1:96" ht="12.75" customHeight="1">
      <c r="A1032" s="51"/>
      <c r="B1032" s="158"/>
      <c r="C1032" s="159"/>
      <c r="D1032" s="2248" t="s">
        <v>545</v>
      </c>
      <c r="E1032" s="2248"/>
      <c r="F1032" s="2248"/>
      <c r="G1032" s="2248"/>
      <c r="H1032" s="2248"/>
      <c r="I1032" s="2248"/>
      <c r="J1032" s="2248"/>
      <c r="K1032" s="2248"/>
      <c r="L1032" s="2248"/>
      <c r="M1032" s="2248"/>
      <c r="N1032" s="2248"/>
      <c r="O1032" s="2248"/>
      <c r="P1032" s="2248"/>
      <c r="Q1032" s="2248"/>
      <c r="R1032" s="2248"/>
      <c r="S1032" s="2248"/>
      <c r="T1032" s="2248"/>
      <c r="U1032" s="2248"/>
      <c r="V1032" s="2248"/>
      <c r="W1032" s="2248"/>
      <c r="X1032" s="2248"/>
      <c r="Y1032" s="2248"/>
      <c r="Z1032" s="2248"/>
      <c r="AA1032" s="2248"/>
      <c r="AB1032" s="2248"/>
      <c r="AC1032" s="2248"/>
      <c r="AD1032" s="2248"/>
      <c r="AE1032" s="2248"/>
      <c r="AF1032" s="2248"/>
      <c r="AG1032" s="2248"/>
      <c r="AH1032" s="2248"/>
      <c r="AI1032" s="2249"/>
      <c r="AJ1032" s="2265">
        <f>SUM(AJ975:AQ1031)</f>
        <v>57118313.600000001</v>
      </c>
      <c r="AK1032" s="2266"/>
      <c r="AL1032" s="2266"/>
      <c r="AM1032" s="2266"/>
      <c r="AN1032" s="2266"/>
      <c r="AO1032" s="2266"/>
      <c r="AP1032" s="2266"/>
      <c r="AQ1032" s="2267"/>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575" t="s">
        <v>1931</v>
      </c>
      <c r="C1034" s="2575"/>
      <c r="D1034" s="2575"/>
      <c r="E1034" s="2575"/>
      <c r="F1034" s="2575"/>
      <c r="G1034" s="2575"/>
      <c r="H1034" s="2575"/>
      <c r="I1034" s="2575"/>
      <c r="J1034" s="2575"/>
      <c r="K1034" s="2575"/>
      <c r="L1034" s="2575"/>
      <c r="M1034" s="2575"/>
      <c r="N1034" s="2575"/>
      <c r="O1034" s="2575"/>
      <c r="P1034" s="2575"/>
      <c r="Q1034" s="2575"/>
      <c r="R1034" s="2575"/>
      <c r="S1034" s="2575"/>
      <c r="T1034" s="2575"/>
      <c r="U1034" s="2575"/>
      <c r="V1034" s="2575"/>
      <c r="W1034" s="2575"/>
      <c r="X1034" s="2575"/>
      <c r="Y1034" s="2575"/>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75"/>
      <c r="Y1035" s="2375"/>
      <c r="Z1035" s="2375"/>
      <c r="AA1035" s="2375"/>
      <c r="AB1035" s="2375"/>
      <c r="AC1035" s="2375"/>
      <c r="AD1035" s="2570">
        <f>R971</f>
        <v>362400</v>
      </c>
      <c r="AE1035" s="2503"/>
      <c r="AF1035" s="2503"/>
      <c r="AG1035" s="2503"/>
      <c r="AH1035" s="2503"/>
      <c r="AI1035" s="2503"/>
      <c r="AJ1035" s="2503"/>
      <c r="AK1035" s="2503"/>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76"/>
      <c r="Y1036" s="2376"/>
      <c r="Z1036" s="2376"/>
      <c r="AA1036" s="2376"/>
      <c r="AB1036" s="2376"/>
      <c r="AC1036" s="2376"/>
      <c r="AD1036" s="2141">
        <f>MEDIAN((BR809:BR866))</f>
        <v>364800</v>
      </c>
      <c r="AE1036" s="2141"/>
      <c r="AF1036" s="2141"/>
      <c r="AG1036" s="2141"/>
      <c r="AH1036" s="2141"/>
      <c r="AI1036" s="2141"/>
      <c r="AJ1036" s="2141"/>
      <c r="AK1036" s="2141"/>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571" t="s">
        <v>1933</v>
      </c>
      <c r="C1037" s="2571"/>
      <c r="D1037" s="2571"/>
      <c r="E1037" s="2571"/>
      <c r="F1037" s="2571"/>
      <c r="G1037" s="2571"/>
      <c r="H1037" s="2571"/>
      <c r="I1037" s="2571"/>
      <c r="J1037" s="2571"/>
      <c r="K1037" s="2571"/>
      <c r="L1037" s="2571"/>
      <c r="M1037" s="2571"/>
      <c r="N1037" s="2571"/>
      <c r="O1037" s="2571"/>
      <c r="P1037" s="2571"/>
      <c r="Q1037" s="2571"/>
      <c r="R1037" s="2571"/>
      <c r="S1037" s="2571"/>
      <c r="T1037" s="2571"/>
      <c r="U1037" s="2571"/>
      <c r="V1037" s="2571"/>
      <c r="W1037" s="2571"/>
      <c r="X1037" s="2571"/>
      <c r="Y1037" s="2571"/>
      <c r="Z1037" s="1416"/>
      <c r="AA1037" s="1416"/>
      <c r="AB1037" s="1416"/>
      <c r="AC1037" s="1416"/>
      <c r="AD1037" s="2567">
        <f>IF(((AD1035-AD1036)/AD1036)&gt;0.3,0.3,((AD1035-AD1036)/AD1036))</f>
        <v>-6.5789473684210523E-3</v>
      </c>
      <c r="AE1037" s="2568"/>
      <c r="AF1037" s="2568"/>
      <c r="AG1037" s="2568"/>
      <c r="AH1037" s="2568"/>
      <c r="AI1037" s="2568"/>
      <c r="AJ1037" s="2568"/>
      <c r="AK1037" s="2569"/>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2"/>
      <c r="AN1038" s="1582"/>
      <c r="AO1038" s="1582"/>
      <c r="AP1038" s="1582"/>
      <c r="AQ1038" s="1582"/>
      <c r="AR1038" s="1582"/>
      <c r="AS1038" s="1582"/>
      <c r="AT1038" s="1582"/>
      <c r="AU1038" s="1582"/>
      <c r="AV1038" s="1582"/>
      <c r="AW1038" s="1582"/>
      <c r="AX1038" s="1582"/>
      <c r="AY1038" s="1582"/>
    </row>
    <row r="1039" spans="1:96" ht="12.6" customHeight="1">
      <c r="A1039" s="128"/>
      <c r="B1039" s="2373">
        <f>IF(ISNA(IF((AJ999&gt;(AJ975*0.15)),"(f) cannot be greater than 15% of unadjusted eligible basis.",0)),"",(IF((AJ999&gt;(AJ975*0.15)),"(f) cannot be greater than 15% of unadjusted eligible basis.",0)))</f>
        <v>0</v>
      </c>
      <c r="C1039" s="2373"/>
      <c r="D1039" s="2373"/>
      <c r="E1039" s="2373"/>
      <c r="F1039" s="2373"/>
      <c r="G1039" s="2373"/>
      <c r="H1039" s="2373"/>
      <c r="I1039" s="2373"/>
      <c r="J1039" s="2373"/>
      <c r="K1039" s="2373"/>
      <c r="L1039" s="2373"/>
      <c r="M1039" s="2373"/>
      <c r="N1039" s="2373"/>
      <c r="O1039" s="2373"/>
      <c r="P1039" s="2373"/>
      <c r="Q1039" s="2373"/>
      <c r="R1039" s="2373"/>
      <c r="S1039" s="2373"/>
      <c r="T1039" s="2373"/>
      <c r="U1039" s="2373"/>
      <c r="V1039" s="2373"/>
      <c r="W1039" s="2373"/>
      <c r="X1039" s="2373"/>
      <c r="Y1039" s="2373"/>
      <c r="Z1039" s="2373"/>
      <c r="AA1039" s="2373"/>
      <c r="AB1039" s="2373"/>
      <c r="AC1039" s="2373"/>
      <c r="AD1039" s="2373"/>
      <c r="AE1039" s="2373"/>
      <c r="AF1039" s="2373"/>
      <c r="AG1039" s="2373"/>
      <c r="AH1039" s="2373"/>
      <c r="AI1039" s="2373"/>
      <c r="AJ1039" s="2373"/>
      <c r="AK1039" s="2373"/>
      <c r="AL1039" s="105"/>
      <c r="AM1039" s="1582"/>
      <c r="AN1039" s="1582"/>
      <c r="AO1039" s="1582"/>
      <c r="AP1039" s="1582"/>
      <c r="AQ1039" s="1582"/>
      <c r="AR1039" s="1582"/>
      <c r="AS1039" s="1582"/>
      <c r="AT1039" s="1582"/>
      <c r="AU1039" s="1582"/>
      <c r="AV1039" s="1582"/>
      <c r="AW1039" s="1582"/>
      <c r="AX1039" s="1582"/>
      <c r="AY1039" s="1582"/>
    </row>
    <row r="1040" spans="1:96" ht="12.6" customHeight="1" thickBot="1">
      <c r="A1040" s="2397" t="s">
        <v>851</v>
      </c>
      <c r="B1040" s="2397"/>
      <c r="C1040" s="2397"/>
      <c r="D1040" s="2397"/>
      <c r="E1040" s="2397"/>
      <c r="F1040" s="2397"/>
      <c r="G1040" s="2397"/>
      <c r="H1040" s="2397"/>
      <c r="I1040" s="2397"/>
      <c r="J1040" s="2397"/>
      <c r="K1040" s="2397"/>
      <c r="L1040" s="2397"/>
      <c r="M1040" s="2397"/>
      <c r="N1040" s="2397"/>
      <c r="O1040" s="2397"/>
      <c r="P1040" s="2397"/>
      <c r="Q1040" s="2397"/>
      <c r="R1040" s="2397"/>
      <c r="S1040" s="2397"/>
      <c r="T1040" s="2397"/>
      <c r="U1040" s="2397"/>
      <c r="V1040" s="2397"/>
      <c r="W1040" s="2397"/>
      <c r="X1040" s="2397"/>
      <c r="Y1040" s="2397"/>
      <c r="Z1040" s="2397"/>
      <c r="AA1040" s="2397"/>
      <c r="AB1040" s="2397"/>
      <c r="AC1040" s="2397"/>
      <c r="AD1040" s="2397"/>
      <c r="AE1040" s="2397"/>
      <c r="AF1040" s="2397"/>
      <c r="AG1040" s="2397"/>
      <c r="AH1040" s="2397"/>
      <c r="AI1040" s="2397"/>
      <c r="AJ1040" s="2397"/>
      <c r="AK1040" s="2397"/>
      <c r="AL1040" s="239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62" t="s">
        <v>625</v>
      </c>
      <c r="B1044" s="2062"/>
      <c r="C1044" s="13">
        <v>1</v>
      </c>
      <c r="D1044" s="1934" t="s">
        <v>1222</v>
      </c>
      <c r="E1044" s="1934"/>
      <c r="F1044" s="1934"/>
      <c r="G1044" s="1934"/>
      <c r="H1044" s="1934"/>
      <c r="I1044" s="1934"/>
      <c r="J1044" s="1934"/>
      <c r="K1044" s="1934"/>
      <c r="L1044" s="1934"/>
      <c r="M1044" s="1934"/>
      <c r="N1044" s="1934"/>
      <c r="O1044" s="1934"/>
      <c r="P1044" s="1934"/>
      <c r="Q1044" s="1934"/>
      <c r="R1044" s="1934"/>
      <c r="S1044" s="1934"/>
      <c r="T1044" s="1934"/>
      <c r="U1044" s="1934"/>
      <c r="V1044" s="1934"/>
      <c r="W1044" s="1934"/>
      <c r="X1044" s="1934"/>
      <c r="Y1044" s="1934"/>
      <c r="Z1044" s="1934"/>
      <c r="AA1044" s="1934"/>
      <c r="AB1044" s="1934"/>
      <c r="AC1044" s="1934"/>
      <c r="AD1044" s="1934"/>
      <c r="AE1044" s="1934"/>
      <c r="AF1044" s="1934"/>
      <c r="AG1044" s="1934"/>
      <c r="AH1044" s="1934"/>
      <c r="AI1044" s="1934"/>
      <c r="AJ1044" s="1934"/>
      <c r="AK1044" s="1934"/>
      <c r="AL1044" s="131"/>
      <c r="AM1044" s="1583"/>
      <c r="AN1044" s="1583"/>
      <c r="AO1044" s="1583"/>
      <c r="AP1044" s="1583"/>
      <c r="AQ1044" s="1583"/>
      <c r="AR1044" s="1583"/>
      <c r="AS1044" s="1583"/>
      <c r="AT1044" s="1583"/>
      <c r="AU1044" s="1583"/>
      <c r="AV1044" s="1583"/>
      <c r="AW1044" s="1583"/>
      <c r="AX1044" s="1583"/>
      <c r="AY1044" s="1583"/>
    </row>
    <row r="1045" spans="1:51" ht="12.6" customHeight="1">
      <c r="A1045" s="235"/>
      <c r="B1045" s="235"/>
      <c r="C1045" s="13"/>
      <c r="D1045" s="1934"/>
      <c r="E1045" s="1934"/>
      <c r="F1045" s="1934"/>
      <c r="G1045" s="1934"/>
      <c r="H1045" s="1934"/>
      <c r="I1045" s="1934"/>
      <c r="J1045" s="1934"/>
      <c r="K1045" s="1934"/>
      <c r="L1045" s="1934"/>
      <c r="M1045" s="1934"/>
      <c r="N1045" s="1934"/>
      <c r="O1045" s="1934"/>
      <c r="P1045" s="1934"/>
      <c r="Q1045" s="1934"/>
      <c r="R1045" s="1934"/>
      <c r="S1045" s="1934"/>
      <c r="T1045" s="1934"/>
      <c r="U1045" s="1934"/>
      <c r="V1045" s="1934"/>
      <c r="W1045" s="1934"/>
      <c r="X1045" s="1934"/>
      <c r="Y1045" s="1934"/>
      <c r="Z1045" s="1934"/>
      <c r="AA1045" s="1934"/>
      <c r="AB1045" s="1934"/>
      <c r="AC1045" s="1934"/>
      <c r="AD1045" s="1934"/>
      <c r="AE1045" s="1934"/>
      <c r="AF1045" s="1934"/>
      <c r="AG1045" s="1934"/>
      <c r="AH1045" s="1934"/>
      <c r="AI1045" s="1934"/>
      <c r="AJ1045" s="1934"/>
      <c r="AK1045" s="1934"/>
      <c r="AL1045" s="131"/>
      <c r="AM1045" s="1583"/>
      <c r="AN1045" s="1583"/>
      <c r="AO1045" s="1583"/>
      <c r="AP1045" s="1583"/>
      <c r="AQ1045" s="1583"/>
      <c r="AR1045" s="1583"/>
      <c r="AS1045" s="1583"/>
      <c r="AT1045" s="1583"/>
      <c r="AU1045" s="1583"/>
      <c r="AV1045" s="1583"/>
      <c r="AW1045" s="1583"/>
      <c r="AX1045" s="1583"/>
      <c r="AY1045" s="1583"/>
    </row>
    <row r="1046" spans="1:51" ht="12.6" customHeight="1">
      <c r="A1046" s="235"/>
      <c r="B1046" s="235"/>
      <c r="C1046" s="13"/>
      <c r="D1046" s="1934"/>
      <c r="E1046" s="1934"/>
      <c r="F1046" s="1934"/>
      <c r="G1046" s="1934"/>
      <c r="H1046" s="1934"/>
      <c r="I1046" s="1934"/>
      <c r="J1046" s="1934"/>
      <c r="K1046" s="1934"/>
      <c r="L1046" s="1934"/>
      <c r="M1046" s="1934"/>
      <c r="N1046" s="1934"/>
      <c r="O1046" s="1934"/>
      <c r="P1046" s="1934"/>
      <c r="Q1046" s="1934"/>
      <c r="R1046" s="1934"/>
      <c r="S1046" s="1934"/>
      <c r="T1046" s="1934"/>
      <c r="U1046" s="1934"/>
      <c r="V1046" s="1934"/>
      <c r="W1046" s="1934"/>
      <c r="X1046" s="1934"/>
      <c r="Y1046" s="1934"/>
      <c r="Z1046" s="1934"/>
      <c r="AA1046" s="1934"/>
      <c r="AB1046" s="1934"/>
      <c r="AC1046" s="1934"/>
      <c r="AD1046" s="1934"/>
      <c r="AE1046" s="1934"/>
      <c r="AF1046" s="1934"/>
      <c r="AG1046" s="1934"/>
      <c r="AH1046" s="1934"/>
      <c r="AI1046" s="1934"/>
      <c r="AJ1046" s="1934"/>
      <c r="AK1046" s="1934"/>
      <c r="AL1046" s="105"/>
      <c r="AM1046" s="1582"/>
      <c r="AN1046" s="1582"/>
      <c r="AO1046" s="1582"/>
      <c r="AP1046" s="1582"/>
      <c r="AQ1046" s="1582"/>
      <c r="AR1046" s="1582"/>
      <c r="AS1046" s="1582"/>
      <c r="AT1046" s="1582"/>
      <c r="AU1046" s="1582"/>
      <c r="AV1046" s="1582"/>
      <c r="AW1046" s="1582"/>
      <c r="AX1046" s="1582"/>
      <c r="AY1046" s="1582"/>
    </row>
    <row r="1047" spans="1:51" ht="12.6" customHeight="1">
      <c r="A1047" s="235"/>
      <c r="B1047" s="235"/>
      <c r="C1047" s="13"/>
      <c r="D1047" s="1934"/>
      <c r="E1047" s="1934"/>
      <c r="F1047" s="1934"/>
      <c r="G1047" s="1934"/>
      <c r="H1047" s="1934"/>
      <c r="I1047" s="1934"/>
      <c r="J1047" s="1934"/>
      <c r="K1047" s="1934"/>
      <c r="L1047" s="1934"/>
      <c r="M1047" s="1934"/>
      <c r="N1047" s="1934"/>
      <c r="O1047" s="1934"/>
      <c r="P1047" s="1934"/>
      <c r="Q1047" s="1934"/>
      <c r="R1047" s="1934"/>
      <c r="S1047" s="1934"/>
      <c r="T1047" s="1934"/>
      <c r="U1047" s="1934"/>
      <c r="V1047" s="1934"/>
      <c r="W1047" s="1934"/>
      <c r="X1047" s="1934"/>
      <c r="Y1047" s="1934"/>
      <c r="Z1047" s="1934"/>
      <c r="AA1047" s="1934"/>
      <c r="AB1047" s="1934"/>
      <c r="AC1047" s="1934"/>
      <c r="AD1047" s="1934"/>
      <c r="AE1047" s="1934"/>
      <c r="AF1047" s="1934"/>
      <c r="AG1047" s="1934"/>
      <c r="AH1047" s="1934"/>
      <c r="AI1047" s="1934"/>
      <c r="AJ1047" s="1934"/>
      <c r="AK1047" s="1934"/>
      <c r="AL1047" s="105"/>
      <c r="AM1047" s="1582"/>
      <c r="AN1047" s="1582"/>
      <c r="AO1047" s="1582"/>
      <c r="AP1047" s="1582"/>
      <c r="AQ1047" s="1582"/>
      <c r="AR1047" s="1582"/>
      <c r="AS1047" s="1582"/>
      <c r="AT1047" s="1582"/>
      <c r="AU1047" s="1582"/>
      <c r="AV1047" s="1582"/>
      <c r="AW1047" s="1582"/>
      <c r="AX1047" s="1582"/>
      <c r="AY1047" s="1582"/>
    </row>
    <row r="1048" spans="1:51" ht="12.6" customHeight="1">
      <c r="A1048" s="235"/>
      <c r="B1048" s="235"/>
      <c r="C1048" s="13"/>
      <c r="D1048" s="1934"/>
      <c r="E1048" s="1934"/>
      <c r="F1048" s="1934"/>
      <c r="G1048" s="1934"/>
      <c r="H1048" s="1934"/>
      <c r="I1048" s="1934"/>
      <c r="J1048" s="1934"/>
      <c r="K1048" s="1934"/>
      <c r="L1048" s="1934"/>
      <c r="M1048" s="1934"/>
      <c r="N1048" s="1934"/>
      <c r="O1048" s="1934"/>
      <c r="P1048" s="1934"/>
      <c r="Q1048" s="1934"/>
      <c r="R1048" s="1934"/>
      <c r="S1048" s="1934"/>
      <c r="T1048" s="1934"/>
      <c r="U1048" s="1934"/>
      <c r="V1048" s="1934"/>
      <c r="W1048" s="1934"/>
      <c r="X1048" s="1934"/>
      <c r="Y1048" s="1934"/>
      <c r="Z1048" s="1934"/>
      <c r="AA1048" s="1934"/>
      <c r="AB1048" s="1934"/>
      <c r="AC1048" s="1934"/>
      <c r="AD1048" s="1934"/>
      <c r="AE1048" s="1934"/>
      <c r="AF1048" s="1934"/>
      <c r="AG1048" s="1934"/>
      <c r="AH1048" s="1934"/>
      <c r="AI1048" s="1934"/>
      <c r="AJ1048" s="1934"/>
      <c r="AK1048" s="1934"/>
      <c r="AL1048" s="105"/>
      <c r="AM1048" s="1582"/>
      <c r="AN1048" s="1582"/>
      <c r="AO1048" s="1582"/>
      <c r="AP1048" s="1582"/>
      <c r="AQ1048" s="1582"/>
      <c r="AR1048" s="1582"/>
      <c r="AS1048" s="1582"/>
      <c r="AT1048" s="1582"/>
      <c r="AU1048" s="1582"/>
      <c r="AV1048" s="1582"/>
      <c r="AW1048" s="1582"/>
      <c r="AX1048" s="1582"/>
      <c r="AY1048" s="1582"/>
    </row>
    <row r="1049" spans="1:51" ht="12.6" customHeight="1">
      <c r="A1049" s="37"/>
      <c r="B1049" s="66"/>
      <c r="C1049" s="13"/>
      <c r="D1049" s="1934"/>
      <c r="E1049" s="1934"/>
      <c r="F1049" s="1934"/>
      <c r="G1049" s="1934"/>
      <c r="H1049" s="1934"/>
      <c r="I1049" s="1934"/>
      <c r="J1049" s="1934"/>
      <c r="K1049" s="1934"/>
      <c r="L1049" s="1934"/>
      <c r="M1049" s="1934"/>
      <c r="N1049" s="1934"/>
      <c r="O1049" s="1934"/>
      <c r="P1049" s="1934"/>
      <c r="Q1049" s="1934"/>
      <c r="R1049" s="1934"/>
      <c r="S1049" s="1934"/>
      <c r="T1049" s="1934"/>
      <c r="U1049" s="1934"/>
      <c r="V1049" s="1934"/>
      <c r="W1049" s="1934"/>
      <c r="X1049" s="1934"/>
      <c r="Y1049" s="1934"/>
      <c r="Z1049" s="1934"/>
      <c r="AA1049" s="1934"/>
      <c r="AB1049" s="1934"/>
      <c r="AC1049" s="1934"/>
      <c r="AD1049" s="1934"/>
      <c r="AE1049" s="1934"/>
      <c r="AF1049" s="1934"/>
      <c r="AG1049" s="1934"/>
      <c r="AH1049" s="1934"/>
      <c r="AI1049" s="1934"/>
      <c r="AJ1049" s="1934"/>
      <c r="AK1049" s="1934"/>
      <c r="AL1049" s="105"/>
      <c r="AM1049" s="1582"/>
      <c r="AN1049" s="1582"/>
      <c r="AO1049" s="1582"/>
      <c r="AP1049" s="1582"/>
      <c r="AQ1049" s="1582"/>
      <c r="AR1049" s="1582"/>
      <c r="AS1049" s="1582"/>
      <c r="AT1049" s="1582"/>
      <c r="AU1049" s="1582"/>
      <c r="AV1049" s="1582"/>
      <c r="AW1049" s="1582"/>
      <c r="AX1049" s="1582"/>
      <c r="AY1049" s="1582"/>
    </row>
    <row r="1050" spans="1:51" ht="12.6" customHeight="1">
      <c r="A1050" s="2062" t="s">
        <v>625</v>
      </c>
      <c r="B1050" s="2062"/>
      <c r="C1050" s="13">
        <v>2</v>
      </c>
      <c r="D1050" s="1934" t="s">
        <v>1221</v>
      </c>
      <c r="E1050" s="1934"/>
      <c r="F1050" s="1934"/>
      <c r="G1050" s="1934"/>
      <c r="H1050" s="1934"/>
      <c r="I1050" s="1934"/>
      <c r="J1050" s="1934"/>
      <c r="K1050" s="1934"/>
      <c r="L1050" s="1934"/>
      <c r="M1050" s="1934"/>
      <c r="N1050" s="1934"/>
      <c r="O1050" s="1934"/>
      <c r="P1050" s="1934"/>
      <c r="Q1050" s="1934"/>
      <c r="R1050" s="1934"/>
      <c r="S1050" s="1934"/>
      <c r="T1050" s="1934"/>
      <c r="U1050" s="1934"/>
      <c r="V1050" s="1934"/>
      <c r="W1050" s="1934"/>
      <c r="X1050" s="1934"/>
      <c r="Y1050" s="1934"/>
      <c r="Z1050" s="1934"/>
      <c r="AA1050" s="1934"/>
      <c r="AB1050" s="1934"/>
      <c r="AC1050" s="1934"/>
      <c r="AD1050" s="1934"/>
      <c r="AE1050" s="1934"/>
      <c r="AF1050" s="1934"/>
      <c r="AG1050" s="1934"/>
      <c r="AH1050" s="1934"/>
      <c r="AI1050" s="1934"/>
      <c r="AJ1050" s="1934"/>
      <c r="AK1050" s="1934"/>
      <c r="AL1050" s="105"/>
      <c r="AM1050" s="1582"/>
      <c r="AN1050" s="1582"/>
      <c r="AO1050" s="1582"/>
      <c r="AP1050" s="1582"/>
      <c r="AQ1050" s="1582"/>
      <c r="AR1050" s="1582"/>
      <c r="AS1050" s="1582"/>
      <c r="AT1050" s="1582"/>
      <c r="AU1050" s="1582"/>
      <c r="AV1050" s="1582"/>
      <c r="AW1050" s="1582"/>
      <c r="AX1050" s="1582"/>
      <c r="AY1050" s="1582"/>
    </row>
    <row r="1051" spans="1:51" ht="12.6" customHeight="1">
      <c r="A1051" s="235"/>
      <c r="B1051" s="235"/>
      <c r="C1051" s="13"/>
      <c r="D1051" s="1934"/>
      <c r="E1051" s="1934"/>
      <c r="F1051" s="1934"/>
      <c r="G1051" s="1934"/>
      <c r="H1051" s="1934"/>
      <c r="I1051" s="1934"/>
      <c r="J1051" s="1934"/>
      <c r="K1051" s="1934"/>
      <c r="L1051" s="1934"/>
      <c r="M1051" s="1934"/>
      <c r="N1051" s="1934"/>
      <c r="O1051" s="1934"/>
      <c r="P1051" s="1934"/>
      <c r="Q1051" s="1934"/>
      <c r="R1051" s="1934"/>
      <c r="S1051" s="1934"/>
      <c r="T1051" s="1934"/>
      <c r="U1051" s="1934"/>
      <c r="V1051" s="1934"/>
      <c r="W1051" s="1934"/>
      <c r="X1051" s="1934"/>
      <c r="Y1051" s="1934"/>
      <c r="Z1051" s="1934"/>
      <c r="AA1051" s="1934"/>
      <c r="AB1051" s="1934"/>
      <c r="AC1051" s="1934"/>
      <c r="AD1051" s="1934"/>
      <c r="AE1051" s="1934"/>
      <c r="AF1051" s="1934"/>
      <c r="AG1051" s="1934"/>
      <c r="AH1051" s="1934"/>
      <c r="AI1051" s="1934"/>
      <c r="AJ1051" s="1934"/>
      <c r="AK1051" s="1934"/>
      <c r="AL1051" s="105"/>
      <c r="AM1051" s="1582"/>
      <c r="AN1051" s="1582"/>
      <c r="AO1051" s="1582"/>
      <c r="AP1051" s="1582"/>
      <c r="AQ1051" s="1582"/>
      <c r="AR1051" s="1582"/>
      <c r="AS1051" s="1582"/>
      <c r="AT1051" s="1582"/>
      <c r="AU1051" s="1582"/>
      <c r="AV1051" s="1582"/>
      <c r="AW1051" s="1582"/>
      <c r="AX1051" s="1582"/>
      <c r="AY1051" s="1582"/>
    </row>
    <row r="1052" spans="1:51" ht="12.6" customHeight="1">
      <c r="A1052" s="235"/>
      <c r="B1052" s="235"/>
      <c r="C1052" s="13"/>
      <c r="D1052" s="1934"/>
      <c r="E1052" s="1934"/>
      <c r="F1052" s="1934"/>
      <c r="G1052" s="1934"/>
      <c r="H1052" s="1934"/>
      <c r="I1052" s="1934"/>
      <c r="J1052" s="1934"/>
      <c r="K1052" s="1934"/>
      <c r="L1052" s="1934"/>
      <c r="M1052" s="1934"/>
      <c r="N1052" s="1934"/>
      <c r="O1052" s="1934"/>
      <c r="P1052" s="1934"/>
      <c r="Q1052" s="1934"/>
      <c r="R1052" s="1934"/>
      <c r="S1052" s="1934"/>
      <c r="T1052" s="1934"/>
      <c r="U1052" s="1934"/>
      <c r="V1052" s="1934"/>
      <c r="W1052" s="1934"/>
      <c r="X1052" s="1934"/>
      <c r="Y1052" s="1934"/>
      <c r="Z1052" s="1934"/>
      <c r="AA1052" s="1934"/>
      <c r="AB1052" s="1934"/>
      <c r="AC1052" s="1934"/>
      <c r="AD1052" s="1934"/>
      <c r="AE1052" s="1934"/>
      <c r="AF1052" s="1934"/>
      <c r="AG1052" s="1934"/>
      <c r="AH1052" s="1934"/>
      <c r="AI1052" s="1934"/>
      <c r="AJ1052" s="1934"/>
      <c r="AK1052" s="1934"/>
      <c r="AL1052" s="105"/>
      <c r="AM1052" s="1582"/>
      <c r="AN1052" s="1582"/>
      <c r="AO1052" s="1582"/>
      <c r="AP1052" s="1582"/>
      <c r="AQ1052" s="1582"/>
      <c r="AR1052" s="1582"/>
      <c r="AS1052" s="1582"/>
      <c r="AT1052" s="1582"/>
      <c r="AU1052" s="1582"/>
      <c r="AV1052" s="1582"/>
      <c r="AW1052" s="1582"/>
      <c r="AX1052" s="1582"/>
      <c r="AY1052" s="1582"/>
    </row>
    <row r="1053" spans="1:51" ht="12.6" customHeight="1">
      <c r="A1053" s="235"/>
      <c r="B1053" s="235"/>
      <c r="C1053" s="13"/>
      <c r="D1053" s="1934"/>
      <c r="E1053" s="1934"/>
      <c r="F1053" s="1934"/>
      <c r="G1053" s="1934"/>
      <c r="H1053" s="1934"/>
      <c r="I1053" s="1934"/>
      <c r="J1053" s="1934"/>
      <c r="K1053" s="1934"/>
      <c r="L1053" s="1934"/>
      <c r="M1053" s="1934"/>
      <c r="N1053" s="1934"/>
      <c r="O1053" s="1934"/>
      <c r="P1053" s="1934"/>
      <c r="Q1053" s="1934"/>
      <c r="R1053" s="1934"/>
      <c r="S1053" s="1934"/>
      <c r="T1053" s="1934"/>
      <c r="U1053" s="1934"/>
      <c r="V1053" s="1934"/>
      <c r="W1053" s="1934"/>
      <c r="X1053" s="1934"/>
      <c r="Y1053" s="1934"/>
      <c r="Z1053" s="1934"/>
      <c r="AA1053" s="1934"/>
      <c r="AB1053" s="1934"/>
      <c r="AC1053" s="1934"/>
      <c r="AD1053" s="1934"/>
      <c r="AE1053" s="1934"/>
      <c r="AF1053" s="1934"/>
      <c r="AG1053" s="1934"/>
      <c r="AH1053" s="1934"/>
      <c r="AI1053" s="1934"/>
      <c r="AJ1053" s="1934"/>
      <c r="AK1053" s="1934"/>
      <c r="AL1053" s="105"/>
      <c r="AM1053" s="1582"/>
      <c r="AN1053" s="1582"/>
      <c r="AO1053" s="1582"/>
      <c r="AP1053" s="1582"/>
      <c r="AQ1053" s="1582"/>
      <c r="AR1053" s="1582"/>
      <c r="AS1053" s="1582"/>
      <c r="AT1053" s="1582"/>
      <c r="AU1053" s="1582"/>
      <c r="AV1053" s="1582"/>
      <c r="AW1053" s="1582"/>
      <c r="AX1053" s="1582"/>
      <c r="AY1053" s="1582"/>
    </row>
    <row r="1054" spans="1:51" ht="12.6" customHeight="1">
      <c r="A1054" s="235"/>
      <c r="B1054" s="235"/>
      <c r="C1054" s="13"/>
      <c r="D1054" s="1934"/>
      <c r="E1054" s="1934"/>
      <c r="F1054" s="1934"/>
      <c r="G1054" s="1934"/>
      <c r="H1054" s="1934"/>
      <c r="I1054" s="1934"/>
      <c r="J1054" s="1934"/>
      <c r="K1054" s="1934"/>
      <c r="L1054" s="1934"/>
      <c r="M1054" s="1934"/>
      <c r="N1054" s="1934"/>
      <c r="O1054" s="1934"/>
      <c r="P1054" s="1934"/>
      <c r="Q1054" s="1934"/>
      <c r="R1054" s="1934"/>
      <c r="S1054" s="1934"/>
      <c r="T1054" s="1934"/>
      <c r="U1054" s="1934"/>
      <c r="V1054" s="1934"/>
      <c r="W1054" s="1934"/>
      <c r="X1054" s="1934"/>
      <c r="Y1054" s="1934"/>
      <c r="Z1054" s="1934"/>
      <c r="AA1054" s="1934"/>
      <c r="AB1054" s="1934"/>
      <c r="AC1054" s="1934"/>
      <c r="AD1054" s="1934"/>
      <c r="AE1054" s="1934"/>
      <c r="AF1054" s="1934"/>
      <c r="AG1054" s="1934"/>
      <c r="AH1054" s="1934"/>
      <c r="AI1054" s="1934"/>
      <c r="AJ1054" s="1934"/>
      <c r="AK1054" s="1934"/>
      <c r="AL1054" s="105"/>
      <c r="AM1054" s="1582"/>
      <c r="AN1054" s="1582"/>
      <c r="AO1054" s="1582"/>
      <c r="AP1054" s="1582"/>
      <c r="AQ1054" s="1582"/>
      <c r="AR1054" s="1582"/>
      <c r="AS1054" s="1582"/>
      <c r="AT1054" s="1582"/>
      <c r="AU1054" s="1582"/>
      <c r="AV1054" s="1582"/>
      <c r="AW1054" s="1582"/>
      <c r="AX1054" s="1582"/>
      <c r="AY1054" s="1582"/>
    </row>
    <row r="1055" spans="1:51" ht="12.6" customHeight="1">
      <c r="A1055" s="235"/>
      <c r="B1055" s="235"/>
      <c r="C1055" s="13"/>
      <c r="D1055" s="1934"/>
      <c r="E1055" s="1934"/>
      <c r="F1055" s="1934"/>
      <c r="G1055" s="1934"/>
      <c r="H1055" s="1934"/>
      <c r="I1055" s="1934"/>
      <c r="J1055" s="1934"/>
      <c r="K1055" s="1934"/>
      <c r="L1055" s="1934"/>
      <c r="M1055" s="1934"/>
      <c r="N1055" s="1934"/>
      <c r="O1055" s="1934"/>
      <c r="P1055" s="1934"/>
      <c r="Q1055" s="1934"/>
      <c r="R1055" s="1934"/>
      <c r="S1055" s="1934"/>
      <c r="T1055" s="1934"/>
      <c r="U1055" s="1934"/>
      <c r="V1055" s="1934"/>
      <c r="W1055" s="1934"/>
      <c r="X1055" s="1934"/>
      <c r="Y1055" s="1934"/>
      <c r="Z1055" s="1934"/>
      <c r="AA1055" s="1934"/>
      <c r="AB1055" s="1934"/>
      <c r="AC1055" s="1934"/>
      <c r="AD1055" s="1934"/>
      <c r="AE1055" s="1934"/>
      <c r="AF1055" s="1934"/>
      <c r="AG1055" s="1934"/>
      <c r="AH1055" s="1934"/>
      <c r="AI1055" s="1934"/>
      <c r="AJ1055" s="1934"/>
      <c r="AK1055" s="1934"/>
    </row>
    <row r="1056" spans="1:51" ht="12.6" customHeight="1">
      <c r="A1056" s="2062" t="s">
        <v>625</v>
      </c>
      <c r="B1056" s="2062"/>
      <c r="C1056" s="13">
        <v>3</v>
      </c>
      <c r="D1056" s="1934" t="s">
        <v>1527</v>
      </c>
      <c r="E1056" s="1934"/>
      <c r="F1056" s="1934"/>
      <c r="G1056" s="1934"/>
      <c r="H1056" s="1934"/>
      <c r="I1056" s="1934"/>
      <c r="J1056" s="1934"/>
      <c r="K1056" s="1934"/>
      <c r="L1056" s="1934"/>
      <c r="M1056" s="1934"/>
      <c r="N1056" s="1934"/>
      <c r="O1056" s="1934"/>
      <c r="P1056" s="1934"/>
      <c r="Q1056" s="1934"/>
      <c r="R1056" s="1934"/>
      <c r="S1056" s="1934"/>
      <c r="T1056" s="1934"/>
      <c r="U1056" s="1934"/>
      <c r="V1056" s="1934"/>
      <c r="W1056" s="1934"/>
      <c r="X1056" s="1934"/>
      <c r="Y1056" s="1934"/>
      <c r="Z1056" s="1934"/>
      <c r="AA1056" s="1934"/>
      <c r="AB1056" s="1934"/>
      <c r="AC1056" s="1934"/>
      <c r="AD1056" s="1934"/>
      <c r="AE1056" s="1934"/>
      <c r="AF1056" s="1934"/>
      <c r="AG1056" s="1934"/>
      <c r="AH1056" s="1934"/>
      <c r="AI1056" s="1934"/>
      <c r="AJ1056" s="1934"/>
      <c r="AK1056" s="1934"/>
    </row>
    <row r="1057" spans="1:96" ht="12.6" customHeight="1">
      <c r="A1057" s="130"/>
      <c r="B1057" s="130"/>
      <c r="C1057" s="13"/>
      <c r="D1057" s="1934"/>
      <c r="E1057" s="1934"/>
      <c r="F1057" s="1934"/>
      <c r="G1057" s="1934"/>
      <c r="H1057" s="1934"/>
      <c r="I1057" s="1934"/>
      <c r="J1057" s="1934"/>
      <c r="K1057" s="1934"/>
      <c r="L1057" s="1934"/>
      <c r="M1057" s="1934"/>
      <c r="N1057" s="1934"/>
      <c r="O1057" s="1934"/>
      <c r="P1057" s="1934"/>
      <c r="Q1057" s="1934"/>
      <c r="R1057" s="1934"/>
      <c r="S1057" s="1934"/>
      <c r="T1057" s="1934"/>
      <c r="U1057" s="1934"/>
      <c r="V1057" s="1934"/>
      <c r="W1057" s="1934"/>
      <c r="X1057" s="1934"/>
      <c r="Y1057" s="1934"/>
      <c r="Z1057" s="1934"/>
      <c r="AA1057" s="1934"/>
      <c r="AB1057" s="1934"/>
      <c r="AC1057" s="1934"/>
      <c r="AD1057" s="1934"/>
      <c r="AE1057" s="1934"/>
      <c r="AF1057" s="1934"/>
      <c r="AG1057" s="1934"/>
      <c r="AH1057" s="1934"/>
      <c r="AI1057" s="1934"/>
      <c r="AJ1057" s="1934"/>
      <c r="AK1057" s="1934"/>
      <c r="AL1057" s="719"/>
    </row>
    <row r="1058" spans="1:96" ht="12.6" customHeight="1">
      <c r="A1058" s="130"/>
      <c r="B1058" s="130"/>
      <c r="C1058" s="13"/>
      <c r="D1058" s="1934"/>
      <c r="E1058" s="1934"/>
      <c r="F1058" s="1934"/>
      <c r="G1058" s="1934"/>
      <c r="H1058" s="1934"/>
      <c r="I1058" s="1934"/>
      <c r="J1058" s="1934"/>
      <c r="K1058" s="1934"/>
      <c r="L1058" s="1934"/>
      <c r="M1058" s="1934"/>
      <c r="N1058" s="1934"/>
      <c r="O1058" s="1934"/>
      <c r="P1058" s="1934"/>
      <c r="Q1058" s="1934"/>
      <c r="R1058" s="1934"/>
      <c r="S1058" s="1934"/>
      <c r="T1058" s="1934"/>
      <c r="U1058" s="1934"/>
      <c r="V1058" s="1934"/>
      <c r="W1058" s="1934"/>
      <c r="X1058" s="1934"/>
      <c r="Y1058" s="1934"/>
      <c r="Z1058" s="1934"/>
      <c r="AA1058" s="1934"/>
      <c r="AB1058" s="1934"/>
      <c r="AC1058" s="1934"/>
      <c r="AD1058" s="1934"/>
      <c r="AE1058" s="1934"/>
      <c r="AF1058" s="1934"/>
      <c r="AG1058" s="1934"/>
      <c r="AH1058" s="1934"/>
      <c r="AI1058" s="1934"/>
      <c r="AJ1058" s="1934"/>
      <c r="AK1058" s="1934"/>
    </row>
    <row r="1059" spans="1:96" s="719" customFormat="1" ht="12.6" customHeight="1">
      <c r="A1059" s="62"/>
      <c r="B1059" s="66"/>
      <c r="C1059" s="13"/>
      <c r="D1059" s="1934"/>
      <c r="E1059" s="1934"/>
      <c r="F1059" s="1934"/>
      <c r="G1059" s="1934"/>
      <c r="H1059" s="1934"/>
      <c r="I1059" s="1934"/>
      <c r="J1059" s="1934"/>
      <c r="K1059" s="1934"/>
      <c r="L1059" s="1934"/>
      <c r="M1059" s="1934"/>
      <c r="N1059" s="1934"/>
      <c r="O1059" s="1934"/>
      <c r="P1059" s="1934"/>
      <c r="Q1059" s="1934"/>
      <c r="R1059" s="1934"/>
      <c r="S1059" s="1934"/>
      <c r="T1059" s="1934"/>
      <c r="U1059" s="1934"/>
      <c r="V1059" s="1934"/>
      <c r="W1059" s="1934"/>
      <c r="X1059" s="1934"/>
      <c r="Y1059" s="1934"/>
      <c r="Z1059" s="1934"/>
      <c r="AA1059" s="1934"/>
      <c r="AB1059" s="1934"/>
      <c r="AC1059" s="1934"/>
      <c r="AD1059" s="1934"/>
      <c r="AE1059" s="1934"/>
      <c r="AF1059" s="1934"/>
      <c r="AG1059" s="1934"/>
      <c r="AH1059" s="1934"/>
      <c r="AI1059" s="1934"/>
      <c r="AJ1059" s="1934"/>
      <c r="AK1059" s="1934"/>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34"/>
      <c r="E1060" s="1934"/>
      <c r="F1060" s="1934"/>
      <c r="G1060" s="1934"/>
      <c r="H1060" s="1934"/>
      <c r="I1060" s="1934"/>
      <c r="J1060" s="1934"/>
      <c r="K1060" s="1934"/>
      <c r="L1060" s="1934"/>
      <c r="M1060" s="1934"/>
      <c r="N1060" s="1934"/>
      <c r="O1060" s="1934"/>
      <c r="P1060" s="1934"/>
      <c r="Q1060" s="1934"/>
      <c r="R1060" s="1934"/>
      <c r="S1060" s="1934"/>
      <c r="T1060" s="1934"/>
      <c r="U1060" s="1934"/>
      <c r="V1060" s="1934"/>
      <c r="W1060" s="1934"/>
      <c r="X1060" s="1934"/>
      <c r="Y1060" s="1934"/>
      <c r="Z1060" s="1934"/>
      <c r="AA1060" s="1934"/>
      <c r="AB1060" s="1934"/>
      <c r="AC1060" s="1934"/>
      <c r="AD1060" s="1934"/>
      <c r="AE1060" s="1934"/>
      <c r="AF1060" s="1934"/>
      <c r="AG1060" s="1934"/>
      <c r="AH1060" s="1934"/>
      <c r="AI1060" s="1934"/>
      <c r="AJ1060" s="1934"/>
      <c r="AK1060" s="1934"/>
    </row>
    <row r="1061" spans="1:96" ht="12.6" customHeight="1">
      <c r="A1061" s="62"/>
      <c r="B1061" s="66"/>
      <c r="C1061" s="13"/>
      <c r="D1061" s="1934"/>
      <c r="E1061" s="1934"/>
      <c r="F1061" s="1934"/>
      <c r="G1061" s="1934"/>
      <c r="H1061" s="1934"/>
      <c r="I1061" s="1934"/>
      <c r="J1061" s="1934"/>
      <c r="K1061" s="1934"/>
      <c r="L1061" s="1934"/>
      <c r="M1061" s="1934"/>
      <c r="N1061" s="1934"/>
      <c r="O1061" s="1934"/>
      <c r="P1061" s="1934"/>
      <c r="Q1061" s="1934"/>
      <c r="R1061" s="1934"/>
      <c r="S1061" s="1934"/>
      <c r="T1061" s="1934"/>
      <c r="U1061" s="1934"/>
      <c r="V1061" s="1934"/>
      <c r="W1061" s="1934"/>
      <c r="X1061" s="1934"/>
      <c r="Y1061" s="1934"/>
      <c r="Z1061" s="1934"/>
      <c r="AA1061" s="1934"/>
      <c r="AB1061" s="1934"/>
      <c r="AC1061" s="1934"/>
      <c r="AD1061" s="1934"/>
      <c r="AE1061" s="1934"/>
      <c r="AF1061" s="1934"/>
      <c r="AG1061" s="1934"/>
      <c r="AH1061" s="1934"/>
      <c r="AI1061" s="1934"/>
      <c r="AJ1061" s="1934"/>
      <c r="AK1061" s="1934"/>
    </row>
    <row r="1062" spans="1:96" ht="12.6" customHeight="1">
      <c r="A1062" s="62"/>
      <c r="B1062" s="66"/>
      <c r="C1062" s="13"/>
      <c r="D1062" s="1934"/>
      <c r="E1062" s="1934"/>
      <c r="F1062" s="1934"/>
      <c r="G1062" s="1934"/>
      <c r="H1062" s="1934"/>
      <c r="I1062" s="1934"/>
      <c r="J1062" s="1934"/>
      <c r="K1062" s="1934"/>
      <c r="L1062" s="1934"/>
      <c r="M1062" s="1934"/>
      <c r="N1062" s="1934"/>
      <c r="O1062" s="1934"/>
      <c r="P1062" s="1934"/>
      <c r="Q1062" s="1934"/>
      <c r="R1062" s="1934"/>
      <c r="S1062" s="1934"/>
      <c r="T1062" s="1934"/>
      <c r="U1062" s="1934"/>
      <c r="V1062" s="1934"/>
      <c r="W1062" s="1934"/>
      <c r="X1062" s="1934"/>
      <c r="Y1062" s="1934"/>
      <c r="Z1062" s="1934"/>
      <c r="AA1062" s="1934"/>
      <c r="AB1062" s="1934"/>
      <c r="AC1062" s="1934"/>
      <c r="AD1062" s="1934"/>
      <c r="AE1062" s="1934"/>
      <c r="AF1062" s="1934"/>
      <c r="AG1062" s="1934"/>
      <c r="AH1062" s="1934"/>
      <c r="AI1062" s="1934"/>
      <c r="AJ1062" s="1934"/>
      <c r="AK1062" s="1934"/>
    </row>
    <row r="1063" spans="1:96" ht="12.6" customHeight="1">
      <c r="A1063" s="2062" t="s">
        <v>625</v>
      </c>
      <c r="B1063" s="2062"/>
      <c r="C1063" s="13">
        <v>4</v>
      </c>
      <c r="D1063" s="1934" t="s">
        <v>1207</v>
      </c>
      <c r="E1063" s="1934"/>
      <c r="F1063" s="1934"/>
      <c r="G1063" s="1934"/>
      <c r="H1063" s="1934"/>
      <c r="I1063" s="1934"/>
      <c r="J1063" s="1934"/>
      <c r="K1063" s="1934"/>
      <c r="L1063" s="1934"/>
      <c r="M1063" s="1934"/>
      <c r="N1063" s="1934"/>
      <c r="O1063" s="1934"/>
      <c r="P1063" s="1934"/>
      <c r="Q1063" s="1934"/>
      <c r="R1063" s="1934"/>
      <c r="S1063" s="1934"/>
      <c r="T1063" s="1934"/>
      <c r="U1063" s="1934"/>
      <c r="V1063" s="1934"/>
      <c r="W1063" s="1934"/>
      <c r="X1063" s="1934"/>
      <c r="Y1063" s="1934"/>
      <c r="Z1063" s="1934"/>
      <c r="AA1063" s="1934"/>
      <c r="AB1063" s="1934"/>
      <c r="AC1063" s="1934"/>
      <c r="AD1063" s="1934"/>
      <c r="AE1063" s="1934"/>
      <c r="AF1063" s="1934"/>
      <c r="AG1063" s="1934"/>
      <c r="AH1063" s="1934"/>
      <c r="AI1063" s="1934"/>
      <c r="AJ1063" s="1934"/>
      <c r="AK1063" s="1934"/>
    </row>
    <row r="1064" spans="1:96" ht="12.6" customHeight="1">
      <c r="A1064" s="235"/>
      <c r="B1064" s="235"/>
      <c r="C1064" s="13"/>
      <c r="D1064" s="1934"/>
      <c r="E1064" s="1934"/>
      <c r="F1064" s="1934"/>
      <c r="G1064" s="1934"/>
      <c r="H1064" s="1934"/>
      <c r="I1064" s="1934"/>
      <c r="J1064" s="1934"/>
      <c r="K1064" s="1934"/>
      <c r="L1064" s="1934"/>
      <c r="M1064" s="1934"/>
      <c r="N1064" s="1934"/>
      <c r="O1064" s="1934"/>
      <c r="P1064" s="1934"/>
      <c r="Q1064" s="1934"/>
      <c r="R1064" s="1934"/>
      <c r="S1064" s="1934"/>
      <c r="T1064" s="1934"/>
      <c r="U1064" s="1934"/>
      <c r="V1064" s="1934"/>
      <c r="W1064" s="1934"/>
      <c r="X1064" s="1934"/>
      <c r="Y1064" s="1934"/>
      <c r="Z1064" s="1934"/>
      <c r="AA1064" s="1934"/>
      <c r="AB1064" s="1934"/>
      <c r="AC1064" s="1934"/>
      <c r="AD1064" s="1934"/>
      <c r="AE1064" s="1934"/>
      <c r="AF1064" s="1934"/>
      <c r="AG1064" s="1934"/>
      <c r="AH1064" s="1934"/>
      <c r="AI1064" s="1934"/>
      <c r="AJ1064" s="1934"/>
      <c r="AK1064" s="1934"/>
    </row>
    <row r="1065" spans="1:96" ht="12.6" customHeight="1">
      <c r="A1065" s="62"/>
      <c r="B1065" s="66"/>
      <c r="C1065" s="13"/>
      <c r="D1065" s="1934"/>
      <c r="E1065" s="1934"/>
      <c r="F1065" s="1934"/>
      <c r="G1065" s="1934"/>
      <c r="H1065" s="1934"/>
      <c r="I1065" s="1934"/>
      <c r="J1065" s="1934"/>
      <c r="K1065" s="1934"/>
      <c r="L1065" s="1934"/>
      <c r="M1065" s="1934"/>
      <c r="N1065" s="1934"/>
      <c r="O1065" s="1934"/>
      <c r="P1065" s="1934"/>
      <c r="Q1065" s="1934"/>
      <c r="R1065" s="1934"/>
      <c r="S1065" s="1934"/>
      <c r="T1065" s="1934"/>
      <c r="U1065" s="1934"/>
      <c r="V1065" s="1934"/>
      <c r="W1065" s="1934"/>
      <c r="X1065" s="1934"/>
      <c r="Y1065" s="1934"/>
      <c r="Z1065" s="1934"/>
      <c r="AA1065" s="1934"/>
      <c r="AB1065" s="1934"/>
      <c r="AC1065" s="1934"/>
      <c r="AD1065" s="1934"/>
      <c r="AE1065" s="1934"/>
      <c r="AF1065" s="1934"/>
      <c r="AG1065" s="1934"/>
      <c r="AH1065" s="1934"/>
      <c r="AI1065" s="1934"/>
      <c r="AJ1065" s="1934"/>
      <c r="AK1065" s="1934"/>
    </row>
    <row r="1066" spans="1:96" s="682" customFormat="1" ht="12.6" customHeight="1">
      <c r="A1066" s="2062" t="s">
        <v>625</v>
      </c>
      <c r="B1066" s="2062"/>
      <c r="C1066" s="13">
        <v>5</v>
      </c>
      <c r="D1066" s="1934" t="s">
        <v>1416</v>
      </c>
      <c r="E1066" s="1934"/>
      <c r="F1066" s="1934"/>
      <c r="G1066" s="1934"/>
      <c r="H1066" s="1934"/>
      <c r="I1066" s="1934"/>
      <c r="J1066" s="1934"/>
      <c r="K1066" s="1934"/>
      <c r="L1066" s="1934"/>
      <c r="M1066" s="1934"/>
      <c r="N1066" s="1934"/>
      <c r="O1066" s="1934"/>
      <c r="P1066" s="1934"/>
      <c r="Q1066" s="1934"/>
      <c r="R1066" s="1934"/>
      <c r="S1066" s="1934"/>
      <c r="T1066" s="1934"/>
      <c r="U1066" s="1934"/>
      <c r="V1066" s="1934"/>
      <c r="W1066" s="1934"/>
      <c r="X1066" s="1934"/>
      <c r="Y1066" s="1934"/>
      <c r="Z1066" s="1934"/>
      <c r="AA1066" s="1934"/>
      <c r="AB1066" s="1934"/>
      <c r="AC1066" s="1934"/>
      <c r="AD1066" s="1934"/>
      <c r="AE1066" s="1934"/>
      <c r="AF1066" s="1934"/>
      <c r="AG1066" s="1934"/>
      <c r="AH1066" s="1934"/>
      <c r="AI1066" s="1934"/>
      <c r="AJ1066" s="1934"/>
      <c r="AK1066" s="1934"/>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34"/>
      <c r="E1067" s="1934"/>
      <c r="F1067" s="1934"/>
      <c r="G1067" s="1934"/>
      <c r="H1067" s="1934"/>
      <c r="I1067" s="1934"/>
      <c r="J1067" s="1934"/>
      <c r="K1067" s="1934"/>
      <c r="L1067" s="1934"/>
      <c r="M1067" s="1934"/>
      <c r="N1067" s="1934"/>
      <c r="O1067" s="1934"/>
      <c r="P1067" s="1934"/>
      <c r="Q1067" s="1934"/>
      <c r="R1067" s="1934"/>
      <c r="S1067" s="1934"/>
      <c r="T1067" s="1934"/>
      <c r="U1067" s="1934"/>
      <c r="V1067" s="1934"/>
      <c r="W1067" s="1934"/>
      <c r="X1067" s="1934"/>
      <c r="Y1067" s="1934"/>
      <c r="Z1067" s="1934"/>
      <c r="AA1067" s="1934"/>
      <c r="AB1067" s="1934"/>
      <c r="AC1067" s="1934"/>
      <c r="AD1067" s="1934"/>
      <c r="AE1067" s="1934"/>
      <c r="AF1067" s="1934"/>
      <c r="AG1067" s="1934"/>
      <c r="AH1067" s="1934"/>
      <c r="AI1067" s="1934"/>
      <c r="AJ1067" s="1934"/>
      <c r="AK1067" s="1934"/>
    </row>
    <row r="1068" spans="1:96" ht="12.6" customHeight="1">
      <c r="A1068" s="235"/>
      <c r="B1068" s="235"/>
      <c r="C1068" s="13"/>
      <c r="D1068" s="1934"/>
      <c r="E1068" s="1934"/>
      <c r="F1068" s="1934"/>
      <c r="G1068" s="1934"/>
      <c r="H1068" s="1934"/>
      <c r="I1068" s="1934"/>
      <c r="J1068" s="1934"/>
      <c r="K1068" s="1934"/>
      <c r="L1068" s="1934"/>
      <c r="M1068" s="1934"/>
      <c r="N1068" s="1934"/>
      <c r="O1068" s="1934"/>
      <c r="P1068" s="1934"/>
      <c r="Q1068" s="1934"/>
      <c r="R1068" s="1934"/>
      <c r="S1068" s="1934"/>
      <c r="T1068" s="1934"/>
      <c r="U1068" s="1934"/>
      <c r="V1068" s="1934"/>
      <c r="W1068" s="1934"/>
      <c r="X1068" s="1934"/>
      <c r="Y1068" s="1934"/>
      <c r="Z1068" s="1934"/>
      <c r="AA1068" s="1934"/>
      <c r="AB1068" s="1934"/>
      <c r="AC1068" s="1934"/>
      <c r="AD1068" s="1934"/>
      <c r="AE1068" s="1934"/>
      <c r="AF1068" s="1934"/>
      <c r="AG1068" s="1934"/>
      <c r="AH1068" s="1934"/>
      <c r="AI1068" s="1934"/>
      <c r="AJ1068" s="1934"/>
      <c r="AK1068" s="1934"/>
    </row>
    <row r="1069" spans="1:96" ht="12.6" customHeight="1">
      <c r="A1069" s="235"/>
      <c r="B1069" s="235"/>
      <c r="C1069" s="13"/>
      <c r="D1069" s="1934"/>
      <c r="E1069" s="1934"/>
      <c r="F1069" s="1934"/>
      <c r="G1069" s="1934"/>
      <c r="H1069" s="1934"/>
      <c r="I1069" s="1934"/>
      <c r="J1069" s="1934"/>
      <c r="K1069" s="1934"/>
      <c r="L1069" s="1934"/>
      <c r="M1069" s="1934"/>
      <c r="N1069" s="1934"/>
      <c r="O1069" s="1934"/>
      <c r="P1069" s="1934"/>
      <c r="Q1069" s="1934"/>
      <c r="R1069" s="1934"/>
      <c r="S1069" s="1934"/>
      <c r="T1069" s="1934"/>
      <c r="U1069" s="1934"/>
      <c r="V1069" s="1934"/>
      <c r="W1069" s="1934"/>
      <c r="X1069" s="1934"/>
      <c r="Y1069" s="1934"/>
      <c r="Z1069" s="1934"/>
      <c r="AA1069" s="1934"/>
      <c r="AB1069" s="1934"/>
      <c r="AC1069" s="1934"/>
      <c r="AD1069" s="1934"/>
      <c r="AE1069" s="1934"/>
      <c r="AF1069" s="1934"/>
      <c r="AG1069" s="1934"/>
      <c r="AH1069" s="1934"/>
      <c r="AI1069" s="1934"/>
      <c r="AJ1069" s="1934"/>
      <c r="AK1069" s="1934"/>
      <c r="AL1069" s="682"/>
    </row>
    <row r="1070" spans="1:96" ht="12.6" customHeight="1">
      <c r="A1070" s="62"/>
      <c r="B1070" s="66"/>
      <c r="C1070" s="13"/>
      <c r="D1070" s="1934"/>
      <c r="E1070" s="1934"/>
      <c r="F1070" s="1934"/>
      <c r="G1070" s="1934"/>
      <c r="H1070" s="1934"/>
      <c r="I1070" s="1934"/>
      <c r="J1070" s="1934"/>
      <c r="K1070" s="1934"/>
      <c r="L1070" s="1934"/>
      <c r="M1070" s="1934"/>
      <c r="N1070" s="1934"/>
      <c r="O1070" s="1934"/>
      <c r="P1070" s="1934"/>
      <c r="Q1070" s="1934"/>
      <c r="R1070" s="1934"/>
      <c r="S1070" s="1934"/>
      <c r="T1070" s="1934"/>
      <c r="U1070" s="1934"/>
      <c r="V1070" s="1934"/>
      <c r="W1070" s="1934"/>
      <c r="X1070" s="1934"/>
      <c r="Y1070" s="1934"/>
      <c r="Z1070" s="1934"/>
      <c r="AA1070" s="1934"/>
      <c r="AB1070" s="1934"/>
      <c r="AC1070" s="1934"/>
      <c r="AD1070" s="1934"/>
      <c r="AE1070" s="1934"/>
      <c r="AF1070" s="1934"/>
      <c r="AG1070" s="1934"/>
      <c r="AH1070" s="1934"/>
      <c r="AI1070" s="1934"/>
      <c r="AJ1070" s="1934"/>
      <c r="AK1070" s="1934"/>
    </row>
    <row r="1071" spans="1:96" ht="12.6" customHeight="1">
      <c r="A1071" s="2062" t="s">
        <v>625</v>
      </c>
      <c r="B1071" s="2062"/>
      <c r="C1071" s="13">
        <v>6</v>
      </c>
      <c r="D1071" s="1934" t="s">
        <v>1208</v>
      </c>
      <c r="E1071" s="1934"/>
      <c r="F1071" s="1934"/>
      <c r="G1071" s="1934"/>
      <c r="H1071" s="1934"/>
      <c r="I1071" s="1934"/>
      <c r="J1071" s="1934"/>
      <c r="K1071" s="1934"/>
      <c r="L1071" s="1934"/>
      <c r="M1071" s="1934"/>
      <c r="N1071" s="1934"/>
      <c r="O1071" s="1934"/>
      <c r="P1071" s="1934"/>
      <c r="Q1071" s="1934"/>
      <c r="R1071" s="1934"/>
      <c r="S1071" s="1934"/>
      <c r="T1071" s="1934"/>
      <c r="U1071" s="1934"/>
      <c r="V1071" s="1934"/>
      <c r="W1071" s="1934"/>
      <c r="X1071" s="1934"/>
      <c r="Y1071" s="1934"/>
      <c r="Z1071" s="1934"/>
      <c r="AA1071" s="1934"/>
      <c r="AB1071" s="1934"/>
      <c r="AC1071" s="1934"/>
      <c r="AD1071" s="1934"/>
      <c r="AE1071" s="1934"/>
      <c r="AF1071" s="1934"/>
      <c r="AG1071" s="1934"/>
      <c r="AH1071" s="1934"/>
      <c r="AI1071" s="1934"/>
      <c r="AJ1071" s="1934"/>
      <c r="AK1071" s="1934"/>
    </row>
    <row r="1072" spans="1:96" ht="12.6" customHeight="1">
      <c r="A1072" s="62"/>
      <c r="B1072" s="317"/>
      <c r="C1072" s="13"/>
      <c r="D1072" s="1934"/>
      <c r="E1072" s="1934"/>
      <c r="F1072" s="1934"/>
      <c r="G1072" s="1934"/>
      <c r="H1072" s="1934"/>
      <c r="I1072" s="1934"/>
      <c r="J1072" s="1934"/>
      <c r="K1072" s="1934"/>
      <c r="L1072" s="1934"/>
      <c r="M1072" s="1934"/>
      <c r="N1072" s="1934"/>
      <c r="O1072" s="1934"/>
      <c r="P1072" s="1934"/>
      <c r="Q1072" s="1934"/>
      <c r="R1072" s="1934"/>
      <c r="S1072" s="1934"/>
      <c r="T1072" s="1934"/>
      <c r="U1072" s="1934"/>
      <c r="V1072" s="1934"/>
      <c r="W1072" s="1934"/>
      <c r="X1072" s="1934"/>
      <c r="Y1072" s="1934"/>
      <c r="Z1072" s="1934"/>
      <c r="AA1072" s="1934"/>
      <c r="AB1072" s="1934"/>
      <c r="AC1072" s="1934"/>
      <c r="AD1072" s="1934"/>
      <c r="AE1072" s="1934"/>
      <c r="AF1072" s="1934"/>
      <c r="AG1072" s="1934"/>
      <c r="AH1072" s="1934"/>
      <c r="AI1072" s="1934"/>
      <c r="AJ1072" s="1934"/>
      <c r="AK1072" s="1934"/>
    </row>
    <row r="1073" spans="1:96" ht="12.6" customHeight="1">
      <c r="A1073" s="62"/>
      <c r="B1073" s="66"/>
      <c r="C1073" s="13"/>
      <c r="D1073" s="1934"/>
      <c r="E1073" s="1934"/>
      <c r="F1073" s="1934"/>
      <c r="G1073" s="1934"/>
      <c r="H1073" s="1934"/>
      <c r="I1073" s="1934"/>
      <c r="J1073" s="1934"/>
      <c r="K1073" s="1934"/>
      <c r="L1073" s="1934"/>
      <c r="M1073" s="1934"/>
      <c r="N1073" s="1934"/>
      <c r="O1073" s="1934"/>
      <c r="P1073" s="1934"/>
      <c r="Q1073" s="1934"/>
      <c r="R1073" s="1934"/>
      <c r="S1073" s="1934"/>
      <c r="T1073" s="1934"/>
      <c r="U1073" s="1934"/>
      <c r="V1073" s="1934"/>
      <c r="W1073" s="1934"/>
      <c r="X1073" s="1934"/>
      <c r="Y1073" s="1934"/>
      <c r="Z1073" s="1934"/>
      <c r="AA1073" s="1934"/>
      <c r="AB1073" s="1934"/>
      <c r="AC1073" s="1934"/>
      <c r="AD1073" s="1934"/>
      <c r="AE1073" s="1934"/>
      <c r="AF1073" s="1934"/>
      <c r="AG1073" s="1934"/>
      <c r="AH1073" s="1934"/>
      <c r="AI1073" s="1934"/>
      <c r="AJ1073" s="1934"/>
      <c r="AK1073" s="1934"/>
    </row>
    <row r="1074" spans="1:96" ht="12.6" customHeight="1">
      <c r="A1074" s="2062" t="s">
        <v>625</v>
      </c>
      <c r="B1074" s="2062"/>
      <c r="C1074" s="318">
        <v>7</v>
      </c>
      <c r="D1074" s="1934" t="s">
        <v>1210</v>
      </c>
      <c r="E1074" s="1934"/>
      <c r="F1074" s="1934"/>
      <c r="G1074" s="1934"/>
      <c r="H1074" s="1934"/>
      <c r="I1074" s="1934"/>
      <c r="J1074" s="1934"/>
      <c r="K1074" s="1934"/>
      <c r="L1074" s="1934"/>
      <c r="M1074" s="1934"/>
      <c r="N1074" s="1934"/>
      <c r="O1074" s="1934"/>
      <c r="P1074" s="1934"/>
      <c r="Q1074" s="1934"/>
      <c r="R1074" s="1934"/>
      <c r="S1074" s="1934"/>
      <c r="T1074" s="1934"/>
      <c r="U1074" s="1934"/>
      <c r="V1074" s="1934"/>
      <c r="W1074" s="1934"/>
      <c r="X1074" s="1934"/>
      <c r="Y1074" s="1934"/>
      <c r="Z1074" s="1934"/>
      <c r="AA1074" s="1934"/>
      <c r="AB1074" s="1934"/>
      <c r="AC1074" s="1934"/>
      <c r="AD1074" s="1934"/>
      <c r="AE1074" s="1934"/>
      <c r="AF1074" s="1934"/>
      <c r="AG1074" s="1934"/>
      <c r="AH1074" s="1934"/>
      <c r="AI1074" s="1934"/>
      <c r="AJ1074" s="1934"/>
      <c r="AK1074" s="1934"/>
      <c r="AL1074" s="32"/>
      <c r="AM1074" s="1510"/>
      <c r="AN1074" s="1510"/>
      <c r="AO1074" s="1510"/>
      <c r="AP1074" s="1510"/>
      <c r="AQ1074" s="1510"/>
      <c r="AR1074" s="1510"/>
      <c r="AS1074" s="1510"/>
      <c r="AT1074" s="1510"/>
      <c r="AU1074" s="1510"/>
      <c r="AV1074" s="1510"/>
      <c r="AW1074" s="1510"/>
      <c r="AX1074" s="1510"/>
      <c r="AY1074" s="1510"/>
    </row>
    <row r="1075" spans="1:96" ht="12.6" customHeight="1">
      <c r="A1075" s="235"/>
      <c r="B1075" s="235"/>
      <c r="C1075" s="319"/>
      <c r="D1075" s="1934"/>
      <c r="E1075" s="1934"/>
      <c r="F1075" s="1934"/>
      <c r="G1075" s="1934"/>
      <c r="H1075" s="1934"/>
      <c r="I1075" s="1934"/>
      <c r="J1075" s="1934"/>
      <c r="K1075" s="1934"/>
      <c r="L1075" s="1934"/>
      <c r="M1075" s="1934"/>
      <c r="N1075" s="1934"/>
      <c r="O1075" s="1934"/>
      <c r="P1075" s="1934"/>
      <c r="Q1075" s="1934"/>
      <c r="R1075" s="1934"/>
      <c r="S1075" s="1934"/>
      <c r="T1075" s="1934"/>
      <c r="U1075" s="1934"/>
      <c r="V1075" s="1934"/>
      <c r="W1075" s="1934"/>
      <c r="X1075" s="1934"/>
      <c r="Y1075" s="1934"/>
      <c r="Z1075" s="1934"/>
      <c r="AA1075" s="1934"/>
      <c r="AB1075" s="1934"/>
      <c r="AC1075" s="1934"/>
      <c r="AD1075" s="1934"/>
      <c r="AE1075" s="1934"/>
      <c r="AF1075" s="1934"/>
      <c r="AG1075" s="1934"/>
      <c r="AH1075" s="1934"/>
      <c r="AI1075" s="1934"/>
      <c r="AJ1075" s="1934"/>
      <c r="AK1075" s="1934"/>
    </row>
    <row r="1076" spans="1:96" ht="12.6" customHeight="1">
      <c r="A1076" s="235"/>
      <c r="B1076" s="235"/>
      <c r="C1076" s="319"/>
      <c r="D1076" s="1934"/>
      <c r="E1076" s="1934"/>
      <c r="F1076" s="1934"/>
      <c r="G1076" s="1934"/>
      <c r="H1076" s="1934"/>
      <c r="I1076" s="1934"/>
      <c r="J1076" s="1934"/>
      <c r="K1076" s="1934"/>
      <c r="L1076" s="1934"/>
      <c r="M1076" s="1934"/>
      <c r="N1076" s="1934"/>
      <c r="O1076" s="1934"/>
      <c r="P1076" s="1934"/>
      <c r="Q1076" s="1934"/>
      <c r="R1076" s="1934"/>
      <c r="S1076" s="1934"/>
      <c r="T1076" s="1934"/>
      <c r="U1076" s="1934"/>
      <c r="V1076" s="1934"/>
      <c r="W1076" s="1934"/>
      <c r="X1076" s="1934"/>
      <c r="Y1076" s="1934"/>
      <c r="Z1076" s="1934"/>
      <c r="AA1076" s="1934"/>
      <c r="AB1076" s="1934"/>
      <c r="AC1076" s="1934"/>
      <c r="AD1076" s="1934"/>
      <c r="AE1076" s="1934"/>
      <c r="AF1076" s="1934"/>
      <c r="AG1076" s="1934"/>
      <c r="AH1076" s="1934"/>
      <c r="AI1076" s="1934"/>
      <c r="AJ1076" s="1934"/>
      <c r="AK1076" s="1934"/>
    </row>
    <row r="1077" spans="1:96" s="682" customFormat="1" ht="12.6" customHeight="1">
      <c r="A1077" s="62"/>
      <c r="B1077" s="66"/>
      <c r="C1077" s="318"/>
      <c r="D1077" s="1934"/>
      <c r="E1077" s="1934"/>
      <c r="F1077" s="1934"/>
      <c r="G1077" s="1934"/>
      <c r="H1077" s="1934"/>
      <c r="I1077" s="1934"/>
      <c r="J1077" s="1934"/>
      <c r="K1077" s="1934"/>
      <c r="L1077" s="1934"/>
      <c r="M1077" s="1934"/>
      <c r="N1077" s="1934"/>
      <c r="O1077" s="1934"/>
      <c r="P1077" s="1934"/>
      <c r="Q1077" s="1934"/>
      <c r="R1077" s="1934"/>
      <c r="S1077" s="1934"/>
      <c r="T1077" s="1934"/>
      <c r="U1077" s="1934"/>
      <c r="V1077" s="1934"/>
      <c r="W1077" s="1934"/>
      <c r="X1077" s="1934"/>
      <c r="Y1077" s="1934"/>
      <c r="Z1077" s="1934"/>
      <c r="AA1077" s="1934"/>
      <c r="AB1077" s="1934"/>
      <c r="AC1077" s="1934"/>
      <c r="AD1077" s="1934"/>
      <c r="AE1077" s="1934"/>
      <c r="AF1077" s="1934"/>
      <c r="AG1077" s="1934"/>
      <c r="AH1077" s="1934"/>
      <c r="AI1077" s="1934"/>
      <c r="AJ1077" s="1934"/>
      <c r="AK1077" s="1934"/>
      <c r="AL1077" s="12"/>
      <c r="AM1077" s="39"/>
      <c r="AN1077" s="39"/>
      <c r="AO1077" s="39"/>
      <c r="AP1077" s="39"/>
      <c r="AQ1077" s="39"/>
      <c r="AR1077" s="39"/>
      <c r="AS1077" s="39"/>
      <c r="AT1077" s="39"/>
      <c r="AU1077" s="39"/>
      <c r="AV1077" s="39"/>
      <c r="AW1077" s="39"/>
      <c r="AX1077" s="39"/>
      <c r="AY1077" s="39"/>
      <c r="CR1077" s="25"/>
    </row>
    <row r="1078" spans="1:96" ht="12.6" customHeight="1">
      <c r="A1078" s="2062" t="s">
        <v>625</v>
      </c>
      <c r="B1078" s="2062"/>
      <c r="C1078" s="318">
        <v>8</v>
      </c>
      <c r="D1078" s="2374" t="s">
        <v>2168</v>
      </c>
      <c r="E1078" s="2374"/>
      <c r="F1078" s="2374"/>
      <c r="G1078" s="2374"/>
      <c r="H1078" s="2374"/>
      <c r="I1078" s="2374"/>
      <c r="J1078" s="2374"/>
      <c r="K1078" s="2374"/>
      <c r="L1078" s="2374"/>
      <c r="M1078" s="2374"/>
      <c r="N1078" s="2374"/>
      <c r="O1078" s="2374"/>
      <c r="P1078" s="2374"/>
      <c r="Q1078" s="2374"/>
      <c r="R1078" s="2374"/>
      <c r="S1078" s="2374"/>
      <c r="T1078" s="2374"/>
      <c r="U1078" s="2374"/>
      <c r="V1078" s="2374"/>
      <c r="W1078" s="2374"/>
      <c r="X1078" s="2374"/>
      <c r="Y1078" s="2374"/>
      <c r="Z1078" s="2374"/>
      <c r="AA1078" s="2374"/>
      <c r="AB1078" s="2374"/>
      <c r="AC1078" s="2374"/>
      <c r="AD1078" s="2374"/>
      <c r="AE1078" s="2374"/>
      <c r="AF1078" s="2374"/>
      <c r="AG1078" s="2374"/>
      <c r="AH1078" s="2374"/>
      <c r="AI1078" s="2374"/>
      <c r="AJ1078" s="2374"/>
      <c r="AK1078" s="2374"/>
    </row>
    <row r="1079" spans="1:96" ht="12.6" customHeight="1">
      <c r="A1079" s="235"/>
      <c r="B1079" s="235"/>
      <c r="C1079" s="318"/>
      <c r="D1079" s="2374"/>
      <c r="E1079" s="2374"/>
      <c r="F1079" s="2374"/>
      <c r="G1079" s="2374"/>
      <c r="H1079" s="2374"/>
      <c r="I1079" s="2374"/>
      <c r="J1079" s="2374"/>
      <c r="K1079" s="2374"/>
      <c r="L1079" s="2374"/>
      <c r="M1079" s="2374"/>
      <c r="N1079" s="2374"/>
      <c r="O1079" s="2374"/>
      <c r="P1079" s="2374"/>
      <c r="Q1079" s="2374"/>
      <c r="R1079" s="2374"/>
      <c r="S1079" s="2374"/>
      <c r="T1079" s="2374"/>
      <c r="U1079" s="2374"/>
      <c r="V1079" s="2374"/>
      <c r="W1079" s="2374"/>
      <c r="X1079" s="2374"/>
      <c r="Y1079" s="2374"/>
      <c r="Z1079" s="2374"/>
      <c r="AA1079" s="2374"/>
      <c r="AB1079" s="2374"/>
      <c r="AC1079" s="2374"/>
      <c r="AD1079" s="2374"/>
      <c r="AE1079" s="2374"/>
      <c r="AF1079" s="2374"/>
      <c r="AG1079" s="2374"/>
      <c r="AH1079" s="2374"/>
      <c r="AI1079" s="2374"/>
      <c r="AJ1079" s="2374"/>
      <c r="AK1079" s="2374"/>
    </row>
    <row r="1080" spans="1:96" ht="12.6" customHeight="1">
      <c r="A1080" s="235"/>
      <c r="B1080" s="235"/>
      <c r="C1080" s="318"/>
      <c r="D1080" s="2374"/>
      <c r="E1080" s="2374"/>
      <c r="F1080" s="2374"/>
      <c r="G1080" s="2374"/>
      <c r="H1080" s="2374"/>
      <c r="I1080" s="2374"/>
      <c r="J1080" s="2374"/>
      <c r="K1080" s="2374"/>
      <c r="L1080" s="2374"/>
      <c r="M1080" s="2374"/>
      <c r="N1080" s="2374"/>
      <c r="O1080" s="2374"/>
      <c r="P1080" s="2374"/>
      <c r="Q1080" s="2374"/>
      <c r="R1080" s="2374"/>
      <c r="S1080" s="2374"/>
      <c r="T1080" s="2374"/>
      <c r="U1080" s="2374"/>
      <c r="V1080" s="2374"/>
      <c r="W1080" s="2374"/>
      <c r="X1080" s="2374"/>
      <c r="Y1080" s="2374"/>
      <c r="Z1080" s="2374"/>
      <c r="AA1080" s="2374"/>
      <c r="AB1080" s="2374"/>
      <c r="AC1080" s="2374"/>
      <c r="AD1080" s="2374"/>
      <c r="AE1080" s="2374"/>
      <c r="AF1080" s="2374"/>
      <c r="AG1080" s="2374"/>
      <c r="AH1080" s="2374"/>
      <c r="AI1080" s="2374"/>
      <c r="AJ1080" s="2374"/>
      <c r="AK1080" s="2374"/>
      <c r="AL1080" s="682"/>
    </row>
    <row r="1081" spans="1:96" ht="12" customHeight="1">
      <c r="A1081" s="62"/>
      <c r="B1081" s="66"/>
      <c r="C1081" s="318"/>
      <c r="D1081" s="2374"/>
      <c r="E1081" s="2374"/>
      <c r="F1081" s="2374"/>
      <c r="G1081" s="2374"/>
      <c r="H1081" s="2374"/>
      <c r="I1081" s="2374"/>
      <c r="J1081" s="2374"/>
      <c r="K1081" s="2374"/>
      <c r="L1081" s="2374"/>
      <c r="M1081" s="2374"/>
      <c r="N1081" s="2374"/>
      <c r="O1081" s="2374"/>
      <c r="P1081" s="2374"/>
      <c r="Q1081" s="2374"/>
      <c r="R1081" s="2374"/>
      <c r="S1081" s="2374"/>
      <c r="T1081" s="2374"/>
      <c r="U1081" s="2374"/>
      <c r="V1081" s="2374"/>
      <c r="W1081" s="2374"/>
      <c r="X1081" s="2374"/>
      <c r="Y1081" s="2374"/>
      <c r="Z1081" s="2374"/>
      <c r="AA1081" s="2374"/>
      <c r="AB1081" s="2374"/>
      <c r="AC1081" s="2374"/>
      <c r="AD1081" s="2374"/>
      <c r="AE1081" s="2374"/>
      <c r="AF1081" s="2374"/>
      <c r="AG1081" s="2374"/>
      <c r="AH1081" s="2374"/>
      <c r="AI1081" s="2374"/>
      <c r="AJ1081" s="2374"/>
      <c r="AK1081" s="2374"/>
    </row>
    <row r="1082" spans="1:96" ht="12.6" customHeight="1">
      <c r="A1082" s="2062" t="s">
        <v>625</v>
      </c>
      <c r="B1082" s="2062"/>
      <c r="C1082" s="318">
        <v>9</v>
      </c>
      <c r="D1082" s="1934" t="s">
        <v>1209</v>
      </c>
      <c r="E1082" s="1934"/>
      <c r="F1082" s="1934"/>
      <c r="G1082" s="1934"/>
      <c r="H1082" s="1934"/>
      <c r="I1082" s="1934"/>
      <c r="J1082" s="1934"/>
      <c r="K1082" s="1934"/>
      <c r="L1082" s="1934"/>
      <c r="M1082" s="1934"/>
      <c r="N1082" s="1934"/>
      <c r="O1082" s="1934"/>
      <c r="P1082" s="1934"/>
      <c r="Q1082" s="1934"/>
      <c r="R1082" s="1934"/>
      <c r="S1082" s="1934"/>
      <c r="T1082" s="1934"/>
      <c r="U1082" s="1934"/>
      <c r="V1082" s="1934"/>
      <c r="W1082" s="1934"/>
      <c r="X1082" s="1934"/>
      <c r="Y1082" s="1934"/>
      <c r="Z1082" s="1934"/>
      <c r="AA1082" s="1934"/>
      <c r="AB1082" s="1934"/>
      <c r="AC1082" s="1934"/>
      <c r="AD1082" s="1934"/>
      <c r="AE1082" s="1934"/>
      <c r="AF1082" s="1934"/>
      <c r="AG1082" s="1934"/>
      <c r="AH1082" s="1934"/>
      <c r="AI1082" s="1934"/>
      <c r="AJ1082" s="1934"/>
      <c r="AK1082" s="1934"/>
    </row>
    <row r="1083" spans="1:96" ht="15" customHeight="1">
      <c r="A1083" s="62"/>
      <c r="B1083" s="66"/>
      <c r="C1083" s="318"/>
      <c r="D1083" s="1934"/>
      <c r="E1083" s="1934"/>
      <c r="F1083" s="1934"/>
      <c r="G1083" s="1934"/>
      <c r="H1083" s="1934"/>
      <c r="I1083" s="1934"/>
      <c r="J1083" s="1934"/>
      <c r="K1083" s="1934"/>
      <c r="L1083" s="1934"/>
      <c r="M1083" s="1934"/>
      <c r="N1083" s="1934"/>
      <c r="O1083" s="1934"/>
      <c r="P1083" s="1934"/>
      <c r="Q1083" s="1934"/>
      <c r="R1083" s="1934"/>
      <c r="S1083" s="1934"/>
      <c r="T1083" s="1934"/>
      <c r="U1083" s="1934"/>
      <c r="V1083" s="1934"/>
      <c r="W1083" s="1934"/>
      <c r="X1083" s="1934"/>
      <c r="Y1083" s="1934"/>
      <c r="Z1083" s="1934"/>
      <c r="AA1083" s="1934"/>
      <c r="AB1083" s="1934"/>
      <c r="AC1083" s="1934"/>
      <c r="AD1083" s="1934"/>
      <c r="AE1083" s="1934"/>
      <c r="AF1083" s="1934"/>
      <c r="AG1083" s="1934"/>
      <c r="AH1083" s="1934"/>
      <c r="AI1083" s="1934"/>
      <c r="AJ1083" s="1934"/>
      <c r="AK1083" s="1934"/>
    </row>
    <row r="1084" spans="1:96" ht="15" customHeight="1">
      <c r="D1084" s="1934"/>
      <c r="E1084" s="1934"/>
      <c r="F1084" s="1934"/>
      <c r="G1084" s="1934"/>
      <c r="H1084" s="1934"/>
      <c r="I1084" s="1934"/>
      <c r="J1084" s="1934"/>
      <c r="K1084" s="1934"/>
      <c r="L1084" s="1934"/>
      <c r="M1084" s="1934"/>
      <c r="N1084" s="1934"/>
      <c r="O1084" s="1934"/>
      <c r="P1084" s="1934"/>
      <c r="Q1084" s="1934"/>
      <c r="R1084" s="1934"/>
      <c r="S1084" s="1934"/>
      <c r="T1084" s="1934"/>
      <c r="U1084" s="1934"/>
      <c r="V1084" s="1934"/>
      <c r="W1084" s="1934"/>
      <c r="X1084" s="1934"/>
      <c r="Y1084" s="1934"/>
      <c r="Z1084" s="1934"/>
      <c r="AA1084" s="1934"/>
      <c r="AB1084" s="1934"/>
      <c r="AC1084" s="1934"/>
      <c r="AD1084" s="1934"/>
      <c r="AE1084" s="1934"/>
      <c r="AF1084" s="1934"/>
      <c r="AG1084" s="1934"/>
      <c r="AH1084" s="1934"/>
      <c r="AI1084" s="1934"/>
      <c r="AJ1084" s="1934"/>
      <c r="AK1084" s="1934"/>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BE615:BF615"/>
    <mergeCell ref="D444:AF444"/>
    <mergeCell ref="B513:H514"/>
    <mergeCell ref="AI615:AK615"/>
    <mergeCell ref="T490:X490"/>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3:BF613"/>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8:AK498"/>
    <mergeCell ref="T565:V565"/>
    <mergeCell ref="T566:V566"/>
    <mergeCell ref="AE564:AH564"/>
    <mergeCell ref="L520:AB520"/>
    <mergeCell ref="Z566:AD566"/>
    <mergeCell ref="Y494:AC494"/>
    <mergeCell ref="AE567:AH567"/>
    <mergeCell ref="AH527:AK527"/>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C569:P569"/>
    <mergeCell ref="C570:P570"/>
    <mergeCell ref="AE571:AH571"/>
    <mergeCell ref="AH544:AK544"/>
    <mergeCell ref="AM573:AS573"/>
    <mergeCell ref="AM568:AS568"/>
    <mergeCell ref="AM563:AS563"/>
    <mergeCell ref="AM567:AS567"/>
    <mergeCell ref="Z582:AE58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67:AD567"/>
    <mergeCell ref="AH542:AK542"/>
    <mergeCell ref="AI570:AL570"/>
    <mergeCell ref="AE574:AH574"/>
    <mergeCell ref="AH553:AK553"/>
    <mergeCell ref="AC547:AF547"/>
    <mergeCell ref="AE563:AH563"/>
    <mergeCell ref="AM574:AS574"/>
    <mergeCell ref="Z563:AD563"/>
    <mergeCell ref="AM566:AS566"/>
    <mergeCell ref="AH532:AK532"/>
    <mergeCell ref="T564:V564"/>
    <mergeCell ref="B563:P563"/>
    <mergeCell ref="AC528:AF528"/>
    <mergeCell ref="T568:V568"/>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B576:AL576"/>
    <mergeCell ref="T575:V575"/>
    <mergeCell ref="W569:Y569"/>
    <mergeCell ref="W570:Y570"/>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H533:AK533"/>
    <mergeCell ref="AC529:AF529"/>
    <mergeCell ref="AC530:AF530"/>
    <mergeCell ref="AH536:AK536"/>
    <mergeCell ref="AH537:AK537"/>
    <mergeCell ref="Q499:AK499"/>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BS641:BW641"/>
    <mergeCell ref="CH644:CL644"/>
    <mergeCell ref="BX629:CB629"/>
    <mergeCell ref="CC629:CG629"/>
    <mergeCell ref="BS653:BW653"/>
    <mergeCell ref="BS655:BW655"/>
    <mergeCell ref="BE630:BF630"/>
    <mergeCell ref="CH663:CL663"/>
    <mergeCell ref="CM644:CQ644"/>
    <mergeCell ref="BK632:BL632"/>
    <mergeCell ref="CC640:CG640"/>
    <mergeCell ref="BN631:BR631"/>
    <mergeCell ref="BS631:BW631"/>
    <mergeCell ref="BX644:CB644"/>
    <mergeCell ref="CC644:CG644"/>
    <mergeCell ref="CC642:CG642"/>
    <mergeCell ref="CH641:CL641"/>
    <mergeCell ref="CM636:CQ636"/>
    <mergeCell ref="CC633:CG633"/>
    <mergeCell ref="BX649:CB649"/>
    <mergeCell ref="BG635:BH635"/>
    <mergeCell ref="BK635:BL635"/>
    <mergeCell ref="BN635:BR635"/>
    <mergeCell ref="BS635:BW635"/>
    <mergeCell ref="BK634:BL634"/>
    <mergeCell ref="BN634:BR634"/>
    <mergeCell ref="BG632:BH632"/>
    <mergeCell ref="BX631:CB631"/>
    <mergeCell ref="CC631:CG631"/>
    <mergeCell ref="CH631:CL631"/>
    <mergeCell ref="BI632:BJ632"/>
    <mergeCell ref="BX634:CB634"/>
    <mergeCell ref="CC634:CG634"/>
    <mergeCell ref="BX633:CB633"/>
    <mergeCell ref="BS649:BW649"/>
    <mergeCell ref="CC650:CG650"/>
    <mergeCell ref="CH626:CL626"/>
    <mergeCell ref="CH627:CL627"/>
    <mergeCell ref="CM632:CQ632"/>
    <mergeCell ref="CH632:CL632"/>
    <mergeCell ref="BX632:CB632"/>
    <mergeCell ref="BN632:BR632"/>
    <mergeCell ref="BS632:BW632"/>
    <mergeCell ref="BG631:BH631"/>
    <mergeCell ref="BI631:BJ631"/>
    <mergeCell ref="BK631:BL631"/>
    <mergeCell ref="BX640:CB640"/>
    <mergeCell ref="BX635:CB635"/>
    <mergeCell ref="CC635:CG635"/>
    <mergeCell ref="CM633:CQ633"/>
    <mergeCell ref="CM634:CQ634"/>
    <mergeCell ref="CM635:CQ635"/>
    <mergeCell ref="CM640:CQ640"/>
    <mergeCell ref="CH633:CL633"/>
    <mergeCell ref="CH628:CL628"/>
    <mergeCell ref="CH630:CL630"/>
    <mergeCell ref="BG630:BH630"/>
    <mergeCell ref="CH629:CL629"/>
    <mergeCell ref="CM625:CQ625"/>
    <mergeCell ref="CM626:CQ626"/>
    <mergeCell ref="CM627:CQ627"/>
    <mergeCell ref="CM628:CQ628"/>
    <mergeCell ref="CH635:CL635"/>
    <mergeCell ref="CH634:CL634"/>
    <mergeCell ref="CM629:CQ629"/>
    <mergeCell ref="CM630:CQ630"/>
    <mergeCell ref="CM631:CQ631"/>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BE629:BF629"/>
    <mergeCell ref="BI625:BJ625"/>
    <mergeCell ref="BK625:BL625"/>
    <mergeCell ref="BG625:BH625"/>
    <mergeCell ref="BG629:BH629"/>
    <mergeCell ref="BE628:BF628"/>
    <mergeCell ref="BE622:BF622"/>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BN629:BR629"/>
    <mergeCell ref="BS625:BW625"/>
    <mergeCell ref="BX625:CB625"/>
    <mergeCell ref="CC625:CG625"/>
    <mergeCell ref="BS627:BW627"/>
    <mergeCell ref="BX620:CB620"/>
    <mergeCell ref="BG626:BH626"/>
    <mergeCell ref="BK624:BL624"/>
    <mergeCell ref="BN624:BR624"/>
    <mergeCell ref="BG619:BH619"/>
    <mergeCell ref="BN625:BR625"/>
    <mergeCell ref="BE621:BF621"/>
    <mergeCell ref="BE620:BF620"/>
    <mergeCell ref="BE623:BF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21:CL621"/>
    <mergeCell ref="CH622:CL622"/>
    <mergeCell ref="CH624:CL624"/>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H615:CL615"/>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AA592:AK592"/>
    <mergeCell ref="AG593:AH593"/>
    <mergeCell ref="AI591:AK591"/>
    <mergeCell ref="G596:R596"/>
    <mergeCell ref="G613:R613"/>
    <mergeCell ref="N617:O617"/>
    <mergeCell ref="P607:R607"/>
    <mergeCell ref="G599:L599"/>
    <mergeCell ref="G591:L5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T492:X492"/>
    <mergeCell ref="T495:X495"/>
    <mergeCell ref="D470:V470"/>
    <mergeCell ref="B529:H531"/>
    <mergeCell ref="AC537:AF537"/>
    <mergeCell ref="AH540:AK540"/>
    <mergeCell ref="AC543:AF543"/>
    <mergeCell ref="AH543:AK543"/>
    <mergeCell ref="AH515:AK515"/>
    <mergeCell ref="T494:X494"/>
    <mergeCell ref="Y495:AC495"/>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D210:M210"/>
    <mergeCell ref="AI227:AJ227"/>
    <mergeCell ref="AI225:AJ225"/>
    <mergeCell ref="M234:AE234"/>
    <mergeCell ref="AF242:AK242"/>
    <mergeCell ref="T195:U195"/>
    <mergeCell ref="D219:Z219"/>
    <mergeCell ref="AC233:AE233"/>
    <mergeCell ref="M238:AE238"/>
    <mergeCell ref="X176:Y176"/>
    <mergeCell ref="X180:Y180"/>
    <mergeCell ref="AC244:AE244"/>
    <mergeCell ref="M245:AE245"/>
    <mergeCell ref="W244:X244"/>
    <mergeCell ref="U246:W246"/>
    <mergeCell ref="M236:AE236"/>
    <mergeCell ref="AI226:AJ226"/>
    <mergeCell ref="P290:R290"/>
    <mergeCell ref="AA296:AK296"/>
    <mergeCell ref="L273:AJ273"/>
    <mergeCell ref="I185:AE185"/>
    <mergeCell ref="N191:AE192"/>
    <mergeCell ref="AA248:AK248"/>
    <mergeCell ref="AA237:AK237"/>
    <mergeCell ref="AA298:AF298"/>
    <mergeCell ref="AA286:AK286"/>
    <mergeCell ref="T266:X266"/>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M235:R235"/>
    <mergeCell ref="Z235:AE235"/>
    <mergeCell ref="A221:AL222"/>
    <mergeCell ref="M237:T237"/>
    <mergeCell ref="Z203:AF205"/>
    <mergeCell ref="M254:R254"/>
    <mergeCell ref="P204:U204"/>
    <mergeCell ref="H287:R287"/>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M246:R246"/>
    <mergeCell ref="M251:AE251"/>
    <mergeCell ref="AA338:AF338"/>
    <mergeCell ref="Y132:AK132"/>
    <mergeCell ref="A11:AL11"/>
    <mergeCell ref="O155:AH155"/>
    <mergeCell ref="O153:AH153"/>
    <mergeCell ref="O154:AH154"/>
    <mergeCell ref="O156:AH156"/>
    <mergeCell ref="O157:X157"/>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P417:R417"/>
    <mergeCell ref="AG448:AJ448"/>
    <mergeCell ref="D464:V464"/>
    <mergeCell ref="W467:Y467"/>
    <mergeCell ref="AG379:AH379"/>
    <mergeCell ref="N377:P377"/>
    <mergeCell ref="Y484:AC485"/>
    <mergeCell ref="Q566:S566"/>
    <mergeCell ref="AI563:AL563"/>
    <mergeCell ref="A556:AS557"/>
    <mergeCell ref="AC553:AF553"/>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AM738:AO738"/>
    <mergeCell ref="AC730:AG730"/>
    <mergeCell ref="AC731:AG731"/>
    <mergeCell ref="T724:X727"/>
    <mergeCell ref="AC724:AG727"/>
    <mergeCell ref="O744:S744"/>
    <mergeCell ref="T738:X738"/>
    <mergeCell ref="AC735:AG735"/>
    <mergeCell ref="G697:L697"/>
    <mergeCell ref="T793:W793"/>
    <mergeCell ref="K728:N728"/>
    <mergeCell ref="K729:N729"/>
    <mergeCell ref="G653:R653"/>
    <mergeCell ref="AG699:AH699"/>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926:Z926"/>
    <mergeCell ref="AA926:AF926"/>
    <mergeCell ref="AA915:AF915"/>
    <mergeCell ref="Z896:AE896"/>
    <mergeCell ref="W870:AC870"/>
    <mergeCell ref="AC882:AH882"/>
    <mergeCell ref="W873:AC873"/>
    <mergeCell ref="T856:V856"/>
    <mergeCell ref="T858:V858"/>
    <mergeCell ref="W865:AC865"/>
    <mergeCell ref="U919:Z919"/>
    <mergeCell ref="AA921:AF921"/>
    <mergeCell ref="A907:AL908"/>
    <mergeCell ref="AA956:AG956"/>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U920:Z92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940:S940"/>
    <mergeCell ref="AA933:AF933"/>
    <mergeCell ref="AA919:AF919"/>
    <mergeCell ref="A963:AS96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AA951:AG951"/>
    <mergeCell ref="AA957:AG957"/>
    <mergeCell ref="M955:S955"/>
    <mergeCell ref="W864:AC864"/>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C740:AG740"/>
    <mergeCell ref="AC741:AG741"/>
    <mergeCell ref="K740:N740"/>
    <mergeCell ref="Y741:AB741"/>
    <mergeCell ref="AC736:AG736"/>
    <mergeCell ref="B740:F740"/>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O739:S739"/>
    <mergeCell ref="AC737:AG737"/>
    <mergeCell ref="Y799:AC799"/>
    <mergeCell ref="J782:N785"/>
    <mergeCell ref="T753:X753"/>
    <mergeCell ref="Y744:AB744"/>
    <mergeCell ref="Y745:AB745"/>
    <mergeCell ref="T794:W794"/>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O729:S729"/>
    <mergeCell ref="N683:O683"/>
    <mergeCell ref="H690:R690"/>
    <mergeCell ref="G672:R672"/>
    <mergeCell ref="P665:R665"/>
    <mergeCell ref="Z696:AK696"/>
    <mergeCell ref="G681:L681"/>
    <mergeCell ref="E717:AK717"/>
    <mergeCell ref="W716:AK716"/>
    <mergeCell ref="AA698:AK698"/>
    <mergeCell ref="N659:O659"/>
    <mergeCell ref="AE708:AI708"/>
    <mergeCell ref="G670:R670"/>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CS613:CW613"/>
    <mergeCell ref="CX617:DB617"/>
    <mergeCell ref="CS615:CW615"/>
    <mergeCell ref="CX615:DB615"/>
    <mergeCell ref="DC630:DG630"/>
    <mergeCell ref="DH630:DL630"/>
    <mergeCell ref="G662:R662"/>
    <mergeCell ref="R640:T640"/>
    <mergeCell ref="R641:T641"/>
    <mergeCell ref="AO649:AS649"/>
    <mergeCell ref="BS656:BW656"/>
    <mergeCell ref="BS657:BW657"/>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F640:AJ640"/>
    <mergeCell ref="AF641:AJ641"/>
    <mergeCell ref="AF642:AJ642"/>
    <mergeCell ref="Z612:AK612"/>
    <mergeCell ref="Z623:AE623"/>
    <mergeCell ref="G620:R620"/>
    <mergeCell ref="H624:R624"/>
    <mergeCell ref="AO646:AS646"/>
    <mergeCell ref="AO637:AS637"/>
    <mergeCell ref="R643:T643"/>
    <mergeCell ref="R644:T644"/>
    <mergeCell ref="O647:Q647"/>
    <mergeCell ref="O648:Q648"/>
    <mergeCell ref="AA322:AF322"/>
    <mergeCell ref="P322:R322"/>
    <mergeCell ref="DH609:DL609"/>
    <mergeCell ref="AA318:AK318"/>
    <mergeCell ref="H319:R319"/>
    <mergeCell ref="P345:AE345"/>
    <mergeCell ref="H330:M330"/>
    <mergeCell ref="H340:R340"/>
    <mergeCell ref="H337:R337"/>
    <mergeCell ref="P344:AE344"/>
    <mergeCell ref="H322:M322"/>
    <mergeCell ref="DM609:DQ609"/>
    <mergeCell ref="DR612:DV612"/>
    <mergeCell ref="AP204:AQ204"/>
    <mergeCell ref="I420:K420"/>
    <mergeCell ref="AA321:AK321"/>
    <mergeCell ref="H335:R335"/>
    <mergeCell ref="H327:R327"/>
    <mergeCell ref="T574:V574"/>
    <mergeCell ref="CS611:CW611"/>
    <mergeCell ref="CX609:DB609"/>
    <mergeCell ref="DH611:DL611"/>
    <mergeCell ref="AA340:AK340"/>
    <mergeCell ref="AA329:AK329"/>
    <mergeCell ref="H323:M323"/>
    <mergeCell ref="H318:R318"/>
    <mergeCell ref="AA320:AK320"/>
    <mergeCell ref="H324:R324"/>
    <mergeCell ref="N371:Q371"/>
    <mergeCell ref="I391:N391"/>
    <mergeCell ref="H334:R334"/>
    <mergeCell ref="M357:N357"/>
    <mergeCell ref="P343:AE343"/>
    <mergeCell ref="DR610:DV610"/>
    <mergeCell ref="CS609:CW609"/>
    <mergeCell ref="DC611:DG611"/>
    <mergeCell ref="DM611:DQ611"/>
    <mergeCell ref="DR611:DV611"/>
    <mergeCell ref="DM612:DQ612"/>
    <mergeCell ref="DM614:DQ614"/>
    <mergeCell ref="DR614:DV614"/>
    <mergeCell ref="DC609:DG609"/>
    <mergeCell ref="CX611:DB611"/>
    <mergeCell ref="DM616:DQ616"/>
    <mergeCell ref="DR616:DV616"/>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8:DV618"/>
    <mergeCell ref="CS617:CW617"/>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Z663:AK663"/>
    <mergeCell ref="AI665:AK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R626:DV626"/>
    <mergeCell ref="CS625:CW625"/>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AK644:AN644"/>
    <mergeCell ref="AK645:AN645"/>
    <mergeCell ref="AK646:AN646"/>
    <mergeCell ref="AK647:AN647"/>
    <mergeCell ref="AK648:AN648"/>
    <mergeCell ref="AF638:AJ638"/>
    <mergeCell ref="Z689:AE689"/>
    <mergeCell ref="BG851:BL851"/>
    <mergeCell ref="AO644:AS644"/>
    <mergeCell ref="AM741:AO741"/>
    <mergeCell ref="Z677:AK677"/>
    <mergeCell ref="Z672:AK672"/>
    <mergeCell ref="AM743:AO743"/>
    <mergeCell ref="AH753:AL753"/>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Z695:AK695"/>
    <mergeCell ref="K734:N734"/>
    <mergeCell ref="K735:N73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Y737:AB737"/>
    <mergeCell ref="AM737:AO737"/>
    <mergeCell ref="G679:R679"/>
    <mergeCell ref="AH749:AL749"/>
    <mergeCell ref="O776:S776"/>
    <mergeCell ref="AC795:AG795"/>
    <mergeCell ref="AC787:AG787"/>
    <mergeCell ref="P673:R673"/>
    <mergeCell ref="G669:R669"/>
    <mergeCell ref="AI689:AK689"/>
    <mergeCell ref="AG667:AH667"/>
    <mergeCell ref="G671:R671"/>
    <mergeCell ref="G739:J739"/>
    <mergeCell ref="O734:S734"/>
    <mergeCell ref="Z680:AK680"/>
    <mergeCell ref="R715:T715"/>
    <mergeCell ref="G728:J728"/>
    <mergeCell ref="W713:AK713"/>
    <mergeCell ref="G688:R688"/>
    <mergeCell ref="T735:X735"/>
    <mergeCell ref="T736:X736"/>
    <mergeCell ref="T737:X737"/>
    <mergeCell ref="AC734:AG734"/>
    <mergeCell ref="G673:L673"/>
    <mergeCell ref="Z687:AK687"/>
    <mergeCell ref="G693:R693"/>
    <mergeCell ref="AI681:AK681"/>
    <mergeCell ref="G744:J744"/>
    <mergeCell ref="Y742:AB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H728:AL728"/>
    <mergeCell ref="O742:S742"/>
    <mergeCell ref="O743:S743"/>
    <mergeCell ref="H682:R682"/>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N675:O675"/>
    <mergeCell ref="T742:X742"/>
    <mergeCell ref="T743:X743"/>
    <mergeCell ref="T744:X744"/>
    <mergeCell ref="O740:S740"/>
    <mergeCell ref="O741:S7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O634:Q636"/>
    <mergeCell ref="R634:T636"/>
    <mergeCell ref="B634:N636"/>
    <mergeCell ref="C637:N637"/>
    <mergeCell ref="C638:N638"/>
    <mergeCell ref="C639:N639"/>
    <mergeCell ref="C640:N640"/>
    <mergeCell ref="C641:N641"/>
    <mergeCell ref="C642:N642"/>
    <mergeCell ref="Z898:AE898"/>
    <mergeCell ref="AC751:AG751"/>
    <mergeCell ref="AC752:AG752"/>
    <mergeCell ref="AM740:AO740"/>
    <mergeCell ref="Z812:AE812"/>
    <mergeCell ref="W843:AC843"/>
    <mergeCell ref="AM733:AO733"/>
    <mergeCell ref="AM729:AO729"/>
    <mergeCell ref="AC728:AG728"/>
    <mergeCell ref="G686:R686"/>
    <mergeCell ref="U928:Z928"/>
    <mergeCell ref="AG821:AJ822"/>
    <mergeCell ref="W852:AC852"/>
    <mergeCell ref="W860:AC860"/>
    <mergeCell ref="M859:V859"/>
    <mergeCell ref="K741:N741"/>
    <mergeCell ref="K742:N742"/>
    <mergeCell ref="K743:N743"/>
    <mergeCell ref="T741:X741"/>
    <mergeCell ref="AH729:AL729"/>
    <mergeCell ref="G687:R687"/>
    <mergeCell ref="Y730:AB730"/>
    <mergeCell ref="Z688:AK688"/>
    <mergeCell ref="G695:R695"/>
    <mergeCell ref="H698:R698"/>
    <mergeCell ref="K738:N738"/>
    <mergeCell ref="K739:N739"/>
    <mergeCell ref="Z686:AK686"/>
    <mergeCell ref="AI697:AK697"/>
    <mergeCell ref="AA690:AK690"/>
    <mergeCell ref="AM739:AO739"/>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O752:S752"/>
    <mergeCell ref="O789:S789"/>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M959:S959"/>
    <mergeCell ref="M953:S953"/>
    <mergeCell ref="M952:S952"/>
    <mergeCell ref="AC885:AH885"/>
    <mergeCell ref="AE943:AK943"/>
    <mergeCell ref="W958:AG958"/>
    <mergeCell ref="AA955:AG955"/>
    <mergeCell ref="AE946:AK946"/>
    <mergeCell ref="AA922:AF922"/>
    <mergeCell ref="AE942:AK942"/>
    <mergeCell ref="AA952:AG952"/>
    <mergeCell ref="AE939:AK93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B741:F741"/>
    <mergeCell ref="M824:P824"/>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M942:S942"/>
    <mergeCell ref="W876:AC876"/>
    <mergeCell ref="M873:V873"/>
    <mergeCell ref="W875:AC875"/>
    <mergeCell ref="U932:Z932"/>
    <mergeCell ref="D1024:AE1024"/>
    <mergeCell ref="D993:AE994"/>
    <mergeCell ref="AH750:AL750"/>
    <mergeCell ref="AH751:AL751"/>
    <mergeCell ref="AH747:AL747"/>
    <mergeCell ref="AC750:AG750"/>
    <mergeCell ref="J789:N789"/>
    <mergeCell ref="AH792:AL792"/>
    <mergeCell ref="AH793:AL793"/>
    <mergeCell ref="AH794:AL794"/>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X776:AB776"/>
    <mergeCell ref="X768:AB771"/>
    <mergeCell ref="K750:N750"/>
    <mergeCell ref="M869:V869"/>
    <mergeCell ref="Y828:AB828"/>
    <mergeCell ref="AA953:AG953"/>
    <mergeCell ref="T956:Z956"/>
    <mergeCell ref="AA928:AF928"/>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O646:Q646"/>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DR629:DV629"/>
    <mergeCell ref="CS630:CW630"/>
    <mergeCell ref="CX630:DB630"/>
    <mergeCell ref="DM618:DQ618"/>
    <mergeCell ref="DM626:DQ626"/>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H326:R326"/>
    <mergeCell ref="AA334:AK334"/>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79" zoomScaleNormal="40" zoomScaleSheetLayoutView="80" workbookViewId="0">
      <selection activeCell="O7" sqref="O7"/>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606" t="s">
        <v>655</v>
      </c>
      <c r="G1" s="2607"/>
      <c r="H1" s="2607"/>
      <c r="I1" s="2607"/>
      <c r="J1" s="2607"/>
      <c r="K1" s="2607"/>
      <c r="L1" s="2607"/>
      <c r="M1" s="2607"/>
      <c r="N1" s="2607"/>
      <c r="O1" s="2607"/>
      <c r="P1" s="2607"/>
      <c r="Q1" s="2607"/>
      <c r="R1" s="2608"/>
      <c r="S1" s="168"/>
      <c r="T1" s="167"/>
      <c r="U1" s="169"/>
    </row>
    <row r="2" spans="1:21" s="208" customFormat="1" ht="71.25" customHeight="1">
      <c r="A2" s="207"/>
      <c r="B2" s="208" t="s">
        <v>24</v>
      </c>
      <c r="C2" s="208" t="s">
        <v>391</v>
      </c>
      <c r="D2" s="208" t="s">
        <v>390</v>
      </c>
      <c r="E2" s="208" t="s">
        <v>25</v>
      </c>
      <c r="F2" s="209" t="str">
        <f>Application!B637&amp;Application!C637</f>
        <v>1)Tax Exempt Perm Loan</v>
      </c>
      <c r="G2" s="209" t="str">
        <f>Application!B638&amp;Application!C638</f>
        <v>2)City of Carlsbad</v>
      </c>
      <c r="H2" s="209" t="str">
        <f>Application!B639&amp;Application!C639</f>
        <v>3)Deferred Developer Fee</v>
      </c>
      <c r="I2" s="209" t="str">
        <f>Application!B640&amp;Application!C640</f>
        <v>4)Income from Operations</v>
      </c>
      <c r="J2" s="209" t="str">
        <f>Application!B641&amp;Application!C641</f>
        <v>5)General Partner Equity</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9322237</v>
      </c>
      <c r="C4" s="217">
        <f>9595000-C9</f>
        <v>9322237</v>
      </c>
      <c r="D4" s="217"/>
      <c r="E4" s="217">
        <f>C4-G4</f>
        <v>2187000</v>
      </c>
      <c r="F4" s="217"/>
      <c r="G4" s="217">
        <f>7408000-G9</f>
        <v>7135237</v>
      </c>
      <c r="H4" s="217"/>
      <c r="I4" s="217"/>
      <c r="J4" s="217"/>
      <c r="K4" s="217"/>
      <c r="L4" s="217"/>
      <c r="M4" s="217"/>
      <c r="N4" s="217"/>
      <c r="O4" s="217"/>
      <c r="P4" s="217"/>
      <c r="Q4" s="217"/>
      <c r="R4" s="879">
        <f>SUM(E4:Q4)</f>
        <v>9322237</v>
      </c>
      <c r="S4" s="218"/>
      <c r="T4" s="218"/>
      <c r="U4" s="213"/>
    </row>
    <row r="5" spans="1:21" s="214" customFormat="1">
      <c r="A5" s="215" t="s">
        <v>29</v>
      </c>
      <c r="B5" s="216">
        <f>SUM(C5+D5)</f>
        <v>500000</v>
      </c>
      <c r="C5" s="217">
        <v>500000</v>
      </c>
      <c r="D5" s="217"/>
      <c r="E5" s="217">
        <f>C5</f>
        <v>500000</v>
      </c>
      <c r="F5" s="217"/>
      <c r="G5" s="217"/>
      <c r="H5" s="217"/>
      <c r="I5" s="217"/>
      <c r="J5" s="217"/>
      <c r="K5" s="217"/>
      <c r="L5" s="217"/>
      <c r="M5" s="217"/>
      <c r="N5" s="217"/>
      <c r="O5" s="217"/>
      <c r="P5" s="217"/>
      <c r="Q5" s="217"/>
      <c r="R5" s="879">
        <f>SUM(E5:Q5)</f>
        <v>500000</v>
      </c>
      <c r="S5" s="218"/>
      <c r="T5" s="218"/>
      <c r="U5" s="213"/>
    </row>
    <row r="6" spans="1:21" s="214" customFormat="1">
      <c r="A6" s="215" t="s">
        <v>30</v>
      </c>
      <c r="B6" s="216">
        <f>SUM(C6+D6)</f>
        <v>20000</v>
      </c>
      <c r="C6" s="217">
        <v>20000</v>
      </c>
      <c r="D6" s="217"/>
      <c r="E6" s="217">
        <f>C6</f>
        <v>20000</v>
      </c>
      <c r="F6" s="217"/>
      <c r="G6" s="217"/>
      <c r="H6" s="217"/>
      <c r="I6" s="217"/>
      <c r="J6" s="217"/>
      <c r="K6" s="217"/>
      <c r="L6" s="217"/>
      <c r="M6" s="217"/>
      <c r="N6" s="217"/>
      <c r="O6" s="217"/>
      <c r="P6" s="217"/>
      <c r="Q6" s="217"/>
      <c r="R6" s="879">
        <f>SUM(E6:Q6)</f>
        <v>20000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9842237</v>
      </c>
      <c r="C8" s="216">
        <f t="shared" ref="C8:Q8" si="0">SUM(C4:C7)</f>
        <v>9842237</v>
      </c>
      <c r="D8" s="216">
        <f t="shared" si="0"/>
        <v>0</v>
      </c>
      <c r="E8" s="216">
        <f t="shared" si="0"/>
        <v>2707000</v>
      </c>
      <c r="F8" s="216">
        <f t="shared" si="0"/>
        <v>0</v>
      </c>
      <c r="G8" s="216">
        <f t="shared" si="0"/>
        <v>7135237</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9842237</v>
      </c>
      <c r="S8" s="218"/>
      <c r="T8" s="218"/>
      <c r="U8" s="213"/>
    </row>
    <row r="9" spans="1:21" s="214" customFormat="1">
      <c r="A9" s="215" t="s">
        <v>628</v>
      </c>
      <c r="B9" s="216">
        <f>SUM(C9+D9)</f>
        <v>272763</v>
      </c>
      <c r="C9" s="217">
        <v>272763</v>
      </c>
      <c r="D9" s="217"/>
      <c r="E9" s="217"/>
      <c r="F9" s="217"/>
      <c r="G9" s="217">
        <f>C9</f>
        <v>272763</v>
      </c>
      <c r="H9" s="217"/>
      <c r="I9" s="217"/>
      <c r="J9" s="217"/>
      <c r="K9" s="217"/>
      <c r="L9" s="217"/>
      <c r="M9" s="217"/>
      <c r="N9" s="217"/>
      <c r="O9" s="217"/>
      <c r="P9" s="217"/>
      <c r="Q9" s="217"/>
      <c r="R9" s="879">
        <f>SUM(E9:Q9)</f>
        <v>272763</v>
      </c>
      <c r="S9" s="218"/>
      <c r="T9" s="217">
        <f>R9</f>
        <v>272763</v>
      </c>
      <c r="U9" s="213"/>
    </row>
    <row r="10" spans="1:21" s="214" customFormat="1">
      <c r="A10" s="215" t="s">
        <v>629</v>
      </c>
      <c r="B10" s="216">
        <f>SUM(C10+D10)</f>
        <v>250000</v>
      </c>
      <c r="C10" s="217">
        <v>250000</v>
      </c>
      <c r="D10" s="217"/>
      <c r="E10" s="217">
        <f>C10</f>
        <v>250000</v>
      </c>
      <c r="F10" s="217"/>
      <c r="G10" s="217"/>
      <c r="H10" s="217"/>
      <c r="I10" s="217"/>
      <c r="J10" s="217"/>
      <c r="K10" s="217"/>
      <c r="L10" s="217"/>
      <c r="M10" s="217"/>
      <c r="N10" s="217"/>
      <c r="O10" s="217"/>
      <c r="P10" s="217"/>
      <c r="Q10" s="217"/>
      <c r="R10" s="879">
        <f>SUM(E10:Q10)</f>
        <v>250000</v>
      </c>
      <c r="S10" s="217">
        <f>R10</f>
        <v>250000</v>
      </c>
      <c r="T10" s="217"/>
      <c r="U10" s="213"/>
    </row>
    <row r="11" spans="1:21" s="214" customFormat="1">
      <c r="A11" s="219" t="s">
        <v>630</v>
      </c>
      <c r="B11" s="216">
        <f>SUM(C11:D11)</f>
        <v>522763</v>
      </c>
      <c r="C11" s="216">
        <f t="shared" ref="C11:Q11" si="1">SUM(C9:C10)</f>
        <v>522763</v>
      </c>
      <c r="D11" s="216">
        <f t="shared" si="1"/>
        <v>0</v>
      </c>
      <c r="E11" s="216">
        <f t="shared" si="1"/>
        <v>250000</v>
      </c>
      <c r="F11" s="216">
        <f t="shared" si="1"/>
        <v>0</v>
      </c>
      <c r="G11" s="216">
        <f t="shared" si="1"/>
        <v>272763</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522763</v>
      </c>
      <c r="S11" s="218"/>
      <c r="T11" s="220">
        <f>SUM(T9:T10)</f>
        <v>272763</v>
      </c>
      <c r="U11" s="213"/>
    </row>
    <row r="12" spans="1:21" s="214" customFormat="1">
      <c r="A12" s="219" t="s">
        <v>89</v>
      </c>
      <c r="B12" s="216">
        <f t="shared" ref="B12:Q12" si="2">SUM(B8+B11)</f>
        <v>10365000</v>
      </c>
      <c r="C12" s="216">
        <f t="shared" si="2"/>
        <v>10365000</v>
      </c>
      <c r="D12" s="216">
        <f t="shared" si="2"/>
        <v>0</v>
      </c>
      <c r="E12" s="216">
        <f t="shared" si="2"/>
        <v>2957000</v>
      </c>
      <c r="F12" s="216">
        <f t="shared" si="2"/>
        <v>0</v>
      </c>
      <c r="G12" s="216">
        <f t="shared" si="2"/>
        <v>7408000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10365000</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f>R17</f>
        <v>0</v>
      </c>
      <c r="T17" s="217"/>
      <c r="U17" s="213"/>
    </row>
    <row r="18" spans="1:21" s="214" customFormat="1">
      <c r="A18" s="215" t="s">
        <v>633</v>
      </c>
      <c r="B18" s="216">
        <f t="shared" si="3"/>
        <v>150000</v>
      </c>
      <c r="C18" s="217">
        <v>150000</v>
      </c>
      <c r="D18" s="217"/>
      <c r="E18" s="217">
        <f>C18</f>
        <v>150000</v>
      </c>
      <c r="F18" s="217"/>
      <c r="G18" s="217"/>
      <c r="H18" s="217"/>
      <c r="I18" s="217"/>
      <c r="J18" s="217"/>
      <c r="K18" s="217"/>
      <c r="L18" s="217"/>
      <c r="M18" s="217"/>
      <c r="N18" s="217"/>
      <c r="O18" s="217"/>
      <c r="P18" s="217"/>
      <c r="Q18" s="217"/>
      <c r="R18" s="879">
        <f>SUM(E18:Q18)</f>
        <v>150000</v>
      </c>
      <c r="S18" s="217">
        <f>R18</f>
        <v>150000</v>
      </c>
      <c r="T18" s="217"/>
      <c r="U18" s="213"/>
    </row>
    <row r="19" spans="1:21" s="214" customFormat="1">
      <c r="A19" s="215" t="s">
        <v>634</v>
      </c>
      <c r="B19" s="216">
        <f t="shared" si="3"/>
        <v>9000</v>
      </c>
      <c r="C19" s="217">
        <v>9000</v>
      </c>
      <c r="D19" s="217"/>
      <c r="E19" s="217">
        <f>C19</f>
        <v>9000</v>
      </c>
      <c r="F19" s="217"/>
      <c r="G19" s="217"/>
      <c r="H19" s="217"/>
      <c r="I19" s="217"/>
      <c r="J19" s="217"/>
      <c r="K19" s="217"/>
      <c r="L19" s="217"/>
      <c r="M19" s="217"/>
      <c r="N19" s="217"/>
      <c r="O19" s="217"/>
      <c r="P19" s="217"/>
      <c r="Q19" s="217"/>
      <c r="R19" s="879">
        <f>SUM(E19:Q19)</f>
        <v>9000</v>
      </c>
      <c r="S19" s="217">
        <f>R19</f>
        <v>9000</v>
      </c>
      <c r="T19" s="217"/>
      <c r="U19" s="213"/>
    </row>
    <row r="20" spans="1:21" s="214" customFormat="1">
      <c r="A20" s="215" t="s">
        <v>142</v>
      </c>
      <c r="B20" s="216">
        <f t="shared" si="3"/>
        <v>3000</v>
      </c>
      <c r="C20" s="217">
        <f>3000</f>
        <v>3000</v>
      </c>
      <c r="D20" s="217"/>
      <c r="E20" s="217">
        <f>C20</f>
        <v>3000</v>
      </c>
      <c r="F20" s="217"/>
      <c r="G20" s="217"/>
      <c r="H20" s="217"/>
      <c r="I20" s="217"/>
      <c r="J20" s="217"/>
      <c r="K20" s="217"/>
      <c r="L20" s="217"/>
      <c r="M20" s="217"/>
      <c r="N20" s="217"/>
      <c r="O20" s="217"/>
      <c r="P20" s="217"/>
      <c r="Q20" s="217"/>
      <c r="R20" s="879">
        <f t="shared" ref="R20:R27" si="4">SUM(E20:Q20)</f>
        <v>3000</v>
      </c>
      <c r="S20" s="217">
        <f>R20</f>
        <v>3000</v>
      </c>
      <c r="T20" s="217"/>
      <c r="U20" s="213"/>
    </row>
    <row r="21" spans="1:21" s="214" customFormat="1">
      <c r="A21" s="215" t="s">
        <v>143</v>
      </c>
      <c r="B21" s="216">
        <f t="shared" si="3"/>
        <v>9000</v>
      </c>
      <c r="C21" s="217">
        <f>9000</f>
        <v>9000</v>
      </c>
      <c r="D21" s="217"/>
      <c r="E21" s="217">
        <f>C21</f>
        <v>9000</v>
      </c>
      <c r="F21" s="217"/>
      <c r="G21" s="217"/>
      <c r="H21" s="217"/>
      <c r="I21" s="217"/>
      <c r="J21" s="217"/>
      <c r="K21" s="217"/>
      <c r="L21" s="217"/>
      <c r="M21" s="217"/>
      <c r="N21" s="217"/>
      <c r="O21" s="217"/>
      <c r="P21" s="217"/>
      <c r="Q21" s="217"/>
      <c r="R21" s="879">
        <f t="shared" si="4"/>
        <v>9000</v>
      </c>
      <c r="S21" s="217">
        <f>R21</f>
        <v>9000</v>
      </c>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1858" t="s">
        <v>308</v>
      </c>
      <c r="B25" s="216">
        <f t="shared" si="3"/>
        <v>0</v>
      </c>
      <c r="C25" s="217"/>
      <c r="D25" s="217"/>
      <c r="E25" s="217"/>
      <c r="F25" s="217"/>
      <c r="G25" s="217"/>
      <c r="H25" s="217"/>
      <c r="I25" s="217"/>
      <c r="J25" s="217"/>
      <c r="K25" s="217"/>
      <c r="L25" s="217"/>
      <c r="M25" s="217"/>
      <c r="N25" s="217"/>
      <c r="O25" s="217"/>
      <c r="P25" s="217"/>
      <c r="Q25" s="217"/>
      <c r="R25" s="879">
        <f t="shared" si="4"/>
        <v>0</v>
      </c>
      <c r="S25" s="217">
        <f>R25</f>
        <v>0</v>
      </c>
      <c r="T25" s="217"/>
      <c r="U25" s="213"/>
    </row>
    <row r="26" spans="1:21" s="214" customFormat="1">
      <c r="A26" s="219" t="s">
        <v>138</v>
      </c>
      <c r="B26" s="216">
        <f t="shared" si="3"/>
        <v>171000</v>
      </c>
      <c r="C26" s="216">
        <f>SUM(C17:C25)</f>
        <v>171000</v>
      </c>
      <c r="D26" s="216">
        <f t="shared" ref="D26:Q26" si="5">SUM(D17:D25)</f>
        <v>0</v>
      </c>
      <c r="E26" s="216">
        <f t="shared" si="5"/>
        <v>171000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171000</v>
      </c>
      <c r="S26" s="220">
        <f>SUM(S17:S25)</f>
        <v>171000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3241000</v>
      </c>
      <c r="C29" s="217">
        <v>3241000</v>
      </c>
      <c r="D29" s="217"/>
      <c r="E29" s="217">
        <f>C29</f>
        <v>3241000</v>
      </c>
      <c r="F29" s="217"/>
      <c r="G29" s="217"/>
      <c r="H29" s="217"/>
      <c r="I29" s="217"/>
      <c r="J29" s="217"/>
      <c r="K29" s="217"/>
      <c r="L29" s="217"/>
      <c r="M29" s="217"/>
      <c r="N29" s="217"/>
      <c r="O29" s="217"/>
      <c r="P29" s="217"/>
      <c r="Q29" s="217"/>
      <c r="R29" s="879">
        <f t="shared" ref="R29:R37" si="7">SUM(E29:Q29)</f>
        <v>3241000</v>
      </c>
      <c r="S29" s="217">
        <f>R29</f>
        <v>3241000</v>
      </c>
      <c r="T29" s="217"/>
      <c r="U29" s="213"/>
    </row>
    <row r="30" spans="1:21" s="214" customFormat="1">
      <c r="A30" s="215" t="s">
        <v>633</v>
      </c>
      <c r="B30" s="216">
        <f t="shared" si="6"/>
        <v>19366405</v>
      </c>
      <c r="C30" s="217">
        <v>19366405</v>
      </c>
      <c r="D30" s="217"/>
      <c r="E30" s="217">
        <f>C30-F30</f>
        <v>6212135</v>
      </c>
      <c r="F30" s="217">
        <v>13154270</v>
      </c>
      <c r="G30" s="217"/>
      <c r="H30" s="217"/>
      <c r="I30" s="217"/>
      <c r="J30" s="217"/>
      <c r="K30" s="217"/>
      <c r="L30" s="217"/>
      <c r="M30" s="217"/>
      <c r="N30" s="217"/>
      <c r="O30" s="217"/>
      <c r="P30" s="217"/>
      <c r="Q30" s="217"/>
      <c r="R30" s="879">
        <f t="shared" si="7"/>
        <v>19366405</v>
      </c>
      <c r="S30" s="217">
        <f>R30</f>
        <v>19366405</v>
      </c>
      <c r="T30" s="217"/>
      <c r="U30" s="213"/>
    </row>
    <row r="31" spans="1:21" s="214" customFormat="1">
      <c r="A31" s="215" t="s">
        <v>634</v>
      </c>
      <c r="B31" s="216">
        <f t="shared" si="6"/>
        <v>1377984</v>
      </c>
      <c r="C31" s="217">
        <v>1377984</v>
      </c>
      <c r="D31" s="217"/>
      <c r="E31" s="217">
        <f>C31</f>
        <v>1377984</v>
      </c>
      <c r="F31" s="217"/>
      <c r="G31" s="217"/>
      <c r="H31" s="217"/>
      <c r="I31" s="217"/>
      <c r="J31" s="217"/>
      <c r="K31" s="217"/>
      <c r="L31" s="217"/>
      <c r="M31" s="217"/>
      <c r="N31" s="217"/>
      <c r="O31" s="217"/>
      <c r="P31" s="217"/>
      <c r="Q31" s="217"/>
      <c r="R31" s="879">
        <f t="shared" si="7"/>
        <v>1377984</v>
      </c>
      <c r="S31" s="217">
        <f>R31</f>
        <v>1377984</v>
      </c>
      <c r="T31" s="217"/>
      <c r="U31" s="213"/>
    </row>
    <row r="32" spans="1:21" s="214" customFormat="1">
      <c r="A32" s="215" t="s">
        <v>142</v>
      </c>
      <c r="B32" s="216">
        <f t="shared" si="6"/>
        <v>478948</v>
      </c>
      <c r="C32" s="217">
        <v>478948</v>
      </c>
      <c r="D32" s="217"/>
      <c r="E32" s="217">
        <f>C32</f>
        <v>478948</v>
      </c>
      <c r="F32" s="217"/>
      <c r="G32" s="217"/>
      <c r="H32" s="217"/>
      <c r="I32" s="217"/>
      <c r="J32" s="217"/>
      <c r="K32" s="217"/>
      <c r="L32" s="217"/>
      <c r="M32" s="217"/>
      <c r="N32" s="217"/>
      <c r="O32" s="217"/>
      <c r="P32" s="217"/>
      <c r="Q32" s="217"/>
      <c r="R32" s="879">
        <f t="shared" si="7"/>
        <v>478948</v>
      </c>
      <c r="S32" s="217">
        <f>R32</f>
        <v>478948</v>
      </c>
      <c r="T32" s="217"/>
      <c r="U32" s="213"/>
    </row>
    <row r="33" spans="1:21" s="214" customFormat="1">
      <c r="A33" s="215" t="s">
        <v>143</v>
      </c>
      <c r="B33" s="216">
        <f t="shared" si="6"/>
        <v>1463843</v>
      </c>
      <c r="C33" s="217">
        <v>1463843</v>
      </c>
      <c r="D33" s="217"/>
      <c r="E33" s="217">
        <f>C33</f>
        <v>1463843</v>
      </c>
      <c r="F33" s="217"/>
      <c r="G33" s="217"/>
      <c r="H33" s="217"/>
      <c r="I33" s="217"/>
      <c r="J33" s="217"/>
      <c r="K33" s="217"/>
      <c r="L33" s="217"/>
      <c r="M33" s="217"/>
      <c r="N33" s="217"/>
      <c r="O33" s="217"/>
      <c r="P33" s="217"/>
      <c r="Q33" s="217"/>
      <c r="R33" s="879">
        <f t="shared" si="7"/>
        <v>1463843</v>
      </c>
      <c r="S33" s="217">
        <f>R33</f>
        <v>1463843</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60000</v>
      </c>
      <c r="C35" s="217">
        <v>60000</v>
      </c>
      <c r="D35" s="217"/>
      <c r="E35" s="217">
        <f>C35</f>
        <v>60000</v>
      </c>
      <c r="F35" s="217"/>
      <c r="G35" s="217"/>
      <c r="H35" s="217"/>
      <c r="I35" s="217"/>
      <c r="J35" s="217"/>
      <c r="K35" s="217"/>
      <c r="L35" s="217"/>
      <c r="M35" s="217"/>
      <c r="N35" s="217"/>
      <c r="O35" s="217"/>
      <c r="P35" s="217"/>
      <c r="Q35" s="217"/>
      <c r="R35" s="879">
        <f t="shared" si="7"/>
        <v>60000</v>
      </c>
      <c r="S35" s="217">
        <f>R35</f>
        <v>60000</v>
      </c>
      <c r="T35" s="217"/>
      <c r="U35" s="213"/>
    </row>
    <row r="36" spans="1:21" s="214" customFormat="1">
      <c r="A36" s="1808" t="s">
        <v>1993</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1858" t="s">
        <v>308</v>
      </c>
      <c r="B37" s="216">
        <f t="shared" si="6"/>
        <v>0</v>
      </c>
      <c r="C37" s="217"/>
      <c r="D37" s="217"/>
      <c r="E37" s="217">
        <f>C37</f>
        <v>0</v>
      </c>
      <c r="F37" s="217"/>
      <c r="G37" s="217"/>
      <c r="H37" s="217"/>
      <c r="I37" s="217"/>
      <c r="J37" s="217"/>
      <c r="K37" s="217"/>
      <c r="L37" s="217"/>
      <c r="M37" s="217"/>
      <c r="N37" s="217"/>
      <c r="O37" s="217"/>
      <c r="P37" s="217"/>
      <c r="Q37" s="217"/>
      <c r="R37" s="879">
        <f t="shared" si="7"/>
        <v>0</v>
      </c>
      <c r="S37" s="217">
        <f>R37</f>
        <v>0</v>
      </c>
      <c r="T37" s="217"/>
      <c r="U37" s="213"/>
    </row>
    <row r="38" spans="1:21" s="214" customFormat="1">
      <c r="A38" s="219" t="s">
        <v>148</v>
      </c>
      <c r="B38" s="216">
        <f t="shared" si="6"/>
        <v>25988180</v>
      </c>
      <c r="C38" s="216">
        <f>SUM(C29:C37)</f>
        <v>25988180</v>
      </c>
      <c r="D38" s="216">
        <f t="shared" ref="D38:Q38" si="8">SUM(D29:D37)</f>
        <v>0</v>
      </c>
      <c r="E38" s="216">
        <f t="shared" si="8"/>
        <v>12833910</v>
      </c>
      <c r="F38" s="216">
        <f t="shared" si="8"/>
        <v>13154270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25988180</v>
      </c>
      <c r="S38" s="220">
        <f>SUM(S29:S37)</f>
        <v>25988180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746812</v>
      </c>
      <c r="C40" s="217">
        <v>746812</v>
      </c>
      <c r="D40" s="217"/>
      <c r="E40" s="217">
        <f>C40</f>
        <v>746812</v>
      </c>
      <c r="F40" s="217"/>
      <c r="G40" s="217"/>
      <c r="H40" s="217"/>
      <c r="I40" s="217"/>
      <c r="J40" s="217"/>
      <c r="K40" s="217"/>
      <c r="L40" s="217"/>
      <c r="M40" s="217"/>
      <c r="N40" s="217"/>
      <c r="O40" s="217"/>
      <c r="P40" s="217"/>
      <c r="Q40" s="217"/>
      <c r="R40" s="879">
        <f>SUM(E40:Q40)</f>
        <v>746812</v>
      </c>
      <c r="S40" s="217">
        <f>R40</f>
        <v>746812</v>
      </c>
      <c r="T40" s="217"/>
      <c r="U40" s="213"/>
    </row>
    <row r="41" spans="1:21" s="214" customFormat="1">
      <c r="A41" s="215" t="s">
        <v>151</v>
      </c>
      <c r="B41" s="216">
        <f>SUM(C41+D41)</f>
        <v>82979</v>
      </c>
      <c r="C41" s="217">
        <v>82979</v>
      </c>
      <c r="D41" s="217"/>
      <c r="E41" s="217">
        <f>C41</f>
        <v>82979</v>
      </c>
      <c r="F41" s="217"/>
      <c r="G41" s="217"/>
      <c r="H41" s="217"/>
      <c r="I41" s="217"/>
      <c r="J41" s="217"/>
      <c r="K41" s="217"/>
      <c r="L41" s="217"/>
      <c r="M41" s="217"/>
      <c r="N41" s="217"/>
      <c r="O41" s="217"/>
      <c r="P41" s="217"/>
      <c r="Q41" s="217"/>
      <c r="R41" s="879">
        <f>SUM(E41:Q41)</f>
        <v>82979</v>
      </c>
      <c r="S41" s="217">
        <f>R41</f>
        <v>82979</v>
      </c>
      <c r="T41" s="217"/>
      <c r="U41" s="213"/>
    </row>
    <row r="42" spans="1:21" s="214" customFormat="1">
      <c r="A42" s="219" t="s">
        <v>152</v>
      </c>
      <c r="B42" s="216">
        <f>SUM(C42:D42)</f>
        <v>829791</v>
      </c>
      <c r="C42" s="216">
        <f>SUM(C39:C41)</f>
        <v>829791</v>
      </c>
      <c r="D42" s="216">
        <f>SUM(D39:D41)</f>
        <v>0</v>
      </c>
      <c r="E42" s="216">
        <f t="shared" ref="E42:T42" si="9">SUM(E40:E41)</f>
        <v>829791</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829791</v>
      </c>
      <c r="S42" s="220">
        <f t="shared" si="9"/>
        <v>829791</v>
      </c>
      <c r="T42" s="220">
        <f t="shared" si="9"/>
        <v>0</v>
      </c>
      <c r="U42" s="213"/>
    </row>
    <row r="43" spans="1:21" s="214" customFormat="1">
      <c r="A43" s="219" t="s">
        <v>153</v>
      </c>
      <c r="B43" s="216">
        <f>SUM(C43:D43)</f>
        <v>568146</v>
      </c>
      <c r="C43" s="217">
        <f>225000+99745+243401</f>
        <v>568146</v>
      </c>
      <c r="D43" s="217"/>
      <c r="E43" s="217">
        <f>C43</f>
        <v>568146</v>
      </c>
      <c r="F43" s="217"/>
      <c r="G43" s="217"/>
      <c r="H43" s="217"/>
      <c r="I43" s="217"/>
      <c r="J43" s="217"/>
      <c r="K43" s="217"/>
      <c r="L43" s="217"/>
      <c r="M43" s="217"/>
      <c r="N43" s="217"/>
      <c r="O43" s="217"/>
      <c r="P43" s="217"/>
      <c r="Q43" s="217"/>
      <c r="R43" s="879">
        <f>SUM(E43:Q43)</f>
        <v>568146</v>
      </c>
      <c r="S43" s="217">
        <f>R43</f>
        <v>568146</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1731244</v>
      </c>
      <c r="C45" s="217">
        <v>1731244</v>
      </c>
      <c r="D45" s="217"/>
      <c r="E45" s="217">
        <f>C45</f>
        <v>1731244</v>
      </c>
      <c r="F45" s="217"/>
      <c r="G45" s="217"/>
      <c r="H45" s="217"/>
      <c r="I45" s="217"/>
      <c r="J45" s="217"/>
      <c r="K45" s="217"/>
      <c r="L45" s="217"/>
      <c r="M45" s="217"/>
      <c r="N45" s="217"/>
      <c r="O45" s="217"/>
      <c r="P45" s="217"/>
      <c r="Q45" s="217"/>
      <c r="R45" s="879">
        <f t="shared" ref="R45:R53" si="11">SUM(E45:Q45)</f>
        <v>1731244</v>
      </c>
      <c r="S45" s="217">
        <f>R45-403957</f>
        <v>1327287</v>
      </c>
      <c r="T45" s="217"/>
      <c r="U45" s="213"/>
    </row>
    <row r="46" spans="1:21" s="214" customFormat="1">
      <c r="A46" s="215" t="s">
        <v>156</v>
      </c>
      <c r="B46" s="216">
        <f t="shared" si="10"/>
        <v>311936</v>
      </c>
      <c r="C46" s="217">
        <v>311936</v>
      </c>
      <c r="D46" s="217"/>
      <c r="E46" s="217">
        <f>C46</f>
        <v>311936</v>
      </c>
      <c r="F46" s="217"/>
      <c r="G46" s="217"/>
      <c r="H46" s="217"/>
      <c r="I46" s="217"/>
      <c r="J46" s="217"/>
      <c r="K46" s="217"/>
      <c r="L46" s="217"/>
      <c r="M46" s="217"/>
      <c r="N46" s="217"/>
      <c r="O46" s="217"/>
      <c r="P46" s="217"/>
      <c r="Q46" s="217"/>
      <c r="R46" s="879">
        <f t="shared" si="11"/>
        <v>311936</v>
      </c>
      <c r="S46" s="217">
        <f>R46</f>
        <v>311936</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171077</v>
      </c>
      <c r="C49" s="217">
        <f>58488+55000+3000+10918+4679+38992</f>
        <v>171077</v>
      </c>
      <c r="D49" s="217"/>
      <c r="E49" s="217">
        <f>C49</f>
        <v>171077</v>
      </c>
      <c r="F49" s="217"/>
      <c r="G49" s="217"/>
      <c r="H49" s="217"/>
      <c r="I49" s="217"/>
      <c r="J49" s="217"/>
      <c r="K49" s="217"/>
      <c r="L49" s="217"/>
      <c r="M49" s="217"/>
      <c r="N49" s="217"/>
      <c r="O49" s="217"/>
      <c r="P49" s="217"/>
      <c r="Q49" s="217"/>
      <c r="R49" s="879">
        <f t="shared" si="11"/>
        <v>171077</v>
      </c>
      <c r="S49" s="217"/>
      <c r="T49" s="217"/>
      <c r="U49" s="213"/>
    </row>
    <row r="50" spans="1:21" s="214" customFormat="1">
      <c r="A50" s="215" t="s">
        <v>161</v>
      </c>
      <c r="B50" s="216">
        <f t="shared" si="10"/>
        <v>55000</v>
      </c>
      <c r="C50" s="217">
        <f>15000+40000</f>
        <v>55000</v>
      </c>
      <c r="D50" s="217"/>
      <c r="E50" s="217">
        <f>C50</f>
        <v>55000</v>
      </c>
      <c r="F50" s="217"/>
      <c r="G50" s="217"/>
      <c r="H50" s="217"/>
      <c r="I50" s="217"/>
      <c r="J50" s="217"/>
      <c r="K50" s="217"/>
      <c r="L50" s="217"/>
      <c r="M50" s="217"/>
      <c r="N50" s="217"/>
      <c r="O50" s="217"/>
      <c r="P50" s="217"/>
      <c r="Q50" s="217"/>
      <c r="R50" s="879">
        <f t="shared" si="11"/>
        <v>55000</v>
      </c>
      <c r="S50" s="217">
        <f>R50-15000</f>
        <v>40000</v>
      </c>
      <c r="T50" s="217"/>
      <c r="U50" s="213"/>
    </row>
    <row r="51" spans="1:21" s="214" customFormat="1">
      <c r="A51" s="440" t="s">
        <v>159</v>
      </c>
      <c r="B51" s="216">
        <f t="shared" si="10"/>
        <v>160317</v>
      </c>
      <c r="C51" s="1857">
        <v>160317</v>
      </c>
      <c r="D51" s="1857"/>
      <c r="E51" s="1857">
        <f>C51</f>
        <v>160317</v>
      </c>
      <c r="F51" s="217"/>
      <c r="G51" s="217"/>
      <c r="H51" s="217"/>
      <c r="I51" s="217"/>
      <c r="J51" s="217"/>
      <c r="K51" s="217"/>
      <c r="L51" s="217"/>
      <c r="M51" s="217"/>
      <c r="N51" s="217"/>
      <c r="O51" s="217"/>
      <c r="P51" s="217"/>
      <c r="Q51" s="217"/>
      <c r="R51" s="879">
        <f t="shared" si="11"/>
        <v>160317</v>
      </c>
      <c r="S51" s="217">
        <f>R51</f>
        <v>160317</v>
      </c>
      <c r="T51" s="217"/>
      <c r="U51" s="213"/>
    </row>
    <row r="52" spans="1:21" s="214" customFormat="1">
      <c r="A52" s="215" t="s">
        <v>160</v>
      </c>
      <c r="B52" s="216">
        <f t="shared" si="10"/>
        <v>0</v>
      </c>
      <c r="C52" s="217"/>
      <c r="D52" s="217"/>
      <c r="E52" s="217"/>
      <c r="F52" s="217"/>
      <c r="G52" s="217"/>
      <c r="H52" s="217"/>
      <c r="I52" s="217"/>
      <c r="J52" s="217"/>
      <c r="K52" s="217"/>
      <c r="L52" s="217"/>
      <c r="M52" s="217"/>
      <c r="N52" s="217"/>
      <c r="O52" s="217"/>
      <c r="P52" s="217"/>
      <c r="Q52" s="217"/>
      <c r="R52" s="879">
        <f t="shared" si="11"/>
        <v>0</v>
      </c>
      <c r="S52" s="217"/>
      <c r="T52" s="217"/>
      <c r="U52" s="213"/>
    </row>
    <row r="53" spans="1:21" s="214" customFormat="1" ht="24">
      <c r="A53" s="1858" t="s">
        <v>2676</v>
      </c>
      <c r="B53" s="216">
        <f t="shared" si="10"/>
        <v>263217</v>
      </c>
      <c r="C53" s="217">
        <f>13000+250217</f>
        <v>263217</v>
      </c>
      <c r="D53" s="217"/>
      <c r="E53" s="217">
        <f>C53</f>
        <v>263217</v>
      </c>
      <c r="F53" s="217"/>
      <c r="G53" s="217"/>
      <c r="H53" s="217"/>
      <c r="I53" s="217"/>
      <c r="J53" s="217"/>
      <c r="K53" s="217"/>
      <c r="L53" s="217"/>
      <c r="M53" s="217"/>
      <c r="N53" s="217"/>
      <c r="O53" s="217"/>
      <c r="P53" s="217"/>
      <c r="Q53" s="217"/>
      <c r="R53" s="879">
        <f t="shared" si="11"/>
        <v>263217</v>
      </c>
      <c r="S53" s="217">
        <f>R53</f>
        <v>263217</v>
      </c>
      <c r="T53" s="217"/>
      <c r="U53" s="213"/>
    </row>
    <row r="54" spans="1:21" s="224" customFormat="1">
      <c r="A54" s="219" t="s">
        <v>162</v>
      </c>
      <c r="B54" s="220">
        <f>SUM(C54:D54)</f>
        <v>2692791</v>
      </c>
      <c r="C54" s="220">
        <f t="shared" ref="C54:T54" si="12">SUM(C45:C53)</f>
        <v>2692791</v>
      </c>
      <c r="D54" s="220">
        <f t="shared" si="12"/>
        <v>0</v>
      </c>
      <c r="E54" s="220">
        <f t="shared" si="12"/>
        <v>2692791</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2692791</v>
      </c>
      <c r="S54" s="220">
        <f t="shared" si="12"/>
        <v>2102757</v>
      </c>
      <c r="T54" s="220">
        <f t="shared" si="12"/>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131543</v>
      </c>
      <c r="C56" s="217">
        <v>131543</v>
      </c>
      <c r="D56" s="217"/>
      <c r="E56" s="217">
        <f>C56</f>
        <v>131543</v>
      </c>
      <c r="F56" s="217"/>
      <c r="G56" s="217"/>
      <c r="H56" s="217"/>
      <c r="I56" s="217"/>
      <c r="J56" s="217"/>
      <c r="K56" s="217"/>
      <c r="L56" s="217"/>
      <c r="M56" s="217"/>
      <c r="N56" s="217"/>
      <c r="O56" s="217"/>
      <c r="P56" s="217"/>
      <c r="Q56" s="217"/>
      <c r="R56" s="879">
        <f t="shared" ref="R56:R61" si="14">SUM(E56:Q56)</f>
        <v>131543</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9">
        <f t="shared" si="14"/>
        <v>0</v>
      </c>
      <c r="S57" s="305"/>
      <c r="T57" s="305"/>
      <c r="U57" s="302"/>
    </row>
    <row r="58" spans="1:21" s="214" customFormat="1">
      <c r="A58" s="215" t="s">
        <v>161</v>
      </c>
      <c r="B58" s="216">
        <f t="shared" si="13"/>
        <v>20000</v>
      </c>
      <c r="C58" s="217">
        <v>20000</v>
      </c>
      <c r="D58" s="217"/>
      <c r="E58" s="217">
        <f>C58</f>
        <v>20000</v>
      </c>
      <c r="F58" s="217"/>
      <c r="G58" s="217"/>
      <c r="H58" s="217"/>
      <c r="I58" s="217"/>
      <c r="J58" s="217"/>
      <c r="K58" s="217"/>
      <c r="L58" s="217"/>
      <c r="M58" s="217"/>
      <c r="N58" s="217"/>
      <c r="O58" s="217"/>
      <c r="P58" s="217"/>
      <c r="Q58" s="217"/>
      <c r="R58" s="879">
        <f t="shared" si="14"/>
        <v>20000</v>
      </c>
      <c r="S58" s="218"/>
      <c r="T58" s="218"/>
      <c r="U58" s="213"/>
    </row>
    <row r="59" spans="1:21" s="214" customFormat="1">
      <c r="A59" s="440" t="s">
        <v>159</v>
      </c>
      <c r="B59" s="216">
        <f t="shared" si="13"/>
        <v>59683</v>
      </c>
      <c r="C59" s="1857">
        <v>59683</v>
      </c>
      <c r="D59" s="1857"/>
      <c r="E59" s="1857">
        <f>C59</f>
        <v>59683</v>
      </c>
      <c r="F59" s="217"/>
      <c r="G59" s="217"/>
      <c r="H59" s="217"/>
      <c r="I59" s="217"/>
      <c r="J59" s="217"/>
      <c r="K59" s="217"/>
      <c r="L59" s="217"/>
      <c r="M59" s="217"/>
      <c r="N59" s="217"/>
      <c r="O59" s="217"/>
      <c r="P59" s="217"/>
      <c r="Q59" s="217"/>
      <c r="R59" s="879">
        <f t="shared" si="14"/>
        <v>59683</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58" t="s">
        <v>2611</v>
      </c>
      <c r="B61" s="216">
        <f t="shared" si="13"/>
        <v>10000</v>
      </c>
      <c r="C61" s="217">
        <v>10000</v>
      </c>
      <c r="D61" s="217"/>
      <c r="E61" s="217">
        <f>C61</f>
        <v>10000</v>
      </c>
      <c r="F61" s="217"/>
      <c r="G61" s="217"/>
      <c r="H61" s="217"/>
      <c r="I61" s="217"/>
      <c r="J61" s="217"/>
      <c r="K61" s="217"/>
      <c r="L61" s="217"/>
      <c r="M61" s="217"/>
      <c r="N61" s="217"/>
      <c r="O61" s="217"/>
      <c r="P61" s="217"/>
      <c r="Q61" s="217"/>
      <c r="R61" s="879">
        <f t="shared" si="14"/>
        <v>10000</v>
      </c>
      <c r="S61" s="218"/>
      <c r="T61" s="218"/>
      <c r="U61" s="213"/>
    </row>
    <row r="62" spans="1:21" s="214" customFormat="1" ht="13.7" customHeight="1">
      <c r="A62" s="219" t="s">
        <v>309</v>
      </c>
      <c r="B62" s="216">
        <f>SUM(C62:D62)</f>
        <v>221226</v>
      </c>
      <c r="C62" s="216">
        <f t="shared" ref="C62:R62" si="15">SUM(C56:C61)</f>
        <v>221226</v>
      </c>
      <c r="D62" s="216">
        <f t="shared" si="15"/>
        <v>0</v>
      </c>
      <c r="E62" s="216">
        <f t="shared" si="15"/>
        <v>221226</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221226</v>
      </c>
      <c r="S62" s="218"/>
      <c r="T62" s="218"/>
      <c r="U62" s="213"/>
    </row>
    <row r="63" spans="1:21" s="214" customFormat="1">
      <c r="A63" s="225" t="s">
        <v>310</v>
      </c>
      <c r="B63" s="216">
        <f t="shared" ref="B63:R63" si="16">SUM(B8+B11+B13+B14+B15+B26+B27+B38+B42+B43+B54+B62)</f>
        <v>40836134</v>
      </c>
      <c r="C63" s="216">
        <f t="shared" si="16"/>
        <v>40836134</v>
      </c>
      <c r="D63" s="216">
        <f t="shared" si="16"/>
        <v>0</v>
      </c>
      <c r="E63" s="216">
        <f t="shared" si="16"/>
        <v>20273864</v>
      </c>
      <c r="F63" s="216">
        <f t="shared" si="16"/>
        <v>13154270</v>
      </c>
      <c r="G63" s="216">
        <f t="shared" si="16"/>
        <v>7408000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40836134</v>
      </c>
      <c r="S63" s="216">
        <f>SUM(S10+S13+S14+S15+S26+S27+S38+S42+S43+S54)</f>
        <v>29909874</v>
      </c>
      <c r="T63" s="216">
        <f>SUM(T11+T13+T14+T15+T26+T27+T38+T42+T43+T54)</f>
        <v>272763</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1857">
        <f>65000+35000</f>
        <v>100000</v>
      </c>
      <c r="D65" s="217"/>
      <c r="E65" s="217">
        <f>C65</f>
        <v>100000</v>
      </c>
      <c r="F65" s="217"/>
      <c r="G65" s="217"/>
      <c r="H65" s="217"/>
      <c r="I65" s="217"/>
      <c r="J65" s="217"/>
      <c r="K65" s="217"/>
      <c r="L65" s="217"/>
      <c r="M65" s="217"/>
      <c r="N65" s="217"/>
      <c r="O65" s="217"/>
      <c r="P65" s="217"/>
      <c r="Q65" s="217"/>
      <c r="R65" s="879">
        <f>SUM(E65:Q65)</f>
        <v>100000</v>
      </c>
      <c r="S65" s="217">
        <f>R65-35000</f>
        <v>65000</v>
      </c>
      <c r="T65" s="217"/>
      <c r="U65" s="213"/>
    </row>
    <row r="66" spans="1:21" s="214" customFormat="1" ht="24" customHeight="1">
      <c r="A66" s="440" t="s">
        <v>1994</v>
      </c>
      <c r="B66" s="216">
        <f t="shared" ref="B66:B69" si="17">SUM(C66+D66)</f>
        <v>0</v>
      </c>
      <c r="C66" s="185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 customHeight="1">
      <c r="A67" s="440" t="s">
        <v>1995</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2" customHeight="1">
      <c r="A68" s="440" t="s">
        <v>2001</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222" t="s">
        <v>2675</v>
      </c>
      <c r="B69" s="216">
        <f t="shared" si="17"/>
        <v>590566</v>
      </c>
      <c r="C69" s="217">
        <f>570566+20000</f>
        <v>590566</v>
      </c>
      <c r="D69" s="217"/>
      <c r="E69" s="217">
        <f>C69</f>
        <v>590566</v>
      </c>
      <c r="F69" s="217"/>
      <c r="G69" s="217"/>
      <c r="H69" s="217"/>
      <c r="I69" s="217"/>
      <c r="J69" s="217"/>
      <c r="K69" s="217"/>
      <c r="L69" s="217"/>
      <c r="M69" s="217"/>
      <c r="N69" s="217"/>
      <c r="O69" s="217"/>
      <c r="P69" s="217"/>
      <c r="Q69" s="217"/>
      <c r="R69" s="879">
        <f>SUM(E69:Q69)</f>
        <v>590566</v>
      </c>
      <c r="S69" s="217">
        <f>R69-20000</f>
        <v>570566</v>
      </c>
      <c r="T69" s="217"/>
      <c r="U69" s="213"/>
    </row>
    <row r="70" spans="1:21" s="214" customFormat="1">
      <c r="A70" s="219" t="s">
        <v>1998</v>
      </c>
      <c r="B70" s="216">
        <f>SUM(C70:D70)</f>
        <v>690566</v>
      </c>
      <c r="C70" s="216">
        <f>SUM(C65:C69)</f>
        <v>690566</v>
      </c>
      <c r="D70" s="216">
        <f>SUM(D65:D69)</f>
        <v>0</v>
      </c>
      <c r="E70" s="216">
        <f t="shared" ref="E70:T70" si="19">SUM(E65:E69)</f>
        <v>690566</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690566</v>
      </c>
      <c r="S70" s="220">
        <f t="shared" si="19"/>
        <v>635566</v>
      </c>
      <c r="T70" s="220">
        <f t="shared" si="19"/>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327000</v>
      </c>
      <c r="C75" s="217">
        <v>327000</v>
      </c>
      <c r="D75" s="217"/>
      <c r="E75" s="217">
        <f>C75</f>
        <v>327000</v>
      </c>
      <c r="F75" s="217"/>
      <c r="G75" s="217"/>
      <c r="H75" s="217"/>
      <c r="I75" s="217"/>
      <c r="J75" s="217"/>
      <c r="K75" s="217"/>
      <c r="L75" s="217"/>
      <c r="M75" s="217"/>
      <c r="N75" s="217"/>
      <c r="O75" s="217"/>
      <c r="P75" s="217"/>
      <c r="Q75" s="217"/>
      <c r="R75" s="879">
        <f>SUM(E75:Q75)</f>
        <v>327000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640</v>
      </c>
      <c r="B77" s="216">
        <f>SUM(C77:D77)</f>
        <v>327000</v>
      </c>
      <c r="C77" s="216">
        <f>SUM(C72:C76)</f>
        <v>327000</v>
      </c>
      <c r="D77" s="216">
        <f>SUM(D72:D76)</f>
        <v>0</v>
      </c>
      <c r="E77" s="216">
        <f t="shared" ref="E77:Q77" si="20">SUM(E72:E76)</f>
        <v>327000</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327000</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1150820</v>
      </c>
      <c r="C79" s="217">
        <v>1150820</v>
      </c>
      <c r="D79" s="217"/>
      <c r="E79" s="217">
        <f>C79</f>
        <v>1150820</v>
      </c>
      <c r="F79" s="217"/>
      <c r="G79" s="217"/>
      <c r="H79" s="217"/>
      <c r="I79" s="217"/>
      <c r="J79" s="217"/>
      <c r="K79" s="217"/>
      <c r="L79" s="217"/>
      <c r="M79" s="217"/>
      <c r="N79" s="217"/>
      <c r="O79" s="217"/>
      <c r="P79" s="217"/>
      <c r="Q79" s="217"/>
      <c r="R79" s="879">
        <f>SUM(E79:Q79)</f>
        <v>1150820</v>
      </c>
      <c r="S79" s="217">
        <f>R79</f>
        <v>1150820</v>
      </c>
      <c r="T79" s="217"/>
      <c r="U79" s="213"/>
    </row>
    <row r="80" spans="1:21" s="214" customFormat="1">
      <c r="A80" s="440" t="s">
        <v>61</v>
      </c>
      <c r="B80" s="216">
        <f>SUM(C80:D80)</f>
        <v>400000</v>
      </c>
      <c r="C80" s="217">
        <v>400000</v>
      </c>
      <c r="D80" s="217"/>
      <c r="E80" s="217">
        <f>C80</f>
        <v>400000</v>
      </c>
      <c r="F80" s="217"/>
      <c r="G80" s="217"/>
      <c r="H80" s="217"/>
      <c r="I80" s="217"/>
      <c r="J80" s="217"/>
      <c r="K80" s="217"/>
      <c r="L80" s="217"/>
      <c r="M80" s="217"/>
      <c r="N80" s="217"/>
      <c r="O80" s="217"/>
      <c r="P80" s="217"/>
      <c r="Q80" s="217"/>
      <c r="R80" s="879">
        <f>SUM(E80:Q80)</f>
        <v>400000</v>
      </c>
      <c r="S80" s="217">
        <f>R80</f>
        <v>400000</v>
      </c>
      <c r="T80" s="217"/>
      <c r="U80" s="213"/>
    </row>
    <row r="81" spans="1:21" s="214" customFormat="1">
      <c r="A81" s="219" t="s">
        <v>1418</v>
      </c>
      <c r="B81" s="216">
        <f>SUM(C81:D81)</f>
        <v>1550820</v>
      </c>
      <c r="C81" s="859">
        <f>SUM(C79:C80)</f>
        <v>1550820</v>
      </c>
      <c r="D81" s="859">
        <f t="shared" ref="D81:T81" si="21">SUM(D79:D80)</f>
        <v>0</v>
      </c>
      <c r="E81" s="859">
        <f t="shared" si="21"/>
        <v>1550820</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1550820</v>
      </c>
      <c r="S81" s="859">
        <f t="shared" si="21"/>
        <v>1550820</v>
      </c>
      <c r="T81" s="859">
        <f t="shared" si="21"/>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2">SUM(C83+D83)</f>
        <v>58275</v>
      </c>
      <c r="C83" s="217">
        <f>22195+36080</f>
        <v>58275</v>
      </c>
      <c r="D83" s="217"/>
      <c r="E83" s="217">
        <f>C83</f>
        <v>58275</v>
      </c>
      <c r="F83" s="217"/>
      <c r="G83" s="217"/>
      <c r="H83" s="217"/>
      <c r="I83" s="217"/>
      <c r="J83" s="217"/>
      <c r="K83" s="217"/>
      <c r="L83" s="217"/>
      <c r="M83" s="217"/>
      <c r="N83" s="217"/>
      <c r="O83" s="217"/>
      <c r="P83" s="217"/>
      <c r="Q83" s="217"/>
      <c r="R83" s="879">
        <f t="shared" ref="R83:R95" si="23">SUM(E83:Q83)</f>
        <v>58275</v>
      </c>
      <c r="S83" s="218"/>
      <c r="T83" s="218"/>
      <c r="U83" s="213"/>
    </row>
    <row r="84" spans="1:21" s="214" customFormat="1">
      <c r="A84" s="215" t="s">
        <v>824</v>
      </c>
      <c r="B84" s="216">
        <f t="shared" si="22"/>
        <v>120000</v>
      </c>
      <c r="C84" s="217">
        <f>120000</f>
        <v>120000</v>
      </c>
      <c r="D84" s="217"/>
      <c r="E84" s="217">
        <f>C84</f>
        <v>120000</v>
      </c>
      <c r="F84" s="217"/>
      <c r="G84" s="217"/>
      <c r="H84" s="217"/>
      <c r="I84" s="217"/>
      <c r="J84" s="217"/>
      <c r="K84" s="217"/>
      <c r="L84" s="217"/>
      <c r="M84" s="217"/>
      <c r="N84" s="217"/>
      <c r="O84" s="217"/>
      <c r="P84" s="217"/>
      <c r="Q84" s="217"/>
      <c r="R84" s="879">
        <f t="shared" si="23"/>
        <v>120000</v>
      </c>
      <c r="S84" s="217"/>
      <c r="T84" s="217"/>
      <c r="U84" s="213"/>
    </row>
    <row r="85" spans="1:21" s="214" customFormat="1">
      <c r="A85" s="215" t="s">
        <v>825</v>
      </c>
      <c r="B85" s="216">
        <f t="shared" si="22"/>
        <v>2578824</v>
      </c>
      <c r="C85" s="217">
        <v>2578824</v>
      </c>
      <c r="D85" s="217"/>
      <c r="E85" s="217">
        <f>C85-I85-J85</f>
        <v>825941</v>
      </c>
      <c r="F85" s="217"/>
      <c r="G85" s="217"/>
      <c r="H85" s="217"/>
      <c r="I85" s="217">
        <v>1752783</v>
      </c>
      <c r="J85" s="217">
        <v>100</v>
      </c>
      <c r="K85" s="217"/>
      <c r="L85" s="217"/>
      <c r="M85" s="217"/>
      <c r="N85" s="217"/>
      <c r="O85" s="217"/>
      <c r="P85" s="217"/>
      <c r="Q85" s="217"/>
      <c r="R85" s="879">
        <f t="shared" si="23"/>
        <v>2578824</v>
      </c>
      <c r="S85" s="217">
        <f>R85</f>
        <v>2578824</v>
      </c>
      <c r="T85" s="217"/>
      <c r="U85" s="213"/>
    </row>
    <row r="86" spans="1:21" s="214" customFormat="1">
      <c r="A86" s="215" t="s">
        <v>826</v>
      </c>
      <c r="B86" s="216">
        <f t="shared" si="22"/>
        <v>300362</v>
      </c>
      <c r="C86" s="217">
        <v>300362</v>
      </c>
      <c r="D86" s="217"/>
      <c r="E86" s="217">
        <f>C86</f>
        <v>300362</v>
      </c>
      <c r="F86" s="217"/>
      <c r="G86" s="217"/>
      <c r="H86" s="217"/>
      <c r="I86" s="217"/>
      <c r="J86" s="217"/>
      <c r="K86" s="217"/>
      <c r="L86" s="217"/>
      <c r="M86" s="217"/>
      <c r="N86" s="217"/>
      <c r="O86" s="217"/>
      <c r="P86" s="217"/>
      <c r="Q86" s="217"/>
      <c r="R86" s="879">
        <f t="shared" si="23"/>
        <v>300362</v>
      </c>
      <c r="S86" s="217">
        <f>R86</f>
        <v>300362</v>
      </c>
      <c r="T86" s="217"/>
      <c r="U86" s="213"/>
    </row>
    <row r="87" spans="1:21" s="214" customFormat="1">
      <c r="A87" s="215" t="s">
        <v>827</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828</v>
      </c>
      <c r="B88" s="216">
        <f t="shared" si="22"/>
        <v>50000</v>
      </c>
      <c r="C88" s="217">
        <v>50000</v>
      </c>
      <c r="D88" s="217"/>
      <c r="E88" s="217">
        <f>C88</f>
        <v>50000</v>
      </c>
      <c r="F88" s="217"/>
      <c r="G88" s="217"/>
      <c r="H88" s="217"/>
      <c r="I88" s="217"/>
      <c r="J88" s="217"/>
      <c r="K88" s="217"/>
      <c r="L88" s="217"/>
      <c r="M88" s="217"/>
      <c r="N88" s="217"/>
      <c r="O88" s="217"/>
      <c r="P88" s="217"/>
      <c r="Q88" s="217"/>
      <c r="R88" s="879">
        <f t="shared" si="23"/>
        <v>50000</v>
      </c>
      <c r="S88" s="218"/>
      <c r="T88" s="218"/>
      <c r="U88" s="213"/>
    </row>
    <row r="89" spans="1:21" s="214" customFormat="1">
      <c r="A89" s="215" t="s">
        <v>829</v>
      </c>
      <c r="B89" s="216">
        <f t="shared" si="22"/>
        <v>0</v>
      </c>
      <c r="C89" s="217"/>
      <c r="D89" s="217"/>
      <c r="E89" s="217"/>
      <c r="F89" s="217"/>
      <c r="G89" s="217"/>
      <c r="H89" s="217"/>
      <c r="I89" s="217"/>
      <c r="J89" s="217"/>
      <c r="K89" s="217"/>
      <c r="L89" s="217"/>
      <c r="M89" s="217"/>
      <c r="N89" s="217"/>
      <c r="O89" s="217"/>
      <c r="P89" s="217"/>
      <c r="Q89" s="217"/>
      <c r="R89" s="879">
        <f t="shared" si="23"/>
        <v>0</v>
      </c>
      <c r="S89" s="217"/>
      <c r="T89" s="217"/>
      <c r="U89" s="213"/>
    </row>
    <row r="90" spans="1:21" s="214" customFormat="1">
      <c r="A90" s="215" t="s">
        <v>830</v>
      </c>
      <c r="B90" s="216">
        <f t="shared" si="22"/>
        <v>21300</v>
      </c>
      <c r="C90" s="217">
        <v>21300</v>
      </c>
      <c r="D90" s="217"/>
      <c r="E90" s="217">
        <f t="shared" ref="E90:E95" si="24">C90</f>
        <v>21300</v>
      </c>
      <c r="F90" s="217"/>
      <c r="G90" s="217"/>
      <c r="H90" s="217"/>
      <c r="I90" s="217"/>
      <c r="J90" s="217"/>
      <c r="K90" s="217"/>
      <c r="L90" s="217"/>
      <c r="M90" s="217"/>
      <c r="N90" s="217"/>
      <c r="O90" s="217"/>
      <c r="P90" s="217"/>
      <c r="Q90" s="217"/>
      <c r="R90" s="879">
        <f t="shared" si="23"/>
        <v>21300</v>
      </c>
      <c r="S90" s="217">
        <v>10650</v>
      </c>
      <c r="T90" s="217"/>
      <c r="U90" s="213"/>
    </row>
    <row r="91" spans="1:21" s="214" customFormat="1">
      <c r="A91" s="1809" t="s">
        <v>389</v>
      </c>
      <c r="B91" s="216">
        <f t="shared" si="22"/>
        <v>30000</v>
      </c>
      <c r="C91" s="217">
        <v>30000</v>
      </c>
      <c r="D91" s="217"/>
      <c r="E91" s="217">
        <f t="shared" si="24"/>
        <v>30000</v>
      </c>
      <c r="F91" s="217"/>
      <c r="G91" s="217"/>
      <c r="H91" s="217"/>
      <c r="I91" s="217"/>
      <c r="J91" s="217"/>
      <c r="K91" s="217"/>
      <c r="L91" s="217"/>
      <c r="M91" s="217"/>
      <c r="N91" s="217"/>
      <c r="O91" s="217"/>
      <c r="P91" s="217"/>
      <c r="Q91" s="217"/>
      <c r="R91" s="879">
        <f t="shared" si="23"/>
        <v>30000</v>
      </c>
      <c r="S91" s="217"/>
      <c r="T91" s="217"/>
      <c r="U91" s="213"/>
    </row>
    <row r="92" spans="1:21" s="214" customFormat="1">
      <c r="A92" s="1808" t="s">
        <v>1420</v>
      </c>
      <c r="B92" s="216">
        <f t="shared" si="22"/>
        <v>51125</v>
      </c>
      <c r="C92" s="217">
        <v>51125</v>
      </c>
      <c r="D92" s="217"/>
      <c r="E92" s="217">
        <f t="shared" si="24"/>
        <v>51125</v>
      </c>
      <c r="F92" s="217"/>
      <c r="G92" s="217"/>
      <c r="H92" s="217"/>
      <c r="I92" s="217"/>
      <c r="J92" s="217"/>
      <c r="K92" s="217"/>
      <c r="L92" s="217"/>
      <c r="M92" s="217"/>
      <c r="N92" s="217"/>
      <c r="O92" s="217"/>
      <c r="P92" s="217"/>
      <c r="Q92" s="217"/>
      <c r="R92" s="879">
        <f t="shared" si="23"/>
        <v>51125</v>
      </c>
      <c r="S92" s="217">
        <f>R92</f>
        <v>51125</v>
      </c>
      <c r="T92" s="217"/>
      <c r="U92" s="213"/>
    </row>
    <row r="93" spans="1:21" s="214" customFormat="1">
      <c r="A93" s="1858" t="s">
        <v>2612</v>
      </c>
      <c r="B93" s="216">
        <f t="shared" si="22"/>
        <v>2000000</v>
      </c>
      <c r="C93" s="217">
        <v>2000000</v>
      </c>
      <c r="D93" s="217"/>
      <c r="E93" s="217">
        <f t="shared" si="24"/>
        <v>2000000</v>
      </c>
      <c r="F93" s="217"/>
      <c r="G93" s="217"/>
      <c r="H93" s="217"/>
      <c r="I93" s="217"/>
      <c r="J93" s="217"/>
      <c r="K93" s="217"/>
      <c r="L93" s="217"/>
      <c r="M93" s="217"/>
      <c r="N93" s="217"/>
      <c r="O93" s="217"/>
      <c r="P93" s="217"/>
      <c r="Q93" s="217"/>
      <c r="R93" s="879">
        <f t="shared" si="23"/>
        <v>2000000</v>
      </c>
      <c r="S93" s="217">
        <f>R93-1913043</f>
        <v>86957</v>
      </c>
      <c r="T93" s="217"/>
      <c r="U93" s="213"/>
    </row>
    <row r="94" spans="1:21" s="214" customFormat="1">
      <c r="A94" s="1858" t="s">
        <v>2613</v>
      </c>
      <c r="B94" s="216">
        <f t="shared" si="22"/>
        <v>109401</v>
      </c>
      <c r="C94" s="217">
        <v>109401</v>
      </c>
      <c r="D94" s="217"/>
      <c r="E94" s="217">
        <f t="shared" si="24"/>
        <v>109401</v>
      </c>
      <c r="F94" s="217"/>
      <c r="G94" s="217"/>
      <c r="H94" s="217"/>
      <c r="I94" s="217"/>
      <c r="J94" s="217"/>
      <c r="K94" s="217"/>
      <c r="L94" s="217"/>
      <c r="M94" s="217"/>
      <c r="N94" s="217"/>
      <c r="O94" s="217"/>
      <c r="P94" s="217"/>
      <c r="Q94" s="217"/>
      <c r="R94" s="879">
        <f t="shared" si="23"/>
        <v>109401</v>
      </c>
      <c r="S94" s="217">
        <f>R94</f>
        <v>109401</v>
      </c>
      <c r="T94" s="217"/>
      <c r="U94" s="213"/>
    </row>
    <row r="95" spans="1:21" s="214" customFormat="1">
      <c r="A95" s="1858" t="s">
        <v>308</v>
      </c>
      <c r="B95" s="216">
        <f t="shared" si="22"/>
        <v>0</v>
      </c>
      <c r="C95" s="217"/>
      <c r="D95" s="217"/>
      <c r="E95" s="217">
        <f t="shared" si="24"/>
        <v>0</v>
      </c>
      <c r="F95" s="217"/>
      <c r="G95" s="217"/>
      <c r="H95" s="217"/>
      <c r="I95" s="217"/>
      <c r="J95" s="217"/>
      <c r="K95" s="217"/>
      <c r="L95" s="217"/>
      <c r="M95" s="217"/>
      <c r="N95" s="217"/>
      <c r="O95" s="217"/>
      <c r="P95" s="217"/>
      <c r="Q95" s="217"/>
      <c r="R95" s="879">
        <f t="shared" si="23"/>
        <v>0</v>
      </c>
      <c r="S95" s="217">
        <v>0</v>
      </c>
      <c r="T95" s="217"/>
      <c r="U95" s="213"/>
    </row>
    <row r="96" spans="1:21" s="214" customFormat="1">
      <c r="A96" s="219" t="s">
        <v>831</v>
      </c>
      <c r="B96" s="216">
        <f>SUM(C96:D96)</f>
        <v>5319287</v>
      </c>
      <c r="C96" s="216">
        <f t="shared" ref="C96:R96" si="25">SUM(C83:C95)</f>
        <v>5319287</v>
      </c>
      <c r="D96" s="216">
        <f t="shared" si="25"/>
        <v>0</v>
      </c>
      <c r="E96" s="216">
        <f t="shared" si="25"/>
        <v>3566404</v>
      </c>
      <c r="F96" s="216">
        <f t="shared" si="25"/>
        <v>0</v>
      </c>
      <c r="G96" s="216">
        <f t="shared" si="25"/>
        <v>0</v>
      </c>
      <c r="H96" s="216">
        <f t="shared" si="25"/>
        <v>0</v>
      </c>
      <c r="I96" s="216">
        <f t="shared" si="25"/>
        <v>1752783</v>
      </c>
      <c r="J96" s="216">
        <f t="shared" si="25"/>
        <v>100</v>
      </c>
      <c r="K96" s="216">
        <f t="shared" si="25"/>
        <v>0</v>
      </c>
      <c r="L96" s="216">
        <f t="shared" si="25"/>
        <v>0</v>
      </c>
      <c r="M96" s="216">
        <f t="shared" si="25"/>
        <v>0</v>
      </c>
      <c r="N96" s="216">
        <f t="shared" si="25"/>
        <v>0</v>
      </c>
      <c r="O96" s="216">
        <f t="shared" si="25"/>
        <v>0</v>
      </c>
      <c r="P96" s="216">
        <f t="shared" si="25"/>
        <v>0</v>
      </c>
      <c r="Q96" s="216">
        <f t="shared" si="25"/>
        <v>0</v>
      </c>
      <c r="R96" s="534">
        <f t="shared" si="25"/>
        <v>5319287</v>
      </c>
      <c r="S96" s="220">
        <f>SUM(S84:S87,S89:S95)</f>
        <v>3137319</v>
      </c>
      <c r="T96" s="216">
        <f>SUM(T84:T87,T89:T95)</f>
        <v>0</v>
      </c>
      <c r="U96" s="213"/>
    </row>
    <row r="97" spans="1:21" s="214" customFormat="1">
      <c r="A97" s="219" t="s">
        <v>832</v>
      </c>
      <c r="B97" s="216">
        <f>SUM(C97:D97)</f>
        <v>48723807</v>
      </c>
      <c r="C97" s="216">
        <f t="shared" ref="C97:R97" si="26">SUM(C63+C70+C77+C81+C96)</f>
        <v>48723807</v>
      </c>
      <c r="D97" s="216">
        <f t="shared" si="26"/>
        <v>0</v>
      </c>
      <c r="E97" s="216">
        <f t="shared" si="26"/>
        <v>26408654</v>
      </c>
      <c r="F97" s="216">
        <f t="shared" si="26"/>
        <v>13154270</v>
      </c>
      <c r="G97" s="216">
        <f t="shared" si="26"/>
        <v>7408000</v>
      </c>
      <c r="H97" s="216">
        <f t="shared" si="26"/>
        <v>0</v>
      </c>
      <c r="I97" s="216">
        <f t="shared" si="26"/>
        <v>1752783</v>
      </c>
      <c r="J97" s="216">
        <f t="shared" si="26"/>
        <v>100</v>
      </c>
      <c r="K97" s="216">
        <f t="shared" si="26"/>
        <v>0</v>
      </c>
      <c r="L97" s="216">
        <f t="shared" si="26"/>
        <v>0</v>
      </c>
      <c r="M97" s="216">
        <f t="shared" si="26"/>
        <v>0</v>
      </c>
      <c r="N97" s="216">
        <f t="shared" si="26"/>
        <v>0</v>
      </c>
      <c r="O97" s="216">
        <f t="shared" si="26"/>
        <v>0</v>
      </c>
      <c r="P97" s="216">
        <f t="shared" si="26"/>
        <v>0</v>
      </c>
      <c r="Q97" s="216">
        <f t="shared" si="26"/>
        <v>0</v>
      </c>
      <c r="R97" s="216">
        <f t="shared" si="26"/>
        <v>48723807</v>
      </c>
      <c r="S97" s="216">
        <f>SUM(S63+S70+S81+S96)</f>
        <v>35233579</v>
      </c>
      <c r="T97" s="216">
        <f>SUM(T63+T70+T81+T96)</f>
        <v>272763</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5325951</v>
      </c>
      <c r="C99" s="1701">
        <f>5325951</f>
        <v>5325951</v>
      </c>
      <c r="D99" s="1701"/>
      <c r="E99" s="1701">
        <f>C99-H99</f>
        <v>2500100</v>
      </c>
      <c r="F99" s="217"/>
      <c r="G99" s="217"/>
      <c r="H99" s="1857">
        <v>2825851</v>
      </c>
      <c r="I99" s="217"/>
      <c r="J99" s="217"/>
      <c r="K99" s="217"/>
      <c r="L99" s="217"/>
      <c r="M99" s="217"/>
      <c r="N99" s="217"/>
      <c r="O99" s="217"/>
      <c r="P99" s="217"/>
      <c r="Q99" s="217"/>
      <c r="R99" s="879">
        <f t="shared" ref="R99:R103" si="27">SUM(E99:Q99)</f>
        <v>5325951</v>
      </c>
      <c r="S99" s="217">
        <f>R99-T99</f>
        <v>5285037</v>
      </c>
      <c r="T99" s="217">
        <f>10229+30685</f>
        <v>40914</v>
      </c>
      <c r="U99" s="213"/>
    </row>
    <row r="100" spans="1:21" s="214" customFormat="1">
      <c r="A100" s="440" t="s">
        <v>1999</v>
      </c>
      <c r="B100" s="216">
        <f t="shared" ref="B100:B103" si="28">SUM(C100+D100)</f>
        <v>0</v>
      </c>
      <c r="C100" s="217"/>
      <c r="D100" s="217"/>
      <c r="E100" s="217"/>
      <c r="F100" s="217"/>
      <c r="G100" s="217"/>
      <c r="H100" s="217"/>
      <c r="I100" s="217"/>
      <c r="J100" s="217"/>
      <c r="K100" s="217"/>
      <c r="L100" s="217"/>
      <c r="M100" s="217"/>
      <c r="N100" s="217"/>
      <c r="O100" s="217"/>
      <c r="P100" s="217"/>
      <c r="Q100" s="217"/>
      <c r="R100" s="879">
        <f t="shared" si="27"/>
        <v>0</v>
      </c>
      <c r="S100" s="217"/>
      <c r="T100" s="217"/>
      <c r="U100" s="213"/>
    </row>
    <row r="101" spans="1:21" s="214" customFormat="1" ht="12" customHeight="1">
      <c r="A101" s="215" t="s">
        <v>835</v>
      </c>
      <c r="B101" s="216">
        <f t="shared" si="28"/>
        <v>0</v>
      </c>
      <c r="C101" s="217"/>
      <c r="D101" s="217"/>
      <c r="E101" s="217"/>
      <c r="F101" s="217"/>
      <c r="G101" s="217"/>
      <c r="H101" s="217"/>
      <c r="I101" s="217"/>
      <c r="J101" s="217"/>
      <c r="K101" s="217"/>
      <c r="L101" s="217"/>
      <c r="M101" s="217"/>
      <c r="N101" s="217"/>
      <c r="O101" s="217"/>
      <c r="P101" s="217"/>
      <c r="Q101" s="217"/>
      <c r="R101" s="879">
        <f t="shared" si="27"/>
        <v>0</v>
      </c>
      <c r="S101" s="217"/>
      <c r="T101" s="217"/>
      <c r="U101" s="213"/>
    </row>
    <row r="102" spans="1:21" s="214" customFormat="1">
      <c r="A102" s="440" t="s">
        <v>2000</v>
      </c>
      <c r="B102" s="216">
        <f t="shared" si="28"/>
        <v>0</v>
      </c>
      <c r="C102" s="217"/>
      <c r="D102" s="217"/>
      <c r="E102" s="217"/>
      <c r="F102" s="217"/>
      <c r="G102" s="217"/>
      <c r="H102" s="217"/>
      <c r="I102" s="217"/>
      <c r="J102" s="217"/>
      <c r="K102" s="217"/>
      <c r="L102" s="217"/>
      <c r="M102" s="217"/>
      <c r="N102" s="217"/>
      <c r="O102" s="217"/>
      <c r="P102" s="217"/>
      <c r="Q102" s="217"/>
      <c r="R102" s="879">
        <f t="shared" si="27"/>
        <v>0</v>
      </c>
      <c r="S102" s="217"/>
      <c r="T102" s="217"/>
      <c r="U102" s="213"/>
    </row>
    <row r="103" spans="1:21" s="214" customFormat="1">
      <c r="A103" s="222" t="s">
        <v>35</v>
      </c>
      <c r="B103" s="216">
        <f t="shared" si="28"/>
        <v>0</v>
      </c>
      <c r="C103" s="217"/>
      <c r="D103" s="217"/>
      <c r="E103" s="217"/>
      <c r="F103" s="217"/>
      <c r="G103" s="217"/>
      <c r="H103" s="217"/>
      <c r="I103" s="217"/>
      <c r="J103" s="217"/>
      <c r="K103" s="217"/>
      <c r="L103" s="217"/>
      <c r="M103" s="217"/>
      <c r="N103" s="217"/>
      <c r="O103" s="217"/>
      <c r="P103" s="217"/>
      <c r="Q103" s="217"/>
      <c r="R103" s="879">
        <f t="shared" si="27"/>
        <v>0</v>
      </c>
      <c r="S103" s="217"/>
      <c r="T103" s="217"/>
      <c r="U103" s="213"/>
    </row>
    <row r="104" spans="1:21" s="214" customFormat="1">
      <c r="A104" s="219" t="s">
        <v>836</v>
      </c>
      <c r="B104" s="216">
        <f>SUM(C104:D104)</f>
        <v>5325951</v>
      </c>
      <c r="C104" s="216">
        <f>SUM(C99:C103)</f>
        <v>5325951</v>
      </c>
      <c r="D104" s="216">
        <f t="shared" ref="D104:T104" si="29">SUM(D99:D103)</f>
        <v>0</v>
      </c>
      <c r="E104" s="216">
        <f t="shared" si="29"/>
        <v>2500100</v>
      </c>
      <c r="F104" s="216">
        <f t="shared" si="29"/>
        <v>0</v>
      </c>
      <c r="G104" s="216">
        <f t="shared" si="29"/>
        <v>0</v>
      </c>
      <c r="H104" s="216">
        <f t="shared" si="29"/>
        <v>2825851</v>
      </c>
      <c r="I104" s="216">
        <f t="shared" si="29"/>
        <v>0</v>
      </c>
      <c r="J104" s="216">
        <f t="shared" si="29"/>
        <v>0</v>
      </c>
      <c r="K104" s="216">
        <f t="shared" si="29"/>
        <v>0</v>
      </c>
      <c r="L104" s="216">
        <f t="shared" si="29"/>
        <v>0</v>
      </c>
      <c r="M104" s="216">
        <f t="shared" si="29"/>
        <v>0</v>
      </c>
      <c r="N104" s="216">
        <f t="shared" si="29"/>
        <v>0</v>
      </c>
      <c r="O104" s="216">
        <f t="shared" si="29"/>
        <v>0</v>
      </c>
      <c r="P104" s="216">
        <f t="shared" si="29"/>
        <v>0</v>
      </c>
      <c r="Q104" s="216">
        <f t="shared" si="29"/>
        <v>0</v>
      </c>
      <c r="R104" s="534">
        <f t="shared" si="29"/>
        <v>5325951</v>
      </c>
      <c r="S104" s="220">
        <f t="shared" si="29"/>
        <v>5285037</v>
      </c>
      <c r="T104" s="220">
        <f t="shared" si="29"/>
        <v>40914</v>
      </c>
      <c r="U104" s="213"/>
    </row>
    <row r="105" spans="1:21" s="214" customFormat="1">
      <c r="A105" s="219" t="s">
        <v>837</v>
      </c>
      <c r="B105" s="220">
        <f>SUM(C105:D105)</f>
        <v>54049758</v>
      </c>
      <c r="C105" s="220">
        <f t="shared" ref="C105:R105" si="30">SUM(C97+C104)</f>
        <v>54049758</v>
      </c>
      <c r="D105" s="220">
        <f t="shared" si="30"/>
        <v>0</v>
      </c>
      <c r="E105" s="220">
        <f t="shared" si="30"/>
        <v>28908754</v>
      </c>
      <c r="F105" s="220">
        <f t="shared" si="30"/>
        <v>13154270</v>
      </c>
      <c r="G105" s="220">
        <f t="shared" si="30"/>
        <v>7408000</v>
      </c>
      <c r="H105" s="220">
        <f t="shared" si="30"/>
        <v>2825851</v>
      </c>
      <c r="I105" s="220">
        <f t="shared" si="30"/>
        <v>1752783</v>
      </c>
      <c r="J105" s="220">
        <f t="shared" si="30"/>
        <v>100</v>
      </c>
      <c r="K105" s="220">
        <f t="shared" si="30"/>
        <v>0</v>
      </c>
      <c r="L105" s="220">
        <f t="shared" si="30"/>
        <v>0</v>
      </c>
      <c r="M105" s="220">
        <f t="shared" si="30"/>
        <v>0</v>
      </c>
      <c r="N105" s="220">
        <f t="shared" si="30"/>
        <v>0</v>
      </c>
      <c r="O105" s="220">
        <f t="shared" si="30"/>
        <v>0</v>
      </c>
      <c r="P105" s="220">
        <f t="shared" si="30"/>
        <v>0</v>
      </c>
      <c r="Q105" s="220">
        <f t="shared" si="30"/>
        <v>0</v>
      </c>
      <c r="R105" s="534">
        <f t="shared" si="30"/>
        <v>54049758</v>
      </c>
      <c r="S105" s="220">
        <f>S97+S104</f>
        <v>40518616</v>
      </c>
      <c r="T105" s="220">
        <f>T97+T104</f>
        <v>313677</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359</v>
      </c>
      <c r="J107" s="233"/>
      <c r="R107" s="231" t="s">
        <v>99</v>
      </c>
      <c r="S107" s="234">
        <f>S105+S106</f>
        <v>40518616</v>
      </c>
      <c r="T107" s="234">
        <f>T105+T106</f>
        <v>313677</v>
      </c>
    </row>
    <row r="108" spans="1:21" s="300" customFormat="1">
      <c r="A108" s="233" t="s">
        <v>943</v>
      </c>
      <c r="B108" s="228"/>
      <c r="C108" s="228"/>
      <c r="D108" s="228"/>
      <c r="E108" s="464">
        <f>Application!AO650</f>
        <v>28908754</v>
      </c>
      <c r="F108" s="464">
        <f>Application!AO637</f>
        <v>13154270</v>
      </c>
      <c r="G108" s="464">
        <f>Application!AO638</f>
        <v>7408000</v>
      </c>
      <c r="H108" s="464">
        <f>Application!AO639</f>
        <v>2825851</v>
      </c>
      <c r="I108" s="464">
        <f>Application!AO640</f>
        <v>1752783</v>
      </c>
      <c r="J108" s="464">
        <f>Application!AO641</f>
        <v>100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612" t="s">
        <v>1095</v>
      </c>
      <c r="E122" s="2612"/>
      <c r="F122" s="2612"/>
      <c r="G122" s="514"/>
      <c r="H122" s="514"/>
      <c r="I122" s="514"/>
      <c r="J122" s="514"/>
      <c r="K122" s="514"/>
      <c r="L122" s="514"/>
      <c r="M122" s="514"/>
      <c r="N122" s="514"/>
      <c r="O122" s="514"/>
      <c r="P122" s="514"/>
      <c r="Q122" s="514"/>
      <c r="R122" s="514"/>
      <c r="S122" s="514"/>
      <c r="T122" s="514"/>
      <c r="U122" s="516"/>
    </row>
    <row r="123" spans="1:21">
      <c r="A123" s="514" t="s">
        <v>1096</v>
      </c>
      <c r="B123" s="523"/>
      <c r="C123" s="514"/>
      <c r="D123" s="2615" t="s">
        <v>1438</v>
      </c>
      <c r="E123" s="2616"/>
      <c r="F123" s="2616"/>
      <c r="G123" s="2616"/>
      <c r="H123" s="2616"/>
      <c r="I123" s="2616"/>
      <c r="J123" s="2616"/>
      <c r="K123" s="2616"/>
      <c r="L123" s="2616"/>
      <c r="M123" s="2616"/>
      <c r="N123" s="2616"/>
      <c r="O123" s="2616"/>
      <c r="P123" s="2616"/>
      <c r="Q123" s="2616"/>
      <c r="R123" s="2616"/>
      <c r="S123" s="2616"/>
      <c r="T123" s="514"/>
      <c r="U123" s="516"/>
    </row>
    <row r="124" spans="1:21" ht="12.75">
      <c r="A124" s="513" t="s">
        <v>1097</v>
      </c>
      <c r="B124" s="523"/>
      <c r="C124" s="513"/>
      <c r="D124" s="2616"/>
      <c r="E124" s="2616"/>
      <c r="F124" s="2616"/>
      <c r="G124" s="2616"/>
      <c r="H124" s="2616"/>
      <c r="I124" s="2616"/>
      <c r="J124" s="2616"/>
      <c r="K124" s="2616"/>
      <c r="L124" s="2616"/>
      <c r="M124" s="2616"/>
      <c r="N124" s="2616"/>
      <c r="O124" s="2616"/>
      <c r="P124" s="2616"/>
      <c r="Q124" s="2616"/>
      <c r="R124" s="2616"/>
      <c r="S124" s="2616"/>
      <c r="T124" s="514"/>
      <c r="U124" s="516"/>
    </row>
    <row r="125" spans="1:21" ht="12.75">
      <c r="A125" s="513" t="s">
        <v>1098</v>
      </c>
      <c r="B125" s="523"/>
      <c r="C125" s="513"/>
      <c r="D125" s="2616"/>
      <c r="E125" s="2616"/>
      <c r="F125" s="2616"/>
      <c r="G125" s="2616"/>
      <c r="H125" s="2616"/>
      <c r="I125" s="2616"/>
      <c r="J125" s="2616"/>
      <c r="K125" s="2616"/>
      <c r="L125" s="2616"/>
      <c r="M125" s="2616"/>
      <c r="N125" s="2616"/>
      <c r="O125" s="2616"/>
      <c r="P125" s="2616"/>
      <c r="Q125" s="2616"/>
      <c r="R125" s="2616"/>
      <c r="S125" s="2616"/>
      <c r="T125" s="514"/>
      <c r="U125" s="516"/>
    </row>
    <row r="126" spans="1:21" ht="12.7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609"/>
      <c r="E128" s="2609"/>
      <c r="F128" s="2609"/>
      <c r="G128" s="2609"/>
      <c r="H128" s="2609"/>
      <c r="I128" s="513"/>
      <c r="J128" s="2610"/>
      <c r="K128" s="2610"/>
      <c r="L128" s="513"/>
      <c r="M128" s="513"/>
      <c r="N128" s="513"/>
      <c r="O128" s="513"/>
      <c r="P128" s="513"/>
      <c r="Q128" s="513"/>
      <c r="R128" s="513"/>
      <c r="S128" s="513"/>
      <c r="T128" s="514"/>
      <c r="U128" s="516"/>
    </row>
    <row r="129" spans="1:21" ht="12.75">
      <c r="A129" s="513" t="s">
        <v>308</v>
      </c>
      <c r="B129" s="523"/>
      <c r="C129" s="513"/>
      <c r="D129" s="2611" t="s">
        <v>1102</v>
      </c>
      <c r="E129" s="2611"/>
      <c r="F129" s="2611"/>
      <c r="G129" s="2611"/>
      <c r="H129" s="2611"/>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0</v>
      </c>
      <c r="C131" s="513"/>
      <c r="D131" s="2591"/>
      <c r="E131" s="2591"/>
      <c r="F131" s="2591"/>
      <c r="G131" s="2591"/>
      <c r="H131" s="2591"/>
      <c r="I131" s="513"/>
      <c r="J131" s="2591"/>
      <c r="K131" s="2591"/>
      <c r="L131" s="2591"/>
      <c r="M131" s="2591"/>
      <c r="N131" s="513"/>
      <c r="O131" s="513"/>
      <c r="P131" s="513"/>
      <c r="Q131" s="513"/>
      <c r="R131" s="513"/>
      <c r="S131" s="513"/>
      <c r="T131" s="514"/>
      <c r="U131" s="516"/>
    </row>
    <row r="132" spans="1:21" ht="12" customHeight="1">
      <c r="A132" s="527"/>
      <c r="B132" s="513"/>
      <c r="C132" s="513"/>
      <c r="D132" s="2617" t="s">
        <v>1105</v>
      </c>
      <c r="E132" s="2617"/>
      <c r="F132" s="2617"/>
      <c r="G132" s="2617"/>
      <c r="H132" s="2617"/>
      <c r="I132" s="513"/>
      <c r="J132" s="2617" t="s">
        <v>1106</v>
      </c>
      <c r="K132" s="2617"/>
      <c r="L132" s="2617"/>
      <c r="M132" s="2617"/>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618"/>
      <c r="B138" s="2619"/>
      <c r="C138" s="2619"/>
      <c r="D138" s="518"/>
      <c r="E138" s="2610"/>
      <c r="F138" s="2610"/>
      <c r="G138" s="513"/>
      <c r="H138" s="513"/>
      <c r="I138" s="513"/>
      <c r="J138" s="513"/>
      <c r="K138" s="513"/>
      <c r="L138" s="513"/>
      <c r="M138" s="513"/>
      <c r="N138" s="513"/>
      <c r="O138" s="513"/>
      <c r="P138" s="513"/>
      <c r="Q138" s="513"/>
      <c r="R138" s="513"/>
      <c r="S138" s="513"/>
      <c r="T138" s="520"/>
      <c r="U138" s="521"/>
    </row>
    <row r="139" spans="1:21" ht="12.75">
      <c r="A139" s="2613" t="s">
        <v>1109</v>
      </c>
      <c r="B139" s="2614"/>
      <c r="C139" s="2614"/>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2" zoomScaleNormal="100" zoomScaleSheetLayoutView="100" workbookViewId="0">
      <selection activeCell="C3" sqref="C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626" t="s">
        <v>1441</v>
      </c>
      <c r="B1" s="2627"/>
      <c r="C1" s="2627"/>
      <c r="D1" s="2627"/>
      <c r="E1" s="2627"/>
      <c r="F1" s="2627"/>
      <c r="G1" s="2627"/>
      <c r="H1" s="2627"/>
      <c r="I1" s="2627"/>
      <c r="J1" s="2628"/>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9322237</v>
      </c>
      <c r="C4" s="566"/>
      <c r="D4" s="566"/>
      <c r="E4" s="567"/>
      <c r="F4" s="567"/>
      <c r="G4" s="567"/>
      <c r="H4" s="567"/>
      <c r="I4" s="567"/>
      <c r="J4" s="567"/>
      <c r="K4" s="563"/>
    </row>
    <row r="5" spans="1:11" s="564" customFormat="1">
      <c r="A5" s="568" t="s">
        <v>29</v>
      </c>
      <c r="B5" s="565">
        <f>'Sources and Uses Budget'!C5</f>
        <v>500000</v>
      </c>
      <c r="C5" s="566"/>
      <c r="D5" s="566"/>
      <c r="E5" s="567"/>
      <c r="F5" s="567"/>
      <c r="G5" s="567"/>
      <c r="H5" s="567"/>
      <c r="I5" s="567"/>
      <c r="J5" s="567"/>
      <c r="K5" s="563"/>
    </row>
    <row r="6" spans="1:11" s="564" customFormat="1">
      <c r="A6" s="568" t="s">
        <v>30</v>
      </c>
      <c r="B6" s="565">
        <f>'Sources and Uses Budget'!C6</f>
        <v>20000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9842237</v>
      </c>
      <c r="C8" s="565">
        <f>SUM(C4:C7)</f>
        <v>0</v>
      </c>
      <c r="D8" s="565">
        <f>SUM(D4:D7)</f>
        <v>0</v>
      </c>
      <c r="E8" s="567"/>
      <c r="F8" s="567"/>
      <c r="G8" s="567"/>
      <c r="H8" s="567"/>
      <c r="I8" s="567"/>
      <c r="J8" s="567"/>
      <c r="K8" s="563"/>
    </row>
    <row r="9" spans="1:11" s="564" customFormat="1">
      <c r="A9" s="568" t="s">
        <v>628</v>
      </c>
      <c r="B9" s="565">
        <f>'Sources and Uses Budget'!C9</f>
        <v>272763</v>
      </c>
      <c r="C9" s="566"/>
      <c r="D9" s="566"/>
      <c r="E9" s="567"/>
      <c r="F9" s="567"/>
      <c r="G9" s="567"/>
      <c r="H9" s="565">
        <f>'Sources and Uses Budget'!T9</f>
        <v>272763</v>
      </c>
      <c r="I9" s="566"/>
      <c r="J9" s="566"/>
      <c r="K9" s="563"/>
    </row>
    <row r="10" spans="1:11" s="564" customFormat="1">
      <c r="A10" s="568" t="s">
        <v>629</v>
      </c>
      <c r="B10" s="565">
        <f>'Sources and Uses Budget'!C10</f>
        <v>250000</v>
      </c>
      <c r="C10" s="566"/>
      <c r="D10" s="566"/>
      <c r="E10" s="565">
        <f>'Sources and Uses Budget'!S10</f>
        <v>250000</v>
      </c>
      <c r="F10" s="566"/>
      <c r="G10" s="566"/>
      <c r="H10" s="565">
        <f>'Sources and Uses Budget'!T10</f>
        <v>0</v>
      </c>
      <c r="I10" s="566"/>
      <c r="J10" s="566"/>
      <c r="K10" s="563"/>
    </row>
    <row r="11" spans="1:11" s="564" customFormat="1">
      <c r="A11" s="569" t="s">
        <v>630</v>
      </c>
      <c r="B11" s="565">
        <f>'Sources and Uses Budget'!C11</f>
        <v>522763</v>
      </c>
      <c r="C11" s="565">
        <f>SUM(C9:C10)</f>
        <v>0</v>
      </c>
      <c r="D11" s="565">
        <f>SUM(D9:D10)</f>
        <v>0</v>
      </c>
      <c r="E11" s="567"/>
      <c r="F11" s="567"/>
      <c r="G11" s="567"/>
      <c r="H11" s="565">
        <f>'Sources and Uses Budget'!T11</f>
        <v>272763</v>
      </c>
      <c r="I11" s="565">
        <f>SUM(I9:I10)</f>
        <v>0</v>
      </c>
      <c r="J11" s="565">
        <f>SUM(J9:J10)</f>
        <v>0</v>
      </c>
      <c r="K11" s="563"/>
    </row>
    <row r="12" spans="1:11" s="564" customFormat="1">
      <c r="A12" s="569" t="s">
        <v>89</v>
      </c>
      <c r="B12" s="565">
        <f>'Sources and Uses Budget'!C12</f>
        <v>10365000</v>
      </c>
      <c r="C12" s="565">
        <f>SUM(C8+C11)</f>
        <v>0</v>
      </c>
      <c r="D12" s="565">
        <f>SUM(D8+D11)</f>
        <v>0</v>
      </c>
      <c r="E12" s="567"/>
      <c r="F12" s="567"/>
      <c r="G12" s="567"/>
      <c r="H12" s="567"/>
      <c r="I12" s="567"/>
      <c r="J12" s="567"/>
      <c r="K12" s="563"/>
    </row>
    <row r="13" spans="1:11" s="564" customFormat="1">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150000</v>
      </c>
      <c r="C18" s="566"/>
      <c r="D18" s="566"/>
      <c r="E18" s="565">
        <f>'Sources and Uses Budget'!S18</f>
        <v>150000</v>
      </c>
      <c r="F18" s="566"/>
      <c r="G18" s="566"/>
      <c r="H18" s="565">
        <f>'Sources and Uses Budget'!T18</f>
        <v>0</v>
      </c>
      <c r="I18" s="566"/>
      <c r="J18" s="566"/>
      <c r="K18" s="563"/>
    </row>
    <row r="19" spans="1:11" s="564" customFormat="1">
      <c r="A19" s="568" t="s">
        <v>634</v>
      </c>
      <c r="B19" s="565">
        <f>'Sources and Uses Budget'!C19</f>
        <v>9000</v>
      </c>
      <c r="C19" s="566"/>
      <c r="D19" s="566"/>
      <c r="E19" s="565">
        <f>'Sources and Uses Budget'!S19</f>
        <v>9000</v>
      </c>
      <c r="F19" s="566"/>
      <c r="G19" s="566"/>
      <c r="H19" s="565">
        <f>'Sources and Uses Budget'!T19</f>
        <v>0</v>
      </c>
      <c r="I19" s="566"/>
      <c r="J19" s="566"/>
      <c r="K19" s="563"/>
    </row>
    <row r="20" spans="1:11" s="564" customFormat="1">
      <c r="A20" s="568" t="s">
        <v>142</v>
      </c>
      <c r="B20" s="565">
        <f>'Sources and Uses Budget'!C20</f>
        <v>3000</v>
      </c>
      <c r="C20" s="566"/>
      <c r="D20" s="566"/>
      <c r="E20" s="565">
        <f>'Sources and Uses Budget'!S20</f>
        <v>3000</v>
      </c>
      <c r="F20" s="566"/>
      <c r="G20" s="566"/>
      <c r="H20" s="565">
        <f>'Sources and Uses Budget'!T20</f>
        <v>0</v>
      </c>
      <c r="I20" s="566"/>
      <c r="J20" s="566"/>
      <c r="K20" s="563"/>
    </row>
    <row r="21" spans="1:11" s="564" customFormat="1">
      <c r="A21" s="568" t="s">
        <v>143</v>
      </c>
      <c r="B21" s="565">
        <f>'Sources and Uses Budget'!C21</f>
        <v>9000</v>
      </c>
      <c r="C21" s="566"/>
      <c r="D21" s="566"/>
      <c r="E21" s="565">
        <f>'Sources and Uses Budget'!S21</f>
        <v>9000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171000</v>
      </c>
      <c r="C26" s="565">
        <f>SUM(C17:C25)</f>
        <v>0</v>
      </c>
      <c r="D26" s="565">
        <f>SUM(D17:D25)</f>
        <v>0</v>
      </c>
      <c r="E26" s="565">
        <f>'Sources and Uses Budget'!S26</f>
        <v>171000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3241000</v>
      </c>
      <c r="C29" s="566"/>
      <c r="D29" s="566"/>
      <c r="E29" s="565">
        <f>'Sources and Uses Budget'!S29</f>
        <v>3241000</v>
      </c>
      <c r="F29" s="566"/>
      <c r="G29" s="566"/>
      <c r="H29" s="565">
        <f>'Sources and Uses Budget'!T29</f>
        <v>0</v>
      </c>
      <c r="I29" s="566"/>
      <c r="J29" s="566"/>
      <c r="K29" s="563"/>
    </row>
    <row r="30" spans="1:11" s="564" customFormat="1">
      <c r="A30" s="215" t="s">
        <v>633</v>
      </c>
      <c r="B30" s="565">
        <f>'Sources and Uses Budget'!C30</f>
        <v>19366405</v>
      </c>
      <c r="C30" s="566"/>
      <c r="D30" s="566"/>
      <c r="E30" s="565">
        <f>'Sources and Uses Budget'!S30</f>
        <v>19366405</v>
      </c>
      <c r="F30" s="566"/>
      <c r="G30" s="566"/>
      <c r="H30" s="565">
        <f>'Sources and Uses Budget'!T30</f>
        <v>0</v>
      </c>
      <c r="I30" s="566"/>
      <c r="J30" s="566"/>
      <c r="K30" s="563"/>
    </row>
    <row r="31" spans="1:11" s="564" customFormat="1">
      <c r="A31" s="215" t="s">
        <v>634</v>
      </c>
      <c r="B31" s="565">
        <f>'Sources and Uses Budget'!C31</f>
        <v>1377984</v>
      </c>
      <c r="C31" s="566"/>
      <c r="D31" s="566"/>
      <c r="E31" s="565">
        <f>'Sources and Uses Budget'!S31</f>
        <v>1377984</v>
      </c>
      <c r="F31" s="566"/>
      <c r="G31" s="566"/>
      <c r="H31" s="565">
        <f>'Sources and Uses Budget'!T31</f>
        <v>0</v>
      </c>
      <c r="I31" s="566"/>
      <c r="J31" s="566"/>
      <c r="K31" s="563"/>
    </row>
    <row r="32" spans="1:11" s="564" customFormat="1">
      <c r="A32" s="215" t="s">
        <v>142</v>
      </c>
      <c r="B32" s="565">
        <f>'Sources and Uses Budget'!C32</f>
        <v>478948</v>
      </c>
      <c r="C32" s="566"/>
      <c r="D32" s="566"/>
      <c r="E32" s="565">
        <f>'Sources and Uses Budget'!S32</f>
        <v>478948</v>
      </c>
      <c r="F32" s="566"/>
      <c r="G32" s="566"/>
      <c r="H32" s="565">
        <f>'Sources and Uses Budget'!T32</f>
        <v>0</v>
      </c>
      <c r="I32" s="566"/>
      <c r="J32" s="566"/>
      <c r="K32" s="563"/>
    </row>
    <row r="33" spans="1:11" s="564" customFormat="1">
      <c r="A33" s="215" t="s">
        <v>143</v>
      </c>
      <c r="B33" s="565">
        <f>'Sources and Uses Budget'!C33</f>
        <v>1463843</v>
      </c>
      <c r="C33" s="566"/>
      <c r="D33" s="566"/>
      <c r="E33" s="565">
        <f>'Sources and Uses Budget'!S33</f>
        <v>1463843</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60000</v>
      </c>
      <c r="C35" s="566"/>
      <c r="D35" s="566"/>
      <c r="E35" s="565">
        <f>'Sources and Uses Budget'!S35</f>
        <v>60000</v>
      </c>
      <c r="F35" s="566"/>
      <c r="G35" s="566"/>
      <c r="H35" s="565">
        <f>'Sources and Uses Budget'!T35</f>
        <v>0</v>
      </c>
      <c r="I35" s="566"/>
      <c r="J35" s="566"/>
      <c r="K35" s="563"/>
    </row>
    <row r="36" spans="1:11" s="564" customFormat="1">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25988180</v>
      </c>
      <c r="C38" s="565">
        <f>SUM(C29:C37)</f>
        <v>0</v>
      </c>
      <c r="D38" s="565">
        <f>SUM(D29:D37)</f>
        <v>0</v>
      </c>
      <c r="E38" s="565">
        <f>'Sources and Uses Budget'!S38</f>
        <v>25988180</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746812</v>
      </c>
      <c r="C40" s="566"/>
      <c r="D40" s="566"/>
      <c r="E40" s="565">
        <f>'Sources and Uses Budget'!S40</f>
        <v>746812</v>
      </c>
      <c r="F40" s="566"/>
      <c r="G40" s="566"/>
      <c r="H40" s="565">
        <f>'Sources and Uses Budget'!T40</f>
        <v>0</v>
      </c>
      <c r="I40" s="566"/>
      <c r="J40" s="566"/>
      <c r="K40" s="563"/>
    </row>
    <row r="41" spans="1:11" s="564" customFormat="1">
      <c r="A41" s="568" t="s">
        <v>151</v>
      </c>
      <c r="B41" s="565">
        <f>'Sources and Uses Budget'!C41</f>
        <v>82979</v>
      </c>
      <c r="C41" s="566"/>
      <c r="D41" s="566"/>
      <c r="E41" s="565">
        <f>'Sources and Uses Budget'!S41</f>
        <v>82979</v>
      </c>
      <c r="F41" s="566"/>
      <c r="G41" s="566"/>
      <c r="H41" s="565">
        <f>'Sources and Uses Budget'!T41</f>
        <v>0</v>
      </c>
      <c r="I41" s="566"/>
      <c r="J41" s="566"/>
      <c r="K41" s="563"/>
    </row>
    <row r="42" spans="1:11" s="564" customFormat="1">
      <c r="A42" s="569" t="s">
        <v>152</v>
      </c>
      <c r="B42" s="565">
        <f>'Sources and Uses Budget'!C42</f>
        <v>829791</v>
      </c>
      <c r="C42" s="565">
        <f>SUM(C39:C41)</f>
        <v>0</v>
      </c>
      <c r="D42" s="565">
        <f>SUM(D39:D41)</f>
        <v>0</v>
      </c>
      <c r="E42" s="565">
        <f>'Sources and Uses Budget'!S42</f>
        <v>829791</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568146</v>
      </c>
      <c r="C43" s="566"/>
      <c r="D43" s="566"/>
      <c r="E43" s="565">
        <f>'Sources and Uses Budget'!S43</f>
        <v>568146</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1731244</v>
      </c>
      <c r="C45" s="566"/>
      <c r="D45" s="566"/>
      <c r="E45" s="565">
        <f>'Sources and Uses Budget'!S45</f>
        <v>1327287</v>
      </c>
      <c r="F45" s="566"/>
      <c r="G45" s="566"/>
      <c r="H45" s="565">
        <f>'Sources and Uses Budget'!T45</f>
        <v>0</v>
      </c>
      <c r="I45" s="566"/>
      <c r="J45" s="566"/>
      <c r="K45" s="563"/>
    </row>
    <row r="46" spans="1:11" s="564" customFormat="1">
      <c r="A46" s="568" t="s">
        <v>156</v>
      </c>
      <c r="B46" s="565">
        <f>'Sources and Uses Budget'!C46</f>
        <v>311936</v>
      </c>
      <c r="C46" s="566"/>
      <c r="D46" s="566"/>
      <c r="E46" s="565">
        <f>'Sources and Uses Budget'!S46</f>
        <v>311936</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171077</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55000</v>
      </c>
      <c r="C50" s="566"/>
      <c r="D50" s="566"/>
      <c r="E50" s="565">
        <f>'Sources and Uses Budget'!S50</f>
        <v>40000</v>
      </c>
      <c r="F50" s="566"/>
      <c r="G50" s="566"/>
      <c r="H50" s="565">
        <f>'Sources and Uses Budget'!T50</f>
        <v>0</v>
      </c>
      <c r="I50" s="566"/>
      <c r="J50" s="566"/>
      <c r="K50" s="563"/>
    </row>
    <row r="51" spans="1:11" s="564" customFormat="1">
      <c r="A51" s="568" t="s">
        <v>159</v>
      </c>
      <c r="B51" s="565">
        <f>'Sources and Uses Budget'!C51</f>
        <v>160317</v>
      </c>
      <c r="C51" s="566"/>
      <c r="D51" s="566"/>
      <c r="E51" s="565">
        <f>'Sources and Uses Budget'!S51</f>
        <v>160317</v>
      </c>
      <c r="F51" s="566"/>
      <c r="G51" s="566"/>
      <c r="H51" s="565">
        <f>'Sources and Uses Budget'!T51</f>
        <v>0</v>
      </c>
      <c r="I51" s="566"/>
      <c r="J51" s="566"/>
      <c r="K51" s="563"/>
    </row>
    <row r="52" spans="1:11" s="564" customFormat="1">
      <c r="A52" s="568" t="s">
        <v>160</v>
      </c>
      <c r="B52" s="565">
        <f>'Sources and Uses Budget'!C52</f>
        <v>0</v>
      </c>
      <c r="C52" s="566"/>
      <c r="D52" s="566"/>
      <c r="E52" s="565">
        <f>'Sources and Uses Budget'!S52</f>
        <v>0</v>
      </c>
      <c r="F52" s="566"/>
      <c r="G52" s="566"/>
      <c r="H52" s="565">
        <f>'Sources and Uses Budget'!T52</f>
        <v>0</v>
      </c>
      <c r="I52" s="566"/>
      <c r="J52" s="566"/>
      <c r="K52" s="563"/>
    </row>
    <row r="53" spans="1:11" s="564" customFormat="1" ht="24">
      <c r="A53" s="571" t="str">
        <f>'Sources and Uses Budget'!$A53</f>
        <v>Lender Construction Inspection &amp; Lender Fees</v>
      </c>
      <c r="B53" s="565">
        <f>'Sources and Uses Budget'!C53</f>
        <v>263217</v>
      </c>
      <c r="C53" s="566"/>
      <c r="D53" s="566"/>
      <c r="E53" s="565">
        <f>'Sources and Uses Budget'!S53</f>
        <v>263217</v>
      </c>
      <c r="F53" s="566"/>
      <c r="G53" s="566"/>
      <c r="H53" s="565">
        <f>'Sources and Uses Budget'!T53</f>
        <v>0</v>
      </c>
      <c r="I53" s="566"/>
      <c r="J53" s="566"/>
      <c r="K53" s="563"/>
    </row>
    <row r="54" spans="1:11" s="575" customFormat="1">
      <c r="A54" s="569" t="s">
        <v>162</v>
      </c>
      <c r="B54" s="565">
        <f>'Sources and Uses Budget'!C54</f>
        <v>2692791</v>
      </c>
      <c r="C54" s="572">
        <f>SUM(C45:C53)</f>
        <v>0</v>
      </c>
      <c r="D54" s="572">
        <f>SUM(D45:D53)</f>
        <v>0</v>
      </c>
      <c r="E54" s="565">
        <f>'Sources and Uses Budget'!S54</f>
        <v>2102757</v>
      </c>
      <c r="F54" s="572">
        <f>SUM(F45:F53)</f>
        <v>0</v>
      </c>
      <c r="G54" s="572">
        <f>SUM(G45:G53)</f>
        <v>0</v>
      </c>
      <c r="H54" s="565">
        <f>'Sources and Uses Budget'!T54</f>
        <v>0</v>
      </c>
      <c r="I54" s="572">
        <f>SUM(I45:I53)</f>
        <v>0</v>
      </c>
      <c r="J54" s="572">
        <f>SUM(J45:J53)</f>
        <v>0</v>
      </c>
      <c r="K54" s="574"/>
    </row>
    <row r="55" spans="1:11" s="564" customFormat="1">
      <c r="A55" s="561" t="s">
        <v>438</v>
      </c>
      <c r="B55" s="562"/>
      <c r="C55" s="562"/>
      <c r="D55" s="562"/>
      <c r="E55" s="562"/>
      <c r="F55" s="562"/>
      <c r="G55" s="562"/>
      <c r="H55" s="562"/>
      <c r="I55" s="562"/>
      <c r="J55" s="562"/>
      <c r="K55" s="563"/>
    </row>
    <row r="56" spans="1:11" s="564" customFormat="1">
      <c r="A56" s="568" t="s">
        <v>163</v>
      </c>
      <c r="B56" s="565">
        <f>'Sources and Uses Budget'!C56</f>
        <v>131543</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20000</v>
      </c>
      <c r="C58" s="566"/>
      <c r="D58" s="566"/>
      <c r="E58" s="567"/>
      <c r="F58" s="567"/>
      <c r="G58" s="567"/>
      <c r="H58" s="567"/>
      <c r="I58" s="567"/>
      <c r="J58" s="567"/>
      <c r="K58" s="563"/>
    </row>
    <row r="59" spans="1:11" s="564" customFormat="1">
      <c r="A59" s="568" t="s">
        <v>159</v>
      </c>
      <c r="B59" s="565">
        <f>'Sources and Uses Budget'!C59</f>
        <v>59683</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Permanent Conversion Fee</v>
      </c>
      <c r="B61" s="565">
        <f>'Sources and Uses Budget'!C61</f>
        <v>10000</v>
      </c>
      <c r="C61" s="566"/>
      <c r="D61" s="566"/>
      <c r="E61" s="567"/>
      <c r="F61" s="567"/>
      <c r="G61" s="567"/>
      <c r="H61" s="567"/>
      <c r="I61" s="567"/>
      <c r="J61" s="567"/>
      <c r="K61" s="563"/>
    </row>
    <row r="62" spans="1:11" s="564" customFormat="1" ht="13.7" customHeight="1">
      <c r="A62" s="569" t="s">
        <v>309</v>
      </c>
      <c r="B62" s="565">
        <f>'Sources and Uses Budget'!C62</f>
        <v>221226</v>
      </c>
      <c r="C62" s="565">
        <f>SUM(C56:C61)</f>
        <v>0</v>
      </c>
      <c r="D62" s="565">
        <f>SUM(D56:D61)</f>
        <v>0</v>
      </c>
      <c r="E62" s="567"/>
      <c r="F62" s="567"/>
      <c r="G62" s="567"/>
      <c r="H62" s="567"/>
      <c r="I62" s="567"/>
      <c r="J62" s="567"/>
      <c r="K62" s="563"/>
    </row>
    <row r="63" spans="1:11" s="564" customFormat="1">
      <c r="A63" s="576" t="s">
        <v>310</v>
      </c>
      <c r="B63" s="565">
        <f>'Sources and Uses Budget'!C63</f>
        <v>40836134</v>
      </c>
      <c r="C63" s="565">
        <f>SUM(C8+C11+C13+C14+C15+C26+C27+C38+C42+C43+C54+C62)</f>
        <v>0</v>
      </c>
      <c r="D63" s="565">
        <f>SUM(D8+D11+D13+D14+D15+D26+D27+D38+D42+D43+D54+D62)</f>
        <v>0</v>
      </c>
      <c r="E63" s="565">
        <f>'Sources and Uses Budget'!S63</f>
        <v>29909874</v>
      </c>
      <c r="F63" s="565">
        <f>SUM(F10+F13+F14+F15+F26+F27+F38+F42+F43+F54)</f>
        <v>0</v>
      </c>
      <c r="G63" s="565">
        <f>SUM(G10+G13+G14+G15+G26+G27+G38+G42+G43+G54)</f>
        <v>0</v>
      </c>
      <c r="H63" s="565">
        <f>'Sources and Uses Budget'!T63</f>
        <v>272763</v>
      </c>
      <c r="I63" s="565">
        <f>SUM(I11+I13+I14+I15+I26+I27+I38+I42+I43+I54)</f>
        <v>0</v>
      </c>
      <c r="J63" s="565">
        <f>SUM(J11+J13+J14+J15+J26+J27+J38+J42+J43+J54)</f>
        <v>0</v>
      </c>
      <c r="K63" s="563"/>
    </row>
    <row r="64" spans="1:11" s="564" customFormat="1" ht="24">
      <c r="A64" s="211" t="s">
        <v>1997</v>
      </c>
      <c r="B64" s="562"/>
      <c r="C64" s="562"/>
      <c r="D64" s="562"/>
      <c r="E64" s="562"/>
      <c r="F64" s="562"/>
      <c r="G64" s="562"/>
      <c r="H64" s="562"/>
      <c r="I64" s="562"/>
      <c r="J64" s="562"/>
      <c r="K64" s="563"/>
    </row>
    <row r="65" spans="1:11" s="564" customFormat="1">
      <c r="A65" s="215" t="s">
        <v>176</v>
      </c>
      <c r="B65" s="565">
        <f>'Sources and Uses Budget'!C65</f>
        <v>100000</v>
      </c>
      <c r="C65" s="566"/>
      <c r="D65" s="566"/>
      <c r="E65" s="565">
        <f>'Sources and Uses Budget'!S65</f>
        <v>65000</v>
      </c>
      <c r="F65" s="566"/>
      <c r="G65" s="566"/>
      <c r="H65" s="565">
        <f>'Sources and Uses Budget'!T65</f>
        <v>0</v>
      </c>
      <c r="I65" s="566"/>
      <c r="J65" s="566"/>
      <c r="K65" s="563"/>
    </row>
    <row r="66" spans="1:11" s="564" customFormat="1" ht="24">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Borrower's Legal</v>
      </c>
      <c r="B69" s="565">
        <f>'Sources and Uses Budget'!C69</f>
        <v>590566</v>
      </c>
      <c r="C69" s="566"/>
      <c r="D69" s="566"/>
      <c r="E69" s="565">
        <f>'Sources and Uses Budget'!S69</f>
        <v>570566</v>
      </c>
      <c r="F69" s="566"/>
      <c r="G69" s="566"/>
      <c r="H69" s="565">
        <f>'Sources and Uses Budget'!T69</f>
        <v>0</v>
      </c>
      <c r="I69" s="566"/>
      <c r="J69" s="566"/>
      <c r="K69" s="563"/>
    </row>
    <row r="70" spans="1:11" s="564" customFormat="1">
      <c r="A70" s="569" t="s">
        <v>635</v>
      </c>
      <c r="B70" s="565">
        <f>'Sources and Uses Budget'!C70</f>
        <v>690566</v>
      </c>
      <c r="C70" s="565">
        <f>SUM(C64:C69)</f>
        <v>0</v>
      </c>
      <c r="D70" s="565">
        <f>SUM(D64:D69)</f>
        <v>0</v>
      </c>
      <c r="E70" s="565">
        <f>'Sources and Uses Budget'!S70</f>
        <v>635566</v>
      </c>
      <c r="F70" s="572">
        <f>SUM(F65:F69)</f>
        <v>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639</v>
      </c>
      <c r="B75" s="565">
        <f>'Sources and Uses Budget'!C75</f>
        <v>327000</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327000</v>
      </c>
      <c r="C77" s="565">
        <f>SUM(C72:C76)</f>
        <v>0</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1150820</v>
      </c>
      <c r="C79" s="566"/>
      <c r="D79" s="566"/>
      <c r="E79" s="565">
        <f>'Sources and Uses Budget'!S79</f>
        <v>1150820</v>
      </c>
      <c r="F79" s="566"/>
      <c r="G79" s="566"/>
      <c r="H79" s="565">
        <f>'Sources and Uses Budget'!T79</f>
        <v>0</v>
      </c>
      <c r="I79" s="566"/>
      <c r="J79" s="566"/>
      <c r="K79" s="563"/>
    </row>
    <row r="80" spans="1:11" s="564" customFormat="1">
      <c r="A80" s="568" t="s">
        <v>61</v>
      </c>
      <c r="B80" s="565">
        <f>'Sources and Uses Budget'!C80</f>
        <v>400000</v>
      </c>
      <c r="C80" s="566"/>
      <c r="D80" s="566"/>
      <c r="E80" s="565">
        <f>'Sources and Uses Budget'!S80</f>
        <v>400000</v>
      </c>
      <c r="F80" s="566"/>
      <c r="G80" s="566"/>
      <c r="H80" s="565">
        <f>'Sources and Uses Budget'!T80</f>
        <v>0</v>
      </c>
      <c r="I80" s="566"/>
      <c r="J80" s="566"/>
      <c r="K80" s="563"/>
    </row>
    <row r="81" spans="1:11" s="564" customFormat="1">
      <c r="A81" s="569" t="s">
        <v>1418</v>
      </c>
      <c r="B81" s="565">
        <f>'Sources and Uses Budget'!C81</f>
        <v>1550820</v>
      </c>
      <c r="C81" s="565">
        <f>SUM(C79:C80)</f>
        <v>0</v>
      </c>
      <c r="D81" s="565">
        <f>SUM(D79:D80)</f>
        <v>0</v>
      </c>
      <c r="E81" s="565">
        <f>'Sources and Uses Budget'!S81</f>
        <v>1550820</v>
      </c>
      <c r="F81" s="565">
        <f>SUM(F79:F80)</f>
        <v>0</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58275</v>
      </c>
      <c r="C83" s="566"/>
      <c r="D83" s="566"/>
      <c r="E83" s="567"/>
      <c r="F83" s="567"/>
      <c r="G83" s="567"/>
      <c r="H83" s="567"/>
      <c r="I83" s="567"/>
      <c r="J83" s="567"/>
      <c r="K83" s="563"/>
    </row>
    <row r="84" spans="1:11" s="564" customFormat="1">
      <c r="A84" s="215" t="s">
        <v>824</v>
      </c>
      <c r="B84" s="565">
        <f>'Sources and Uses Budget'!C84</f>
        <v>120000</v>
      </c>
      <c r="C84" s="566"/>
      <c r="D84" s="566"/>
      <c r="E84" s="565">
        <f>'Sources and Uses Budget'!S84</f>
        <v>0</v>
      </c>
      <c r="F84" s="566"/>
      <c r="G84" s="566"/>
      <c r="H84" s="565">
        <f>'Sources and Uses Budget'!T84</f>
        <v>0</v>
      </c>
      <c r="I84" s="566"/>
      <c r="J84" s="566"/>
      <c r="K84" s="563"/>
    </row>
    <row r="85" spans="1:11" s="564" customFormat="1">
      <c r="A85" s="215" t="s">
        <v>825</v>
      </c>
      <c r="B85" s="565">
        <f>'Sources and Uses Budget'!C85</f>
        <v>2578824</v>
      </c>
      <c r="C85" s="566"/>
      <c r="D85" s="566"/>
      <c r="E85" s="565">
        <f>'Sources and Uses Budget'!S85</f>
        <v>2578824</v>
      </c>
      <c r="F85" s="566"/>
      <c r="G85" s="566"/>
      <c r="H85" s="565">
        <f>'Sources and Uses Budget'!T85</f>
        <v>0</v>
      </c>
      <c r="I85" s="566"/>
      <c r="J85" s="566"/>
      <c r="K85" s="563"/>
    </row>
    <row r="86" spans="1:11" s="564" customFormat="1">
      <c r="A86" s="215" t="s">
        <v>826</v>
      </c>
      <c r="B86" s="565">
        <f>'Sources and Uses Budget'!C86</f>
        <v>300362</v>
      </c>
      <c r="C86" s="566"/>
      <c r="D86" s="566"/>
      <c r="E86" s="565">
        <f>'Sources and Uses Budget'!S86</f>
        <v>300362</v>
      </c>
      <c r="F86" s="566"/>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50000</v>
      </c>
      <c r="C88" s="566"/>
      <c r="D88" s="566"/>
      <c r="E88" s="567"/>
      <c r="F88" s="567"/>
      <c r="G88" s="567"/>
      <c r="H88" s="567"/>
      <c r="I88" s="567"/>
      <c r="J88" s="567"/>
      <c r="K88" s="563"/>
    </row>
    <row r="89" spans="1:11" s="564" customFormat="1">
      <c r="A89" s="215" t="s">
        <v>829</v>
      </c>
      <c r="B89" s="565">
        <f>'Sources and Uses Budget'!C89</f>
        <v>0</v>
      </c>
      <c r="C89" s="566"/>
      <c r="D89" s="566"/>
      <c r="E89" s="565">
        <f>'Sources and Uses Budget'!S89</f>
        <v>0</v>
      </c>
      <c r="F89" s="566"/>
      <c r="G89" s="566"/>
      <c r="H89" s="565">
        <f>'Sources and Uses Budget'!T89</f>
        <v>0</v>
      </c>
      <c r="I89" s="566"/>
      <c r="J89" s="566"/>
      <c r="K89" s="563"/>
    </row>
    <row r="90" spans="1:11" s="564" customFormat="1">
      <c r="A90" s="215" t="s">
        <v>830</v>
      </c>
      <c r="B90" s="565">
        <f>'Sources and Uses Budget'!C90</f>
        <v>21300</v>
      </c>
      <c r="C90" s="566"/>
      <c r="D90" s="566"/>
      <c r="E90" s="565">
        <f>'Sources and Uses Budget'!S90</f>
        <v>10650</v>
      </c>
      <c r="F90" s="566"/>
      <c r="G90" s="566"/>
      <c r="H90" s="565">
        <f>'Sources and Uses Budget'!T90</f>
        <v>0</v>
      </c>
      <c r="I90" s="566"/>
      <c r="J90" s="566"/>
      <c r="K90" s="563"/>
    </row>
    <row r="91" spans="1:11" s="564" customFormat="1">
      <c r="A91" s="226" t="s">
        <v>389</v>
      </c>
      <c r="B91" s="565">
        <f>'Sources and Uses Budget'!C91</f>
        <v>30000</v>
      </c>
      <c r="C91" s="566"/>
      <c r="D91" s="566"/>
      <c r="E91" s="565">
        <f>'Sources and Uses Budget'!S91</f>
        <v>0</v>
      </c>
      <c r="F91" s="566"/>
      <c r="G91" s="566"/>
      <c r="H91" s="565">
        <f>'Sources and Uses Budget'!T91</f>
        <v>0</v>
      </c>
      <c r="I91" s="566"/>
      <c r="J91" s="566"/>
      <c r="K91" s="563"/>
    </row>
    <row r="92" spans="1:11" s="564" customFormat="1">
      <c r="A92" s="858" t="s">
        <v>1420</v>
      </c>
      <c r="B92" s="565">
        <f>'Sources and Uses Budget'!C92</f>
        <v>51125</v>
      </c>
      <c r="C92" s="566"/>
      <c r="D92" s="566"/>
      <c r="E92" s="565">
        <f>'Sources and Uses Budget'!S92</f>
        <v>51125</v>
      </c>
      <c r="F92" s="566"/>
      <c r="G92" s="566"/>
      <c r="H92" s="565">
        <f>'Sources and Uses Budget'!T92</f>
        <v>0</v>
      </c>
      <c r="I92" s="566"/>
      <c r="J92" s="566"/>
      <c r="K92" s="563"/>
    </row>
    <row r="93" spans="1:11" s="564" customFormat="1">
      <c r="A93" s="571" t="str">
        <f>'Sources and Uses Budget'!$A93</f>
        <v>Relocation</v>
      </c>
      <c r="B93" s="565">
        <f>'Sources and Uses Budget'!C93</f>
        <v>2000000</v>
      </c>
      <c r="C93" s="566"/>
      <c r="D93" s="566"/>
      <c r="E93" s="565">
        <f>'Sources and Uses Budget'!S93</f>
        <v>86957</v>
      </c>
      <c r="F93" s="566"/>
      <c r="G93" s="566"/>
      <c r="H93" s="565">
        <f>'Sources and Uses Budget'!T93</f>
        <v>0</v>
      </c>
      <c r="I93" s="566"/>
      <c r="J93" s="566"/>
      <c r="K93" s="563"/>
    </row>
    <row r="94" spans="1:11" s="564" customFormat="1">
      <c r="A94" s="571" t="str">
        <f>'Sources and Uses Budget'!$A94</f>
        <v>Dry Utilities &amp; Noise Consultant</v>
      </c>
      <c r="B94" s="565">
        <f>'Sources and Uses Budget'!C94</f>
        <v>109401</v>
      </c>
      <c r="C94" s="566"/>
      <c r="D94" s="566"/>
      <c r="E94" s="565">
        <f>'Sources and Uses Budget'!S94</f>
        <v>109401</v>
      </c>
      <c r="F94" s="566"/>
      <c r="G94" s="566"/>
      <c r="H94" s="565">
        <f>'Sources and Uses Budget'!T94</f>
        <v>0</v>
      </c>
      <c r="I94" s="566"/>
      <c r="J94" s="566"/>
      <c r="K94" s="563"/>
    </row>
    <row r="95" spans="1:11" s="564" customFormat="1">
      <c r="A95" s="571" t="str">
        <f>'Sources and Uses Budget'!$A95</f>
        <v>Other</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831</v>
      </c>
      <c r="B96" s="565">
        <f>'Sources and Uses Budget'!C96</f>
        <v>5319287</v>
      </c>
      <c r="C96" s="565">
        <f>SUM(C83:C95)</f>
        <v>0</v>
      </c>
      <c r="D96" s="565">
        <f>SUM(D83:D95)</f>
        <v>0</v>
      </c>
      <c r="E96" s="565">
        <f>'Sources and Uses Budget'!S96</f>
        <v>3137319</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48723807</v>
      </c>
      <c r="C97" s="565">
        <f>SUM(C63+C70+C77+C81+C96)</f>
        <v>0</v>
      </c>
      <c r="D97" s="565">
        <f>SUM(D63+D70+D77+D81+D96)</f>
        <v>0</v>
      </c>
      <c r="E97" s="565">
        <f>'Sources and Uses Budget'!S97</f>
        <v>35233579</v>
      </c>
      <c r="F97" s="572">
        <f>SUM(+F63+F70+F81+F96)</f>
        <v>0</v>
      </c>
      <c r="G97" s="572">
        <f>SUM(+G63+G70+G81+G96)</f>
        <v>0</v>
      </c>
      <c r="H97" s="565">
        <f>'Sources and Uses Budget'!T97</f>
        <v>272763</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5325951</v>
      </c>
      <c r="C99" s="566"/>
      <c r="D99" s="566"/>
      <c r="E99" s="565">
        <f>'Sources and Uses Budget'!S99</f>
        <v>5285037</v>
      </c>
      <c r="F99" s="566"/>
      <c r="G99" s="566"/>
      <c r="H99" s="565">
        <f>'Sources and Uses Budget'!T99</f>
        <v>40914</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5325951</v>
      </c>
      <c r="C104" s="565">
        <f>SUM(C99:C103)</f>
        <v>0</v>
      </c>
      <c r="D104" s="565">
        <f>SUM(D99:D103)</f>
        <v>0</v>
      </c>
      <c r="E104" s="565">
        <f>'Sources and Uses Budget'!S104</f>
        <v>5285037</v>
      </c>
      <c r="F104" s="572">
        <f>SUM(F99:F103)</f>
        <v>0</v>
      </c>
      <c r="G104" s="572">
        <f>SUM(G99:G103)</f>
        <v>0</v>
      </c>
      <c r="H104" s="565">
        <f>'Sources and Uses Budget'!T104</f>
        <v>40914</v>
      </c>
      <c r="I104" s="572">
        <f>SUM(I99:I103)</f>
        <v>0</v>
      </c>
      <c r="J104" s="572">
        <f>SUM(J99:J103)</f>
        <v>0</v>
      </c>
      <c r="K104" s="563"/>
    </row>
    <row r="105" spans="1:11" s="564" customFormat="1">
      <c r="A105" s="569" t="s">
        <v>1142</v>
      </c>
      <c r="B105" s="565">
        <f>'Sources and Uses Budget'!C105</f>
        <v>54049758</v>
      </c>
      <c r="C105" s="572">
        <f>SUM(C97+C104)</f>
        <v>0</v>
      </c>
      <c r="D105" s="572">
        <f>SUM(D97+D104)</f>
        <v>0</v>
      </c>
      <c r="E105" s="565">
        <f>'Sources and Uses Budget'!S105</f>
        <v>40518616</v>
      </c>
      <c r="F105" s="572">
        <f>F97+F104</f>
        <v>0</v>
      </c>
      <c r="G105" s="572">
        <f>G97+G104</f>
        <v>0</v>
      </c>
      <c r="H105" s="565">
        <f>'Sources and Uses Budget'!T105</f>
        <v>313677</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40518616</v>
      </c>
      <c r="F107" s="581">
        <f>F105+F106</f>
        <v>0</v>
      </c>
      <c r="G107" s="581">
        <f>G105+G106</f>
        <v>0</v>
      </c>
      <c r="H107" s="565">
        <f>'Sources and Uses Budget'!T107</f>
        <v>313677</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620"/>
      <c r="E124" s="2621"/>
      <c r="F124" s="2621"/>
      <c r="G124" s="2621"/>
      <c r="H124" s="2621"/>
      <c r="I124" s="2621"/>
      <c r="J124" s="583"/>
      <c r="K124" s="563"/>
    </row>
    <row r="125" spans="1:11" s="564" customFormat="1" ht="12.75">
      <c r="A125" s="594"/>
      <c r="B125" s="593"/>
      <c r="C125" s="594"/>
      <c r="D125" s="2621"/>
      <c r="E125" s="2621"/>
      <c r="F125" s="2621"/>
      <c r="G125" s="2621"/>
      <c r="H125" s="2621"/>
      <c r="I125" s="2621"/>
      <c r="J125" s="583"/>
      <c r="K125" s="563"/>
    </row>
    <row r="126" spans="1:11" s="564" customFormat="1" ht="12.75">
      <c r="A126" s="594"/>
      <c r="B126" s="593"/>
      <c r="C126" s="594"/>
      <c r="D126" s="2621"/>
      <c r="E126" s="2621"/>
      <c r="F126" s="2621"/>
      <c r="G126" s="2621"/>
      <c r="H126" s="2621"/>
      <c r="I126" s="2621"/>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622"/>
      <c r="B139" s="2623"/>
      <c r="C139" s="2623"/>
      <c r="D139" s="606"/>
      <c r="E139" s="594"/>
      <c r="F139" s="594"/>
      <c r="G139" s="594"/>
    </row>
    <row r="140" spans="1:11" ht="12" customHeight="1">
      <c r="A140" s="2624"/>
      <c r="B140" s="2625"/>
      <c r="C140" s="2625"/>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5"/>
    <col min="38" max="38" width="3" style="1525" customWidth="1"/>
    <col min="39" max="64" width="2.7109375" style="1525"/>
    <col min="65" max="65" width="6.140625" style="1525" bestFit="1" customWidth="1"/>
    <col min="66" max="70" width="5.5703125" style="1525" bestFit="1" customWidth="1"/>
    <col min="71" max="71" width="6.140625" style="1525" bestFit="1" customWidth="1"/>
    <col min="72" max="76" width="5.5703125" style="1525" bestFit="1" customWidth="1"/>
    <col min="77" max="77" width="6.140625" style="1525" bestFit="1" customWidth="1"/>
    <col min="78" max="78" width="5.5703125" style="1525" bestFit="1" customWidth="1"/>
    <col min="79" max="16384" width="2.7109375" style="1525"/>
  </cols>
  <sheetData>
    <row r="1" spans="1:58" ht="15.75" customHeight="1">
      <c r="A1" s="3011" t="s">
        <v>2032</v>
      </c>
      <c r="B1" s="3012"/>
      <c r="C1" s="3012"/>
      <c r="D1" s="3012"/>
      <c r="E1" s="3012"/>
      <c r="F1" s="3012"/>
      <c r="G1" s="3012"/>
      <c r="H1" s="3012"/>
      <c r="I1" s="3012"/>
      <c r="J1" s="3012"/>
      <c r="K1" s="3012"/>
      <c r="L1" s="3012"/>
      <c r="M1" s="3012"/>
      <c r="N1" s="3012"/>
      <c r="O1" s="3012"/>
      <c r="P1" s="3012"/>
      <c r="Q1" s="3012"/>
      <c r="R1" s="3012"/>
      <c r="S1" s="3012"/>
      <c r="T1" s="3012"/>
      <c r="U1" s="3012"/>
      <c r="V1" s="3012"/>
      <c r="W1" s="3012"/>
      <c r="X1" s="3012"/>
      <c r="Y1" s="3012"/>
      <c r="Z1" s="3012"/>
      <c r="AA1" s="3012"/>
      <c r="AB1" s="3012"/>
      <c r="AC1" s="3012"/>
      <c r="AD1" s="3012"/>
      <c r="AE1" s="3012"/>
      <c r="AF1" s="3012"/>
      <c r="AG1" s="3012"/>
      <c r="AH1" s="3012"/>
      <c r="AI1" s="3012"/>
      <c r="AJ1" s="3012"/>
      <c r="AK1" s="3012"/>
      <c r="AL1" s="3012"/>
      <c r="AM1" s="3012"/>
      <c r="AN1" s="3012"/>
      <c r="AO1" s="3012"/>
      <c r="AP1" s="3012"/>
      <c r="AQ1" s="3012"/>
      <c r="AR1" s="3012"/>
      <c r="AS1" s="3012"/>
      <c r="AT1" s="3012"/>
      <c r="AU1" s="3012"/>
      <c r="AV1" s="3012"/>
      <c r="AW1" s="3012"/>
      <c r="AX1" s="3012"/>
      <c r="AY1" s="3012"/>
      <c r="AZ1" s="3012"/>
      <c r="BA1" s="3012"/>
      <c r="BB1" s="3012"/>
      <c r="BC1" s="3012"/>
      <c r="BD1" s="3012"/>
      <c r="BE1" s="3013"/>
    </row>
    <row r="2" spans="1:58" ht="15.75" customHeight="1">
      <c r="A2" s="3014" t="s">
        <v>2033</v>
      </c>
      <c r="B2" s="3015"/>
      <c r="C2" s="3015"/>
      <c r="D2" s="3015"/>
      <c r="E2" s="3015"/>
      <c r="F2" s="3015"/>
      <c r="G2" s="3015"/>
      <c r="H2" s="3015"/>
      <c r="I2" s="3015"/>
      <c r="J2" s="3015"/>
      <c r="K2" s="3015"/>
      <c r="L2" s="3015"/>
      <c r="M2" s="3015"/>
      <c r="N2" s="3015"/>
      <c r="O2" s="3015"/>
      <c r="P2" s="3015"/>
      <c r="Q2" s="3015"/>
      <c r="R2" s="3015"/>
      <c r="S2" s="3015"/>
      <c r="T2" s="3015"/>
      <c r="U2" s="3015"/>
      <c r="V2" s="3015"/>
      <c r="W2" s="3015"/>
      <c r="X2" s="3015"/>
      <c r="Y2" s="3015"/>
      <c r="Z2" s="3015"/>
      <c r="AA2" s="3015"/>
      <c r="AB2" s="3015"/>
      <c r="AC2" s="3015"/>
      <c r="AD2" s="3015"/>
      <c r="AE2" s="3015"/>
      <c r="AF2" s="3015"/>
      <c r="AG2" s="3015"/>
      <c r="AH2" s="3015"/>
      <c r="AI2" s="3015"/>
      <c r="AJ2" s="3015"/>
      <c r="AK2" s="3015"/>
      <c r="AL2" s="3015"/>
      <c r="AM2" s="3015"/>
      <c r="AN2" s="3015"/>
      <c r="AO2" s="3015"/>
      <c r="AP2" s="3015"/>
      <c r="AQ2" s="3015"/>
      <c r="AR2" s="3015"/>
      <c r="AS2" s="3015"/>
      <c r="AT2" s="3015"/>
      <c r="AU2" s="3015"/>
      <c r="AV2" s="3015"/>
      <c r="AW2" s="3015"/>
      <c r="AX2" s="3015"/>
      <c r="AY2" s="3015"/>
      <c r="AZ2" s="3015"/>
      <c r="BA2" s="3015"/>
      <c r="BB2" s="3015"/>
      <c r="BC2" s="3015"/>
      <c r="BD2" s="3015"/>
      <c r="BE2" s="3016"/>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692</v>
      </c>
      <c r="C4" s="1530"/>
      <c r="D4" s="1530"/>
      <c r="E4" s="1530"/>
      <c r="F4" s="1530"/>
      <c r="G4" s="1528"/>
      <c r="H4" s="1528"/>
      <c r="I4" s="1528"/>
      <c r="J4" s="1528"/>
      <c r="K4" s="1528"/>
      <c r="L4" s="3017" t="str">
        <f>IF(Application!H18="","",Application!H18)</f>
        <v>Pacific Wind Apartments</v>
      </c>
      <c r="M4" s="3018"/>
      <c r="N4" s="3018"/>
      <c r="O4" s="3018"/>
      <c r="P4" s="3018"/>
      <c r="Q4" s="3018"/>
      <c r="R4" s="3018"/>
      <c r="S4" s="3018"/>
      <c r="T4" s="3018"/>
      <c r="U4" s="3018"/>
      <c r="V4" s="3018"/>
      <c r="W4" s="3018"/>
      <c r="X4" s="3018"/>
      <c r="Y4" s="3018"/>
      <c r="Z4" s="3018"/>
      <c r="AA4" s="3018"/>
      <c r="AB4" s="3018"/>
      <c r="AC4" s="3019"/>
      <c r="AD4" s="1528"/>
      <c r="AE4" s="1528"/>
      <c r="AF4" s="2722" t="s">
        <v>2034</v>
      </c>
      <c r="AG4" s="2723"/>
      <c r="AH4" s="2723"/>
      <c r="AI4" s="2723"/>
      <c r="AJ4" s="2723"/>
      <c r="AK4" s="2723"/>
      <c r="AL4" s="2723"/>
      <c r="AM4" s="2723"/>
      <c r="AN4" s="2723"/>
      <c r="AO4" s="2723"/>
      <c r="AP4" s="3020">
        <v>44197</v>
      </c>
      <c r="AQ4" s="2990"/>
      <c r="AR4" s="2990"/>
      <c r="AS4" s="2990"/>
      <c r="AT4" s="2990"/>
      <c r="AU4" s="2991"/>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739" t="s">
        <v>2035</v>
      </c>
      <c r="AG5" s="2740"/>
      <c r="AH5" s="2740"/>
      <c r="AI5" s="2740"/>
      <c r="AJ5" s="2740"/>
      <c r="AK5" s="2740"/>
      <c r="AL5" s="2740"/>
      <c r="AM5" s="2740"/>
      <c r="AN5" s="2740"/>
      <c r="AO5" s="2740"/>
      <c r="AP5" s="3020">
        <v>44197</v>
      </c>
      <c r="AQ5" s="2990"/>
      <c r="AR5" s="2990"/>
      <c r="AS5" s="2990"/>
      <c r="AT5" s="2990"/>
      <c r="AU5" s="2991"/>
      <c r="AV5" s="1528"/>
      <c r="AW5" s="1528"/>
      <c r="AX5" s="1528"/>
      <c r="AY5" s="1528"/>
      <c r="AZ5" s="1528"/>
      <c r="BA5" s="1528"/>
      <c r="BB5" s="1528"/>
      <c r="BC5" s="1528"/>
      <c r="BD5" s="1528"/>
      <c r="BE5" s="1529"/>
    </row>
    <row r="6" spans="1:58" ht="15.75" customHeight="1" thickBot="1">
      <c r="A6" s="1816"/>
      <c r="B6" s="1530" t="s">
        <v>2036</v>
      </c>
      <c r="C6" s="1528"/>
      <c r="D6" s="1528"/>
      <c r="E6" s="1528"/>
      <c r="F6" s="1528"/>
      <c r="G6" s="1528"/>
      <c r="H6" s="1528"/>
      <c r="I6" s="1528"/>
      <c r="J6" s="1528"/>
      <c r="K6" s="1528"/>
      <c r="L6" s="2996" t="str">
        <f>IF(Application!H16="","",Application!H16)</f>
        <v>Harding Street Neighbors, LP</v>
      </c>
      <c r="M6" s="2997"/>
      <c r="N6" s="2997"/>
      <c r="O6" s="2997"/>
      <c r="P6" s="2997"/>
      <c r="Q6" s="2997"/>
      <c r="R6" s="2997"/>
      <c r="S6" s="2997"/>
      <c r="T6" s="2997"/>
      <c r="U6" s="2997"/>
      <c r="V6" s="2997"/>
      <c r="W6" s="2997"/>
      <c r="X6" s="2997"/>
      <c r="Y6" s="2997"/>
      <c r="Z6" s="2997"/>
      <c r="AA6" s="2997"/>
      <c r="AB6" s="2997"/>
      <c r="AC6" s="2998"/>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thickBot="1">
      <c r="A8" s="1816"/>
      <c r="B8" s="1530" t="s">
        <v>2037</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999" t="str">
        <f>Application!T196</f>
        <v>No</v>
      </c>
      <c r="AC8" s="3000"/>
      <c r="AD8" s="3001"/>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thickBot="1">
      <c r="A10" s="1816"/>
      <c r="B10" s="1530" t="s">
        <v>2039</v>
      </c>
      <c r="C10" s="1530"/>
      <c r="D10" s="1530"/>
      <c r="E10" s="1530"/>
      <c r="F10" s="1530"/>
      <c r="G10" s="1530"/>
      <c r="H10" s="1530"/>
      <c r="I10" s="1530"/>
      <c r="J10" s="1530"/>
      <c r="K10" s="1530"/>
      <c r="L10" s="1530"/>
      <c r="M10" s="1528"/>
      <c r="N10" s="3002" t="e">
        <f>VLOOKUP("CalHFA Permanent Loan",Application!C564:AS575,37,TRUE)</f>
        <v>#N/A</v>
      </c>
      <c r="O10" s="3003"/>
      <c r="P10" s="3003"/>
      <c r="Q10" s="3003"/>
      <c r="R10" s="3003"/>
      <c r="S10" s="3003"/>
      <c r="T10" s="3004"/>
      <c r="U10" s="1528"/>
      <c r="V10" s="1528"/>
      <c r="W10" s="1528"/>
      <c r="X10" s="2724" t="s">
        <v>2040</v>
      </c>
      <c r="Y10" s="2725"/>
      <c r="Z10" s="2725"/>
      <c r="AA10" s="2725"/>
      <c r="AB10" s="2725"/>
      <c r="AC10" s="2725"/>
      <c r="AD10" s="2725"/>
      <c r="AE10" s="2725"/>
      <c r="AF10" s="2725"/>
      <c r="AG10" s="2725"/>
      <c r="AH10" s="2725"/>
      <c r="AI10" s="2725"/>
      <c r="AJ10" s="2725"/>
      <c r="AK10" s="2726"/>
      <c r="AL10" s="3024">
        <f>Application!W471</f>
        <v>16</v>
      </c>
      <c r="AM10" s="3025"/>
      <c r="AN10" s="3025"/>
      <c r="AO10" s="3025"/>
      <c r="AP10" s="3026"/>
      <c r="AQ10" s="1531"/>
      <c r="AR10" s="1531"/>
      <c r="AS10" s="1531"/>
      <c r="AT10" s="1531"/>
      <c r="AU10" s="1531"/>
      <c r="AV10" s="1531"/>
      <c r="AW10" s="1531"/>
      <c r="AX10" s="1528"/>
      <c r="AY10" s="1528"/>
      <c r="AZ10" s="1528"/>
      <c r="BA10" s="1528"/>
      <c r="BB10" s="1528"/>
      <c r="BC10" s="1528"/>
      <c r="BD10" s="1528"/>
      <c r="BE10" s="1529"/>
    </row>
    <row r="11" spans="1:58" thickBot="1">
      <c r="A11" s="1816"/>
      <c r="B11" s="1530" t="s">
        <v>2041</v>
      </c>
      <c r="C11" s="1530"/>
      <c r="D11" s="1530"/>
      <c r="E11" s="1530"/>
      <c r="F11" s="1530"/>
      <c r="G11" s="1530"/>
      <c r="H11" s="1530"/>
      <c r="I11" s="1530"/>
      <c r="J11" s="1530"/>
      <c r="K11" s="1530"/>
      <c r="L11" s="1530"/>
      <c r="M11" s="1528"/>
      <c r="N11" s="3005">
        <f>Application!AA925</f>
        <v>0</v>
      </c>
      <c r="O11" s="3006"/>
      <c r="P11" s="3006"/>
      <c r="Q11" s="3006"/>
      <c r="R11" s="3006"/>
      <c r="S11" s="3006"/>
      <c r="T11" s="3007"/>
      <c r="U11" s="1528"/>
      <c r="V11" s="1528"/>
      <c r="W11" s="1528"/>
      <c r="X11" s="3008" t="s">
        <v>2042</v>
      </c>
      <c r="Y11" s="3009"/>
      <c r="Z11" s="3009"/>
      <c r="AA11" s="3009"/>
      <c r="AB11" s="3009"/>
      <c r="AC11" s="3009"/>
      <c r="AD11" s="3009"/>
      <c r="AE11" s="3009"/>
      <c r="AF11" s="3009"/>
      <c r="AG11" s="3009"/>
      <c r="AH11" s="3009"/>
      <c r="AI11" s="3009"/>
      <c r="AJ11" s="3009"/>
      <c r="AK11" s="3010"/>
      <c r="AL11" s="3021">
        <v>44197</v>
      </c>
      <c r="AM11" s="3022"/>
      <c r="AN11" s="3022"/>
      <c r="AO11" s="3022"/>
      <c r="AP11" s="3023"/>
      <c r="AQ11" s="1532"/>
      <c r="AR11" s="1533"/>
      <c r="AS11" s="1531"/>
      <c r="AT11" s="1531"/>
      <c r="AU11" s="1531"/>
      <c r="AV11" s="1531"/>
      <c r="AW11" s="1531"/>
      <c r="AX11" s="1528"/>
      <c r="AY11" s="1528"/>
      <c r="AZ11" s="1528"/>
      <c r="BA11" s="1528"/>
      <c r="BB11" s="1528"/>
      <c r="BC11" s="1528"/>
      <c r="BD11" s="1528"/>
      <c r="BE11" s="1529"/>
    </row>
    <row r="12" spans="1:58"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724" t="s">
        <v>2043</v>
      </c>
      <c r="Y12" s="2725"/>
      <c r="Z12" s="2725"/>
      <c r="AA12" s="2725"/>
      <c r="AB12" s="2725"/>
      <c r="AC12" s="2725"/>
      <c r="AD12" s="2725"/>
      <c r="AE12" s="2725"/>
      <c r="AF12" s="2725"/>
      <c r="AG12" s="2725"/>
      <c r="AH12" s="2725"/>
      <c r="AI12" s="2725"/>
      <c r="AJ12" s="2725"/>
      <c r="AK12" s="2726"/>
      <c r="AL12" s="3021">
        <v>44197</v>
      </c>
      <c r="AM12" s="3022"/>
      <c r="AN12" s="3022"/>
      <c r="AO12" s="3022"/>
      <c r="AP12" s="3023"/>
      <c r="AQ12" s="1531"/>
      <c r="AR12" s="1531"/>
      <c r="AS12" s="1531"/>
      <c r="AT12" s="1531"/>
      <c r="AU12" s="1531"/>
      <c r="AV12" s="1528"/>
      <c r="AW12" s="1528"/>
      <c r="AX12" s="1528"/>
      <c r="AY12" s="1528"/>
      <c r="AZ12" s="1528"/>
      <c r="BA12" s="1528"/>
      <c r="BB12" s="1528"/>
      <c r="BC12" s="1528"/>
      <c r="BD12" s="1528"/>
      <c r="BE12" s="1534"/>
    </row>
    <row r="13" spans="1:58" thickBot="1">
      <c r="A13" s="1817"/>
      <c r="B13" s="2724" t="s">
        <v>2044</v>
      </c>
      <c r="C13" s="2725"/>
      <c r="D13" s="2725"/>
      <c r="E13" s="2725"/>
      <c r="F13" s="2725"/>
      <c r="G13" s="2725"/>
      <c r="H13" s="2725"/>
      <c r="I13" s="2725"/>
      <c r="J13" s="2725"/>
      <c r="K13" s="2725"/>
      <c r="L13" s="2725"/>
      <c r="M13" s="2725"/>
      <c r="N13" s="2725"/>
      <c r="O13" s="2725"/>
      <c r="P13" s="2726"/>
      <c r="Q13" s="2989" t="s">
        <v>2038</v>
      </c>
      <c r="R13" s="2990"/>
      <c r="S13" s="2990"/>
      <c r="T13" s="2991"/>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5">
      <c r="A15" s="1817"/>
      <c r="B15" s="2992" t="s">
        <v>2045</v>
      </c>
      <c r="C15" s="2992"/>
      <c r="D15" s="2992"/>
      <c r="E15" s="2992"/>
      <c r="F15" s="2992"/>
      <c r="G15" s="2992"/>
      <c r="H15" s="2992"/>
      <c r="I15" s="2992"/>
      <c r="J15" s="2992"/>
      <c r="K15" s="2992"/>
      <c r="L15" s="2993"/>
      <c r="M15" s="2722" t="s">
        <v>2046</v>
      </c>
      <c r="N15" s="2723"/>
      <c r="O15" s="2723"/>
      <c r="P15" s="2723"/>
      <c r="Q15" s="2723"/>
      <c r="R15" s="2723"/>
      <c r="S15" s="2994" t="str">
        <f>IF(Application!AB214="","",Application!AB214)</f>
        <v/>
      </c>
      <c r="T15" s="2994"/>
      <c r="U15" s="2994"/>
      <c r="V15" s="2994"/>
      <c r="W15" s="2995"/>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5">
      <c r="A17" s="1817"/>
      <c r="B17" s="2793" t="s">
        <v>2047</v>
      </c>
      <c r="C17" s="2794"/>
      <c r="D17" s="2794"/>
      <c r="E17" s="2794"/>
      <c r="F17" s="2794"/>
      <c r="G17" s="2794"/>
      <c r="H17" s="2794"/>
      <c r="I17" s="2794"/>
      <c r="J17" s="2794"/>
      <c r="K17" s="2794"/>
      <c r="L17" s="2794"/>
      <c r="M17" s="2794"/>
      <c r="N17" s="2794"/>
      <c r="O17" s="2794"/>
      <c r="P17" s="2794"/>
      <c r="Q17" s="2794"/>
      <c r="R17" s="2794"/>
      <c r="S17" s="2794"/>
      <c r="T17" s="2794"/>
      <c r="U17" s="2794"/>
      <c r="V17" s="2794"/>
      <c r="W17" s="2794"/>
      <c r="X17" s="2794"/>
      <c r="Y17" s="2794"/>
      <c r="Z17" s="2794"/>
      <c r="AA17" s="2794"/>
      <c r="AB17" s="2794"/>
      <c r="AC17" s="2794"/>
      <c r="AD17" s="2794"/>
      <c r="AE17" s="2794"/>
      <c r="AF17" s="2794"/>
      <c r="AG17" s="2794"/>
      <c r="AH17" s="2794"/>
      <c r="AI17" s="2794"/>
      <c r="AJ17" s="2794"/>
      <c r="AK17" s="2794"/>
      <c r="AL17" s="2794"/>
      <c r="AM17" s="2794"/>
      <c r="AN17" s="2794"/>
      <c r="AO17" s="2794"/>
      <c r="AP17" s="2794"/>
      <c r="AQ17" s="2794"/>
      <c r="AR17" s="2794"/>
      <c r="AS17" s="2794"/>
      <c r="AT17" s="2794"/>
      <c r="AU17" s="2794"/>
      <c r="AV17" s="2794"/>
      <c r="AW17" s="2794"/>
      <c r="AX17" s="2794"/>
      <c r="AY17" s="2855"/>
      <c r="AZ17" s="1528"/>
      <c r="BA17" s="1528"/>
      <c r="BB17" s="1528"/>
      <c r="BC17" s="1528"/>
      <c r="BD17" s="1528"/>
      <c r="BE17" s="1534"/>
      <c r="BF17" s="1526"/>
    </row>
    <row r="18" spans="1:58" ht="15.75" customHeight="1">
      <c r="A18" s="1817"/>
      <c r="B18" s="2985" t="s">
        <v>2048</v>
      </c>
      <c r="C18" s="2986"/>
      <c r="D18" s="2986"/>
      <c r="E18" s="2986"/>
      <c r="F18" s="2986"/>
      <c r="G18" s="2986"/>
      <c r="H18" s="2986"/>
      <c r="I18" s="2987"/>
      <c r="J18" s="2971" t="s">
        <v>1880</v>
      </c>
      <c r="K18" s="2972"/>
      <c r="L18" s="2972"/>
      <c r="M18" s="2972"/>
      <c r="N18" s="2972"/>
      <c r="O18" s="2973"/>
      <c r="P18" s="2971" t="s">
        <v>333</v>
      </c>
      <c r="Q18" s="2972"/>
      <c r="R18" s="2972"/>
      <c r="S18" s="2972"/>
      <c r="T18" s="2972"/>
      <c r="U18" s="2973"/>
      <c r="V18" s="2971" t="s">
        <v>334</v>
      </c>
      <c r="W18" s="2972"/>
      <c r="X18" s="2972"/>
      <c r="Y18" s="2972"/>
      <c r="Z18" s="2972"/>
      <c r="AA18" s="2973"/>
      <c r="AB18" s="2971" t="s">
        <v>168</v>
      </c>
      <c r="AC18" s="2972"/>
      <c r="AD18" s="2972"/>
      <c r="AE18" s="2972"/>
      <c r="AF18" s="2972"/>
      <c r="AG18" s="2973"/>
      <c r="AH18" s="2971" t="s">
        <v>169</v>
      </c>
      <c r="AI18" s="2972"/>
      <c r="AJ18" s="2972"/>
      <c r="AK18" s="2972"/>
      <c r="AL18" s="2972"/>
      <c r="AM18" s="2973"/>
      <c r="AN18" s="2971" t="s">
        <v>170</v>
      </c>
      <c r="AO18" s="2972"/>
      <c r="AP18" s="2972"/>
      <c r="AQ18" s="2972"/>
      <c r="AR18" s="2972"/>
      <c r="AS18" s="2973"/>
      <c r="AT18" s="2971" t="s">
        <v>2049</v>
      </c>
      <c r="AU18" s="2972"/>
      <c r="AV18" s="2972"/>
      <c r="AW18" s="2972"/>
      <c r="AX18" s="2972"/>
      <c r="AY18" s="2988"/>
      <c r="AZ18" s="1528"/>
      <c r="BA18" s="1528"/>
      <c r="BB18" s="1528"/>
      <c r="BC18" s="1528"/>
      <c r="BD18" s="1528"/>
      <c r="BE18" s="1534"/>
    </row>
    <row r="19" spans="1:58" ht="15">
      <c r="A19" s="1817"/>
      <c r="B19" s="2983">
        <v>0.2</v>
      </c>
      <c r="C19" s="2984"/>
      <c r="D19" s="2984"/>
      <c r="E19" s="2984"/>
      <c r="F19" s="2984"/>
      <c r="G19" s="2984"/>
      <c r="H19" s="2984"/>
      <c r="I19" s="2984"/>
      <c r="J19" s="2971">
        <f>SUM(P19:AS19)</f>
        <v>0</v>
      </c>
      <c r="K19" s="2972"/>
      <c r="L19" s="2972"/>
      <c r="M19" s="2972"/>
      <c r="N19" s="2972"/>
      <c r="O19" s="2973"/>
      <c r="P19" s="2977" cm="1">
        <f t="array" ref="P19">SUMPRODUCT((Application!$B$728:$B$752 = 'CalHFA Addendum'!P$18)*(Application!$AH$728:$AH$752 = 'CalHFA Addendum'!$B19),Application!$G$728:$G$752)</f>
        <v>0</v>
      </c>
      <c r="Q19" s="2978"/>
      <c r="R19" s="2978"/>
      <c r="S19" s="2978"/>
      <c r="T19" s="2978"/>
      <c r="U19" s="2979"/>
      <c r="V19" s="2977" cm="1">
        <f t="array" ref="V19">SUMPRODUCT((Application!$B$728:$B$752 = 'CalHFA Addendum'!V$18)*(Application!$AH$728:$AH$752 = 'CalHFA Addendum'!$B19),Application!$G$728:$G$752)</f>
        <v>0</v>
      </c>
      <c r="W19" s="2978"/>
      <c r="X19" s="2978"/>
      <c r="Y19" s="2978"/>
      <c r="Z19" s="2978"/>
      <c r="AA19" s="2979"/>
      <c r="AB19" s="2977" cm="1">
        <f t="array" ref="AB19">SUMPRODUCT((Application!$B$728:$B$752 = 'CalHFA Addendum'!AB$18)*(Application!$AH$728:$AH$752 = 'CalHFA Addendum'!$B19),Application!$G$728:$G$752)</f>
        <v>0</v>
      </c>
      <c r="AC19" s="2978"/>
      <c r="AD19" s="2978"/>
      <c r="AE19" s="2978"/>
      <c r="AF19" s="2978"/>
      <c r="AG19" s="2979"/>
      <c r="AH19" s="2977" cm="1">
        <f t="array" ref="AH19">SUMPRODUCT((Application!$B$728:$B$752 = 'CalHFA Addendum'!AH$18)*(Application!$AH$728:$AH$752 = 'CalHFA Addendum'!$B19),Application!$G$728:$G$752)</f>
        <v>0</v>
      </c>
      <c r="AI19" s="2978"/>
      <c r="AJ19" s="2978"/>
      <c r="AK19" s="2978"/>
      <c r="AL19" s="2978"/>
      <c r="AM19" s="2979"/>
      <c r="AN19" s="2977" cm="1">
        <f t="array" ref="AN19">SUMPRODUCT((Application!$B$728:$B$752 = 'CalHFA Addendum'!AN$18)*(Application!$AH$728:$AH$752 = 'CalHFA Addendum'!$B19),Application!$G$728:$G$752)</f>
        <v>0</v>
      </c>
      <c r="AO19" s="2978"/>
      <c r="AP19" s="2978"/>
      <c r="AQ19" s="2978"/>
      <c r="AR19" s="2978"/>
      <c r="AS19" s="2979"/>
      <c r="AT19" s="2980">
        <f t="shared" ref="AT19:AT27" si="0">J19/$J$29</f>
        <v>0</v>
      </c>
      <c r="AU19" s="2981"/>
      <c r="AV19" s="2981"/>
      <c r="AW19" s="2981"/>
      <c r="AX19" s="2981"/>
      <c r="AY19" s="2982"/>
      <c r="AZ19" s="1535"/>
      <c r="BA19" s="1528"/>
      <c r="BB19" s="1528"/>
      <c r="BC19" s="1528"/>
      <c r="BD19" s="1528"/>
      <c r="BE19" s="1534"/>
    </row>
    <row r="20" spans="1:58" ht="15" customHeight="1">
      <c r="A20" s="1817"/>
      <c r="B20" s="2983">
        <v>0.3</v>
      </c>
      <c r="C20" s="2984"/>
      <c r="D20" s="2984"/>
      <c r="E20" s="2984"/>
      <c r="F20" s="2984"/>
      <c r="G20" s="2984"/>
      <c r="H20" s="2984"/>
      <c r="I20" s="2984"/>
      <c r="J20" s="2971">
        <f t="shared" ref="J20:J27" si="1">SUM(P20:AS20)</f>
        <v>9</v>
      </c>
      <c r="K20" s="2972"/>
      <c r="L20" s="2972"/>
      <c r="M20" s="2972"/>
      <c r="N20" s="2972"/>
      <c r="O20" s="2973"/>
      <c r="P20" s="2977" cm="1">
        <f t="array" ref="P20">SUMPRODUCT((Application!$B$728:$B$752 = 'CalHFA Addendum'!P$18)*(Application!$AH$728:$AH$752 = 'CalHFA Addendum'!$B20),Application!$G$728:$G$752)</f>
        <v>0</v>
      </c>
      <c r="Q20" s="2978"/>
      <c r="R20" s="2978"/>
      <c r="S20" s="2978"/>
      <c r="T20" s="2978"/>
      <c r="U20" s="2979"/>
      <c r="V20" s="2977" cm="1">
        <f t="array" ref="V20">SUMPRODUCT((Application!$B$728:$B$752 = 'CalHFA Addendum'!V$18)*(Application!$AH$728:$AH$752 = 'CalHFA Addendum'!$B20),Application!$G$728:$G$752)</f>
        <v>2</v>
      </c>
      <c r="W20" s="2978"/>
      <c r="X20" s="2978"/>
      <c r="Y20" s="2978"/>
      <c r="Z20" s="2978"/>
      <c r="AA20" s="2979"/>
      <c r="AB20" s="2977" cm="1">
        <f t="array" ref="AB20">SUMPRODUCT((Application!$B$728:$B$752 = 'CalHFA Addendum'!AB$18)*(Application!$AH$728:$AH$752 = 'CalHFA Addendum'!$B20),Application!$G$728:$G$752)</f>
        <v>2</v>
      </c>
      <c r="AC20" s="2978"/>
      <c r="AD20" s="2978"/>
      <c r="AE20" s="2978"/>
      <c r="AF20" s="2978"/>
      <c r="AG20" s="2979"/>
      <c r="AH20" s="2977" cm="1">
        <f t="array" ref="AH20">SUMPRODUCT((Application!$B$728:$B$752 = 'CalHFA Addendum'!AH$18)*(Application!$AH$728:$AH$752 = 'CalHFA Addendum'!$B20),Application!$G$728:$G$752)</f>
        <v>5</v>
      </c>
      <c r="AI20" s="2978"/>
      <c r="AJ20" s="2978"/>
      <c r="AK20" s="2978"/>
      <c r="AL20" s="2978"/>
      <c r="AM20" s="2979"/>
      <c r="AN20" s="2977" cm="1">
        <f t="array" ref="AN20">SUMPRODUCT((Application!$B$728:$B$752 = 'CalHFA Addendum'!AN$18)*(Application!$AH$728:$AH$752 = 'CalHFA Addendum'!$B20),Application!$G$728:$G$752)</f>
        <v>0</v>
      </c>
      <c r="AO20" s="2978"/>
      <c r="AP20" s="2978"/>
      <c r="AQ20" s="2978"/>
      <c r="AR20" s="2978"/>
      <c r="AS20" s="2979"/>
      <c r="AT20" s="2980">
        <f t="shared" si="0"/>
        <v>0.10112359550561797</v>
      </c>
      <c r="AU20" s="2981"/>
      <c r="AV20" s="2981"/>
      <c r="AW20" s="2981"/>
      <c r="AX20" s="2981"/>
      <c r="AY20" s="2982"/>
      <c r="AZ20" s="1528"/>
      <c r="BA20" s="1528"/>
      <c r="BB20" s="1528"/>
      <c r="BC20" s="1528"/>
      <c r="BD20" s="1528"/>
      <c r="BE20" s="1534"/>
    </row>
    <row r="21" spans="1:58" ht="15">
      <c r="A21" s="1817"/>
      <c r="B21" s="2983">
        <v>0.4</v>
      </c>
      <c r="C21" s="2984"/>
      <c r="D21" s="2984"/>
      <c r="E21" s="2984"/>
      <c r="F21" s="2984"/>
      <c r="G21" s="2984"/>
      <c r="H21" s="2984"/>
      <c r="I21" s="2984"/>
      <c r="J21" s="2971">
        <f t="shared" si="1"/>
        <v>26</v>
      </c>
      <c r="K21" s="2972"/>
      <c r="L21" s="2972"/>
      <c r="M21" s="2972"/>
      <c r="N21" s="2972"/>
      <c r="O21" s="2973"/>
      <c r="P21" s="2977" cm="1">
        <f t="array" ref="P21">SUMPRODUCT((Application!$B$728:$B$752 = 'CalHFA Addendum'!P$18)*(Application!$AH$728:$AH$752 = 'CalHFA Addendum'!$B21),Application!$G$728:$G$752)</f>
        <v>0</v>
      </c>
      <c r="Q21" s="2978"/>
      <c r="R21" s="2978"/>
      <c r="S21" s="2978"/>
      <c r="T21" s="2978"/>
      <c r="U21" s="2979"/>
      <c r="V21" s="2977" cm="1">
        <f t="array" ref="V21">SUMPRODUCT((Application!$B$728:$B$752 = 'CalHFA Addendum'!V$18)*(Application!$AH$728:$AH$752 = 'CalHFA Addendum'!$B21),Application!$G$728:$G$752)</f>
        <v>12</v>
      </c>
      <c r="W21" s="2978"/>
      <c r="X21" s="2978"/>
      <c r="Y21" s="2978"/>
      <c r="Z21" s="2978"/>
      <c r="AA21" s="2979"/>
      <c r="AB21" s="2977" cm="1">
        <f t="array" ref="AB21">SUMPRODUCT((Application!$B$728:$B$752 = 'CalHFA Addendum'!AB$18)*(Application!$AH$728:$AH$752 = 'CalHFA Addendum'!$B21),Application!$G$728:$G$752)</f>
        <v>4</v>
      </c>
      <c r="AC21" s="2978"/>
      <c r="AD21" s="2978"/>
      <c r="AE21" s="2978"/>
      <c r="AF21" s="2978"/>
      <c r="AG21" s="2979"/>
      <c r="AH21" s="2977" cm="1">
        <f t="array" ref="AH21">SUMPRODUCT((Application!$B$728:$B$752 = 'CalHFA Addendum'!AH$18)*(Application!$AH$728:$AH$752 = 'CalHFA Addendum'!$B21),Application!$G$728:$G$752)</f>
        <v>10</v>
      </c>
      <c r="AI21" s="2978"/>
      <c r="AJ21" s="2978"/>
      <c r="AK21" s="2978"/>
      <c r="AL21" s="2978"/>
      <c r="AM21" s="2979"/>
      <c r="AN21" s="2977" cm="1">
        <f t="array" ref="AN21">SUMPRODUCT((Application!$B$728:$B$752 = 'CalHFA Addendum'!AN$18)*(Application!$AH$728:$AH$752 = 'CalHFA Addendum'!$B21),Application!$G$728:$G$752)</f>
        <v>0</v>
      </c>
      <c r="AO21" s="2978"/>
      <c r="AP21" s="2978"/>
      <c r="AQ21" s="2978"/>
      <c r="AR21" s="2978"/>
      <c r="AS21" s="2979"/>
      <c r="AT21" s="2980">
        <f t="shared" si="0"/>
        <v>0.29213483146067415</v>
      </c>
      <c r="AU21" s="2981"/>
      <c r="AV21" s="2981"/>
      <c r="AW21" s="2981"/>
      <c r="AX21" s="2981"/>
      <c r="AY21" s="2982"/>
      <c r="AZ21" s="1528"/>
      <c r="BA21" s="1528"/>
      <c r="BB21" s="1528"/>
      <c r="BC21" s="1528"/>
      <c r="BD21" s="1528"/>
      <c r="BE21" s="1534"/>
    </row>
    <row r="22" spans="1:58" ht="15">
      <c r="A22" s="1817"/>
      <c r="B22" s="2983">
        <v>0.5</v>
      </c>
      <c r="C22" s="2984"/>
      <c r="D22" s="2984"/>
      <c r="E22" s="2984"/>
      <c r="F22" s="2984"/>
      <c r="G22" s="2984"/>
      <c r="H22" s="2984"/>
      <c r="I22" s="2984"/>
      <c r="J22" s="2971">
        <f t="shared" si="1"/>
        <v>10</v>
      </c>
      <c r="K22" s="2972"/>
      <c r="L22" s="2972"/>
      <c r="M22" s="2972"/>
      <c r="N22" s="2972"/>
      <c r="O22" s="2973"/>
      <c r="P22" s="2977" cm="1">
        <f t="array" ref="P22">SUMPRODUCT((Application!$B$728:$B$752 = 'CalHFA Addendum'!P$18)*(Application!$AH$728:$AH$752 = 'CalHFA Addendum'!$B22),Application!$G$728:$G$752)</f>
        <v>0</v>
      </c>
      <c r="Q22" s="2978"/>
      <c r="R22" s="2978"/>
      <c r="S22" s="2978"/>
      <c r="T22" s="2978"/>
      <c r="U22" s="2979"/>
      <c r="V22" s="2977" cm="1">
        <f t="array" ref="V22">SUMPRODUCT((Application!$B$728:$B$752 = 'CalHFA Addendum'!V$18)*(Application!$AH$728:$AH$752 = 'CalHFA Addendum'!$B22),Application!$G$728:$G$752)</f>
        <v>3</v>
      </c>
      <c r="W22" s="2978"/>
      <c r="X22" s="2978"/>
      <c r="Y22" s="2978"/>
      <c r="Z22" s="2978"/>
      <c r="AA22" s="2979"/>
      <c r="AB22" s="2977" cm="1">
        <f t="array" ref="AB22">SUMPRODUCT((Application!$B$728:$B$752 = 'CalHFA Addendum'!AB$18)*(Application!$AH$728:$AH$752 = 'CalHFA Addendum'!$B22),Application!$G$728:$G$752)</f>
        <v>2</v>
      </c>
      <c r="AC22" s="2978"/>
      <c r="AD22" s="2978"/>
      <c r="AE22" s="2978"/>
      <c r="AF22" s="2978"/>
      <c r="AG22" s="2979"/>
      <c r="AH22" s="2977" cm="1">
        <f t="array" ref="AH22">SUMPRODUCT((Application!$B$728:$B$752 = 'CalHFA Addendum'!AH$18)*(Application!$AH$728:$AH$752 = 'CalHFA Addendum'!$B22),Application!$G$728:$G$752)</f>
        <v>5</v>
      </c>
      <c r="AI22" s="2978"/>
      <c r="AJ22" s="2978"/>
      <c r="AK22" s="2978"/>
      <c r="AL22" s="2978"/>
      <c r="AM22" s="2979"/>
      <c r="AN22" s="2977" cm="1">
        <f t="array" ref="AN22">SUMPRODUCT((Application!$B$728:$B$752 = 'CalHFA Addendum'!AN$18)*(Application!$AH$728:$AH$752 = 'CalHFA Addendum'!$B22),Application!$G$728:$G$752)</f>
        <v>0</v>
      </c>
      <c r="AO22" s="2978"/>
      <c r="AP22" s="2978"/>
      <c r="AQ22" s="2978"/>
      <c r="AR22" s="2978"/>
      <c r="AS22" s="2979"/>
      <c r="AT22" s="2980">
        <f t="shared" si="0"/>
        <v>0.11235955056179775</v>
      </c>
      <c r="AU22" s="2981"/>
      <c r="AV22" s="2981"/>
      <c r="AW22" s="2981"/>
      <c r="AX22" s="2981"/>
      <c r="AY22" s="2982"/>
      <c r="AZ22" s="1528"/>
      <c r="BA22" s="1528"/>
      <c r="BB22" s="1528"/>
      <c r="BC22" s="1528"/>
      <c r="BD22" s="1528"/>
      <c r="BE22" s="1534"/>
    </row>
    <row r="23" spans="1:58" ht="15">
      <c r="A23" s="1817"/>
      <c r="B23" s="2983">
        <v>0.6</v>
      </c>
      <c r="C23" s="2984"/>
      <c r="D23" s="2984"/>
      <c r="E23" s="2984"/>
      <c r="F23" s="2984"/>
      <c r="G23" s="2984"/>
      <c r="H23" s="2984"/>
      <c r="I23" s="2984"/>
      <c r="J23" s="2971">
        <f t="shared" si="1"/>
        <v>43</v>
      </c>
      <c r="K23" s="2972"/>
      <c r="L23" s="2972"/>
      <c r="M23" s="2972"/>
      <c r="N23" s="2972"/>
      <c r="O23" s="2973"/>
      <c r="P23" s="2977" cm="1">
        <f t="array" ref="P23">SUMPRODUCT((Application!$B$728:$B$752 = 'CalHFA Addendum'!P$18)*(Application!$AH$728:$AH$752 = 'CalHFA Addendum'!$B23),Application!$G$728:$G$752)</f>
        <v>0</v>
      </c>
      <c r="Q23" s="2978"/>
      <c r="R23" s="2978"/>
      <c r="S23" s="2978"/>
      <c r="T23" s="2978"/>
      <c r="U23" s="2979"/>
      <c r="V23" s="2977" cm="1">
        <f t="array" ref="V23">SUMPRODUCT((Application!$B$728:$B$752 = 'CalHFA Addendum'!V$18)*(Application!$AH$728:$AH$752 = 'CalHFA Addendum'!$B23),Application!$G$728:$G$752)</f>
        <v>6</v>
      </c>
      <c r="W23" s="2978"/>
      <c r="X23" s="2978"/>
      <c r="Y23" s="2978"/>
      <c r="Z23" s="2978"/>
      <c r="AA23" s="2979"/>
      <c r="AB23" s="2977" cm="1">
        <f t="array" ref="AB23">SUMPRODUCT((Application!$B$728:$B$752 = 'CalHFA Addendum'!AB$18)*(Application!$AH$728:$AH$752 = 'CalHFA Addendum'!$B23),Application!$G$728:$G$752)</f>
        <v>10</v>
      </c>
      <c r="AC23" s="2978"/>
      <c r="AD23" s="2978"/>
      <c r="AE23" s="2978"/>
      <c r="AF23" s="2978"/>
      <c r="AG23" s="2979"/>
      <c r="AH23" s="2977" cm="1">
        <f t="array" ref="AH23">SUMPRODUCT((Application!$B$728:$B$752 = 'CalHFA Addendum'!AH$18)*(Application!$AH$728:$AH$752 = 'CalHFA Addendum'!$B23),Application!$G$728:$G$752)</f>
        <v>27</v>
      </c>
      <c r="AI23" s="2978"/>
      <c r="AJ23" s="2978"/>
      <c r="AK23" s="2978"/>
      <c r="AL23" s="2978"/>
      <c r="AM23" s="2979"/>
      <c r="AN23" s="2977" cm="1">
        <f t="array" ref="AN23">SUMPRODUCT((Application!$B$728:$B$752 = 'CalHFA Addendum'!AN$18)*(Application!$AH$728:$AH$752 = 'CalHFA Addendum'!$B23),Application!$G$728:$G$752)</f>
        <v>0</v>
      </c>
      <c r="AO23" s="2978"/>
      <c r="AP23" s="2978"/>
      <c r="AQ23" s="2978"/>
      <c r="AR23" s="2978"/>
      <c r="AS23" s="2979"/>
      <c r="AT23" s="2980">
        <f t="shared" si="0"/>
        <v>0.48314606741573035</v>
      </c>
      <c r="AU23" s="2981"/>
      <c r="AV23" s="2981"/>
      <c r="AW23" s="2981"/>
      <c r="AX23" s="2981"/>
      <c r="AY23" s="2982"/>
      <c r="AZ23" s="1528"/>
      <c r="BA23" s="1528"/>
      <c r="BB23" s="1528"/>
      <c r="BC23" s="1528"/>
      <c r="BD23" s="1528"/>
      <c r="BE23" s="1534"/>
    </row>
    <row r="24" spans="1:58" ht="15">
      <c r="A24" s="1817"/>
      <c r="B24" s="2983">
        <v>0.7</v>
      </c>
      <c r="C24" s="2984"/>
      <c r="D24" s="2984"/>
      <c r="E24" s="2984"/>
      <c r="F24" s="2984"/>
      <c r="G24" s="2984"/>
      <c r="H24" s="2984"/>
      <c r="I24" s="2984"/>
      <c r="J24" s="2971">
        <f t="shared" si="1"/>
        <v>0</v>
      </c>
      <c r="K24" s="2972"/>
      <c r="L24" s="2972"/>
      <c r="M24" s="2972"/>
      <c r="N24" s="2972"/>
      <c r="O24" s="2973"/>
      <c r="P24" s="2977" cm="1">
        <f t="array" ref="P24">SUMPRODUCT((Application!$B$728:$B$752 = 'CalHFA Addendum'!P$18)*(Application!$AH$728:$AH$752 = 'CalHFA Addendum'!$B24),Application!$G$728:$G$752)</f>
        <v>0</v>
      </c>
      <c r="Q24" s="2978"/>
      <c r="R24" s="2978"/>
      <c r="S24" s="2978"/>
      <c r="T24" s="2978"/>
      <c r="U24" s="2979"/>
      <c r="V24" s="2977" cm="1">
        <f t="array" ref="V24">SUMPRODUCT((Application!$B$728:$B$752 = 'CalHFA Addendum'!V$18)*(Application!$AH$728:$AH$752 = 'CalHFA Addendum'!$B24),Application!$G$728:$G$752)</f>
        <v>0</v>
      </c>
      <c r="W24" s="2978"/>
      <c r="X24" s="2978"/>
      <c r="Y24" s="2978"/>
      <c r="Z24" s="2978"/>
      <c r="AA24" s="2979"/>
      <c r="AB24" s="2977" cm="1">
        <f t="array" ref="AB24">SUMPRODUCT((Application!$B$728:$B$752 = 'CalHFA Addendum'!AB$18)*(Application!$AH$728:$AH$752 = 'CalHFA Addendum'!$B24),Application!$G$728:$G$752)</f>
        <v>0</v>
      </c>
      <c r="AC24" s="2978"/>
      <c r="AD24" s="2978"/>
      <c r="AE24" s="2978"/>
      <c r="AF24" s="2978"/>
      <c r="AG24" s="2979"/>
      <c r="AH24" s="2977" cm="1">
        <f t="array" ref="AH24">SUMPRODUCT((Application!$B$728:$B$752 = 'CalHFA Addendum'!AH$18)*(Application!$AH$728:$AH$752 = 'CalHFA Addendum'!$B24),Application!$G$728:$G$752)</f>
        <v>0</v>
      </c>
      <c r="AI24" s="2978"/>
      <c r="AJ24" s="2978"/>
      <c r="AK24" s="2978"/>
      <c r="AL24" s="2978"/>
      <c r="AM24" s="2979"/>
      <c r="AN24" s="2977" cm="1">
        <f t="array" ref="AN24">SUMPRODUCT((Application!$B$728:$B$752 = 'CalHFA Addendum'!AN$18)*(Application!$AH$728:$AH$752 = 'CalHFA Addendum'!$B24),Application!$G$728:$G$752)</f>
        <v>0</v>
      </c>
      <c r="AO24" s="2978"/>
      <c r="AP24" s="2978"/>
      <c r="AQ24" s="2978"/>
      <c r="AR24" s="2978"/>
      <c r="AS24" s="2979"/>
      <c r="AT24" s="2980">
        <f t="shared" si="0"/>
        <v>0</v>
      </c>
      <c r="AU24" s="2981"/>
      <c r="AV24" s="2981"/>
      <c r="AW24" s="2981"/>
      <c r="AX24" s="2981"/>
      <c r="AY24" s="2982"/>
      <c r="AZ24" s="1528"/>
      <c r="BA24" s="1528"/>
      <c r="BB24" s="1528"/>
      <c r="BC24" s="1528"/>
      <c r="BD24" s="1528"/>
      <c r="BE24" s="1534"/>
    </row>
    <row r="25" spans="1:58" ht="15">
      <c r="A25" s="1817"/>
      <c r="B25" s="2983">
        <v>0.8</v>
      </c>
      <c r="C25" s="2984"/>
      <c r="D25" s="2984"/>
      <c r="E25" s="2984"/>
      <c r="F25" s="2984"/>
      <c r="G25" s="2984"/>
      <c r="H25" s="2984"/>
      <c r="I25" s="2984"/>
      <c r="J25" s="2971">
        <f t="shared" si="1"/>
        <v>0</v>
      </c>
      <c r="K25" s="2972"/>
      <c r="L25" s="2972"/>
      <c r="M25" s="2972"/>
      <c r="N25" s="2972"/>
      <c r="O25" s="2973"/>
      <c r="P25" s="2977" cm="1">
        <f t="array" ref="P25">SUMPRODUCT((Application!$B$728:$B$752 = 'CalHFA Addendum'!P$18)*(Application!$AH$728:$AH$752 = 'CalHFA Addendum'!$B25),Application!$G$728:$G$752)</f>
        <v>0</v>
      </c>
      <c r="Q25" s="2978"/>
      <c r="R25" s="2978"/>
      <c r="S25" s="2978"/>
      <c r="T25" s="2978"/>
      <c r="U25" s="2979"/>
      <c r="V25" s="2977" cm="1">
        <f t="array" ref="V25">SUMPRODUCT((Application!$B$728:$B$752 = 'CalHFA Addendum'!V$18)*(Application!$AH$728:$AH$752 = 'CalHFA Addendum'!$B25),Application!$G$728:$G$752)</f>
        <v>0</v>
      </c>
      <c r="W25" s="2978"/>
      <c r="X25" s="2978"/>
      <c r="Y25" s="2978"/>
      <c r="Z25" s="2978"/>
      <c r="AA25" s="2979"/>
      <c r="AB25" s="2977" cm="1">
        <f t="array" ref="AB25">SUMPRODUCT((Application!$B$728:$B$752 = 'CalHFA Addendum'!AB$18)*(Application!$AH$728:$AH$752 = 'CalHFA Addendum'!$B25),Application!$G$728:$G$752)</f>
        <v>0</v>
      </c>
      <c r="AC25" s="2978"/>
      <c r="AD25" s="2978"/>
      <c r="AE25" s="2978"/>
      <c r="AF25" s="2978"/>
      <c r="AG25" s="2979"/>
      <c r="AH25" s="2977" cm="1">
        <f t="array" ref="AH25">SUMPRODUCT((Application!$B$728:$B$752 = 'CalHFA Addendum'!AH$18)*(Application!$AH$728:$AH$752 = 'CalHFA Addendum'!$B25),Application!$G$728:$G$752)</f>
        <v>0</v>
      </c>
      <c r="AI25" s="2978"/>
      <c r="AJ25" s="2978"/>
      <c r="AK25" s="2978"/>
      <c r="AL25" s="2978"/>
      <c r="AM25" s="2979"/>
      <c r="AN25" s="2977" cm="1">
        <f t="array" ref="AN25">SUMPRODUCT((Application!$B$728:$B$752 = 'CalHFA Addendum'!AN$18)*(Application!$AH$728:$AH$752 = 'CalHFA Addendum'!$B25),Application!$G$728:$G$752)</f>
        <v>0</v>
      </c>
      <c r="AO25" s="2978"/>
      <c r="AP25" s="2978"/>
      <c r="AQ25" s="2978"/>
      <c r="AR25" s="2978"/>
      <c r="AS25" s="2979"/>
      <c r="AT25" s="2980">
        <f t="shared" si="0"/>
        <v>0</v>
      </c>
      <c r="AU25" s="2981"/>
      <c r="AV25" s="2981"/>
      <c r="AW25" s="2981"/>
      <c r="AX25" s="2981"/>
      <c r="AY25" s="2982"/>
      <c r="AZ25" s="1528"/>
      <c r="BA25" s="1528"/>
      <c r="BB25" s="1528"/>
      <c r="BC25" s="1528"/>
      <c r="BD25" s="1528"/>
      <c r="BE25" s="1534"/>
    </row>
    <row r="26" spans="1:58" ht="15">
      <c r="A26" s="1817"/>
      <c r="B26" s="2983">
        <v>0.9</v>
      </c>
      <c r="C26" s="2984"/>
      <c r="D26" s="2984"/>
      <c r="E26" s="2984"/>
      <c r="F26" s="2984"/>
      <c r="G26" s="2984"/>
      <c r="H26" s="2984"/>
      <c r="I26" s="2984"/>
      <c r="J26" s="2971">
        <f t="shared" si="1"/>
        <v>0</v>
      </c>
      <c r="K26" s="2972"/>
      <c r="L26" s="2972"/>
      <c r="M26" s="2972"/>
      <c r="N26" s="2972"/>
      <c r="O26" s="2973"/>
      <c r="P26" s="2977" cm="1">
        <f t="array" ref="P26">SUMPRODUCT((Application!$B$728:$B$752 = 'CalHFA Addendum'!P$18)*(Application!$AH$728:$AH$752 = 'CalHFA Addendum'!$B26),Application!$G$728:$G$752)</f>
        <v>0</v>
      </c>
      <c r="Q26" s="2978"/>
      <c r="R26" s="2978"/>
      <c r="S26" s="2978"/>
      <c r="T26" s="2978"/>
      <c r="U26" s="2979"/>
      <c r="V26" s="2977" cm="1">
        <f t="array" ref="V26">SUMPRODUCT((Application!$B$728:$B$752 = 'CalHFA Addendum'!V$18)*(Application!$AH$728:$AH$752 = 'CalHFA Addendum'!$B26),Application!$G$728:$G$752)</f>
        <v>0</v>
      </c>
      <c r="W26" s="2978"/>
      <c r="X26" s="2978"/>
      <c r="Y26" s="2978"/>
      <c r="Z26" s="2978"/>
      <c r="AA26" s="2979"/>
      <c r="AB26" s="2977" cm="1">
        <f t="array" ref="AB26">SUMPRODUCT((Application!$B$728:$B$752 = 'CalHFA Addendum'!AB$18)*(Application!$AH$728:$AH$752 = 'CalHFA Addendum'!$B26),Application!$G$728:$G$752)</f>
        <v>0</v>
      </c>
      <c r="AC26" s="2978"/>
      <c r="AD26" s="2978"/>
      <c r="AE26" s="2978"/>
      <c r="AF26" s="2978"/>
      <c r="AG26" s="2979"/>
      <c r="AH26" s="2977" cm="1">
        <f t="array" ref="AH26">SUMPRODUCT((Application!$B$728:$B$752 = 'CalHFA Addendum'!AH$18)*(Application!$AH$728:$AH$752 = 'CalHFA Addendum'!$B26),Application!$G$728:$G$752)</f>
        <v>0</v>
      </c>
      <c r="AI26" s="2978"/>
      <c r="AJ26" s="2978"/>
      <c r="AK26" s="2978"/>
      <c r="AL26" s="2978"/>
      <c r="AM26" s="2979"/>
      <c r="AN26" s="2977" cm="1">
        <f t="array" ref="AN26">SUMPRODUCT((Application!$B$728:$B$752 = 'CalHFA Addendum'!AN$18)*(Application!$AH$728:$AH$752 = 'CalHFA Addendum'!$B26),Application!$G$728:$G$752)</f>
        <v>0</v>
      </c>
      <c r="AO26" s="2978"/>
      <c r="AP26" s="2978"/>
      <c r="AQ26" s="2978"/>
      <c r="AR26" s="2978"/>
      <c r="AS26" s="2979"/>
      <c r="AT26" s="2980">
        <f t="shared" si="0"/>
        <v>0</v>
      </c>
      <c r="AU26" s="2981"/>
      <c r="AV26" s="2981"/>
      <c r="AW26" s="2981"/>
      <c r="AX26" s="2981"/>
      <c r="AY26" s="2982"/>
      <c r="AZ26" s="1528"/>
      <c r="BA26" s="1528"/>
      <c r="BB26" s="1528"/>
      <c r="BC26" s="1528"/>
      <c r="BD26" s="1528"/>
      <c r="BE26" s="1534"/>
    </row>
    <row r="27" spans="1:58" ht="15">
      <c r="A27" s="1817"/>
      <c r="B27" s="2983">
        <v>1</v>
      </c>
      <c r="C27" s="2984"/>
      <c r="D27" s="2984"/>
      <c r="E27" s="2984"/>
      <c r="F27" s="2984"/>
      <c r="G27" s="2984"/>
      <c r="H27" s="2984"/>
      <c r="I27" s="2984"/>
      <c r="J27" s="2971">
        <f t="shared" si="1"/>
        <v>0</v>
      </c>
      <c r="K27" s="2972"/>
      <c r="L27" s="2972"/>
      <c r="M27" s="2972"/>
      <c r="N27" s="2972"/>
      <c r="O27" s="2973"/>
      <c r="P27" s="2977" cm="1">
        <f t="array" ref="P27">SUMPRODUCT((Application!$B$728:$B$752 = 'CalHFA Addendum'!P$18)*(Application!$AH$728:$AH$752 = 'CalHFA Addendum'!$B27),Application!$G$728:$G$752)</f>
        <v>0</v>
      </c>
      <c r="Q27" s="2978"/>
      <c r="R27" s="2978"/>
      <c r="S27" s="2978"/>
      <c r="T27" s="2978"/>
      <c r="U27" s="2979"/>
      <c r="V27" s="2977" cm="1">
        <f t="array" ref="V27">SUMPRODUCT((Application!$B$728:$B$752 = 'CalHFA Addendum'!V$18)*(Application!$AH$728:$AH$752 = 'CalHFA Addendum'!$B27),Application!$G$728:$G$752)</f>
        <v>0</v>
      </c>
      <c r="W27" s="2978"/>
      <c r="X27" s="2978"/>
      <c r="Y27" s="2978"/>
      <c r="Z27" s="2978"/>
      <c r="AA27" s="2979"/>
      <c r="AB27" s="2977" cm="1">
        <f t="array" ref="AB27">SUMPRODUCT((Application!$B$728:$B$752 = 'CalHFA Addendum'!AB$18)*(Application!$AH$728:$AH$752 = 'CalHFA Addendum'!$B27),Application!$G$728:$G$752)</f>
        <v>0</v>
      </c>
      <c r="AC27" s="2978"/>
      <c r="AD27" s="2978"/>
      <c r="AE27" s="2978"/>
      <c r="AF27" s="2978"/>
      <c r="AG27" s="2979"/>
      <c r="AH27" s="2977" cm="1">
        <f t="array" ref="AH27">SUMPRODUCT((Application!$B$728:$B$752 = 'CalHFA Addendum'!AH$18)*(Application!$AH$728:$AH$752 = 'CalHFA Addendum'!$B27),Application!$G$728:$G$752)</f>
        <v>0</v>
      </c>
      <c r="AI27" s="2978"/>
      <c r="AJ27" s="2978"/>
      <c r="AK27" s="2978"/>
      <c r="AL27" s="2978"/>
      <c r="AM27" s="2979"/>
      <c r="AN27" s="2977" cm="1">
        <f t="array" ref="AN27">SUMPRODUCT((Application!$B$728:$B$752 = 'CalHFA Addendum'!AN$18)*(Application!$AH$728:$AH$752 = 'CalHFA Addendum'!$B27),Application!$G$728:$G$752)</f>
        <v>0</v>
      </c>
      <c r="AO27" s="2978"/>
      <c r="AP27" s="2978"/>
      <c r="AQ27" s="2978"/>
      <c r="AR27" s="2978"/>
      <c r="AS27" s="2979"/>
      <c r="AT27" s="2980">
        <f t="shared" si="0"/>
        <v>0</v>
      </c>
      <c r="AU27" s="2981"/>
      <c r="AV27" s="2981"/>
      <c r="AW27" s="2981"/>
      <c r="AX27" s="2981"/>
      <c r="AY27" s="2982"/>
      <c r="AZ27" s="1528"/>
      <c r="BA27" s="1528"/>
      <c r="BB27" s="1528"/>
      <c r="BC27" s="1528"/>
      <c r="BD27" s="1528"/>
      <c r="BE27" s="1534"/>
      <c r="BF27" s="1699"/>
    </row>
    <row r="28" spans="1:58" thickBot="1">
      <c r="A28" s="1817"/>
      <c r="B28" s="2968" t="s">
        <v>2050</v>
      </c>
      <c r="C28" s="2969"/>
      <c r="D28" s="2969"/>
      <c r="E28" s="2969"/>
      <c r="F28" s="2969"/>
      <c r="G28" s="2969"/>
      <c r="H28" s="2969"/>
      <c r="I28" s="2970"/>
      <c r="J28" s="2971">
        <f t="shared" ref="J28" si="2">SUM(P28:AS28)</f>
        <v>1</v>
      </c>
      <c r="K28" s="2972"/>
      <c r="L28" s="2972"/>
      <c r="M28" s="2972"/>
      <c r="N28" s="2972"/>
      <c r="O28" s="2973"/>
      <c r="P28" s="2974">
        <f>_xlfn.IFNA(VLOOKUP(P$18,Application!$J$772:$S$775,6,FALSE), 0)</f>
        <v>0</v>
      </c>
      <c r="Q28" s="2975"/>
      <c r="R28" s="2975"/>
      <c r="S28" s="2975"/>
      <c r="T28" s="2975"/>
      <c r="U28" s="2976"/>
      <c r="V28" s="2974">
        <f>_xlfn.IFNA(VLOOKUP(V$18,Application!$J$772:$S$775,6,FALSE), 0)</f>
        <v>0</v>
      </c>
      <c r="W28" s="2975"/>
      <c r="X28" s="2975"/>
      <c r="Y28" s="2975"/>
      <c r="Z28" s="2975"/>
      <c r="AA28" s="2976"/>
      <c r="AB28" s="2974">
        <f>_xlfn.IFNA(VLOOKUP(AB$18,Application!$J$772:$S$775,6,FALSE), 0)</f>
        <v>0</v>
      </c>
      <c r="AC28" s="2975"/>
      <c r="AD28" s="2975"/>
      <c r="AE28" s="2975"/>
      <c r="AF28" s="2975"/>
      <c r="AG28" s="2976"/>
      <c r="AH28" s="2974">
        <f>_xlfn.IFNA(VLOOKUP(AH$18,Application!$J$772:$S$775,6,FALSE), 0)</f>
        <v>1</v>
      </c>
      <c r="AI28" s="2975"/>
      <c r="AJ28" s="2975"/>
      <c r="AK28" s="2975"/>
      <c r="AL28" s="2975"/>
      <c r="AM28" s="2976"/>
      <c r="AN28" s="2974">
        <f>_xlfn.IFNA(VLOOKUP(AN$18,Application!$J$772:$S$775,6,FALSE), 0)</f>
        <v>0</v>
      </c>
      <c r="AO28" s="2975"/>
      <c r="AP28" s="2975"/>
      <c r="AQ28" s="2975"/>
      <c r="AR28" s="2975"/>
      <c r="AS28" s="2976"/>
      <c r="AT28" s="2980">
        <f t="shared" ref="AT28" si="3">J28/$J$29</f>
        <v>1.1235955056179775E-2</v>
      </c>
      <c r="AU28" s="2981"/>
      <c r="AV28" s="2981"/>
      <c r="AW28" s="2981"/>
      <c r="AX28" s="2981"/>
      <c r="AY28" s="2982"/>
      <c r="AZ28" s="1528"/>
      <c r="BA28" s="1528"/>
      <c r="BB28" s="1528"/>
      <c r="BC28" s="1528"/>
      <c r="BD28" s="1528"/>
      <c r="BE28" s="1534"/>
    </row>
    <row r="29" spans="1:58" thickBot="1">
      <c r="A29" s="1817"/>
      <c r="B29" s="2961" t="s">
        <v>1880</v>
      </c>
      <c r="C29" s="2962"/>
      <c r="D29" s="2962"/>
      <c r="E29" s="2962"/>
      <c r="F29" s="2962"/>
      <c r="G29" s="2962"/>
      <c r="H29" s="2962"/>
      <c r="I29" s="2963"/>
      <c r="J29" s="2964">
        <f>SUM(J19:O28)</f>
        <v>89</v>
      </c>
      <c r="K29" s="2962"/>
      <c r="L29" s="2962"/>
      <c r="M29" s="2962"/>
      <c r="N29" s="2962"/>
      <c r="O29" s="2963"/>
      <c r="P29" s="2964">
        <f>SUM(P19:U28)</f>
        <v>0</v>
      </c>
      <c r="Q29" s="2962"/>
      <c r="R29" s="2962"/>
      <c r="S29" s="2962"/>
      <c r="T29" s="2962"/>
      <c r="U29" s="2963"/>
      <c r="V29" s="2964">
        <f>SUM(V19:AA28)</f>
        <v>23</v>
      </c>
      <c r="W29" s="2962"/>
      <c r="X29" s="2962"/>
      <c r="Y29" s="2962"/>
      <c r="Z29" s="2962"/>
      <c r="AA29" s="2963"/>
      <c r="AB29" s="2964">
        <f>SUM(AB19:AG28)</f>
        <v>18</v>
      </c>
      <c r="AC29" s="2962"/>
      <c r="AD29" s="2962"/>
      <c r="AE29" s="2962"/>
      <c r="AF29" s="2962"/>
      <c r="AG29" s="2963"/>
      <c r="AH29" s="2964">
        <f>SUM(AH19:AM28)</f>
        <v>48</v>
      </c>
      <c r="AI29" s="2962"/>
      <c r="AJ29" s="2962"/>
      <c r="AK29" s="2962"/>
      <c r="AL29" s="2962"/>
      <c r="AM29" s="2963"/>
      <c r="AN29" s="2964">
        <f>SUM(AN19:AS28)</f>
        <v>0</v>
      </c>
      <c r="AO29" s="2962"/>
      <c r="AP29" s="2962"/>
      <c r="AQ29" s="2962"/>
      <c r="AR29" s="2962"/>
      <c r="AS29" s="2963"/>
      <c r="AT29" s="2965">
        <f>J29/$J$29</f>
        <v>1</v>
      </c>
      <c r="AU29" s="2966"/>
      <c r="AV29" s="2966"/>
      <c r="AW29" s="2966"/>
      <c r="AX29" s="2966"/>
      <c r="AY29" s="2967"/>
      <c r="AZ29" s="1528"/>
      <c r="BA29" s="1528"/>
      <c r="BB29" s="1528"/>
      <c r="BC29" s="1528"/>
      <c r="BD29" s="1528"/>
      <c r="BE29" s="1534"/>
    </row>
    <row r="30" spans="1:58"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thickBot="1">
      <c r="A31" s="1817"/>
      <c r="B31" s="2941" t="s">
        <v>2051</v>
      </c>
      <c r="C31" s="2942"/>
      <c r="D31" s="2942"/>
      <c r="E31" s="2942"/>
      <c r="F31" s="2942"/>
      <c r="G31" s="2942"/>
      <c r="H31" s="2942"/>
      <c r="I31" s="2942"/>
      <c r="J31" s="2942"/>
      <c r="K31" s="2942"/>
      <c r="L31" s="2942"/>
      <c r="M31" s="2942"/>
      <c r="N31" s="2942"/>
      <c r="O31" s="2942"/>
      <c r="P31" s="2942"/>
      <c r="Q31" s="2942"/>
      <c r="R31" s="2942"/>
      <c r="S31" s="2942"/>
      <c r="T31" s="2942"/>
      <c r="U31" s="2942"/>
      <c r="V31" s="2942"/>
      <c r="W31" s="2942"/>
      <c r="X31" s="2942"/>
      <c r="Y31" s="2942"/>
      <c r="Z31" s="2942"/>
      <c r="AA31" s="2942"/>
      <c r="AB31" s="2942"/>
      <c r="AC31" s="2942"/>
      <c r="AD31" s="2942"/>
      <c r="AE31" s="2942"/>
      <c r="AF31" s="2942"/>
      <c r="AG31" s="2942"/>
      <c r="AH31" s="2942"/>
      <c r="AI31" s="2942"/>
      <c r="AJ31" s="2942"/>
      <c r="AK31" s="2942"/>
      <c r="AL31" s="2942"/>
      <c r="AM31" s="2942"/>
      <c r="AN31" s="2942"/>
      <c r="AO31" s="2942"/>
      <c r="AP31" s="2942"/>
      <c r="AQ31" s="2942"/>
      <c r="AR31" s="2942"/>
      <c r="AS31" s="2942"/>
      <c r="AT31" s="2942"/>
      <c r="AU31" s="2942"/>
      <c r="AV31" s="2942"/>
      <c r="AW31" s="2942"/>
      <c r="AX31" s="2942"/>
      <c r="AY31" s="2942"/>
      <c r="AZ31" s="2943"/>
      <c r="BA31" s="1528"/>
      <c r="BB31" s="1528"/>
      <c r="BC31" s="1528"/>
      <c r="BD31" s="1528"/>
      <c r="BE31" s="1534"/>
    </row>
    <row r="32" spans="1:58" thickBot="1">
      <c r="A32" s="1817"/>
      <c r="B32" s="2944" t="s">
        <v>2052</v>
      </c>
      <c r="C32" s="2945"/>
      <c r="D32" s="2945"/>
      <c r="E32" s="2945"/>
      <c r="F32" s="2945"/>
      <c r="G32" s="2945"/>
      <c r="H32" s="2945"/>
      <c r="I32" s="2946"/>
      <c r="J32" s="2948" t="s">
        <v>2053</v>
      </c>
      <c r="K32" s="2949"/>
      <c r="L32" s="2949"/>
      <c r="M32" s="2950"/>
      <c r="N32" s="2948" t="s">
        <v>2054</v>
      </c>
      <c r="O32" s="2949"/>
      <c r="P32" s="2949"/>
      <c r="Q32" s="2949"/>
      <c r="R32" s="2952" t="s">
        <v>2055</v>
      </c>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4"/>
      <c r="BA32" s="1528"/>
      <c r="BB32" s="1528"/>
      <c r="BC32" s="1528"/>
      <c r="BD32" s="1528"/>
      <c r="BE32" s="1534"/>
    </row>
    <row r="33" spans="1:58" ht="15" customHeight="1">
      <c r="A33" s="1817"/>
      <c r="B33" s="2947"/>
      <c r="C33" s="2945"/>
      <c r="D33" s="2945"/>
      <c r="E33" s="2945"/>
      <c r="F33" s="2945"/>
      <c r="G33" s="2945"/>
      <c r="H33" s="2945"/>
      <c r="I33" s="2946"/>
      <c r="J33" s="2951"/>
      <c r="K33" s="2949"/>
      <c r="L33" s="2949"/>
      <c r="M33" s="2950"/>
      <c r="N33" s="2951"/>
      <c r="O33" s="2949"/>
      <c r="P33" s="2949"/>
      <c r="Q33" s="2949"/>
      <c r="R33" s="2955" t="s">
        <v>2056</v>
      </c>
      <c r="S33" s="2956"/>
      <c r="T33" s="2956"/>
      <c r="U33" s="2956"/>
      <c r="V33" s="2956"/>
      <c r="W33" s="2956"/>
      <c r="X33" s="2956"/>
      <c r="Y33" s="2956"/>
      <c r="Z33" s="2956"/>
      <c r="AA33" s="2956"/>
      <c r="AB33" s="2956"/>
      <c r="AC33" s="2956"/>
      <c r="AD33" s="2956"/>
      <c r="AE33" s="2956"/>
      <c r="AF33" s="2956"/>
      <c r="AG33" s="2956"/>
      <c r="AH33" s="2956"/>
      <c r="AI33" s="2956"/>
      <c r="AJ33" s="2956"/>
      <c r="AK33" s="2956"/>
      <c r="AL33" s="2956"/>
      <c r="AM33" s="2956"/>
      <c r="AN33" s="2956"/>
      <c r="AO33" s="2956"/>
      <c r="AP33" s="2956"/>
      <c r="AQ33" s="2956"/>
      <c r="AR33" s="2956"/>
      <c r="AS33" s="2956"/>
      <c r="AT33" s="2956"/>
      <c r="AU33" s="2956"/>
      <c r="AV33" s="2956"/>
      <c r="AW33" s="2956"/>
      <c r="AX33" s="2956"/>
      <c r="AY33" s="2956"/>
      <c r="AZ33" s="2957"/>
      <c r="BA33" s="1535"/>
      <c r="BB33" s="1528"/>
      <c r="BC33" s="1528"/>
      <c r="BD33" s="1528"/>
      <c r="BE33" s="1534"/>
    </row>
    <row r="34" spans="1:58" ht="15.75" customHeight="1" thickBot="1">
      <c r="A34" s="1817"/>
      <c r="B34" s="2947"/>
      <c r="C34" s="2945"/>
      <c r="D34" s="2945"/>
      <c r="E34" s="2945"/>
      <c r="F34" s="2945"/>
      <c r="G34" s="2945"/>
      <c r="H34" s="2945"/>
      <c r="I34" s="2946"/>
      <c r="J34" s="2951"/>
      <c r="K34" s="2949"/>
      <c r="L34" s="2949"/>
      <c r="M34" s="2950"/>
      <c r="N34" s="2951"/>
      <c r="O34" s="2949"/>
      <c r="P34" s="2949"/>
      <c r="Q34" s="2949"/>
      <c r="R34" s="2958"/>
      <c r="S34" s="2959"/>
      <c r="T34" s="2959"/>
      <c r="U34" s="2959"/>
      <c r="V34" s="2959"/>
      <c r="W34" s="2959"/>
      <c r="X34" s="2959"/>
      <c r="Y34" s="2959"/>
      <c r="Z34" s="2959"/>
      <c r="AA34" s="2959"/>
      <c r="AB34" s="2959"/>
      <c r="AC34" s="2959"/>
      <c r="AD34" s="2959"/>
      <c r="AE34" s="2959"/>
      <c r="AF34" s="2959"/>
      <c r="AG34" s="2959"/>
      <c r="AH34" s="2959"/>
      <c r="AI34" s="2959"/>
      <c r="AJ34" s="2959"/>
      <c r="AK34" s="2959"/>
      <c r="AL34" s="2959"/>
      <c r="AM34" s="2959"/>
      <c r="AN34" s="2959"/>
      <c r="AO34" s="2959"/>
      <c r="AP34" s="2959"/>
      <c r="AQ34" s="2959"/>
      <c r="AR34" s="2959"/>
      <c r="AS34" s="2959"/>
      <c r="AT34" s="2959"/>
      <c r="AU34" s="2959"/>
      <c r="AV34" s="2959"/>
      <c r="AW34" s="2959"/>
      <c r="AX34" s="2959"/>
      <c r="AY34" s="2959"/>
      <c r="AZ34" s="2960"/>
      <c r="BA34" s="1535"/>
      <c r="BB34" s="1528"/>
      <c r="BC34" s="1528"/>
      <c r="BD34" s="1528"/>
      <c r="BE34" s="1534"/>
    </row>
    <row r="35" spans="1:58" ht="15.75" customHeight="1" thickBot="1">
      <c r="A35" s="1817"/>
      <c r="B35" s="2947"/>
      <c r="C35" s="2945"/>
      <c r="D35" s="2945"/>
      <c r="E35" s="2945"/>
      <c r="F35" s="2945"/>
      <c r="G35" s="2945"/>
      <c r="H35" s="2945"/>
      <c r="I35" s="2946"/>
      <c r="J35" s="2951"/>
      <c r="K35" s="2949"/>
      <c r="L35" s="2949"/>
      <c r="M35" s="2950"/>
      <c r="N35" s="2951"/>
      <c r="O35" s="2949"/>
      <c r="P35" s="2949"/>
      <c r="Q35" s="2949"/>
      <c r="R35" s="2924">
        <v>0.5</v>
      </c>
      <c r="S35" s="2925"/>
      <c r="T35" s="2925"/>
      <c r="U35" s="2926"/>
      <c r="V35" s="2924">
        <v>0.6</v>
      </c>
      <c r="W35" s="2925"/>
      <c r="X35" s="2925"/>
      <c r="Y35" s="2926"/>
      <c r="Z35" s="2924">
        <v>0.7</v>
      </c>
      <c r="AA35" s="2925"/>
      <c r="AB35" s="2925"/>
      <c r="AC35" s="2926"/>
      <c r="AD35" s="2924">
        <v>0.8</v>
      </c>
      <c r="AE35" s="2925"/>
      <c r="AF35" s="2925"/>
      <c r="AG35" s="2926"/>
      <c r="AH35" s="2924">
        <v>1</v>
      </c>
      <c r="AI35" s="2925"/>
      <c r="AJ35" s="2925"/>
      <c r="AK35" s="2926"/>
      <c r="AL35" s="2924">
        <v>1.2</v>
      </c>
      <c r="AM35" s="2925"/>
      <c r="AN35" s="2926"/>
      <c r="AO35" s="2927" t="s">
        <v>2057</v>
      </c>
      <c r="AP35" s="2928"/>
      <c r="AQ35" s="2928"/>
      <c r="AR35" s="2928"/>
      <c r="AS35" s="2928"/>
      <c r="AT35" s="2929"/>
      <c r="AU35" s="2927" t="s">
        <v>2058</v>
      </c>
      <c r="AV35" s="2928"/>
      <c r="AW35" s="2928"/>
      <c r="AX35" s="2928"/>
      <c r="AY35" s="2928"/>
      <c r="AZ35" s="2929"/>
      <c r="BA35" s="1535"/>
      <c r="BB35" s="1528"/>
      <c r="BC35" s="1528"/>
      <c r="BD35" s="1528"/>
      <c r="BE35" s="1534"/>
      <c r="BF35" s="1526"/>
    </row>
    <row r="36" spans="1:58" ht="15.75" customHeight="1">
      <c r="A36" s="1817"/>
      <c r="B36" s="2930" t="s">
        <v>2059</v>
      </c>
      <c r="C36" s="2931"/>
      <c r="D36" s="2931"/>
      <c r="E36" s="2931"/>
      <c r="F36" s="2931"/>
      <c r="G36" s="2931"/>
      <c r="H36" s="2931"/>
      <c r="I36" s="2932"/>
      <c r="J36" s="2933" t="s">
        <v>2060</v>
      </c>
      <c r="K36" s="2934"/>
      <c r="L36" s="2934"/>
      <c r="M36" s="2935"/>
      <c r="N36" s="2936">
        <v>55</v>
      </c>
      <c r="O36" s="2937"/>
      <c r="P36" s="2937"/>
      <c r="Q36" s="2938"/>
      <c r="R36" s="2939">
        <v>10</v>
      </c>
      <c r="S36" s="2939"/>
      <c r="T36" s="2939"/>
      <c r="U36" s="2939"/>
      <c r="V36" s="2939">
        <v>30</v>
      </c>
      <c r="W36" s="2939"/>
      <c r="X36" s="2939"/>
      <c r="Y36" s="2939"/>
      <c r="Z36" s="2939"/>
      <c r="AA36" s="2939"/>
      <c r="AB36" s="2939"/>
      <c r="AC36" s="2939"/>
      <c r="AD36" s="2939">
        <v>59</v>
      </c>
      <c r="AE36" s="2939"/>
      <c r="AF36" s="2939"/>
      <c r="AG36" s="2939"/>
      <c r="AH36" s="2940"/>
      <c r="AI36" s="2940"/>
      <c r="AJ36" s="2940"/>
      <c r="AK36" s="2940"/>
      <c r="AL36" s="2940"/>
      <c r="AM36" s="2940"/>
      <c r="AN36" s="2940"/>
      <c r="AO36" s="2898">
        <f>SUM(R36:AN36)</f>
        <v>99</v>
      </c>
      <c r="AP36" s="2898"/>
      <c r="AQ36" s="2898"/>
      <c r="AR36" s="2898"/>
      <c r="AS36" s="2898"/>
      <c r="AT36" s="2898"/>
      <c r="AU36" s="2899">
        <f>AO36/$J$29</f>
        <v>1.1123595505617978</v>
      </c>
      <c r="AV36" s="2899"/>
      <c r="AW36" s="2899"/>
      <c r="AX36" s="2899"/>
      <c r="AY36" s="2899"/>
      <c r="AZ36" s="2899"/>
      <c r="BA36" s="1528"/>
      <c r="BB36" s="1528"/>
      <c r="BC36" s="1528"/>
      <c r="BD36" s="1528"/>
      <c r="BE36" s="1534"/>
      <c r="BF36" s="1526"/>
    </row>
    <row r="37" spans="1:58" ht="15.75" customHeight="1">
      <c r="A37" s="1817"/>
      <c r="B37" s="2919" t="s">
        <v>2061</v>
      </c>
      <c r="C37" s="2920"/>
      <c r="D37" s="2920"/>
      <c r="E37" s="2920"/>
      <c r="F37" s="2920"/>
      <c r="G37" s="2920"/>
      <c r="H37" s="2920"/>
      <c r="I37" s="2921"/>
      <c r="J37" s="2922" t="s">
        <v>2062</v>
      </c>
      <c r="K37" s="2910"/>
      <c r="L37" s="2910"/>
      <c r="M37" s="2923"/>
      <c r="N37" s="2909">
        <v>55</v>
      </c>
      <c r="O37" s="2910"/>
      <c r="P37" s="2910"/>
      <c r="Q37" s="2911"/>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8">
        <f t="shared" ref="AO37:AO47" si="4">SUM(R37:AN37)</f>
        <v>0</v>
      </c>
      <c r="AP37" s="2898"/>
      <c r="AQ37" s="2898"/>
      <c r="AR37" s="2898"/>
      <c r="AS37" s="2898"/>
      <c r="AT37" s="2898"/>
      <c r="AU37" s="2899">
        <f t="shared" ref="AU37:AU47" si="5">AO37/$J$29</f>
        <v>0</v>
      </c>
      <c r="AV37" s="2899"/>
      <c r="AW37" s="2899"/>
      <c r="AX37" s="2899"/>
      <c r="AY37" s="2899"/>
      <c r="AZ37" s="2899"/>
      <c r="BA37" s="1528"/>
      <c r="BB37" s="1528"/>
      <c r="BC37" s="1528"/>
      <c r="BD37" s="1528"/>
      <c r="BE37" s="1534"/>
      <c r="BF37" s="1526"/>
    </row>
    <row r="38" spans="1:58" ht="15.75" customHeight="1">
      <c r="A38" s="1817"/>
      <c r="B38" s="2919" t="s">
        <v>2063</v>
      </c>
      <c r="C38" s="2920"/>
      <c r="D38" s="2920"/>
      <c r="E38" s="2920"/>
      <c r="F38" s="2920"/>
      <c r="G38" s="2920"/>
      <c r="H38" s="2920"/>
      <c r="I38" s="2921"/>
      <c r="J38" s="2922" t="s">
        <v>2064</v>
      </c>
      <c r="K38" s="2910"/>
      <c r="L38" s="2910"/>
      <c r="M38" s="2923"/>
      <c r="N38" s="2909">
        <v>55</v>
      </c>
      <c r="O38" s="2910"/>
      <c r="P38" s="2910"/>
      <c r="Q38" s="2911"/>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8">
        <f t="shared" si="4"/>
        <v>0</v>
      </c>
      <c r="AP38" s="2898"/>
      <c r="AQ38" s="2898"/>
      <c r="AR38" s="2898"/>
      <c r="AS38" s="2898"/>
      <c r="AT38" s="2898"/>
      <c r="AU38" s="2899">
        <f t="shared" si="5"/>
        <v>0</v>
      </c>
      <c r="AV38" s="2899"/>
      <c r="AW38" s="2899"/>
      <c r="AX38" s="2899"/>
      <c r="AY38" s="2899"/>
      <c r="AZ38" s="2899"/>
      <c r="BA38" s="1528"/>
      <c r="BB38" s="1528"/>
      <c r="BC38" s="1528"/>
      <c r="BD38" s="1528"/>
      <c r="BE38" s="1534"/>
      <c r="BF38" s="1526"/>
    </row>
    <row r="39" spans="1:58" ht="15.75" customHeight="1">
      <c r="A39" s="1817"/>
      <c r="B39" s="2919" t="s">
        <v>2065</v>
      </c>
      <c r="C39" s="2920"/>
      <c r="D39" s="2920"/>
      <c r="E39" s="2920"/>
      <c r="F39" s="2920"/>
      <c r="G39" s="2920"/>
      <c r="H39" s="2920"/>
      <c r="I39" s="2921"/>
      <c r="J39" s="2908"/>
      <c r="K39" s="2712"/>
      <c r="L39" s="2712"/>
      <c r="M39" s="2840"/>
      <c r="N39" s="2834"/>
      <c r="O39" s="2712"/>
      <c r="P39" s="2712"/>
      <c r="Q39" s="2912"/>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8">
        <f t="shared" si="4"/>
        <v>0</v>
      </c>
      <c r="AP39" s="2898"/>
      <c r="AQ39" s="2898"/>
      <c r="AR39" s="2898"/>
      <c r="AS39" s="2898"/>
      <c r="AT39" s="2898"/>
      <c r="AU39" s="2899">
        <f t="shared" si="5"/>
        <v>0</v>
      </c>
      <c r="AV39" s="2899"/>
      <c r="AW39" s="2899"/>
      <c r="AX39" s="2899"/>
      <c r="AY39" s="2899"/>
      <c r="AZ39" s="2899"/>
      <c r="BA39" s="1528"/>
      <c r="BB39" s="1528"/>
      <c r="BC39" s="1528"/>
      <c r="BD39" s="1528"/>
      <c r="BE39" s="1534"/>
    </row>
    <row r="40" spans="1:58" ht="15.75" customHeight="1">
      <c r="A40" s="1817"/>
      <c r="B40" s="2919" t="s">
        <v>2065</v>
      </c>
      <c r="C40" s="2920"/>
      <c r="D40" s="2920"/>
      <c r="E40" s="2920"/>
      <c r="F40" s="2920"/>
      <c r="G40" s="2920"/>
      <c r="H40" s="2920"/>
      <c r="I40" s="2921"/>
      <c r="J40" s="2908"/>
      <c r="K40" s="2712"/>
      <c r="L40" s="2712"/>
      <c r="M40" s="2840"/>
      <c r="N40" s="2834"/>
      <c r="O40" s="2712"/>
      <c r="P40" s="2712"/>
      <c r="Q40" s="2912"/>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8">
        <f t="shared" si="4"/>
        <v>0</v>
      </c>
      <c r="AP40" s="2898"/>
      <c r="AQ40" s="2898"/>
      <c r="AR40" s="2898"/>
      <c r="AS40" s="2898"/>
      <c r="AT40" s="2898"/>
      <c r="AU40" s="2899">
        <f t="shared" si="5"/>
        <v>0</v>
      </c>
      <c r="AV40" s="2899"/>
      <c r="AW40" s="2899"/>
      <c r="AX40" s="2899"/>
      <c r="AY40" s="2899"/>
      <c r="AZ40" s="2899"/>
      <c r="BA40" s="1528"/>
      <c r="BB40" s="1528"/>
      <c r="BC40" s="1528"/>
      <c r="BD40" s="1528"/>
      <c r="BE40" s="1534"/>
    </row>
    <row r="41" spans="1:58" ht="15.75" customHeight="1">
      <c r="A41" s="1817"/>
      <c r="B41" s="2916" t="s">
        <v>2066</v>
      </c>
      <c r="C41" s="2917"/>
      <c r="D41" s="2917"/>
      <c r="E41" s="2917"/>
      <c r="F41" s="2917"/>
      <c r="G41" s="2917"/>
      <c r="H41" s="2917"/>
      <c r="I41" s="2918"/>
      <c r="J41" s="2908"/>
      <c r="K41" s="2712"/>
      <c r="L41" s="2712"/>
      <c r="M41" s="2840"/>
      <c r="N41" s="2834"/>
      <c r="O41" s="2712"/>
      <c r="P41" s="2712"/>
      <c r="Q41" s="2912"/>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8">
        <f t="shared" si="4"/>
        <v>0</v>
      </c>
      <c r="AP41" s="2898"/>
      <c r="AQ41" s="2898"/>
      <c r="AR41" s="2898"/>
      <c r="AS41" s="2898"/>
      <c r="AT41" s="2898"/>
      <c r="AU41" s="2899">
        <f t="shared" si="5"/>
        <v>0</v>
      </c>
      <c r="AV41" s="2899"/>
      <c r="AW41" s="2899"/>
      <c r="AX41" s="2899"/>
      <c r="AY41" s="2899"/>
      <c r="AZ41" s="2899"/>
      <c r="BA41" s="1528"/>
      <c r="BB41" s="1528"/>
      <c r="BC41" s="1528"/>
      <c r="BD41" s="1528"/>
      <c r="BE41" s="1534"/>
    </row>
    <row r="42" spans="1:58" ht="15.75" customHeight="1">
      <c r="A42" s="1817"/>
      <c r="B42" s="2916" t="s">
        <v>2066</v>
      </c>
      <c r="C42" s="2917"/>
      <c r="D42" s="2917"/>
      <c r="E42" s="2917"/>
      <c r="F42" s="2917"/>
      <c r="G42" s="2917"/>
      <c r="H42" s="2917"/>
      <c r="I42" s="2918"/>
      <c r="J42" s="2908"/>
      <c r="K42" s="2712"/>
      <c r="L42" s="2712"/>
      <c r="M42" s="2840"/>
      <c r="N42" s="2834"/>
      <c r="O42" s="2712"/>
      <c r="P42" s="2712"/>
      <c r="Q42" s="2912"/>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8">
        <f t="shared" si="4"/>
        <v>0</v>
      </c>
      <c r="AP42" s="2898"/>
      <c r="AQ42" s="2898"/>
      <c r="AR42" s="2898"/>
      <c r="AS42" s="2898"/>
      <c r="AT42" s="2898"/>
      <c r="AU42" s="2899">
        <f t="shared" si="5"/>
        <v>0</v>
      </c>
      <c r="AV42" s="2899"/>
      <c r="AW42" s="2899"/>
      <c r="AX42" s="2899"/>
      <c r="AY42" s="2899"/>
      <c r="AZ42" s="2899"/>
      <c r="BA42" s="1528"/>
      <c r="BB42" s="1528"/>
      <c r="BC42" s="1528"/>
      <c r="BD42" s="1528"/>
      <c r="BE42" s="1534"/>
    </row>
    <row r="43" spans="1:58" ht="15.75" customHeight="1">
      <c r="A43" s="1817"/>
      <c r="B43" s="2913" t="s">
        <v>2067</v>
      </c>
      <c r="C43" s="2914"/>
      <c r="D43" s="2914"/>
      <c r="E43" s="2914"/>
      <c r="F43" s="2914"/>
      <c r="G43" s="2914"/>
      <c r="H43" s="2914"/>
      <c r="I43" s="2915"/>
      <c r="J43" s="2908"/>
      <c r="K43" s="2712"/>
      <c r="L43" s="2712"/>
      <c r="M43" s="2840"/>
      <c r="N43" s="2834"/>
      <c r="O43" s="2712"/>
      <c r="P43" s="2712"/>
      <c r="Q43" s="2912"/>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8">
        <f t="shared" si="4"/>
        <v>0</v>
      </c>
      <c r="AP43" s="2898"/>
      <c r="AQ43" s="2898"/>
      <c r="AR43" s="2898"/>
      <c r="AS43" s="2898"/>
      <c r="AT43" s="2898"/>
      <c r="AU43" s="2899">
        <f t="shared" si="5"/>
        <v>0</v>
      </c>
      <c r="AV43" s="2899"/>
      <c r="AW43" s="2899"/>
      <c r="AX43" s="2899"/>
      <c r="AY43" s="2899"/>
      <c r="AZ43" s="2899"/>
      <c r="BA43" s="1528"/>
      <c r="BB43" s="1528"/>
      <c r="BC43" s="1528"/>
      <c r="BD43" s="1528"/>
      <c r="BE43" s="1534"/>
    </row>
    <row r="44" spans="1:58" ht="15.75" customHeight="1">
      <c r="A44" s="1817"/>
      <c r="B44" s="2913" t="s">
        <v>2068</v>
      </c>
      <c r="C44" s="2914"/>
      <c r="D44" s="2914"/>
      <c r="E44" s="2914"/>
      <c r="F44" s="2914"/>
      <c r="G44" s="2914"/>
      <c r="H44" s="2914"/>
      <c r="I44" s="2915"/>
      <c r="J44" s="2908"/>
      <c r="K44" s="2712"/>
      <c r="L44" s="2712"/>
      <c r="M44" s="2840"/>
      <c r="N44" s="2834"/>
      <c r="O44" s="2712"/>
      <c r="P44" s="2712"/>
      <c r="Q44" s="2912"/>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8">
        <f t="shared" si="4"/>
        <v>0</v>
      </c>
      <c r="AP44" s="2898"/>
      <c r="AQ44" s="2898"/>
      <c r="AR44" s="2898"/>
      <c r="AS44" s="2898"/>
      <c r="AT44" s="2898"/>
      <c r="AU44" s="2899">
        <f t="shared" si="5"/>
        <v>0</v>
      </c>
      <c r="AV44" s="2899"/>
      <c r="AW44" s="2899"/>
      <c r="AX44" s="2899"/>
      <c r="AY44" s="2899"/>
      <c r="AZ44" s="2899"/>
      <c r="BA44" s="1528"/>
      <c r="BB44" s="1528"/>
      <c r="BC44" s="1528"/>
      <c r="BD44" s="1528"/>
      <c r="BE44" s="1534"/>
    </row>
    <row r="45" spans="1:58" ht="15.75" customHeight="1">
      <c r="A45" s="1817"/>
      <c r="B45" s="2905" t="s">
        <v>2069</v>
      </c>
      <c r="C45" s="2906"/>
      <c r="D45" s="2906"/>
      <c r="E45" s="2906"/>
      <c r="F45" s="2906"/>
      <c r="G45" s="2906"/>
      <c r="H45" s="2906"/>
      <c r="I45" s="2907"/>
      <c r="J45" s="2908"/>
      <c r="K45" s="2712"/>
      <c r="L45" s="2712"/>
      <c r="M45" s="2840"/>
      <c r="N45" s="2834"/>
      <c r="O45" s="2712"/>
      <c r="P45" s="2712"/>
      <c r="Q45" s="2912"/>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8">
        <f t="shared" si="4"/>
        <v>0</v>
      </c>
      <c r="AP45" s="2898"/>
      <c r="AQ45" s="2898"/>
      <c r="AR45" s="2898"/>
      <c r="AS45" s="2898"/>
      <c r="AT45" s="2898"/>
      <c r="AU45" s="2899">
        <f t="shared" si="5"/>
        <v>0</v>
      </c>
      <c r="AV45" s="2899"/>
      <c r="AW45" s="2899"/>
      <c r="AX45" s="2899"/>
      <c r="AY45" s="2899"/>
      <c r="AZ45" s="2899"/>
      <c r="BA45" s="1528"/>
      <c r="BB45" s="1528"/>
      <c r="BC45" s="1528"/>
      <c r="BD45" s="1528"/>
      <c r="BE45" s="1534"/>
    </row>
    <row r="46" spans="1:58" ht="15.75" customHeight="1">
      <c r="A46" s="1817"/>
      <c r="B46" s="2905" t="s">
        <v>2070</v>
      </c>
      <c r="C46" s="2906"/>
      <c r="D46" s="2906"/>
      <c r="E46" s="2906"/>
      <c r="F46" s="2906"/>
      <c r="G46" s="2906"/>
      <c r="H46" s="2906"/>
      <c r="I46" s="2907"/>
      <c r="J46" s="2908"/>
      <c r="K46" s="2712"/>
      <c r="L46" s="2712"/>
      <c r="M46" s="2840"/>
      <c r="N46" s="2909">
        <v>99</v>
      </c>
      <c r="O46" s="2910"/>
      <c r="P46" s="2910"/>
      <c r="Q46" s="2911"/>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8">
        <f t="shared" si="4"/>
        <v>0</v>
      </c>
      <c r="AP46" s="2898"/>
      <c r="AQ46" s="2898"/>
      <c r="AR46" s="2898"/>
      <c r="AS46" s="2898"/>
      <c r="AT46" s="2898"/>
      <c r="AU46" s="2899">
        <f t="shared" si="5"/>
        <v>0</v>
      </c>
      <c r="AV46" s="2899"/>
      <c r="AW46" s="2899"/>
      <c r="AX46" s="2899"/>
      <c r="AY46" s="2899"/>
      <c r="AZ46" s="2899"/>
      <c r="BA46" s="1528"/>
      <c r="BB46" s="1528"/>
      <c r="BC46" s="1528"/>
      <c r="BD46" s="1528"/>
      <c r="BE46" s="1534"/>
    </row>
    <row r="47" spans="1:58" ht="15.75" customHeight="1" thickBot="1">
      <c r="A47" s="1817"/>
      <c r="B47" s="2900" t="s">
        <v>308</v>
      </c>
      <c r="C47" s="2901"/>
      <c r="D47" s="2901"/>
      <c r="E47" s="2901"/>
      <c r="F47" s="2901"/>
      <c r="G47" s="2901"/>
      <c r="H47" s="2901"/>
      <c r="I47" s="2902"/>
      <c r="J47" s="2903"/>
      <c r="K47" s="2825"/>
      <c r="L47" s="2825"/>
      <c r="M47" s="2826"/>
      <c r="N47" s="2841"/>
      <c r="O47" s="2825"/>
      <c r="P47" s="2825"/>
      <c r="Q47" s="2904"/>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8">
        <f t="shared" si="4"/>
        <v>0</v>
      </c>
      <c r="AP47" s="2898"/>
      <c r="AQ47" s="2898"/>
      <c r="AR47" s="2898"/>
      <c r="AS47" s="2898"/>
      <c r="AT47" s="2898"/>
      <c r="AU47" s="2899">
        <f t="shared" si="5"/>
        <v>0</v>
      </c>
      <c r="AV47" s="2899"/>
      <c r="AW47" s="2899"/>
      <c r="AX47" s="2899"/>
      <c r="AY47" s="2899"/>
      <c r="AZ47" s="2899"/>
      <c r="BA47" s="1528"/>
      <c r="BB47" s="1528"/>
      <c r="BC47" s="1528"/>
      <c r="BD47" s="1528"/>
      <c r="BE47" s="1534"/>
    </row>
    <row r="48" spans="1:58" ht="15.75" customHeight="1">
      <c r="A48" s="1817"/>
      <c r="B48" s="1536" t="s">
        <v>2071</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2072</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885" t="s">
        <v>2073</v>
      </c>
      <c r="C50" s="2886"/>
      <c r="D50" s="2886"/>
      <c r="E50" s="2886"/>
      <c r="F50" s="2886"/>
      <c r="G50" s="2886"/>
      <c r="H50" s="2886"/>
      <c r="I50" s="2886"/>
      <c r="J50" s="2886"/>
      <c r="K50" s="2886"/>
      <c r="L50" s="2886"/>
      <c r="M50" s="2886"/>
      <c r="N50" s="2886"/>
      <c r="O50" s="2886"/>
      <c r="P50" s="2886"/>
      <c r="Q50" s="2886"/>
      <c r="R50" s="2886"/>
      <c r="S50" s="2886"/>
      <c r="T50" s="2886"/>
      <c r="U50" s="2886"/>
      <c r="V50" s="2886"/>
      <c r="W50" s="2886"/>
      <c r="X50" s="2886"/>
      <c r="Y50" s="2886"/>
      <c r="Z50" s="2886"/>
      <c r="AA50" s="2886"/>
      <c r="AB50" s="2886"/>
      <c r="AC50" s="2886"/>
      <c r="AD50" s="2886"/>
      <c r="AE50" s="2886"/>
      <c r="AF50" s="2886"/>
      <c r="AG50" s="2886"/>
      <c r="AH50" s="2886"/>
      <c r="AI50" s="2886"/>
      <c r="AJ50" s="2886"/>
      <c r="AK50" s="2886"/>
      <c r="AL50" s="2886"/>
      <c r="AM50" s="2886"/>
      <c r="AN50" s="2886"/>
      <c r="AO50" s="2887"/>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888" t="s">
        <v>2074</v>
      </c>
      <c r="C51" s="2889"/>
      <c r="D51" s="2889"/>
      <c r="E51" s="2889"/>
      <c r="F51" s="2889"/>
      <c r="G51" s="2889"/>
      <c r="H51" s="2889"/>
      <c r="I51" s="2890"/>
      <c r="J51" s="2888" t="s">
        <v>2075</v>
      </c>
      <c r="K51" s="2889"/>
      <c r="L51" s="2889"/>
      <c r="M51" s="2889"/>
      <c r="N51" s="2889"/>
      <c r="O51" s="2889"/>
      <c r="P51" s="2889"/>
      <c r="Q51" s="2890"/>
      <c r="R51" s="2891" t="s">
        <v>2076</v>
      </c>
      <c r="S51" s="2892"/>
      <c r="T51" s="2892"/>
      <c r="U51" s="2892"/>
      <c r="V51" s="2892"/>
      <c r="W51" s="2892"/>
      <c r="X51" s="2892"/>
      <c r="Y51" s="2893"/>
      <c r="Z51" s="2894" t="s">
        <v>2077</v>
      </c>
      <c r="AA51" s="2895"/>
      <c r="AB51" s="2895"/>
      <c r="AC51" s="2895"/>
      <c r="AD51" s="2895"/>
      <c r="AE51" s="2895"/>
      <c r="AF51" s="2895"/>
      <c r="AG51" s="2896"/>
      <c r="AH51" s="2894" t="s">
        <v>2078</v>
      </c>
      <c r="AI51" s="2895"/>
      <c r="AJ51" s="2895"/>
      <c r="AK51" s="2895"/>
      <c r="AL51" s="2895"/>
      <c r="AM51" s="2895"/>
      <c r="AN51" s="2895"/>
      <c r="AO51" s="2896"/>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883"/>
      <c r="C52" s="2867"/>
      <c r="D52" s="2867"/>
      <c r="E52" s="2867"/>
      <c r="F52" s="2867"/>
      <c r="G52" s="2867"/>
      <c r="H52" s="2867"/>
      <c r="I52" s="2867"/>
      <c r="J52" s="2867"/>
      <c r="K52" s="2867"/>
      <c r="L52" s="2867"/>
      <c r="M52" s="2867"/>
      <c r="N52" s="2867"/>
      <c r="O52" s="2867"/>
      <c r="P52" s="2867"/>
      <c r="Q52" s="2867"/>
      <c r="R52" s="2884"/>
      <c r="S52" s="2884"/>
      <c r="T52" s="2884"/>
      <c r="U52" s="2884"/>
      <c r="V52" s="2884"/>
      <c r="W52" s="2884"/>
      <c r="X52" s="2884"/>
      <c r="Y52" s="2884"/>
      <c r="Z52" s="2867"/>
      <c r="AA52" s="2867"/>
      <c r="AB52" s="2867"/>
      <c r="AC52" s="2867"/>
      <c r="AD52" s="2867"/>
      <c r="AE52" s="2867"/>
      <c r="AF52" s="2867"/>
      <c r="AG52" s="2867"/>
      <c r="AH52" s="2867"/>
      <c r="AI52" s="2867"/>
      <c r="AJ52" s="2867"/>
      <c r="AK52" s="2867"/>
      <c r="AL52" s="2867"/>
      <c r="AM52" s="2867"/>
      <c r="AN52" s="2867"/>
      <c r="AO52" s="2868"/>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883"/>
      <c r="C53" s="2867"/>
      <c r="D53" s="2867"/>
      <c r="E53" s="2867"/>
      <c r="F53" s="2867"/>
      <c r="G53" s="2867"/>
      <c r="H53" s="2867"/>
      <c r="I53" s="2867"/>
      <c r="J53" s="2867"/>
      <c r="K53" s="2867"/>
      <c r="L53" s="2867"/>
      <c r="M53" s="2867"/>
      <c r="N53" s="2867"/>
      <c r="O53" s="2867"/>
      <c r="P53" s="2867"/>
      <c r="Q53" s="2867"/>
      <c r="R53" s="2884"/>
      <c r="S53" s="2884"/>
      <c r="T53" s="2884"/>
      <c r="U53" s="2884"/>
      <c r="V53" s="2884"/>
      <c r="W53" s="2884"/>
      <c r="X53" s="2884"/>
      <c r="Y53" s="2884"/>
      <c r="Z53" s="2867"/>
      <c r="AA53" s="2867"/>
      <c r="AB53" s="2867"/>
      <c r="AC53" s="2867"/>
      <c r="AD53" s="2867"/>
      <c r="AE53" s="2867"/>
      <c r="AF53" s="2867"/>
      <c r="AG53" s="2867"/>
      <c r="AH53" s="2867"/>
      <c r="AI53" s="2867"/>
      <c r="AJ53" s="2867"/>
      <c r="AK53" s="2867"/>
      <c r="AL53" s="2867"/>
      <c r="AM53" s="2867"/>
      <c r="AN53" s="2867"/>
      <c r="AO53" s="2868"/>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883"/>
      <c r="C54" s="2867"/>
      <c r="D54" s="2867"/>
      <c r="E54" s="2867"/>
      <c r="F54" s="2867"/>
      <c r="G54" s="2867"/>
      <c r="H54" s="2867"/>
      <c r="I54" s="2867"/>
      <c r="J54" s="2867"/>
      <c r="K54" s="2867"/>
      <c r="L54" s="2867"/>
      <c r="M54" s="2867"/>
      <c r="N54" s="2867"/>
      <c r="O54" s="2867"/>
      <c r="P54" s="2867"/>
      <c r="Q54" s="2867"/>
      <c r="R54" s="2884"/>
      <c r="S54" s="2884"/>
      <c r="T54" s="2884"/>
      <c r="U54" s="2884"/>
      <c r="V54" s="2884"/>
      <c r="W54" s="2884"/>
      <c r="X54" s="2884"/>
      <c r="Y54" s="2884"/>
      <c r="Z54" s="2867"/>
      <c r="AA54" s="2867"/>
      <c r="AB54" s="2867"/>
      <c r="AC54" s="2867"/>
      <c r="AD54" s="2867"/>
      <c r="AE54" s="2867"/>
      <c r="AF54" s="2867"/>
      <c r="AG54" s="2867"/>
      <c r="AH54" s="2867"/>
      <c r="AI54" s="2867"/>
      <c r="AJ54" s="2867"/>
      <c r="AK54" s="2867"/>
      <c r="AL54" s="2867"/>
      <c r="AM54" s="2867"/>
      <c r="AN54" s="2867"/>
      <c r="AO54" s="2868"/>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883"/>
      <c r="C55" s="2867"/>
      <c r="D55" s="2867"/>
      <c r="E55" s="2867"/>
      <c r="F55" s="2867"/>
      <c r="G55" s="2867"/>
      <c r="H55" s="2867"/>
      <c r="I55" s="2867"/>
      <c r="J55" s="2867"/>
      <c r="K55" s="2867"/>
      <c r="L55" s="2867"/>
      <c r="M55" s="2867"/>
      <c r="N55" s="2867"/>
      <c r="O55" s="2867"/>
      <c r="P55" s="2867"/>
      <c r="Q55" s="2867"/>
      <c r="R55" s="2884"/>
      <c r="S55" s="2884"/>
      <c r="T55" s="2884"/>
      <c r="U55" s="2884"/>
      <c r="V55" s="2884"/>
      <c r="W55" s="2884"/>
      <c r="X55" s="2884"/>
      <c r="Y55" s="2884"/>
      <c r="Z55" s="2867"/>
      <c r="AA55" s="2867"/>
      <c r="AB55" s="2867"/>
      <c r="AC55" s="2867"/>
      <c r="AD55" s="2867"/>
      <c r="AE55" s="2867"/>
      <c r="AF55" s="2867"/>
      <c r="AG55" s="2867"/>
      <c r="AH55" s="2867"/>
      <c r="AI55" s="2867"/>
      <c r="AJ55" s="2867"/>
      <c r="AK55" s="2867"/>
      <c r="AL55" s="2867"/>
      <c r="AM55" s="2867"/>
      <c r="AN55" s="2867"/>
      <c r="AO55" s="2868"/>
      <c r="AP55" s="1530"/>
      <c r="AQ55" s="1530"/>
      <c r="AR55" s="1530"/>
      <c r="AS55" s="1530"/>
      <c r="AT55" s="1530" t="s">
        <v>256</v>
      </c>
      <c r="AU55" s="1530"/>
      <c r="AV55" s="1530"/>
      <c r="AW55" s="1530"/>
      <c r="AX55" s="1528"/>
      <c r="AY55" s="1528"/>
      <c r="AZ55" s="1528"/>
      <c r="BA55" s="1528"/>
      <c r="BB55" s="1528"/>
      <c r="BC55" s="1528"/>
      <c r="BD55" s="1528"/>
      <c r="BE55" s="1534"/>
    </row>
    <row r="56" spans="1:58" ht="15.75" customHeight="1" thickBot="1">
      <c r="A56" s="1817"/>
      <c r="B56" s="2878"/>
      <c r="C56" s="2873"/>
      <c r="D56" s="2873"/>
      <c r="E56" s="2873"/>
      <c r="F56" s="2873"/>
      <c r="G56" s="2873"/>
      <c r="H56" s="2873"/>
      <c r="I56" s="2873"/>
      <c r="J56" s="2873"/>
      <c r="K56" s="2873"/>
      <c r="L56" s="2873"/>
      <c r="M56" s="2873"/>
      <c r="N56" s="2873"/>
      <c r="O56" s="2873"/>
      <c r="P56" s="2873"/>
      <c r="Q56" s="2873"/>
      <c r="R56" s="2879"/>
      <c r="S56" s="2879"/>
      <c r="T56" s="2879"/>
      <c r="U56" s="2879"/>
      <c r="V56" s="2879"/>
      <c r="W56" s="2879"/>
      <c r="X56" s="2879"/>
      <c r="Y56" s="2879"/>
      <c r="Z56" s="2873"/>
      <c r="AA56" s="2873"/>
      <c r="AB56" s="2873"/>
      <c r="AC56" s="2873"/>
      <c r="AD56" s="2873"/>
      <c r="AE56" s="2873"/>
      <c r="AF56" s="2873"/>
      <c r="AG56" s="2873"/>
      <c r="AH56" s="2873"/>
      <c r="AI56" s="2873"/>
      <c r="AJ56" s="2873"/>
      <c r="AK56" s="2873"/>
      <c r="AL56" s="2873"/>
      <c r="AM56" s="2873"/>
      <c r="AN56" s="2873"/>
      <c r="AO56" s="2874"/>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880" t="s">
        <v>1880</v>
      </c>
      <c r="C57" s="2881"/>
      <c r="D57" s="2881"/>
      <c r="E57" s="2881"/>
      <c r="F57" s="2881"/>
      <c r="G57" s="2881"/>
      <c r="H57" s="2881"/>
      <c r="I57" s="2881"/>
      <c r="J57" s="2881"/>
      <c r="K57" s="2881"/>
      <c r="L57" s="2881"/>
      <c r="M57" s="2881"/>
      <c r="N57" s="2881"/>
      <c r="O57" s="2881"/>
      <c r="P57" s="2881"/>
      <c r="Q57" s="2881"/>
      <c r="R57" s="2882">
        <f>SUM(R52:Y56)</f>
        <v>0</v>
      </c>
      <c r="S57" s="2882"/>
      <c r="T57" s="2882"/>
      <c r="U57" s="2882"/>
      <c r="V57" s="2882"/>
      <c r="W57" s="2882"/>
      <c r="X57" s="2882"/>
      <c r="Y57" s="2882"/>
      <c r="Z57" s="2882">
        <f t="shared" ref="Z57" si="6">SUM(Z52:AG56)</f>
        <v>0</v>
      </c>
      <c r="AA57" s="2882"/>
      <c r="AB57" s="2882"/>
      <c r="AC57" s="2882"/>
      <c r="AD57" s="2882"/>
      <c r="AE57" s="2882"/>
      <c r="AF57" s="2882"/>
      <c r="AG57" s="2882"/>
      <c r="AH57" s="2882">
        <f t="shared" ref="AH57" si="7">SUM(AH52:AO56)</f>
        <v>0</v>
      </c>
      <c r="AI57" s="2882"/>
      <c r="AJ57" s="2882"/>
      <c r="AK57" s="2882"/>
      <c r="AL57" s="2882"/>
      <c r="AM57" s="2882"/>
      <c r="AN57" s="2882"/>
      <c r="AO57" s="2882"/>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875" t="s">
        <v>2074</v>
      </c>
      <c r="C59" s="2876"/>
      <c r="D59" s="2876"/>
      <c r="E59" s="2876"/>
      <c r="F59" s="2876"/>
      <c r="G59" s="2876"/>
      <c r="H59" s="2876"/>
      <c r="I59" s="2877"/>
      <c r="J59" s="2720" t="s">
        <v>2079</v>
      </c>
      <c r="K59" s="2720"/>
      <c r="L59" s="2720"/>
      <c r="M59" s="2720"/>
      <c r="N59" s="2720"/>
      <c r="O59" s="2720"/>
      <c r="P59" s="2720"/>
      <c r="Q59" s="2720"/>
      <c r="R59" s="2720"/>
      <c r="S59" s="2720"/>
      <c r="T59" s="2720"/>
      <c r="U59" s="2720"/>
      <c r="V59" s="2720"/>
      <c r="W59" s="2720"/>
      <c r="X59" s="2720"/>
      <c r="Y59" s="2720"/>
      <c r="Z59" s="2720"/>
      <c r="AA59" s="2720"/>
      <c r="AB59" s="2720"/>
      <c r="AC59" s="2720"/>
      <c r="AD59" s="2720"/>
      <c r="AE59" s="2720"/>
      <c r="AF59" s="2720"/>
      <c r="AG59" s="2720"/>
      <c r="AH59" s="2720"/>
      <c r="AI59" s="2720"/>
      <c r="AJ59" s="2720"/>
      <c r="AK59" s="2720"/>
      <c r="AL59" s="2720"/>
      <c r="AM59" s="2720"/>
      <c r="AN59" s="2720"/>
      <c r="AO59" s="2720"/>
      <c r="AP59" s="2720"/>
      <c r="AQ59" s="2720"/>
      <c r="AR59" s="2720"/>
      <c r="AS59" s="2720"/>
      <c r="AT59" s="2720"/>
      <c r="AU59" s="2720"/>
      <c r="AV59" s="2720"/>
      <c r="AW59" s="2721"/>
      <c r="AX59" s="1528"/>
      <c r="AY59" s="1528"/>
      <c r="AZ59" s="1528"/>
      <c r="BA59" s="1528"/>
      <c r="BB59" s="1528"/>
      <c r="BC59" s="1528"/>
      <c r="BD59" s="1528"/>
      <c r="BE59" s="1534"/>
    </row>
    <row r="60" spans="1:58" ht="15.75" customHeight="1">
      <c r="A60" s="1817"/>
      <c r="B60" s="2863" t="str">
        <f>IF(B52="", "", B52)</f>
        <v/>
      </c>
      <c r="C60" s="2864"/>
      <c r="D60" s="2864"/>
      <c r="E60" s="2864"/>
      <c r="F60" s="2864"/>
      <c r="G60" s="2864"/>
      <c r="H60" s="2864"/>
      <c r="I60" s="2865"/>
      <c r="J60" s="2866"/>
      <c r="K60" s="2867"/>
      <c r="L60" s="2867"/>
      <c r="M60" s="286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c r="AS60" s="2867"/>
      <c r="AT60" s="2867"/>
      <c r="AU60" s="2867"/>
      <c r="AV60" s="2867"/>
      <c r="AW60" s="2868"/>
      <c r="AX60" s="1528"/>
      <c r="AY60" s="1528"/>
      <c r="AZ60" s="1528"/>
      <c r="BA60" s="1528"/>
      <c r="BB60" s="1528"/>
      <c r="BC60" s="1528"/>
      <c r="BD60" s="1528"/>
      <c r="BE60" s="1534"/>
    </row>
    <row r="61" spans="1:58" ht="15.75" customHeight="1">
      <c r="A61" s="1817"/>
      <c r="B61" s="2863" t="str">
        <f t="shared" ref="B61:B64" si="8">IF(B53="", "", B53)</f>
        <v/>
      </c>
      <c r="C61" s="2864"/>
      <c r="D61" s="2864"/>
      <c r="E61" s="2864"/>
      <c r="F61" s="2864"/>
      <c r="G61" s="2864"/>
      <c r="H61" s="2864"/>
      <c r="I61" s="2865"/>
      <c r="J61" s="2866"/>
      <c r="K61" s="2867"/>
      <c r="L61" s="2867"/>
      <c r="M61" s="286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c r="AS61" s="2867"/>
      <c r="AT61" s="2867"/>
      <c r="AU61" s="2867"/>
      <c r="AV61" s="2867"/>
      <c r="AW61" s="2868"/>
      <c r="AX61" s="1528"/>
      <c r="AY61" s="1528"/>
      <c r="AZ61" s="1528"/>
      <c r="BA61" s="1528"/>
      <c r="BB61" s="1528"/>
      <c r="BC61" s="1528"/>
      <c r="BD61" s="1528"/>
      <c r="BE61" s="1534"/>
    </row>
    <row r="62" spans="1:58" ht="15.75" customHeight="1">
      <c r="A62" s="1817"/>
      <c r="B62" s="2863" t="str">
        <f t="shared" si="8"/>
        <v/>
      </c>
      <c r="C62" s="2864"/>
      <c r="D62" s="2864"/>
      <c r="E62" s="2864"/>
      <c r="F62" s="2864"/>
      <c r="G62" s="2864"/>
      <c r="H62" s="2864"/>
      <c r="I62" s="2865"/>
      <c r="J62" s="2866"/>
      <c r="K62" s="2867"/>
      <c r="L62" s="2867"/>
      <c r="M62" s="286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c r="AS62" s="2867"/>
      <c r="AT62" s="2867"/>
      <c r="AU62" s="2867"/>
      <c r="AV62" s="2867"/>
      <c r="AW62" s="2868"/>
      <c r="AX62" s="1528"/>
      <c r="AY62" s="1528"/>
      <c r="AZ62" s="1528"/>
      <c r="BA62" s="1528"/>
      <c r="BB62" s="1528"/>
      <c r="BC62" s="1528"/>
      <c r="BD62" s="1528"/>
      <c r="BE62" s="1534"/>
    </row>
    <row r="63" spans="1:58" ht="15.75" customHeight="1">
      <c r="A63" s="1817"/>
      <c r="B63" s="2863" t="str">
        <f t="shared" si="8"/>
        <v/>
      </c>
      <c r="C63" s="2864"/>
      <c r="D63" s="2864"/>
      <c r="E63" s="2864"/>
      <c r="F63" s="2864"/>
      <c r="G63" s="2864"/>
      <c r="H63" s="2864"/>
      <c r="I63" s="2865"/>
      <c r="J63" s="2866"/>
      <c r="K63" s="2867"/>
      <c r="L63" s="2867"/>
      <c r="M63" s="286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c r="AS63" s="2867"/>
      <c r="AT63" s="2867"/>
      <c r="AU63" s="2867"/>
      <c r="AV63" s="2867"/>
      <c r="AW63" s="2868"/>
      <c r="AX63" s="1528"/>
      <c r="AY63" s="1528"/>
      <c r="AZ63" s="1528"/>
      <c r="BA63" s="1528"/>
      <c r="BB63" s="1528"/>
      <c r="BC63" s="1528"/>
      <c r="BD63" s="1528"/>
      <c r="BE63" s="1534"/>
    </row>
    <row r="64" spans="1:58" ht="15.75" customHeight="1" thickBot="1">
      <c r="A64" s="1817"/>
      <c r="B64" s="2869" t="str">
        <f t="shared" si="8"/>
        <v/>
      </c>
      <c r="C64" s="2870"/>
      <c r="D64" s="2870"/>
      <c r="E64" s="2870"/>
      <c r="F64" s="2870"/>
      <c r="G64" s="2870"/>
      <c r="H64" s="2870"/>
      <c r="I64" s="2871"/>
      <c r="J64" s="2872"/>
      <c r="K64" s="2873"/>
      <c r="L64" s="2873"/>
      <c r="M64" s="2873"/>
      <c r="N64" s="2873"/>
      <c r="O64" s="2873"/>
      <c r="P64" s="2873"/>
      <c r="Q64" s="2873"/>
      <c r="R64" s="2873"/>
      <c r="S64" s="2873"/>
      <c r="T64" s="2873"/>
      <c r="U64" s="2873"/>
      <c r="V64" s="2873"/>
      <c r="W64" s="2873"/>
      <c r="X64" s="2873"/>
      <c r="Y64" s="2873"/>
      <c r="Z64" s="2873"/>
      <c r="AA64" s="2873"/>
      <c r="AB64" s="2873"/>
      <c r="AC64" s="2873"/>
      <c r="AD64" s="2873"/>
      <c r="AE64" s="2873"/>
      <c r="AF64" s="2873"/>
      <c r="AG64" s="2873"/>
      <c r="AH64" s="2873"/>
      <c r="AI64" s="2873"/>
      <c r="AJ64" s="2873"/>
      <c r="AK64" s="2873"/>
      <c r="AL64" s="2873"/>
      <c r="AM64" s="2873"/>
      <c r="AN64" s="2873"/>
      <c r="AO64" s="2873"/>
      <c r="AP64" s="2873"/>
      <c r="AQ64" s="2873"/>
      <c r="AR64" s="2873"/>
      <c r="AS64" s="2873"/>
      <c r="AT64" s="2873"/>
      <c r="AU64" s="2873"/>
      <c r="AV64" s="2873"/>
      <c r="AW64" s="2874"/>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2080</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793" t="s">
        <v>2081</v>
      </c>
      <c r="C68" s="2794"/>
      <c r="D68" s="2794"/>
      <c r="E68" s="2794"/>
      <c r="F68" s="2794"/>
      <c r="G68" s="2794"/>
      <c r="H68" s="2794"/>
      <c r="I68" s="2794"/>
      <c r="J68" s="2794"/>
      <c r="K68" s="2794"/>
      <c r="L68" s="2794"/>
      <c r="M68" s="2794"/>
      <c r="N68" s="2794"/>
      <c r="O68" s="2794"/>
      <c r="P68" s="2794"/>
      <c r="Q68" s="2794"/>
      <c r="R68" s="2794"/>
      <c r="S68" s="2794"/>
      <c r="T68" s="2794"/>
      <c r="U68" s="2794"/>
      <c r="V68" s="2794"/>
      <c r="W68" s="2794"/>
      <c r="X68" s="2794"/>
      <c r="Y68" s="2794"/>
      <c r="Z68" s="2794"/>
      <c r="AA68" s="2855"/>
      <c r="AB68" s="1528"/>
      <c r="AC68" s="2856" t="s">
        <v>2082</v>
      </c>
      <c r="AD68" s="2857"/>
      <c r="AE68" s="2857"/>
      <c r="AF68" s="2857"/>
      <c r="AG68" s="2857"/>
      <c r="AH68" s="2857"/>
      <c r="AI68" s="2857"/>
      <c r="AJ68" s="2857"/>
      <c r="AK68" s="2857"/>
      <c r="AL68" s="2857"/>
      <c r="AM68" s="2857"/>
      <c r="AN68" s="2857"/>
      <c r="AO68" s="2857"/>
      <c r="AP68" s="2857"/>
      <c r="AQ68" s="2857"/>
      <c r="AR68" s="2857"/>
      <c r="AS68" s="2857"/>
      <c r="AT68" s="2857"/>
      <c r="AU68" s="2857"/>
      <c r="AV68" s="2858" t="s">
        <v>2038</v>
      </c>
      <c r="AW68" s="2858"/>
      <c r="AX68" s="2858"/>
      <c r="AY68" s="2858"/>
      <c r="AZ68" s="2858"/>
      <c r="BA68" s="2858"/>
      <c r="BB68" s="2858"/>
      <c r="BC68" s="2859"/>
      <c r="BD68" s="1528"/>
      <c r="BE68" s="1534"/>
    </row>
    <row r="69" spans="1:57" ht="15.75" customHeight="1" thickBot="1">
      <c r="A69" s="1817"/>
      <c r="B69" s="2860" t="s">
        <v>2083</v>
      </c>
      <c r="C69" s="2861"/>
      <c r="D69" s="2861"/>
      <c r="E69" s="2861"/>
      <c r="F69" s="2861"/>
      <c r="G69" s="2861"/>
      <c r="H69" s="2861"/>
      <c r="I69" s="2861"/>
      <c r="J69" s="2861"/>
      <c r="K69" s="2861"/>
      <c r="L69" s="2861"/>
      <c r="M69" s="2861"/>
      <c r="N69" s="2861"/>
      <c r="O69" s="2799" t="s">
        <v>2084</v>
      </c>
      <c r="P69" s="2698"/>
      <c r="Q69" s="2698"/>
      <c r="R69" s="2698"/>
      <c r="S69" s="2698"/>
      <c r="T69" s="2698"/>
      <c r="U69" s="2698"/>
      <c r="V69" s="2698"/>
      <c r="W69" s="2698"/>
      <c r="X69" s="2698"/>
      <c r="Y69" s="2698"/>
      <c r="Z69" s="2698"/>
      <c r="AA69" s="2699"/>
      <c r="AB69" s="1528"/>
      <c r="AC69" s="2641" t="s">
        <v>2085</v>
      </c>
      <c r="AD69" s="2642"/>
      <c r="AE69" s="2642"/>
      <c r="AF69" s="2642"/>
      <c r="AG69" s="2642"/>
      <c r="AH69" s="2642"/>
      <c r="AI69" s="2642"/>
      <c r="AJ69" s="2642"/>
      <c r="AK69" s="2642"/>
      <c r="AL69" s="2642"/>
      <c r="AM69" s="2642"/>
      <c r="AN69" s="2642"/>
      <c r="AO69" s="2642"/>
      <c r="AP69" s="2642"/>
      <c r="AQ69" s="2642"/>
      <c r="AR69" s="2642"/>
      <c r="AS69" s="2642"/>
      <c r="AT69" s="2642"/>
      <c r="AU69" s="2642"/>
      <c r="AV69" s="2747">
        <v>44197</v>
      </c>
      <c r="AW69" s="2746"/>
      <c r="AX69" s="2746"/>
      <c r="AY69" s="2746"/>
      <c r="AZ69" s="2746"/>
      <c r="BA69" s="2746"/>
      <c r="BB69" s="2746"/>
      <c r="BC69" s="2862"/>
      <c r="BD69" s="1528"/>
      <c r="BE69" s="1534"/>
    </row>
    <row r="70" spans="1:57" ht="15.75" customHeight="1">
      <c r="A70" s="1817"/>
      <c r="B70" s="2849"/>
      <c r="C70" s="2850"/>
      <c r="D70" s="2850"/>
      <c r="E70" s="2850"/>
      <c r="F70" s="2850"/>
      <c r="G70" s="2850"/>
      <c r="H70" s="2850"/>
      <c r="I70" s="2850"/>
      <c r="J70" s="2850"/>
      <c r="K70" s="2850"/>
      <c r="L70" s="2850"/>
      <c r="M70" s="2850"/>
      <c r="N70" s="2850"/>
      <c r="O70" s="2835"/>
      <c r="P70" s="2835"/>
      <c r="Q70" s="2835"/>
      <c r="R70" s="2835"/>
      <c r="S70" s="2835"/>
      <c r="T70" s="2835"/>
      <c r="U70" s="2835"/>
      <c r="V70" s="2835"/>
      <c r="W70" s="2835"/>
      <c r="X70" s="2835"/>
      <c r="Y70" s="2835"/>
      <c r="Z70" s="2835"/>
      <c r="AA70" s="2836"/>
      <c r="AB70" s="1528"/>
      <c r="AC70" s="2851" t="s">
        <v>2086</v>
      </c>
      <c r="AD70" s="2852"/>
      <c r="AE70" s="2852"/>
      <c r="AF70" s="2820"/>
      <c r="AG70" s="2820"/>
      <c r="AH70" s="2820"/>
      <c r="AI70" s="2820"/>
      <c r="AJ70" s="2820"/>
      <c r="AK70" s="2820"/>
      <c r="AL70" s="2820"/>
      <c r="AM70" s="2820"/>
      <c r="AN70" s="2820"/>
      <c r="AO70" s="2820"/>
      <c r="AP70" s="2820"/>
      <c r="AQ70" s="2820"/>
      <c r="AR70" s="2820"/>
      <c r="AS70" s="2820"/>
      <c r="AT70" s="2820"/>
      <c r="AU70" s="2821"/>
      <c r="AV70" s="1528"/>
      <c r="AW70" s="1528"/>
      <c r="AX70" s="1528"/>
      <c r="AY70" s="1528"/>
      <c r="AZ70" s="1528"/>
      <c r="BA70" s="1528"/>
      <c r="BB70" s="1528"/>
      <c r="BC70" s="1528"/>
      <c r="BD70" s="1528"/>
      <c r="BE70" s="1534"/>
    </row>
    <row r="71" spans="1:57" ht="15.75" customHeight="1" thickBot="1">
      <c r="A71" s="1817"/>
      <c r="B71" s="2834"/>
      <c r="C71" s="2712"/>
      <c r="D71" s="2712"/>
      <c r="E71" s="2712"/>
      <c r="F71" s="2712"/>
      <c r="G71" s="2712"/>
      <c r="H71" s="2712"/>
      <c r="I71" s="2712"/>
      <c r="J71" s="2712"/>
      <c r="K71" s="2712"/>
      <c r="L71" s="2712"/>
      <c r="M71" s="2712"/>
      <c r="N71" s="2712"/>
      <c r="O71" s="2835"/>
      <c r="P71" s="2835"/>
      <c r="Q71" s="2835"/>
      <c r="R71" s="2835"/>
      <c r="S71" s="2835"/>
      <c r="T71" s="2835"/>
      <c r="U71" s="2835"/>
      <c r="V71" s="2835"/>
      <c r="W71" s="2835"/>
      <c r="X71" s="2835"/>
      <c r="Y71" s="2835"/>
      <c r="Z71" s="2835"/>
      <c r="AA71" s="2836"/>
      <c r="AB71" s="1528"/>
      <c r="AC71" s="2853" t="s">
        <v>2087</v>
      </c>
      <c r="AD71" s="2854"/>
      <c r="AE71" s="2854"/>
      <c r="AF71" s="2825"/>
      <c r="AG71" s="2825"/>
      <c r="AH71" s="2825"/>
      <c r="AI71" s="2825"/>
      <c r="AJ71" s="2825"/>
      <c r="AK71" s="2825"/>
      <c r="AL71" s="2825"/>
      <c r="AM71" s="2825"/>
      <c r="AN71" s="2825"/>
      <c r="AO71" s="2825"/>
      <c r="AP71" s="2825"/>
      <c r="AQ71" s="2825"/>
      <c r="AR71" s="2825"/>
      <c r="AS71" s="2825"/>
      <c r="AT71" s="2825"/>
      <c r="AU71" s="2826"/>
      <c r="AV71" s="1528"/>
      <c r="AW71" s="1528"/>
      <c r="AX71" s="1528"/>
      <c r="AY71" s="1528"/>
      <c r="AZ71" s="1528"/>
      <c r="BA71" s="1528"/>
      <c r="BB71" s="1528"/>
      <c r="BC71" s="1528"/>
      <c r="BD71" s="1528"/>
      <c r="BE71" s="1534"/>
    </row>
    <row r="72" spans="1:57" ht="15.75" customHeight="1">
      <c r="A72" s="1817"/>
      <c r="B72" s="2834"/>
      <c r="C72" s="2712"/>
      <c r="D72" s="2712"/>
      <c r="E72" s="2712"/>
      <c r="F72" s="2712"/>
      <c r="G72" s="2712"/>
      <c r="H72" s="2712"/>
      <c r="I72" s="2712"/>
      <c r="J72" s="2712"/>
      <c r="K72" s="2712"/>
      <c r="L72" s="2712"/>
      <c r="M72" s="2712"/>
      <c r="N72" s="2712"/>
      <c r="O72" s="2835"/>
      <c r="P72" s="2835"/>
      <c r="Q72" s="2835"/>
      <c r="R72" s="2835"/>
      <c r="S72" s="2835"/>
      <c r="T72" s="2835"/>
      <c r="U72" s="2835"/>
      <c r="V72" s="2835"/>
      <c r="W72" s="2835"/>
      <c r="X72" s="2835"/>
      <c r="Y72" s="2835"/>
      <c r="Z72" s="2835"/>
      <c r="AA72" s="2836"/>
      <c r="AB72" s="1528"/>
      <c r="AC72" s="2837" t="s">
        <v>2088</v>
      </c>
      <c r="AD72" s="2838"/>
      <c r="AE72" s="2838"/>
      <c r="AF72" s="2838"/>
      <c r="AG72" s="2838"/>
      <c r="AH72" s="2838"/>
      <c r="AI72" s="2838"/>
      <c r="AJ72" s="2838"/>
      <c r="AK72" s="2838"/>
      <c r="AL72" s="2838"/>
      <c r="AM72" s="2838"/>
      <c r="AN72" s="2838"/>
      <c r="AO72" s="2838"/>
      <c r="AP72" s="2838"/>
      <c r="AQ72" s="2838"/>
      <c r="AR72" s="2838"/>
      <c r="AS72" s="2838"/>
      <c r="AT72" s="2838"/>
      <c r="AU72" s="2838"/>
      <c r="AV72" s="2838"/>
      <c r="AW72" s="2838"/>
      <c r="AX72" s="2838"/>
      <c r="AY72" s="2838"/>
      <c r="AZ72" s="2838"/>
      <c r="BA72" s="2838"/>
      <c r="BB72" s="2838"/>
      <c r="BC72" s="2839"/>
      <c r="BD72" s="1528"/>
      <c r="BE72" s="1534"/>
    </row>
    <row r="73" spans="1:57" ht="15.75" customHeight="1">
      <c r="A73" s="1817"/>
      <c r="B73" s="2834"/>
      <c r="C73" s="2712"/>
      <c r="D73" s="2712"/>
      <c r="E73" s="2712"/>
      <c r="F73" s="2712"/>
      <c r="G73" s="2712"/>
      <c r="H73" s="2712"/>
      <c r="I73" s="2712"/>
      <c r="J73" s="2712"/>
      <c r="K73" s="2712"/>
      <c r="L73" s="2712"/>
      <c r="M73" s="2712"/>
      <c r="N73" s="2712"/>
      <c r="O73" s="2835"/>
      <c r="P73" s="2835"/>
      <c r="Q73" s="2835"/>
      <c r="R73" s="2835"/>
      <c r="S73" s="2835"/>
      <c r="T73" s="2835"/>
      <c r="U73" s="2835"/>
      <c r="V73" s="2835"/>
      <c r="W73" s="2835"/>
      <c r="X73" s="2835"/>
      <c r="Y73" s="2835"/>
      <c r="Z73" s="2835"/>
      <c r="AA73" s="2836"/>
      <c r="AB73" s="1528"/>
      <c r="AC73" s="2834"/>
      <c r="AD73" s="2712"/>
      <c r="AE73" s="2712"/>
      <c r="AF73" s="2712"/>
      <c r="AG73" s="2712"/>
      <c r="AH73" s="2712"/>
      <c r="AI73" s="2712"/>
      <c r="AJ73" s="2712"/>
      <c r="AK73" s="2712"/>
      <c r="AL73" s="2712"/>
      <c r="AM73" s="2712"/>
      <c r="AN73" s="2712"/>
      <c r="AO73" s="2712"/>
      <c r="AP73" s="2712"/>
      <c r="AQ73" s="2712"/>
      <c r="AR73" s="2712"/>
      <c r="AS73" s="2712"/>
      <c r="AT73" s="2712"/>
      <c r="AU73" s="2712"/>
      <c r="AV73" s="2712"/>
      <c r="AW73" s="2712"/>
      <c r="AX73" s="2712"/>
      <c r="AY73" s="2712"/>
      <c r="AZ73" s="2712"/>
      <c r="BA73" s="2712"/>
      <c r="BB73" s="2712"/>
      <c r="BC73" s="2840"/>
      <c r="BD73" s="1528"/>
      <c r="BE73" s="1534"/>
    </row>
    <row r="74" spans="1:57" ht="15.75" customHeight="1" thickBot="1">
      <c r="A74" s="1817"/>
      <c r="B74" s="2834"/>
      <c r="C74" s="2712"/>
      <c r="D74" s="2712"/>
      <c r="E74" s="2712"/>
      <c r="F74" s="2712"/>
      <c r="G74" s="2712"/>
      <c r="H74" s="2712"/>
      <c r="I74" s="2712"/>
      <c r="J74" s="2712"/>
      <c r="K74" s="2712"/>
      <c r="L74" s="2712"/>
      <c r="M74" s="2712"/>
      <c r="N74" s="2712"/>
      <c r="O74" s="2842"/>
      <c r="P74" s="2842"/>
      <c r="Q74" s="2842"/>
      <c r="R74" s="2842"/>
      <c r="S74" s="2842"/>
      <c r="T74" s="2842"/>
      <c r="U74" s="2842"/>
      <c r="V74" s="2842"/>
      <c r="W74" s="2842"/>
      <c r="X74" s="2842"/>
      <c r="Y74" s="2842"/>
      <c r="Z74" s="2842"/>
      <c r="AA74" s="2843"/>
      <c r="AB74" s="1528"/>
      <c r="AC74" s="2834"/>
      <c r="AD74" s="2712"/>
      <c r="AE74" s="2712"/>
      <c r="AF74" s="2712"/>
      <c r="AG74" s="2712"/>
      <c r="AH74" s="2712"/>
      <c r="AI74" s="2712"/>
      <c r="AJ74" s="2712"/>
      <c r="AK74" s="2712"/>
      <c r="AL74" s="2712"/>
      <c r="AM74" s="2712"/>
      <c r="AN74" s="2712"/>
      <c r="AO74" s="2712"/>
      <c r="AP74" s="2712"/>
      <c r="AQ74" s="2712"/>
      <c r="AR74" s="2712"/>
      <c r="AS74" s="2712"/>
      <c r="AT74" s="2712"/>
      <c r="AU74" s="2712"/>
      <c r="AV74" s="2712"/>
      <c r="AW74" s="2712"/>
      <c r="AX74" s="2712"/>
      <c r="AY74" s="2712"/>
      <c r="AZ74" s="2712"/>
      <c r="BA74" s="2712"/>
      <c r="BB74" s="2712"/>
      <c r="BC74" s="2840"/>
      <c r="BD74" s="1528"/>
      <c r="BE74" s="1534"/>
    </row>
    <row r="75" spans="1:57" ht="15.75" customHeight="1" thickTop="1" thickBot="1">
      <c r="A75" s="1817"/>
      <c r="B75" s="2844" t="s">
        <v>129</v>
      </c>
      <c r="C75" s="2845"/>
      <c r="D75" s="2845"/>
      <c r="E75" s="2845"/>
      <c r="F75" s="2845"/>
      <c r="G75" s="2845"/>
      <c r="H75" s="2845"/>
      <c r="I75" s="2845"/>
      <c r="J75" s="2845"/>
      <c r="K75" s="2845"/>
      <c r="L75" s="2845"/>
      <c r="M75" s="2845"/>
      <c r="N75" s="2845"/>
      <c r="O75" s="2846">
        <f>SUM(O70:AA74)</f>
        <v>0</v>
      </c>
      <c r="P75" s="2847"/>
      <c r="Q75" s="2847"/>
      <c r="R75" s="2847"/>
      <c r="S75" s="2847"/>
      <c r="T75" s="2847"/>
      <c r="U75" s="2847"/>
      <c r="V75" s="2847"/>
      <c r="W75" s="2847"/>
      <c r="X75" s="2847"/>
      <c r="Y75" s="2847"/>
      <c r="Z75" s="2847"/>
      <c r="AA75" s="2848"/>
      <c r="AB75" s="1528"/>
      <c r="AC75" s="2834"/>
      <c r="AD75" s="2712"/>
      <c r="AE75" s="2712"/>
      <c r="AF75" s="2712"/>
      <c r="AG75" s="2712"/>
      <c r="AH75" s="2712"/>
      <c r="AI75" s="2712"/>
      <c r="AJ75" s="2712"/>
      <c r="AK75" s="2712"/>
      <c r="AL75" s="2712"/>
      <c r="AM75" s="2712"/>
      <c r="AN75" s="2712"/>
      <c r="AO75" s="2712"/>
      <c r="AP75" s="2712"/>
      <c r="AQ75" s="2712"/>
      <c r="AR75" s="2712"/>
      <c r="AS75" s="2712"/>
      <c r="AT75" s="2712"/>
      <c r="AU75" s="2712"/>
      <c r="AV75" s="2712"/>
      <c r="AW75" s="2712"/>
      <c r="AX75" s="2712"/>
      <c r="AY75" s="2712"/>
      <c r="AZ75" s="2712"/>
      <c r="BA75" s="2712"/>
      <c r="BB75" s="2712"/>
      <c r="BC75" s="2840"/>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834"/>
      <c r="AD76" s="2712"/>
      <c r="AE76" s="2712"/>
      <c r="AF76" s="2712"/>
      <c r="AG76" s="2712"/>
      <c r="AH76" s="2712"/>
      <c r="AI76" s="2712"/>
      <c r="AJ76" s="2712"/>
      <c r="AK76" s="2712"/>
      <c r="AL76" s="2712"/>
      <c r="AM76" s="2712"/>
      <c r="AN76" s="2712"/>
      <c r="AO76" s="2712"/>
      <c r="AP76" s="2712"/>
      <c r="AQ76" s="2712"/>
      <c r="AR76" s="2712"/>
      <c r="AS76" s="2712"/>
      <c r="AT76" s="2712"/>
      <c r="AU76" s="2712"/>
      <c r="AV76" s="2712"/>
      <c r="AW76" s="2712"/>
      <c r="AX76" s="2712"/>
      <c r="AY76" s="2712"/>
      <c r="AZ76" s="2712"/>
      <c r="BA76" s="2712"/>
      <c r="BB76" s="2712"/>
      <c r="BC76" s="2840"/>
      <c r="BD76" s="1528"/>
      <c r="BE76" s="1534"/>
    </row>
    <row r="77" spans="1:57" ht="15.75" customHeight="1" thickBot="1">
      <c r="A77" s="1817"/>
      <c r="B77" s="1539" t="s">
        <v>2089</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841"/>
      <c r="AD77" s="2825"/>
      <c r="AE77" s="2825"/>
      <c r="AF77" s="2825"/>
      <c r="AG77" s="2825"/>
      <c r="AH77" s="2825"/>
      <c r="AI77" s="2825"/>
      <c r="AJ77" s="2825"/>
      <c r="AK77" s="2825"/>
      <c r="AL77" s="2825"/>
      <c r="AM77" s="2825"/>
      <c r="AN77" s="2825"/>
      <c r="AO77" s="2825"/>
      <c r="AP77" s="2825"/>
      <c r="AQ77" s="2825"/>
      <c r="AR77" s="2825"/>
      <c r="AS77" s="2825"/>
      <c r="AT77" s="2825"/>
      <c r="AU77" s="2825"/>
      <c r="AV77" s="2825"/>
      <c r="AW77" s="2825"/>
      <c r="AX77" s="2825"/>
      <c r="AY77" s="2825"/>
      <c r="AZ77" s="2825"/>
      <c r="BA77" s="2825"/>
      <c r="BB77" s="2825"/>
      <c r="BC77" s="2826"/>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724" t="s">
        <v>2090</v>
      </c>
      <c r="C79" s="2725"/>
      <c r="D79" s="2725"/>
      <c r="E79" s="2725"/>
      <c r="F79" s="2725"/>
      <c r="G79" s="2725"/>
      <c r="H79" s="2725"/>
      <c r="I79" s="2725"/>
      <c r="J79" s="2725"/>
      <c r="K79" s="2725"/>
      <c r="L79" s="2725"/>
      <c r="M79" s="2725"/>
      <c r="N79" s="2725"/>
      <c r="O79" s="2725"/>
      <c r="P79" s="2725"/>
      <c r="Q79" s="2725"/>
      <c r="R79" s="2725"/>
      <c r="S79" s="2725"/>
      <c r="T79" s="2725"/>
      <c r="U79" s="2725"/>
      <c r="V79" s="2725"/>
      <c r="W79" s="2725"/>
      <c r="X79" s="2725"/>
      <c r="Y79" s="2725"/>
      <c r="Z79" s="2725"/>
      <c r="AA79" s="2725"/>
      <c r="AB79" s="2832"/>
      <c r="AC79" s="2832"/>
      <c r="AD79" s="2832"/>
      <c r="AE79" s="2832"/>
      <c r="AF79" s="2832"/>
      <c r="AG79" s="2833"/>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724"/>
      <c r="C80" s="2725"/>
      <c r="D80" s="2725"/>
      <c r="E80" s="2725"/>
      <c r="F80" s="2725"/>
      <c r="G80" s="2725"/>
      <c r="H80" s="2726"/>
      <c r="I80" s="2814" t="s">
        <v>2091</v>
      </c>
      <c r="J80" s="2815"/>
      <c r="K80" s="2815"/>
      <c r="L80" s="2815"/>
      <c r="M80" s="2815"/>
      <c r="N80" s="2816"/>
      <c r="O80" s="2814" t="s">
        <v>2092</v>
      </c>
      <c r="P80" s="2815"/>
      <c r="Q80" s="2815"/>
      <c r="R80" s="2815"/>
      <c r="S80" s="2815"/>
      <c r="T80" s="2815"/>
      <c r="U80" s="2816"/>
      <c r="V80" s="2814" t="s">
        <v>2093</v>
      </c>
      <c r="W80" s="2815"/>
      <c r="X80" s="2815"/>
      <c r="Y80" s="2815"/>
      <c r="Z80" s="2815"/>
      <c r="AA80" s="2816"/>
      <c r="AB80" s="2814" t="s">
        <v>2094</v>
      </c>
      <c r="AC80" s="2815"/>
      <c r="AD80" s="2815"/>
      <c r="AE80" s="2815"/>
      <c r="AF80" s="2815"/>
      <c r="AG80" s="2816"/>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814" t="s">
        <v>2095</v>
      </c>
      <c r="C81" s="2815"/>
      <c r="D81" s="2815"/>
      <c r="E81" s="2815"/>
      <c r="F81" s="2815"/>
      <c r="G81" s="2815"/>
      <c r="H81" s="2816"/>
      <c r="I81" s="2817"/>
      <c r="J81" s="2818"/>
      <c r="K81" s="2818"/>
      <c r="L81" s="2818"/>
      <c r="M81" s="2818"/>
      <c r="N81" s="2818"/>
      <c r="O81" s="2818"/>
      <c r="P81" s="2818"/>
      <c r="Q81" s="2818"/>
      <c r="R81" s="2818"/>
      <c r="S81" s="2818"/>
      <c r="T81" s="2818"/>
      <c r="U81" s="2818"/>
      <c r="V81" s="2818"/>
      <c r="W81" s="2818"/>
      <c r="X81" s="2818"/>
      <c r="Y81" s="2818"/>
      <c r="Z81" s="2818"/>
      <c r="AA81" s="2819"/>
      <c r="AB81" s="2818"/>
      <c r="AC81" s="2818"/>
      <c r="AD81" s="2818"/>
      <c r="AE81" s="2818"/>
      <c r="AF81" s="2818"/>
      <c r="AG81" s="2819"/>
      <c r="AH81" s="1528"/>
      <c r="AI81" s="1528"/>
      <c r="AJ81" s="1528"/>
      <c r="AK81" s="1528" t="s">
        <v>256</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814" t="s">
        <v>2096</v>
      </c>
      <c r="C82" s="2815"/>
      <c r="D82" s="2815"/>
      <c r="E82" s="2815"/>
      <c r="F82" s="2815"/>
      <c r="G82" s="2815"/>
      <c r="H82" s="2816"/>
      <c r="I82" s="2822"/>
      <c r="J82" s="2823"/>
      <c r="K82" s="2823"/>
      <c r="L82" s="2823"/>
      <c r="M82" s="2823"/>
      <c r="N82" s="2823"/>
      <c r="O82" s="2823"/>
      <c r="P82" s="2823"/>
      <c r="Q82" s="2823"/>
      <c r="R82" s="2823"/>
      <c r="S82" s="2823"/>
      <c r="T82" s="2823"/>
      <c r="U82" s="2823"/>
      <c r="V82" s="2823"/>
      <c r="W82" s="2823"/>
      <c r="X82" s="2823"/>
      <c r="Y82" s="2823"/>
      <c r="Z82" s="2823"/>
      <c r="AA82" s="2824"/>
      <c r="AB82" s="2823"/>
      <c r="AC82" s="2823"/>
      <c r="AD82" s="2823"/>
      <c r="AE82" s="2823"/>
      <c r="AF82" s="2823"/>
      <c r="AG82" s="2824"/>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2097</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730" t="s">
        <v>2098</v>
      </c>
      <c r="C86" s="2731"/>
      <c r="D86" s="2731"/>
      <c r="E86" s="2731"/>
      <c r="F86" s="2731"/>
      <c r="G86" s="2731"/>
      <c r="H86" s="2731"/>
      <c r="I86" s="2731"/>
      <c r="J86" s="2731"/>
      <c r="K86" s="2731"/>
      <c r="L86" s="2731"/>
      <c r="M86" s="2731"/>
      <c r="N86" s="2731"/>
      <c r="O86" s="2731"/>
      <c r="P86" s="2731"/>
      <c r="Q86" s="2731"/>
      <c r="R86" s="2731"/>
      <c r="S86" s="2731"/>
      <c r="T86" s="2731"/>
      <c r="U86" s="2731"/>
      <c r="V86" s="2731"/>
      <c r="W86" s="2731"/>
      <c r="X86" s="2731"/>
      <c r="Y86" s="2731"/>
      <c r="Z86" s="2731"/>
      <c r="AA86" s="2731"/>
      <c r="AB86" s="2731"/>
      <c r="AC86" s="2731"/>
      <c r="AD86" s="2731"/>
      <c r="AE86" s="2731"/>
      <c r="AF86" s="2731"/>
      <c r="AG86" s="2731"/>
      <c r="AH86" s="2732"/>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724"/>
      <c r="C87" s="2725"/>
      <c r="D87" s="2725"/>
      <c r="E87" s="2725"/>
      <c r="F87" s="2725"/>
      <c r="G87" s="2725"/>
      <c r="H87" s="2726"/>
      <c r="I87" s="2814" t="s">
        <v>2091</v>
      </c>
      <c r="J87" s="2815"/>
      <c r="K87" s="2815"/>
      <c r="L87" s="2815"/>
      <c r="M87" s="2815"/>
      <c r="N87" s="2816"/>
      <c r="O87" s="2814" t="s">
        <v>2092</v>
      </c>
      <c r="P87" s="2815"/>
      <c r="Q87" s="2815"/>
      <c r="R87" s="2815"/>
      <c r="S87" s="2815"/>
      <c r="T87" s="2815"/>
      <c r="U87" s="2816"/>
      <c r="V87" s="2814" t="s">
        <v>2093</v>
      </c>
      <c r="W87" s="2815"/>
      <c r="X87" s="2815"/>
      <c r="Y87" s="2815"/>
      <c r="Z87" s="2815"/>
      <c r="AA87" s="2816"/>
      <c r="AB87" s="2827" t="s">
        <v>2094</v>
      </c>
      <c r="AC87" s="2828"/>
      <c r="AD87" s="2828"/>
      <c r="AE87" s="2828"/>
      <c r="AF87" s="2828"/>
      <c r="AG87" s="2828"/>
      <c r="AH87" s="2829"/>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814" t="s">
        <v>2095</v>
      </c>
      <c r="C88" s="2815"/>
      <c r="D88" s="2815"/>
      <c r="E88" s="2815"/>
      <c r="F88" s="2815"/>
      <c r="G88" s="2815"/>
      <c r="H88" s="2816"/>
      <c r="I88" s="2817"/>
      <c r="J88" s="2818"/>
      <c r="K88" s="2818"/>
      <c r="L88" s="2818"/>
      <c r="M88" s="2818"/>
      <c r="N88" s="2818"/>
      <c r="O88" s="2818"/>
      <c r="P88" s="2818"/>
      <c r="Q88" s="2818"/>
      <c r="R88" s="2818"/>
      <c r="S88" s="2818"/>
      <c r="T88" s="2818"/>
      <c r="U88" s="2818"/>
      <c r="V88" s="2818"/>
      <c r="W88" s="2818"/>
      <c r="X88" s="2818"/>
      <c r="Y88" s="2818"/>
      <c r="Z88" s="2818"/>
      <c r="AA88" s="2830"/>
      <c r="AB88" s="2820"/>
      <c r="AC88" s="2820"/>
      <c r="AD88" s="2820"/>
      <c r="AE88" s="2820"/>
      <c r="AF88" s="2820"/>
      <c r="AG88" s="2820"/>
      <c r="AH88" s="2821"/>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814" t="s">
        <v>2096</v>
      </c>
      <c r="C89" s="2815"/>
      <c r="D89" s="2815"/>
      <c r="E89" s="2815"/>
      <c r="F89" s="2815"/>
      <c r="G89" s="2815"/>
      <c r="H89" s="2816"/>
      <c r="I89" s="2822"/>
      <c r="J89" s="2823"/>
      <c r="K89" s="2823"/>
      <c r="L89" s="2823"/>
      <c r="M89" s="2823"/>
      <c r="N89" s="2823"/>
      <c r="O89" s="2823"/>
      <c r="P89" s="2823"/>
      <c r="Q89" s="2823"/>
      <c r="R89" s="2823"/>
      <c r="S89" s="2823"/>
      <c r="T89" s="2823"/>
      <c r="U89" s="2823"/>
      <c r="V89" s="2823"/>
      <c r="W89" s="2823"/>
      <c r="X89" s="2823"/>
      <c r="Y89" s="2823"/>
      <c r="Z89" s="2823"/>
      <c r="AA89" s="2831"/>
      <c r="AB89" s="2825"/>
      <c r="AC89" s="2825"/>
      <c r="AD89" s="2825"/>
      <c r="AE89" s="2825"/>
      <c r="AF89" s="2825"/>
      <c r="AG89" s="2825"/>
      <c r="AH89" s="2826"/>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2099</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724" t="s">
        <v>2100</v>
      </c>
      <c r="C93" s="2725"/>
      <c r="D93" s="2725"/>
      <c r="E93" s="2725"/>
      <c r="F93" s="2725"/>
      <c r="G93" s="2725"/>
      <c r="H93" s="2725"/>
      <c r="I93" s="2725"/>
      <c r="J93" s="2725"/>
      <c r="K93" s="2725"/>
      <c r="L93" s="2725"/>
      <c r="M93" s="2725"/>
      <c r="N93" s="2725"/>
      <c r="O93" s="2725"/>
      <c r="P93" s="2725"/>
      <c r="Q93" s="2725"/>
      <c r="R93" s="2725"/>
      <c r="S93" s="2725"/>
      <c r="T93" s="2725"/>
      <c r="U93" s="2725"/>
      <c r="V93" s="2725"/>
      <c r="W93" s="2725"/>
      <c r="X93" s="2725"/>
      <c r="Y93" s="2725"/>
      <c r="Z93" s="2725"/>
      <c r="AA93" s="2725"/>
      <c r="AB93" s="2725"/>
      <c r="AC93" s="2725"/>
      <c r="AD93" s="2725"/>
      <c r="AE93" s="2725"/>
      <c r="AF93" s="2725"/>
      <c r="AG93" s="2725"/>
      <c r="AH93" s="2726"/>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724"/>
      <c r="C94" s="2725"/>
      <c r="D94" s="2725"/>
      <c r="E94" s="2725"/>
      <c r="F94" s="2725"/>
      <c r="G94" s="2725"/>
      <c r="H94" s="2726"/>
      <c r="I94" s="2814" t="s">
        <v>2091</v>
      </c>
      <c r="J94" s="2815"/>
      <c r="K94" s="2815"/>
      <c r="L94" s="2815"/>
      <c r="M94" s="2815"/>
      <c r="N94" s="2816"/>
      <c r="O94" s="2814" t="s">
        <v>2092</v>
      </c>
      <c r="P94" s="2815"/>
      <c r="Q94" s="2815"/>
      <c r="R94" s="2815"/>
      <c r="S94" s="2815"/>
      <c r="T94" s="2815"/>
      <c r="U94" s="2816"/>
      <c r="V94" s="2814" t="s">
        <v>2093</v>
      </c>
      <c r="W94" s="2815"/>
      <c r="X94" s="2815"/>
      <c r="Y94" s="2815"/>
      <c r="Z94" s="2815"/>
      <c r="AA94" s="2816"/>
      <c r="AB94" s="2827" t="s">
        <v>2094</v>
      </c>
      <c r="AC94" s="2828"/>
      <c r="AD94" s="2828"/>
      <c r="AE94" s="2828"/>
      <c r="AF94" s="2828"/>
      <c r="AG94" s="2828"/>
      <c r="AH94" s="2829"/>
      <c r="AI94" s="1528"/>
      <c r="AJ94" s="1528"/>
      <c r="AK94" s="1528"/>
      <c r="AL94" s="1528" t="s">
        <v>256</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814" t="s">
        <v>2095</v>
      </c>
      <c r="C95" s="2815"/>
      <c r="D95" s="2815"/>
      <c r="E95" s="2815"/>
      <c r="F95" s="2815"/>
      <c r="G95" s="2815"/>
      <c r="H95" s="2816"/>
      <c r="I95" s="2817"/>
      <c r="J95" s="2818"/>
      <c r="K95" s="2818"/>
      <c r="L95" s="2818"/>
      <c r="M95" s="2818"/>
      <c r="N95" s="2818"/>
      <c r="O95" s="2818"/>
      <c r="P95" s="2818"/>
      <c r="Q95" s="2818"/>
      <c r="R95" s="2818"/>
      <c r="S95" s="2818"/>
      <c r="T95" s="2818"/>
      <c r="U95" s="2818"/>
      <c r="V95" s="2818"/>
      <c r="W95" s="2818"/>
      <c r="X95" s="2818"/>
      <c r="Y95" s="2818"/>
      <c r="Z95" s="2818"/>
      <c r="AA95" s="2819"/>
      <c r="AB95" s="2820"/>
      <c r="AC95" s="2820"/>
      <c r="AD95" s="2820"/>
      <c r="AE95" s="2820"/>
      <c r="AF95" s="2820"/>
      <c r="AG95" s="2820"/>
      <c r="AH95" s="2821"/>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814" t="s">
        <v>2096</v>
      </c>
      <c r="C96" s="2815"/>
      <c r="D96" s="2815"/>
      <c r="E96" s="2815"/>
      <c r="F96" s="2815"/>
      <c r="G96" s="2815"/>
      <c r="H96" s="2816"/>
      <c r="I96" s="2822"/>
      <c r="J96" s="2823"/>
      <c r="K96" s="2823"/>
      <c r="L96" s="2823"/>
      <c r="M96" s="2823"/>
      <c r="N96" s="2823"/>
      <c r="O96" s="2823"/>
      <c r="P96" s="2823"/>
      <c r="Q96" s="2823"/>
      <c r="R96" s="2823"/>
      <c r="S96" s="2823"/>
      <c r="T96" s="2823"/>
      <c r="U96" s="2823"/>
      <c r="V96" s="2823"/>
      <c r="W96" s="2823"/>
      <c r="X96" s="2823"/>
      <c r="Y96" s="2823"/>
      <c r="Z96" s="2823"/>
      <c r="AA96" s="2824"/>
      <c r="AB96" s="2825"/>
      <c r="AC96" s="2825"/>
      <c r="AD96" s="2825"/>
      <c r="AE96" s="2825"/>
      <c r="AF96" s="2825"/>
      <c r="AG96" s="2825"/>
      <c r="AH96" s="2826"/>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2101</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793" t="s">
        <v>2102</v>
      </c>
      <c r="C100" s="2794"/>
      <c r="D100" s="2794"/>
      <c r="E100" s="2794"/>
      <c r="F100" s="2794"/>
      <c r="G100" s="2794"/>
      <c r="H100" s="2794"/>
      <c r="I100" s="2794"/>
      <c r="J100" s="2794"/>
      <c r="K100" s="2794"/>
      <c r="L100" s="2794"/>
      <c r="M100" s="2794"/>
      <c r="N100" s="2794"/>
      <c r="O100" s="2794"/>
      <c r="P100" s="2794"/>
      <c r="Q100" s="2794"/>
      <c r="R100" s="2794"/>
      <c r="S100" s="2794"/>
      <c r="T100" s="2794"/>
      <c r="U100" s="2795"/>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796"/>
      <c r="C101" s="2797"/>
      <c r="D101" s="2797"/>
      <c r="E101" s="2797"/>
      <c r="F101" s="2797"/>
      <c r="G101" s="2797"/>
      <c r="H101" s="2798"/>
      <c r="I101" s="2799" t="s">
        <v>2092</v>
      </c>
      <c r="J101" s="2698"/>
      <c r="K101" s="2698"/>
      <c r="L101" s="2698"/>
      <c r="M101" s="2698"/>
      <c r="N101" s="2698"/>
      <c r="O101" s="2800"/>
      <c r="P101" s="2799" t="s">
        <v>2103</v>
      </c>
      <c r="Q101" s="2698"/>
      <c r="R101" s="2698"/>
      <c r="S101" s="2698"/>
      <c r="T101" s="2698"/>
      <c r="U101" s="2800"/>
      <c r="V101" s="1528"/>
      <c r="W101" s="1528"/>
      <c r="X101" s="1528"/>
      <c r="Y101" s="1528"/>
      <c r="Z101" s="1528"/>
      <c r="AA101" s="1528"/>
      <c r="AB101" s="1528" t="s">
        <v>256</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801" t="s">
        <v>2095</v>
      </c>
      <c r="C102" s="2802"/>
      <c r="D102" s="2802"/>
      <c r="E102" s="2802"/>
      <c r="F102" s="2802"/>
      <c r="G102" s="2802"/>
      <c r="H102" s="2802"/>
      <c r="I102" s="2770"/>
      <c r="J102" s="2771"/>
      <c r="K102" s="2771"/>
      <c r="L102" s="2771"/>
      <c r="M102" s="2771"/>
      <c r="N102" s="2771"/>
      <c r="O102" s="2772"/>
      <c r="P102" s="2770"/>
      <c r="Q102" s="2771"/>
      <c r="R102" s="2771"/>
      <c r="S102" s="2771"/>
      <c r="T102" s="2771"/>
      <c r="U102" s="2772"/>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641" t="s">
        <v>2096</v>
      </c>
      <c r="C103" s="2642"/>
      <c r="D103" s="2642"/>
      <c r="E103" s="2642"/>
      <c r="F103" s="2642"/>
      <c r="G103" s="2642"/>
      <c r="H103" s="2642"/>
      <c r="I103" s="2770"/>
      <c r="J103" s="2771"/>
      <c r="K103" s="2771"/>
      <c r="L103" s="2771"/>
      <c r="M103" s="2771"/>
      <c r="N103" s="2771"/>
      <c r="O103" s="2772"/>
      <c r="P103" s="2770"/>
      <c r="Q103" s="2771"/>
      <c r="R103" s="2771"/>
      <c r="S103" s="2771"/>
      <c r="T103" s="2771"/>
      <c r="U103" s="2772"/>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803" t="s">
        <v>2104</v>
      </c>
      <c r="C105" s="2804"/>
      <c r="D105" s="2804"/>
      <c r="E105" s="2804"/>
      <c r="F105" s="2804"/>
      <c r="G105" s="2804"/>
      <c r="H105" s="2804"/>
      <c r="I105" s="2804"/>
      <c r="J105" s="2804"/>
      <c r="K105" s="2804"/>
      <c r="L105" s="2804"/>
      <c r="M105" s="2804"/>
      <c r="N105" s="2804"/>
      <c r="O105" s="2804"/>
      <c r="P105" s="2804"/>
      <c r="Q105" s="2804"/>
      <c r="R105" s="2805"/>
      <c r="S105" s="2805"/>
      <c r="T105" s="2805"/>
      <c r="U105" s="2805"/>
      <c r="V105" s="2805"/>
      <c r="W105" s="2805"/>
      <c r="X105" s="2805"/>
      <c r="Y105" s="2805"/>
      <c r="Z105" s="2805"/>
      <c r="AA105" s="2805"/>
      <c r="AB105" s="2805"/>
      <c r="AC105" s="2805"/>
      <c r="AD105" s="2805"/>
      <c r="AE105" s="2805"/>
      <c r="AF105" s="2805"/>
      <c r="AG105" s="2806" t="s">
        <v>2038</v>
      </c>
      <c r="AH105" s="2806"/>
      <c r="AI105" s="2806"/>
      <c r="AJ105" s="2807"/>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808" t="s">
        <v>2105</v>
      </c>
      <c r="C106" s="2809"/>
      <c r="D106" s="2809"/>
      <c r="E106" s="2809"/>
      <c r="F106" s="2809"/>
      <c r="G106" s="2809"/>
      <c r="H106" s="2809"/>
      <c r="I106" s="2809"/>
      <c r="J106" s="2809"/>
      <c r="K106" s="2809"/>
      <c r="L106" s="2809"/>
      <c r="M106" s="2809"/>
      <c r="N106" s="2809"/>
      <c r="O106" s="2809"/>
      <c r="P106" s="2809"/>
      <c r="Q106" s="2810"/>
      <c r="R106" s="2811" t="s">
        <v>2106</v>
      </c>
      <c r="S106" s="2812"/>
      <c r="T106" s="2812"/>
      <c r="U106" s="2812"/>
      <c r="V106" s="2812"/>
      <c r="W106" s="2812"/>
      <c r="X106" s="2812"/>
      <c r="Y106" s="2812"/>
      <c r="Z106" s="2812"/>
      <c r="AA106" s="2812"/>
      <c r="AB106" s="2812"/>
      <c r="AC106" s="2812"/>
      <c r="AD106" s="2812"/>
      <c r="AE106" s="2812"/>
      <c r="AF106" s="2812"/>
      <c r="AG106" s="2812"/>
      <c r="AH106" s="2812"/>
      <c r="AI106" s="2812"/>
      <c r="AJ106" s="2812"/>
      <c r="AK106" s="2812"/>
      <c r="AL106" s="2812"/>
      <c r="AM106" s="2812"/>
      <c r="AN106" s="2812"/>
      <c r="AO106" s="2812"/>
      <c r="AP106" s="2812"/>
      <c r="AQ106" s="2812"/>
      <c r="AR106" s="2812"/>
      <c r="AS106" s="2812"/>
      <c r="AT106" s="2812"/>
      <c r="AU106" s="2812"/>
      <c r="AV106" s="2812"/>
      <c r="AW106" s="2812"/>
      <c r="AX106" s="2813"/>
      <c r="AY106" s="1528"/>
      <c r="AZ106" s="1528"/>
      <c r="BA106" s="1528"/>
      <c r="BB106" s="1528"/>
      <c r="BC106" s="1528"/>
      <c r="BD106" s="1528"/>
      <c r="BE106" s="1534"/>
    </row>
    <row r="107" spans="1:57" ht="15.75" customHeight="1">
      <c r="A107" s="1817"/>
      <c r="B107" s="2784" t="s">
        <v>2107</v>
      </c>
      <c r="C107" s="2785"/>
      <c r="D107" s="2785"/>
      <c r="E107" s="2785"/>
      <c r="F107" s="2785"/>
      <c r="G107" s="2785"/>
      <c r="H107" s="2785"/>
      <c r="I107" s="2785"/>
      <c r="J107" s="2785"/>
      <c r="K107" s="2785"/>
      <c r="L107" s="2785"/>
      <c r="M107" s="2785"/>
      <c r="N107" s="2785"/>
      <c r="O107" s="2785"/>
      <c r="P107" s="2785"/>
      <c r="Q107" s="2785"/>
      <c r="R107" s="2785"/>
      <c r="S107" s="2785"/>
      <c r="T107" s="2785"/>
      <c r="U107" s="2785"/>
      <c r="V107" s="2785"/>
      <c r="W107" s="2785"/>
      <c r="X107" s="2785"/>
      <c r="Y107" s="2785"/>
      <c r="Z107" s="2785"/>
      <c r="AA107" s="2785"/>
      <c r="AB107" s="2785"/>
      <c r="AC107" s="2785"/>
      <c r="AD107" s="2785"/>
      <c r="AE107" s="2785"/>
      <c r="AF107" s="2785"/>
      <c r="AG107" s="2785"/>
      <c r="AH107" s="2785"/>
      <c r="AI107" s="2785"/>
      <c r="AJ107" s="2785"/>
      <c r="AK107" s="2785"/>
      <c r="AL107" s="2785"/>
      <c r="AM107" s="2785"/>
      <c r="AN107" s="2785"/>
      <c r="AO107" s="2785"/>
      <c r="AP107" s="2785"/>
      <c r="AQ107" s="2785"/>
      <c r="AR107" s="2785"/>
      <c r="AS107" s="2785"/>
      <c r="AT107" s="2785"/>
      <c r="AU107" s="2785"/>
      <c r="AV107" s="2785"/>
      <c r="AW107" s="2785"/>
      <c r="AX107" s="2786"/>
      <c r="AY107" s="1528"/>
      <c r="AZ107" s="1528"/>
      <c r="BA107" s="1528"/>
      <c r="BB107" s="1528"/>
      <c r="BC107" s="1528"/>
      <c r="BD107" s="1528"/>
      <c r="BE107" s="1534"/>
    </row>
    <row r="108" spans="1:57" ht="15.75" customHeight="1">
      <c r="A108" s="1817"/>
      <c r="B108" s="2787"/>
      <c r="C108" s="2788"/>
      <c r="D108" s="2788"/>
      <c r="E108" s="2788"/>
      <c r="F108" s="2788"/>
      <c r="G108" s="2788"/>
      <c r="H108" s="2788"/>
      <c r="I108" s="2788"/>
      <c r="J108" s="2788"/>
      <c r="K108" s="2788"/>
      <c r="L108" s="2788"/>
      <c r="M108" s="2788"/>
      <c r="N108" s="2788"/>
      <c r="O108" s="2788"/>
      <c r="P108" s="2788"/>
      <c r="Q108" s="2788"/>
      <c r="R108" s="2788"/>
      <c r="S108" s="2788"/>
      <c r="T108" s="2788"/>
      <c r="U108" s="2788"/>
      <c r="V108" s="2788"/>
      <c r="W108" s="2788"/>
      <c r="X108" s="2788"/>
      <c r="Y108" s="2788"/>
      <c r="Z108" s="2788"/>
      <c r="AA108" s="2788"/>
      <c r="AB108" s="2788"/>
      <c r="AC108" s="2788"/>
      <c r="AD108" s="2788"/>
      <c r="AE108" s="2788"/>
      <c r="AF108" s="2788"/>
      <c r="AG108" s="2788"/>
      <c r="AH108" s="2788"/>
      <c r="AI108" s="2788"/>
      <c r="AJ108" s="2788"/>
      <c r="AK108" s="2788"/>
      <c r="AL108" s="2788"/>
      <c r="AM108" s="2788"/>
      <c r="AN108" s="2788"/>
      <c r="AO108" s="2788"/>
      <c r="AP108" s="2788"/>
      <c r="AQ108" s="2788"/>
      <c r="AR108" s="2788"/>
      <c r="AS108" s="2788"/>
      <c r="AT108" s="2788"/>
      <c r="AU108" s="2788"/>
      <c r="AV108" s="2788"/>
      <c r="AW108" s="2788"/>
      <c r="AX108" s="2789"/>
      <c r="AY108" s="1528"/>
      <c r="AZ108" s="1528"/>
      <c r="BA108" s="1528"/>
      <c r="BB108" s="1528"/>
      <c r="BC108" s="1528"/>
      <c r="BD108" s="1528"/>
      <c r="BE108" s="1534"/>
    </row>
    <row r="109" spans="1:57" ht="15.75" customHeight="1">
      <c r="A109" s="1817"/>
      <c r="B109" s="2787"/>
      <c r="C109" s="2788"/>
      <c r="D109" s="2788"/>
      <c r="E109" s="2788"/>
      <c r="F109" s="2788"/>
      <c r="G109" s="2788"/>
      <c r="H109" s="2788"/>
      <c r="I109" s="2788"/>
      <c r="J109" s="2788"/>
      <c r="K109" s="2788"/>
      <c r="L109" s="2788"/>
      <c r="M109" s="2788"/>
      <c r="N109" s="2788"/>
      <c r="O109" s="2788"/>
      <c r="P109" s="2788"/>
      <c r="Q109" s="2788"/>
      <c r="R109" s="2788"/>
      <c r="S109" s="2788"/>
      <c r="T109" s="2788"/>
      <c r="U109" s="2788"/>
      <c r="V109" s="2788"/>
      <c r="W109" s="2788"/>
      <c r="X109" s="2788"/>
      <c r="Y109" s="2788"/>
      <c r="Z109" s="2788"/>
      <c r="AA109" s="2788"/>
      <c r="AB109" s="2788"/>
      <c r="AC109" s="2788"/>
      <c r="AD109" s="2788"/>
      <c r="AE109" s="2788"/>
      <c r="AF109" s="2788"/>
      <c r="AG109" s="2788"/>
      <c r="AH109" s="2788"/>
      <c r="AI109" s="2788"/>
      <c r="AJ109" s="2788"/>
      <c r="AK109" s="2788"/>
      <c r="AL109" s="2788"/>
      <c r="AM109" s="2788"/>
      <c r="AN109" s="2788"/>
      <c r="AO109" s="2788"/>
      <c r="AP109" s="2788"/>
      <c r="AQ109" s="2788"/>
      <c r="AR109" s="2788"/>
      <c r="AS109" s="2788"/>
      <c r="AT109" s="2788"/>
      <c r="AU109" s="2788"/>
      <c r="AV109" s="2788"/>
      <c r="AW109" s="2788"/>
      <c r="AX109" s="2789"/>
      <c r="AY109" s="1528"/>
      <c r="AZ109" s="1528"/>
      <c r="BA109" s="1528"/>
      <c r="BB109" s="1528"/>
      <c r="BC109" s="1528"/>
      <c r="BD109" s="1528"/>
      <c r="BE109" s="1534"/>
    </row>
    <row r="110" spans="1:57" ht="15.75" customHeight="1">
      <c r="A110" s="1817"/>
      <c r="B110" s="2787"/>
      <c r="C110" s="2788"/>
      <c r="D110" s="2788"/>
      <c r="E110" s="2788"/>
      <c r="F110" s="2788"/>
      <c r="G110" s="2788"/>
      <c r="H110" s="2788"/>
      <c r="I110" s="2788"/>
      <c r="J110" s="2788"/>
      <c r="K110" s="2788"/>
      <c r="L110" s="2788"/>
      <c r="M110" s="2788"/>
      <c r="N110" s="2788"/>
      <c r="O110" s="2788"/>
      <c r="P110" s="2788"/>
      <c r="Q110" s="2788"/>
      <c r="R110" s="2788"/>
      <c r="S110" s="2788"/>
      <c r="T110" s="2788"/>
      <c r="U110" s="2788"/>
      <c r="V110" s="2788"/>
      <c r="W110" s="2788"/>
      <c r="X110" s="2788"/>
      <c r="Y110" s="2788"/>
      <c r="Z110" s="2788"/>
      <c r="AA110" s="2788"/>
      <c r="AB110" s="2788"/>
      <c r="AC110" s="2788"/>
      <c r="AD110" s="2788"/>
      <c r="AE110" s="2788"/>
      <c r="AF110" s="2788"/>
      <c r="AG110" s="2788"/>
      <c r="AH110" s="2788"/>
      <c r="AI110" s="2788"/>
      <c r="AJ110" s="2788"/>
      <c r="AK110" s="2788"/>
      <c r="AL110" s="2788"/>
      <c r="AM110" s="2788"/>
      <c r="AN110" s="2788"/>
      <c r="AO110" s="2788"/>
      <c r="AP110" s="2788"/>
      <c r="AQ110" s="2788"/>
      <c r="AR110" s="2788"/>
      <c r="AS110" s="2788"/>
      <c r="AT110" s="2788"/>
      <c r="AU110" s="2788"/>
      <c r="AV110" s="2788"/>
      <c r="AW110" s="2788"/>
      <c r="AX110" s="2789"/>
      <c r="AY110" s="1528"/>
      <c r="AZ110" s="1528"/>
      <c r="BA110" s="1528"/>
      <c r="BB110" s="1528"/>
      <c r="BC110" s="1528"/>
      <c r="BD110" s="1528"/>
      <c r="BE110" s="1534"/>
    </row>
    <row r="111" spans="1:57" ht="15.75" customHeight="1">
      <c r="A111" s="1817"/>
      <c r="B111" s="2787"/>
      <c r="C111" s="2788"/>
      <c r="D111" s="2788"/>
      <c r="E111" s="2788"/>
      <c r="F111" s="2788"/>
      <c r="G111" s="2788"/>
      <c r="H111" s="2788"/>
      <c r="I111" s="2788"/>
      <c r="J111" s="2788"/>
      <c r="K111" s="2788"/>
      <c r="L111" s="2788"/>
      <c r="M111" s="2788"/>
      <c r="N111" s="2788"/>
      <c r="O111" s="2788"/>
      <c r="P111" s="2788"/>
      <c r="Q111" s="2788"/>
      <c r="R111" s="2788"/>
      <c r="S111" s="2788"/>
      <c r="T111" s="2788"/>
      <c r="U111" s="2788"/>
      <c r="V111" s="2788"/>
      <c r="W111" s="2788"/>
      <c r="X111" s="2788"/>
      <c r="Y111" s="2788"/>
      <c r="Z111" s="2788"/>
      <c r="AA111" s="2788"/>
      <c r="AB111" s="2788"/>
      <c r="AC111" s="2788"/>
      <c r="AD111" s="2788"/>
      <c r="AE111" s="2788"/>
      <c r="AF111" s="2788"/>
      <c r="AG111" s="2788"/>
      <c r="AH111" s="2788"/>
      <c r="AI111" s="2788"/>
      <c r="AJ111" s="2788"/>
      <c r="AK111" s="2788"/>
      <c r="AL111" s="2788"/>
      <c r="AM111" s="2788"/>
      <c r="AN111" s="2788"/>
      <c r="AO111" s="2788"/>
      <c r="AP111" s="2788"/>
      <c r="AQ111" s="2788"/>
      <c r="AR111" s="2788"/>
      <c r="AS111" s="2788"/>
      <c r="AT111" s="2788"/>
      <c r="AU111" s="2788"/>
      <c r="AV111" s="2788"/>
      <c r="AW111" s="2788"/>
      <c r="AX111" s="2789"/>
      <c r="AY111" s="1528"/>
      <c r="AZ111" s="1528"/>
      <c r="BA111" s="1528"/>
      <c r="BB111" s="1528"/>
      <c r="BC111" s="1528"/>
      <c r="BD111" s="1528"/>
      <c r="BE111" s="1534"/>
    </row>
    <row r="112" spans="1:57" ht="15.75" customHeight="1">
      <c r="A112" s="1817"/>
      <c r="B112" s="2787"/>
      <c r="C112" s="2788"/>
      <c r="D112" s="2788"/>
      <c r="E112" s="2788"/>
      <c r="F112" s="2788"/>
      <c r="G112" s="2788"/>
      <c r="H112" s="2788"/>
      <c r="I112" s="2788"/>
      <c r="J112" s="2788"/>
      <c r="K112" s="2788"/>
      <c r="L112" s="2788"/>
      <c r="M112" s="2788"/>
      <c r="N112" s="2788"/>
      <c r="O112" s="2788"/>
      <c r="P112" s="2788"/>
      <c r="Q112" s="2788"/>
      <c r="R112" s="2788"/>
      <c r="S112" s="2788"/>
      <c r="T112" s="2788"/>
      <c r="U112" s="2788"/>
      <c r="V112" s="2788"/>
      <c r="W112" s="2788"/>
      <c r="X112" s="2788"/>
      <c r="Y112" s="2788"/>
      <c r="Z112" s="2788"/>
      <c r="AA112" s="2788"/>
      <c r="AB112" s="2788"/>
      <c r="AC112" s="2788"/>
      <c r="AD112" s="2788"/>
      <c r="AE112" s="2788"/>
      <c r="AF112" s="2788"/>
      <c r="AG112" s="2788"/>
      <c r="AH112" s="2788"/>
      <c r="AI112" s="2788"/>
      <c r="AJ112" s="2788"/>
      <c r="AK112" s="2788"/>
      <c r="AL112" s="2788"/>
      <c r="AM112" s="2788"/>
      <c r="AN112" s="2788"/>
      <c r="AO112" s="2788"/>
      <c r="AP112" s="2788"/>
      <c r="AQ112" s="2788"/>
      <c r="AR112" s="2788"/>
      <c r="AS112" s="2788"/>
      <c r="AT112" s="2788"/>
      <c r="AU112" s="2788"/>
      <c r="AV112" s="2788"/>
      <c r="AW112" s="2788"/>
      <c r="AX112" s="2789"/>
      <c r="AY112" s="1528"/>
      <c r="AZ112" s="1528"/>
      <c r="BA112" s="1528"/>
      <c r="BB112" s="1528"/>
      <c r="BC112" s="1528"/>
      <c r="BD112" s="1528"/>
      <c r="BE112" s="1534"/>
    </row>
    <row r="113" spans="1:57" ht="15.75" customHeight="1">
      <c r="A113" s="1817"/>
      <c r="B113" s="2787"/>
      <c r="C113" s="2788"/>
      <c r="D113" s="2788"/>
      <c r="E113" s="2788"/>
      <c r="F113" s="2788"/>
      <c r="G113" s="2788"/>
      <c r="H113" s="2788"/>
      <c r="I113" s="2788"/>
      <c r="J113" s="2788"/>
      <c r="K113" s="2788"/>
      <c r="L113" s="2788"/>
      <c r="M113" s="2788"/>
      <c r="N113" s="2788"/>
      <c r="O113" s="2788"/>
      <c r="P113" s="2788"/>
      <c r="Q113" s="2788"/>
      <c r="R113" s="2788"/>
      <c r="S113" s="2788"/>
      <c r="T113" s="2788"/>
      <c r="U113" s="2788"/>
      <c r="V113" s="2788"/>
      <c r="W113" s="2788"/>
      <c r="X113" s="2788"/>
      <c r="Y113" s="2788"/>
      <c r="Z113" s="2788"/>
      <c r="AA113" s="2788"/>
      <c r="AB113" s="2788"/>
      <c r="AC113" s="2788"/>
      <c r="AD113" s="2788"/>
      <c r="AE113" s="2788"/>
      <c r="AF113" s="2788"/>
      <c r="AG113" s="2788"/>
      <c r="AH113" s="2788"/>
      <c r="AI113" s="2788"/>
      <c r="AJ113" s="2788"/>
      <c r="AK113" s="2788"/>
      <c r="AL113" s="2788"/>
      <c r="AM113" s="2788"/>
      <c r="AN113" s="2788"/>
      <c r="AO113" s="2788"/>
      <c r="AP113" s="2788"/>
      <c r="AQ113" s="2788"/>
      <c r="AR113" s="2788"/>
      <c r="AS113" s="2788"/>
      <c r="AT113" s="2788"/>
      <c r="AU113" s="2788"/>
      <c r="AV113" s="2788"/>
      <c r="AW113" s="2788"/>
      <c r="AX113" s="2789"/>
      <c r="AY113" s="1528"/>
      <c r="AZ113" s="1528"/>
      <c r="BA113" s="1528"/>
      <c r="BB113" s="1528"/>
      <c r="BC113" s="1528"/>
      <c r="BD113" s="1528"/>
      <c r="BE113" s="1534"/>
    </row>
    <row r="114" spans="1:57" ht="15.75" customHeight="1">
      <c r="A114" s="1817"/>
      <c r="B114" s="2787"/>
      <c r="C114" s="2788"/>
      <c r="D114" s="2788"/>
      <c r="E114" s="2788"/>
      <c r="F114" s="2788"/>
      <c r="G114" s="2788"/>
      <c r="H114" s="2788"/>
      <c r="I114" s="2788"/>
      <c r="J114" s="2788"/>
      <c r="K114" s="2788"/>
      <c r="L114" s="2788"/>
      <c r="M114" s="2788"/>
      <c r="N114" s="2788"/>
      <c r="O114" s="2788"/>
      <c r="P114" s="2788"/>
      <c r="Q114" s="2788"/>
      <c r="R114" s="2788"/>
      <c r="S114" s="2788"/>
      <c r="T114" s="2788"/>
      <c r="U114" s="2788"/>
      <c r="V114" s="2788"/>
      <c r="W114" s="2788"/>
      <c r="X114" s="2788"/>
      <c r="Y114" s="2788"/>
      <c r="Z114" s="2788"/>
      <c r="AA114" s="2788"/>
      <c r="AB114" s="2788"/>
      <c r="AC114" s="2788"/>
      <c r="AD114" s="2788"/>
      <c r="AE114" s="2788"/>
      <c r="AF114" s="2788"/>
      <c r="AG114" s="2788"/>
      <c r="AH114" s="2788"/>
      <c r="AI114" s="2788"/>
      <c r="AJ114" s="2788"/>
      <c r="AK114" s="2788"/>
      <c r="AL114" s="2788"/>
      <c r="AM114" s="2788"/>
      <c r="AN114" s="2788"/>
      <c r="AO114" s="2788"/>
      <c r="AP114" s="2788"/>
      <c r="AQ114" s="2788"/>
      <c r="AR114" s="2788"/>
      <c r="AS114" s="2788"/>
      <c r="AT114" s="2788"/>
      <c r="AU114" s="2788"/>
      <c r="AV114" s="2788"/>
      <c r="AW114" s="2788"/>
      <c r="AX114" s="2789"/>
      <c r="AY114" s="1528"/>
      <c r="AZ114" s="1528"/>
      <c r="BA114" s="1528"/>
      <c r="BB114" s="1528"/>
      <c r="BC114" s="1528"/>
      <c r="BD114" s="1528"/>
      <c r="BE114" s="1534"/>
    </row>
    <row r="115" spans="1:57" ht="15.75" customHeight="1">
      <c r="A115" s="1817"/>
      <c r="B115" s="2787"/>
      <c r="C115" s="2788"/>
      <c r="D115" s="2788"/>
      <c r="E115" s="2788"/>
      <c r="F115" s="2788"/>
      <c r="G115" s="2788"/>
      <c r="H115" s="2788"/>
      <c r="I115" s="2788"/>
      <c r="J115" s="2788"/>
      <c r="K115" s="2788"/>
      <c r="L115" s="2788"/>
      <c r="M115" s="2788"/>
      <c r="N115" s="2788"/>
      <c r="O115" s="2788"/>
      <c r="P115" s="2788"/>
      <c r="Q115" s="2788"/>
      <c r="R115" s="2788"/>
      <c r="S115" s="2788"/>
      <c r="T115" s="2788"/>
      <c r="U115" s="2788"/>
      <c r="V115" s="2788"/>
      <c r="W115" s="2788"/>
      <c r="X115" s="2788"/>
      <c r="Y115" s="2788"/>
      <c r="Z115" s="2788"/>
      <c r="AA115" s="2788"/>
      <c r="AB115" s="2788"/>
      <c r="AC115" s="2788"/>
      <c r="AD115" s="2788"/>
      <c r="AE115" s="2788"/>
      <c r="AF115" s="2788"/>
      <c r="AG115" s="2788"/>
      <c r="AH115" s="2788"/>
      <c r="AI115" s="2788"/>
      <c r="AJ115" s="2788"/>
      <c r="AK115" s="2788"/>
      <c r="AL115" s="2788"/>
      <c r="AM115" s="2788"/>
      <c r="AN115" s="2788"/>
      <c r="AO115" s="2788"/>
      <c r="AP115" s="2788"/>
      <c r="AQ115" s="2788"/>
      <c r="AR115" s="2788"/>
      <c r="AS115" s="2788"/>
      <c r="AT115" s="2788"/>
      <c r="AU115" s="2788"/>
      <c r="AV115" s="2788"/>
      <c r="AW115" s="2788"/>
      <c r="AX115" s="2789"/>
      <c r="AY115" s="1528"/>
      <c r="AZ115" s="1528"/>
      <c r="BA115" s="1528"/>
      <c r="BB115" s="1528"/>
      <c r="BC115" s="1528"/>
      <c r="BD115" s="1528"/>
      <c r="BE115" s="1534"/>
    </row>
    <row r="116" spans="1:57" ht="15.75" customHeight="1" thickBot="1">
      <c r="A116" s="1817"/>
      <c r="B116" s="2790"/>
      <c r="C116" s="2791"/>
      <c r="D116" s="2791"/>
      <c r="E116" s="2791"/>
      <c r="F116" s="2791"/>
      <c r="G116" s="2791"/>
      <c r="H116" s="2791"/>
      <c r="I116" s="2791"/>
      <c r="J116" s="2791"/>
      <c r="K116" s="2791"/>
      <c r="L116" s="2791"/>
      <c r="M116" s="2791"/>
      <c r="N116" s="2791"/>
      <c r="O116" s="2791"/>
      <c r="P116" s="2791"/>
      <c r="Q116" s="2791"/>
      <c r="R116" s="2791"/>
      <c r="S116" s="2791"/>
      <c r="T116" s="2791"/>
      <c r="U116" s="2791"/>
      <c r="V116" s="2791"/>
      <c r="W116" s="2791"/>
      <c r="X116" s="2791"/>
      <c r="Y116" s="2791"/>
      <c r="Z116" s="2791"/>
      <c r="AA116" s="2791"/>
      <c r="AB116" s="2791"/>
      <c r="AC116" s="2791"/>
      <c r="AD116" s="2791"/>
      <c r="AE116" s="2791"/>
      <c r="AF116" s="2791"/>
      <c r="AG116" s="2791"/>
      <c r="AH116" s="2791"/>
      <c r="AI116" s="2791"/>
      <c r="AJ116" s="2791"/>
      <c r="AK116" s="2791"/>
      <c r="AL116" s="2791"/>
      <c r="AM116" s="2791"/>
      <c r="AN116" s="2791"/>
      <c r="AO116" s="2791"/>
      <c r="AP116" s="2791"/>
      <c r="AQ116" s="2791"/>
      <c r="AR116" s="2791"/>
      <c r="AS116" s="2791"/>
      <c r="AT116" s="2791"/>
      <c r="AU116" s="2791"/>
      <c r="AV116" s="2791"/>
      <c r="AW116" s="2791"/>
      <c r="AX116" s="2792"/>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2108</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793" t="s">
        <v>2109</v>
      </c>
      <c r="C120" s="2794"/>
      <c r="D120" s="2794"/>
      <c r="E120" s="2794"/>
      <c r="F120" s="2794"/>
      <c r="G120" s="2794"/>
      <c r="H120" s="2794"/>
      <c r="I120" s="2794"/>
      <c r="J120" s="2794"/>
      <c r="K120" s="2794"/>
      <c r="L120" s="2794"/>
      <c r="M120" s="2794"/>
      <c r="N120" s="2794"/>
      <c r="O120" s="2794"/>
      <c r="P120" s="2794"/>
      <c r="Q120" s="2794"/>
      <c r="R120" s="2794"/>
      <c r="S120" s="2794"/>
      <c r="T120" s="2794"/>
      <c r="U120" s="2795"/>
      <c r="V120" s="1528"/>
      <c r="W120" s="1528"/>
      <c r="X120" s="1528"/>
      <c r="Y120" s="1528"/>
      <c r="Z120" s="1528"/>
      <c r="AA120" s="1528"/>
      <c r="AB120" s="1528"/>
      <c r="AC120" s="1528" t="s">
        <v>256</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796"/>
      <c r="C121" s="2797"/>
      <c r="D121" s="2797"/>
      <c r="E121" s="2797"/>
      <c r="F121" s="2797"/>
      <c r="G121" s="2797"/>
      <c r="H121" s="2798"/>
      <c r="I121" s="2799" t="s">
        <v>2092</v>
      </c>
      <c r="J121" s="2698"/>
      <c r="K121" s="2698"/>
      <c r="L121" s="2698"/>
      <c r="M121" s="2698"/>
      <c r="N121" s="2698"/>
      <c r="O121" s="2800"/>
      <c r="P121" s="2799" t="s">
        <v>2103</v>
      </c>
      <c r="Q121" s="2698"/>
      <c r="R121" s="2698"/>
      <c r="S121" s="2698"/>
      <c r="T121" s="2698"/>
      <c r="U121" s="2800"/>
      <c r="V121" s="1528"/>
      <c r="W121" s="1528"/>
      <c r="X121" s="1528"/>
      <c r="Y121" s="1528"/>
      <c r="Z121" s="1528"/>
      <c r="AA121" s="1528"/>
      <c r="AB121" s="1528"/>
      <c r="AC121" s="1528"/>
      <c r="AD121" s="1528" t="s">
        <v>256</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801" t="s">
        <v>2095</v>
      </c>
      <c r="C122" s="2802"/>
      <c r="D122" s="2802"/>
      <c r="E122" s="2802"/>
      <c r="F122" s="2802"/>
      <c r="G122" s="2802"/>
      <c r="H122" s="2802"/>
      <c r="I122" s="2770"/>
      <c r="J122" s="2771"/>
      <c r="K122" s="2771"/>
      <c r="L122" s="2771"/>
      <c r="M122" s="2771"/>
      <c r="N122" s="2771"/>
      <c r="O122" s="2772"/>
      <c r="P122" s="2770"/>
      <c r="Q122" s="2771"/>
      <c r="R122" s="2771"/>
      <c r="S122" s="2771"/>
      <c r="T122" s="2771"/>
      <c r="U122" s="2772"/>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641" t="s">
        <v>2096</v>
      </c>
      <c r="C123" s="2642"/>
      <c r="D123" s="2642"/>
      <c r="E123" s="2642"/>
      <c r="F123" s="2642"/>
      <c r="G123" s="2642"/>
      <c r="H123" s="2642"/>
      <c r="I123" s="2770"/>
      <c r="J123" s="2771"/>
      <c r="K123" s="2771"/>
      <c r="L123" s="2771"/>
      <c r="M123" s="2771"/>
      <c r="N123" s="2771"/>
      <c r="O123" s="2772"/>
      <c r="P123" s="2770"/>
      <c r="Q123" s="2771"/>
      <c r="R123" s="2771"/>
      <c r="S123" s="2771"/>
      <c r="T123" s="2771"/>
      <c r="U123" s="2772"/>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773" t="s">
        <v>2110</v>
      </c>
      <c r="D125" s="2774"/>
      <c r="E125" s="2774"/>
      <c r="F125" s="2774"/>
      <c r="G125" s="2774"/>
      <c r="H125" s="2774"/>
      <c r="I125" s="2774"/>
      <c r="J125" s="2774"/>
      <c r="K125" s="2774"/>
      <c r="L125" s="2774"/>
      <c r="M125" s="2774"/>
      <c r="N125" s="2774"/>
      <c r="O125" s="2774"/>
      <c r="P125" s="2774"/>
      <c r="Q125" s="2774"/>
      <c r="R125" s="2774"/>
      <c r="S125" s="2774"/>
      <c r="T125" s="2774"/>
      <c r="U125" s="2774"/>
      <c r="V125" s="2774"/>
      <c r="W125" s="2774"/>
      <c r="X125" s="2774"/>
      <c r="Y125" s="2774"/>
      <c r="Z125" s="2774"/>
      <c r="AA125" s="2774"/>
      <c r="AB125" s="2774"/>
      <c r="AC125" s="2774"/>
      <c r="AD125" s="2774"/>
      <c r="AE125" s="2774"/>
      <c r="AF125" s="2774"/>
      <c r="AG125" s="2775"/>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689" t="s">
        <v>2111</v>
      </c>
      <c r="D126" s="2690"/>
      <c r="E126" s="2690"/>
      <c r="F126" s="2690"/>
      <c r="G126" s="2690"/>
      <c r="H126" s="2690"/>
      <c r="I126" s="2690"/>
      <c r="J126" s="2690"/>
      <c r="K126" s="2690"/>
      <c r="L126" s="2690"/>
      <c r="M126" s="2690"/>
      <c r="N126" s="2690"/>
      <c r="O126" s="2690"/>
      <c r="P126" s="2776"/>
      <c r="Q126" s="2777" t="s">
        <v>2112</v>
      </c>
      <c r="R126" s="2690"/>
      <c r="S126" s="2776"/>
      <c r="T126" s="2778" t="s">
        <v>2113</v>
      </c>
      <c r="U126" s="2779"/>
      <c r="V126" s="2779"/>
      <c r="W126" s="2779"/>
      <c r="X126" s="2779"/>
      <c r="Y126" s="2779"/>
      <c r="Z126" s="2779"/>
      <c r="AA126" s="2780"/>
      <c r="AB126" s="2781" t="s">
        <v>2114</v>
      </c>
      <c r="AC126" s="2782"/>
      <c r="AD126" s="2782"/>
      <c r="AE126" s="2782"/>
      <c r="AF126" s="2782"/>
      <c r="AG126" s="2783"/>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680" t="s">
        <v>2115</v>
      </c>
      <c r="D127" s="2681"/>
      <c r="E127" s="2681"/>
      <c r="F127" s="2681"/>
      <c r="G127" s="2681"/>
      <c r="H127" s="2681"/>
      <c r="I127" s="2681"/>
      <c r="J127" s="2681"/>
      <c r="K127" s="2681"/>
      <c r="L127" s="2681"/>
      <c r="M127" s="2681"/>
      <c r="N127" s="2681"/>
      <c r="O127" s="2681"/>
      <c r="P127" s="2694"/>
      <c r="Q127" s="2760">
        <v>55</v>
      </c>
      <c r="R127" s="2761"/>
      <c r="S127" s="2762"/>
      <c r="T127" s="2754"/>
      <c r="U127" s="2755"/>
      <c r="V127" s="2755"/>
      <c r="W127" s="2755"/>
      <c r="X127" s="2755"/>
      <c r="Y127" s="2755"/>
      <c r="Z127" s="2755"/>
      <c r="AA127" s="2755"/>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680" t="s">
        <v>429</v>
      </c>
      <c r="D128" s="2681"/>
      <c r="E128" s="2681"/>
      <c r="F128" s="2681"/>
      <c r="G128" s="2681"/>
      <c r="H128" s="2681"/>
      <c r="I128" s="2681"/>
      <c r="J128" s="2681"/>
      <c r="K128" s="2681"/>
      <c r="L128" s="2681"/>
      <c r="M128" s="2681"/>
      <c r="N128" s="2681"/>
      <c r="O128" s="2681"/>
      <c r="P128" s="2694"/>
      <c r="Q128" s="2760">
        <v>55</v>
      </c>
      <c r="R128" s="2761"/>
      <c r="S128" s="2762"/>
      <c r="T128" s="2768" t="str">
        <f>_xlfn.CONCAT(Application!AC515,"/", Application!AH515)</f>
        <v>N/A/</v>
      </c>
      <c r="U128" s="2769"/>
      <c r="V128" s="2769"/>
      <c r="W128" s="2769"/>
      <c r="X128" s="2769"/>
      <c r="Y128" s="2769"/>
      <c r="Z128" s="2769"/>
      <c r="AA128" s="2769"/>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680" t="s">
        <v>2116</v>
      </c>
      <c r="D129" s="2681"/>
      <c r="E129" s="2681"/>
      <c r="F129" s="2681"/>
      <c r="G129" s="2681"/>
      <c r="H129" s="2681"/>
      <c r="I129" s="2681"/>
      <c r="J129" s="2681"/>
      <c r="K129" s="2681"/>
      <c r="L129" s="2681"/>
      <c r="M129" s="2681"/>
      <c r="N129" s="2681"/>
      <c r="O129" s="2681"/>
      <c r="P129" s="2694"/>
      <c r="Q129" s="2760">
        <v>55</v>
      </c>
      <c r="R129" s="2761"/>
      <c r="S129" s="2762"/>
      <c r="T129" s="2763"/>
      <c r="U129" s="2764"/>
      <c r="V129" s="2764"/>
      <c r="W129" s="2764"/>
      <c r="X129" s="2764"/>
      <c r="Y129" s="2764"/>
      <c r="Z129" s="2764"/>
      <c r="AA129" s="2764"/>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680" t="s">
        <v>2117</v>
      </c>
      <c r="D130" s="2681"/>
      <c r="E130" s="2681"/>
      <c r="F130" s="2681"/>
      <c r="G130" s="2681"/>
      <c r="H130" s="2681"/>
      <c r="I130" s="2681"/>
      <c r="J130" s="2681"/>
      <c r="K130" s="2681"/>
      <c r="L130" s="2681"/>
      <c r="M130" s="2681"/>
      <c r="N130" s="2681"/>
      <c r="O130" s="2681"/>
      <c r="P130" s="2694"/>
      <c r="Q130" s="2765"/>
      <c r="R130" s="2766"/>
      <c r="S130" s="2767"/>
      <c r="T130" s="2754"/>
      <c r="U130" s="2755"/>
      <c r="V130" s="2755"/>
      <c r="W130" s="2755"/>
      <c r="X130" s="2755"/>
      <c r="Y130" s="2755"/>
      <c r="Z130" s="2755"/>
      <c r="AA130" s="2755"/>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680" t="s">
        <v>2070</v>
      </c>
      <c r="D131" s="2681"/>
      <c r="E131" s="2681"/>
      <c r="F131" s="2681"/>
      <c r="G131" s="2681"/>
      <c r="H131" s="2681"/>
      <c r="I131" s="2681"/>
      <c r="J131" s="2681"/>
      <c r="K131" s="2681"/>
      <c r="L131" s="2681"/>
      <c r="M131" s="2681"/>
      <c r="N131" s="2681"/>
      <c r="O131" s="2681"/>
      <c r="P131" s="2694"/>
      <c r="Q131" s="2751">
        <f>Application!AG400</f>
        <v>0</v>
      </c>
      <c r="R131" s="2752"/>
      <c r="S131" s="2753"/>
      <c r="T131" s="2754"/>
      <c r="U131" s="2755"/>
      <c r="V131" s="2755"/>
      <c r="W131" s="2755"/>
      <c r="X131" s="2755"/>
      <c r="Y131" s="2755"/>
      <c r="Z131" s="2755"/>
      <c r="AA131" s="2756"/>
      <c r="AB131" s="2757">
        <f>Application!AE401</f>
        <v>0</v>
      </c>
      <c r="AC131" s="2758"/>
      <c r="AD131" s="2758"/>
      <c r="AE131" s="2758"/>
      <c r="AF131" s="2758"/>
      <c r="AG131" s="2759"/>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739" t="s">
        <v>175</v>
      </c>
      <c r="D132" s="2740"/>
      <c r="E132" s="2740"/>
      <c r="F132" s="2671" t="s">
        <v>2118</v>
      </c>
      <c r="G132" s="2671"/>
      <c r="H132" s="2671"/>
      <c r="I132" s="2671"/>
      <c r="J132" s="2671"/>
      <c r="K132" s="2671"/>
      <c r="L132" s="2671"/>
      <c r="M132" s="2671"/>
      <c r="N132" s="2671"/>
      <c r="O132" s="2671"/>
      <c r="P132" s="2671"/>
      <c r="Q132" s="2741">
        <v>55</v>
      </c>
      <c r="R132" s="2741"/>
      <c r="S132" s="2741"/>
      <c r="T132" s="2742"/>
      <c r="U132" s="2742"/>
      <c r="V132" s="2742"/>
      <c r="W132" s="2742"/>
      <c r="X132" s="2742"/>
      <c r="Y132" s="2742"/>
      <c r="Z132" s="2742"/>
      <c r="AA132" s="2742"/>
      <c r="AB132" s="2743"/>
      <c r="AC132" s="2744"/>
      <c r="AD132" s="2744"/>
      <c r="AE132" s="2744"/>
      <c r="AF132" s="2744"/>
      <c r="AG132" s="2745"/>
      <c r="AH132" s="1528"/>
      <c r="AI132" s="1528"/>
      <c r="AJ132" s="1528"/>
      <c r="AK132" s="1528" t="s">
        <v>256</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739" t="s">
        <v>175</v>
      </c>
      <c r="D133" s="2740"/>
      <c r="E133" s="2740"/>
      <c r="F133" s="2671" t="s">
        <v>2118</v>
      </c>
      <c r="G133" s="2671"/>
      <c r="H133" s="2671"/>
      <c r="I133" s="2671"/>
      <c r="J133" s="2671"/>
      <c r="K133" s="2671"/>
      <c r="L133" s="2671"/>
      <c r="M133" s="2671"/>
      <c r="N133" s="2671"/>
      <c r="O133" s="2671"/>
      <c r="P133" s="2671"/>
      <c r="Q133" s="2741">
        <v>55</v>
      </c>
      <c r="R133" s="2741"/>
      <c r="S133" s="2741"/>
      <c r="T133" s="2742"/>
      <c r="U133" s="2742"/>
      <c r="V133" s="2742"/>
      <c r="W133" s="2742"/>
      <c r="X133" s="2742"/>
      <c r="Y133" s="2742"/>
      <c r="Z133" s="2742"/>
      <c r="AA133" s="2742"/>
      <c r="AB133" s="2743"/>
      <c r="AC133" s="2744"/>
      <c r="AD133" s="2744"/>
      <c r="AE133" s="2744"/>
      <c r="AF133" s="2744"/>
      <c r="AG133" s="2745"/>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739" t="s">
        <v>175</v>
      </c>
      <c r="D134" s="2740"/>
      <c r="E134" s="2740"/>
      <c r="F134" s="2656" t="s">
        <v>2118</v>
      </c>
      <c r="G134" s="2656"/>
      <c r="H134" s="2656"/>
      <c r="I134" s="2656"/>
      <c r="J134" s="2656"/>
      <c r="K134" s="2656"/>
      <c r="L134" s="2656"/>
      <c r="M134" s="2656"/>
      <c r="N134" s="2656"/>
      <c r="O134" s="2656"/>
      <c r="P134" s="2656"/>
      <c r="Q134" s="2746">
        <v>55</v>
      </c>
      <c r="R134" s="2746"/>
      <c r="S134" s="2746"/>
      <c r="T134" s="2747"/>
      <c r="U134" s="2747"/>
      <c r="V134" s="2747"/>
      <c r="W134" s="2747"/>
      <c r="X134" s="2747"/>
      <c r="Y134" s="2747"/>
      <c r="Z134" s="2747"/>
      <c r="AA134" s="2747"/>
      <c r="AB134" s="2748"/>
      <c r="AC134" s="2749"/>
      <c r="AD134" s="2749"/>
      <c r="AE134" s="2749"/>
      <c r="AF134" s="2749"/>
      <c r="AG134" s="2750"/>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724" t="s">
        <v>2119</v>
      </c>
      <c r="D136" s="2725"/>
      <c r="E136" s="2725"/>
      <c r="F136" s="2725"/>
      <c r="G136" s="2725"/>
      <c r="H136" s="2725"/>
      <c r="I136" s="2725"/>
      <c r="J136" s="2725"/>
      <c r="K136" s="2725"/>
      <c r="L136" s="2725"/>
      <c r="M136" s="2725"/>
      <c r="N136" s="2726"/>
      <c r="O136" s="1528"/>
      <c r="P136" s="2727" t="s">
        <v>2120</v>
      </c>
      <c r="Q136" s="2728"/>
      <c r="R136" s="2728"/>
      <c r="S136" s="2728"/>
      <c r="T136" s="2728"/>
      <c r="U136" s="2728"/>
      <c r="V136" s="2728"/>
      <c r="W136" s="2728"/>
      <c r="X136" s="2728"/>
      <c r="Y136" s="2728"/>
      <c r="Z136" s="2728"/>
      <c r="AA136" s="2728"/>
      <c r="AB136" s="2728"/>
      <c r="AC136" s="2728"/>
      <c r="AD136" s="2728"/>
      <c r="AE136" s="2728"/>
      <c r="AF136" s="2728"/>
      <c r="AG136" s="2728"/>
      <c r="AH136" s="2728"/>
      <c r="AI136" s="2728"/>
      <c r="AJ136" s="2728"/>
      <c r="AK136" s="2728"/>
      <c r="AL136" s="2728"/>
      <c r="AM136" s="2728"/>
      <c r="AN136" s="2728"/>
      <c r="AO136" s="2729"/>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730" t="s">
        <v>2121</v>
      </c>
      <c r="D137" s="2731"/>
      <c r="E137" s="2731"/>
      <c r="F137" s="2731"/>
      <c r="G137" s="2731"/>
      <c r="H137" s="2732"/>
      <c r="I137" s="2730" t="s">
        <v>2122</v>
      </c>
      <c r="J137" s="2731"/>
      <c r="K137" s="2731"/>
      <c r="L137" s="2731"/>
      <c r="M137" s="2731"/>
      <c r="N137" s="2732"/>
      <c r="O137" s="1528"/>
      <c r="P137" s="2733"/>
      <c r="Q137" s="2734"/>
      <c r="R137" s="2734"/>
      <c r="S137" s="2734"/>
      <c r="T137" s="2734"/>
      <c r="U137" s="2734"/>
      <c r="V137" s="2734"/>
      <c r="W137" s="2734"/>
      <c r="X137" s="2734"/>
      <c r="Y137" s="2734"/>
      <c r="Z137" s="2734"/>
      <c r="AA137" s="2734"/>
      <c r="AB137" s="2734"/>
      <c r="AC137" s="2734"/>
      <c r="AD137" s="2734"/>
      <c r="AE137" s="2734"/>
      <c r="AF137" s="2734"/>
      <c r="AG137" s="2734"/>
      <c r="AH137" s="2734"/>
      <c r="AI137" s="2734"/>
      <c r="AJ137" s="2734"/>
      <c r="AK137" s="2734"/>
      <c r="AL137" s="2734"/>
      <c r="AM137" s="2734"/>
      <c r="AN137" s="2734"/>
      <c r="AO137" s="2735"/>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712"/>
      <c r="D138" s="2712"/>
      <c r="E138" s="2712"/>
      <c r="F138" s="2712"/>
      <c r="G138" s="2712"/>
      <c r="H138" s="2712"/>
      <c r="I138" s="2713"/>
      <c r="J138" s="2713"/>
      <c r="K138" s="2713"/>
      <c r="L138" s="2713"/>
      <c r="M138" s="2713"/>
      <c r="N138" s="2713"/>
      <c r="O138" s="1528"/>
      <c r="P138" s="2733"/>
      <c r="Q138" s="2734"/>
      <c r="R138" s="2734"/>
      <c r="S138" s="2734"/>
      <c r="T138" s="2734"/>
      <c r="U138" s="2734"/>
      <c r="V138" s="2734"/>
      <c r="W138" s="2734"/>
      <c r="X138" s="2734"/>
      <c r="Y138" s="2734"/>
      <c r="Z138" s="2734"/>
      <c r="AA138" s="2734"/>
      <c r="AB138" s="2734"/>
      <c r="AC138" s="2734"/>
      <c r="AD138" s="2734"/>
      <c r="AE138" s="2734"/>
      <c r="AF138" s="2734"/>
      <c r="AG138" s="2734"/>
      <c r="AH138" s="2734"/>
      <c r="AI138" s="2734"/>
      <c r="AJ138" s="2734"/>
      <c r="AK138" s="2734"/>
      <c r="AL138" s="2734"/>
      <c r="AM138" s="2734"/>
      <c r="AN138" s="2734"/>
      <c r="AO138" s="2735"/>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712"/>
      <c r="D139" s="2712"/>
      <c r="E139" s="2712"/>
      <c r="F139" s="2712"/>
      <c r="G139" s="2712"/>
      <c r="H139" s="2712"/>
      <c r="I139" s="2713"/>
      <c r="J139" s="2713"/>
      <c r="K139" s="2713"/>
      <c r="L139" s="2713"/>
      <c r="M139" s="2713"/>
      <c r="N139" s="2713"/>
      <c r="O139" s="1528"/>
      <c r="P139" s="2733"/>
      <c r="Q139" s="2734"/>
      <c r="R139" s="2734"/>
      <c r="S139" s="2734"/>
      <c r="T139" s="2734"/>
      <c r="U139" s="2734"/>
      <c r="V139" s="2734"/>
      <c r="W139" s="2734"/>
      <c r="X139" s="2734"/>
      <c r="Y139" s="2734"/>
      <c r="Z139" s="2734"/>
      <c r="AA139" s="2734"/>
      <c r="AB139" s="2734"/>
      <c r="AC139" s="2734"/>
      <c r="AD139" s="2734"/>
      <c r="AE139" s="2734"/>
      <c r="AF139" s="2734"/>
      <c r="AG139" s="2734"/>
      <c r="AH139" s="2734"/>
      <c r="AI139" s="2734"/>
      <c r="AJ139" s="2734"/>
      <c r="AK139" s="2734"/>
      <c r="AL139" s="2734"/>
      <c r="AM139" s="2734"/>
      <c r="AN139" s="2734"/>
      <c r="AO139" s="2735"/>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712"/>
      <c r="D140" s="2712"/>
      <c r="E140" s="2712"/>
      <c r="F140" s="2712"/>
      <c r="G140" s="2712"/>
      <c r="H140" s="2712"/>
      <c r="I140" s="2713"/>
      <c r="J140" s="2713"/>
      <c r="K140" s="2713"/>
      <c r="L140" s="2713"/>
      <c r="M140" s="2713"/>
      <c r="N140" s="2713"/>
      <c r="O140" s="1528"/>
      <c r="P140" s="2733"/>
      <c r="Q140" s="2734"/>
      <c r="R140" s="2734"/>
      <c r="S140" s="2734"/>
      <c r="T140" s="2734"/>
      <c r="U140" s="2734"/>
      <c r="V140" s="2734"/>
      <c r="W140" s="2734"/>
      <c r="X140" s="2734"/>
      <c r="Y140" s="2734"/>
      <c r="Z140" s="2734"/>
      <c r="AA140" s="2734"/>
      <c r="AB140" s="2734"/>
      <c r="AC140" s="2734"/>
      <c r="AD140" s="2734"/>
      <c r="AE140" s="2734"/>
      <c r="AF140" s="2734"/>
      <c r="AG140" s="2734"/>
      <c r="AH140" s="2734"/>
      <c r="AI140" s="2734"/>
      <c r="AJ140" s="2734"/>
      <c r="AK140" s="2734"/>
      <c r="AL140" s="2734"/>
      <c r="AM140" s="2734"/>
      <c r="AN140" s="2734"/>
      <c r="AO140" s="2735"/>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712"/>
      <c r="D141" s="2712"/>
      <c r="E141" s="2712"/>
      <c r="F141" s="2712"/>
      <c r="G141" s="2712"/>
      <c r="H141" s="2712"/>
      <c r="I141" s="2713"/>
      <c r="J141" s="2713"/>
      <c r="K141" s="2713"/>
      <c r="L141" s="2713"/>
      <c r="M141" s="2713"/>
      <c r="N141" s="2713"/>
      <c r="O141" s="1528"/>
      <c r="P141" s="2733"/>
      <c r="Q141" s="2734"/>
      <c r="R141" s="2734"/>
      <c r="S141" s="2734"/>
      <c r="T141" s="2734"/>
      <c r="U141" s="2734"/>
      <c r="V141" s="2734"/>
      <c r="W141" s="2734"/>
      <c r="X141" s="2734"/>
      <c r="Y141" s="2734"/>
      <c r="Z141" s="2734"/>
      <c r="AA141" s="2734"/>
      <c r="AB141" s="2734"/>
      <c r="AC141" s="2734"/>
      <c r="AD141" s="2734"/>
      <c r="AE141" s="2734"/>
      <c r="AF141" s="2734"/>
      <c r="AG141" s="2734"/>
      <c r="AH141" s="2734"/>
      <c r="AI141" s="2734"/>
      <c r="AJ141" s="2734"/>
      <c r="AK141" s="2734"/>
      <c r="AL141" s="2734"/>
      <c r="AM141" s="2734"/>
      <c r="AN141" s="2734"/>
      <c r="AO141" s="2735"/>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712"/>
      <c r="D142" s="2712"/>
      <c r="E142" s="2712"/>
      <c r="F142" s="2712"/>
      <c r="G142" s="2712"/>
      <c r="H142" s="2712"/>
      <c r="I142" s="2713"/>
      <c r="J142" s="2713"/>
      <c r="K142" s="2713"/>
      <c r="L142" s="2713"/>
      <c r="M142" s="2713"/>
      <c r="N142" s="2713"/>
      <c r="O142" s="1528"/>
      <c r="P142" s="2733"/>
      <c r="Q142" s="2734"/>
      <c r="R142" s="2734"/>
      <c r="S142" s="2734"/>
      <c r="T142" s="2734"/>
      <c r="U142" s="2734"/>
      <c r="V142" s="2734"/>
      <c r="W142" s="2734"/>
      <c r="X142" s="2734"/>
      <c r="Y142" s="2734"/>
      <c r="Z142" s="2734"/>
      <c r="AA142" s="2734"/>
      <c r="AB142" s="2734"/>
      <c r="AC142" s="2734"/>
      <c r="AD142" s="2734"/>
      <c r="AE142" s="2734"/>
      <c r="AF142" s="2734"/>
      <c r="AG142" s="2734"/>
      <c r="AH142" s="2734"/>
      <c r="AI142" s="2734"/>
      <c r="AJ142" s="2734"/>
      <c r="AK142" s="2734"/>
      <c r="AL142" s="2734"/>
      <c r="AM142" s="2734"/>
      <c r="AN142" s="2734"/>
      <c r="AO142" s="2735"/>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712"/>
      <c r="D143" s="2712"/>
      <c r="E143" s="2712"/>
      <c r="F143" s="2712"/>
      <c r="G143" s="2712"/>
      <c r="H143" s="2712"/>
      <c r="I143" s="2713"/>
      <c r="J143" s="2713"/>
      <c r="K143" s="2713"/>
      <c r="L143" s="2713"/>
      <c r="M143" s="2713"/>
      <c r="N143" s="2713"/>
      <c r="O143" s="1528"/>
      <c r="P143" s="2733"/>
      <c r="Q143" s="2734"/>
      <c r="R143" s="2734"/>
      <c r="S143" s="2734"/>
      <c r="T143" s="2734"/>
      <c r="U143" s="2734"/>
      <c r="V143" s="2734"/>
      <c r="W143" s="2734"/>
      <c r="X143" s="2734"/>
      <c r="Y143" s="2734"/>
      <c r="Z143" s="2734"/>
      <c r="AA143" s="2734"/>
      <c r="AB143" s="2734"/>
      <c r="AC143" s="2734"/>
      <c r="AD143" s="2734"/>
      <c r="AE143" s="2734"/>
      <c r="AF143" s="2734"/>
      <c r="AG143" s="2734"/>
      <c r="AH143" s="2734"/>
      <c r="AI143" s="2734"/>
      <c r="AJ143" s="2734"/>
      <c r="AK143" s="2734"/>
      <c r="AL143" s="2734"/>
      <c r="AM143" s="2734"/>
      <c r="AN143" s="2734"/>
      <c r="AO143" s="2735"/>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712"/>
      <c r="D144" s="2712"/>
      <c r="E144" s="2712"/>
      <c r="F144" s="2712"/>
      <c r="G144" s="2712"/>
      <c r="H144" s="2712"/>
      <c r="I144" s="2713"/>
      <c r="J144" s="2713"/>
      <c r="K144" s="2713"/>
      <c r="L144" s="2713"/>
      <c r="M144" s="2713"/>
      <c r="N144" s="2713"/>
      <c r="O144" s="1528"/>
      <c r="P144" s="2736"/>
      <c r="Q144" s="2737"/>
      <c r="R144" s="2737"/>
      <c r="S144" s="2737"/>
      <c r="T144" s="2737"/>
      <c r="U144" s="2737"/>
      <c r="V144" s="2737"/>
      <c r="W144" s="2737"/>
      <c r="X144" s="2737"/>
      <c r="Y144" s="2737"/>
      <c r="Z144" s="2737"/>
      <c r="AA144" s="2737"/>
      <c r="AB144" s="2737"/>
      <c r="AC144" s="2737"/>
      <c r="AD144" s="2737"/>
      <c r="AE144" s="2737"/>
      <c r="AF144" s="2737"/>
      <c r="AG144" s="2737"/>
      <c r="AH144" s="2737"/>
      <c r="AI144" s="2737"/>
      <c r="AJ144" s="2737"/>
      <c r="AK144" s="2737"/>
      <c r="AL144" s="2737"/>
      <c r="AM144" s="2737"/>
      <c r="AN144" s="2737"/>
      <c r="AO144" s="2738"/>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2123</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2124</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714"/>
      <c r="D149" s="2715"/>
      <c r="E149" s="2715"/>
      <c r="F149" s="2715"/>
      <c r="G149" s="2715"/>
      <c r="H149" s="2715"/>
      <c r="I149" s="2715"/>
      <c r="J149" s="2715"/>
      <c r="K149" s="2715"/>
      <c r="L149" s="2715"/>
      <c r="M149" s="2716"/>
      <c r="N149" s="2717" t="s">
        <v>2125</v>
      </c>
      <c r="O149" s="2717"/>
      <c r="P149" s="2717"/>
      <c r="Q149" s="2717"/>
      <c r="R149" s="2717"/>
      <c r="S149" s="2717"/>
      <c r="T149" s="2718"/>
      <c r="U149" s="2719" t="s">
        <v>2111</v>
      </c>
      <c r="V149" s="2720"/>
      <c r="W149" s="2720"/>
      <c r="X149" s="2720"/>
      <c r="Y149" s="2720"/>
      <c r="Z149" s="2720"/>
      <c r="AA149" s="2720"/>
      <c r="AB149" s="2720"/>
      <c r="AC149" s="2720"/>
      <c r="AD149" s="2720"/>
      <c r="AE149" s="2721"/>
      <c r="AF149" s="1528"/>
      <c r="AG149" s="1528"/>
      <c r="AH149" s="2722" t="s">
        <v>2126</v>
      </c>
      <c r="AI149" s="2723"/>
      <c r="AJ149" s="2723"/>
      <c r="AK149" s="2723"/>
      <c r="AL149" s="2723"/>
      <c r="AM149" s="2723"/>
      <c r="AN149" s="2723"/>
      <c r="AO149" s="2723"/>
      <c r="AP149" s="2723"/>
      <c r="AQ149" s="2723"/>
      <c r="AR149" s="2723"/>
      <c r="AS149" s="2695"/>
      <c r="AT149" s="2696"/>
      <c r="AU149" s="2696"/>
      <c r="AV149" s="2696"/>
      <c r="AW149" s="2696"/>
      <c r="AX149" s="1528"/>
      <c r="AY149" s="1528"/>
      <c r="AZ149" s="1528"/>
      <c r="BA149" s="1528"/>
      <c r="BB149" s="1528"/>
      <c r="BC149" s="1528"/>
      <c r="BD149" s="1528"/>
      <c r="BE149" s="1534"/>
    </row>
    <row r="150" spans="1:57" ht="15.75" customHeight="1">
      <c r="A150" s="1817"/>
      <c r="B150" s="1528"/>
      <c r="C150" s="2689" t="s">
        <v>2127</v>
      </c>
      <c r="D150" s="2690"/>
      <c r="E150" s="2690"/>
      <c r="F150" s="2690"/>
      <c r="G150" s="2690"/>
      <c r="H150" s="2690"/>
      <c r="I150" s="2690"/>
      <c r="J150" s="2690"/>
      <c r="K150" s="2690"/>
      <c r="L150" s="2690"/>
      <c r="M150" s="2691"/>
      <c r="N150" s="2692">
        <f>'Sources and Uses Budget'!B104</f>
        <v>5325951</v>
      </c>
      <c r="O150" s="2692"/>
      <c r="P150" s="2692"/>
      <c r="Q150" s="2692"/>
      <c r="R150" s="2692"/>
      <c r="S150" s="2692"/>
      <c r="T150" s="2693"/>
      <c r="U150" s="2702"/>
      <c r="V150" s="2703"/>
      <c r="W150" s="2703"/>
      <c r="X150" s="2703"/>
      <c r="Y150" s="2703"/>
      <c r="Z150" s="2703"/>
      <c r="AA150" s="2703"/>
      <c r="AB150" s="2703"/>
      <c r="AC150" s="2703"/>
      <c r="AD150" s="2703"/>
      <c r="AE150" s="2709"/>
      <c r="AF150" s="1528"/>
      <c r="AG150" s="1528"/>
      <c r="AH150" s="2710" t="s">
        <v>2128</v>
      </c>
      <c r="AI150" s="2711"/>
      <c r="AJ150" s="2711"/>
      <c r="AK150" s="2711"/>
      <c r="AL150" s="2711"/>
      <c r="AM150" s="2711"/>
      <c r="AN150" s="2711"/>
      <c r="AO150" s="2711"/>
      <c r="AP150" s="2711"/>
      <c r="AQ150" s="2711"/>
      <c r="AR150" s="2711"/>
      <c r="AS150" s="2695"/>
      <c r="AT150" s="2696"/>
      <c r="AU150" s="2696"/>
      <c r="AV150" s="2696"/>
      <c r="AW150" s="2696"/>
      <c r="AX150" s="1528"/>
      <c r="AY150" s="1528"/>
      <c r="AZ150" s="1528"/>
      <c r="BA150" s="1528"/>
      <c r="BB150" s="1528"/>
      <c r="BC150" s="1528"/>
      <c r="BD150" s="1528"/>
      <c r="BE150" s="1534"/>
    </row>
    <row r="151" spans="1:57" ht="15.75" customHeight="1">
      <c r="A151" s="1817"/>
      <c r="B151" s="1528"/>
      <c r="C151" s="2689" t="s">
        <v>2129</v>
      </c>
      <c r="D151" s="2690"/>
      <c r="E151" s="2690"/>
      <c r="F151" s="2690"/>
      <c r="G151" s="2690"/>
      <c r="H151" s="2690"/>
      <c r="I151" s="2690"/>
      <c r="J151" s="2690"/>
      <c r="K151" s="2690"/>
      <c r="L151" s="2690"/>
      <c r="M151" s="2691"/>
      <c r="N151" s="2692">
        <f>N150/J29</f>
        <v>59842.146067415728</v>
      </c>
      <c r="O151" s="2692"/>
      <c r="P151" s="2692"/>
      <c r="Q151" s="2692"/>
      <c r="R151" s="2692"/>
      <c r="S151" s="2692"/>
      <c r="T151" s="2693"/>
      <c r="U151" s="1552"/>
      <c r="V151" s="1552"/>
      <c r="W151" s="1552"/>
      <c r="X151" s="1552"/>
      <c r="Y151" s="1552"/>
      <c r="Z151" s="1552"/>
      <c r="AA151" s="1552"/>
      <c r="AB151" s="1552"/>
      <c r="AC151" s="1552"/>
      <c r="AD151" s="1552"/>
      <c r="AE151" s="1553"/>
      <c r="AF151" s="1528"/>
      <c r="AG151" s="1528"/>
      <c r="AH151" s="2680" t="s">
        <v>2130</v>
      </c>
      <c r="AI151" s="2681"/>
      <c r="AJ151" s="2681"/>
      <c r="AK151" s="2681"/>
      <c r="AL151" s="2681"/>
      <c r="AM151" s="2681"/>
      <c r="AN151" s="2681"/>
      <c r="AO151" s="2681"/>
      <c r="AP151" s="2681"/>
      <c r="AQ151" s="2681"/>
      <c r="AR151" s="2694"/>
      <c r="AS151" s="2695"/>
      <c r="AT151" s="2696"/>
      <c r="AU151" s="2696"/>
      <c r="AV151" s="2696"/>
      <c r="AW151" s="2696"/>
      <c r="AX151" s="1528"/>
      <c r="AY151" s="1528"/>
      <c r="AZ151" s="1528"/>
      <c r="BA151" s="1528"/>
      <c r="BB151" s="1528"/>
      <c r="BC151" s="1528"/>
      <c r="BD151" s="1528"/>
      <c r="BE151" s="1534"/>
    </row>
    <row r="152" spans="1:57" ht="15.75" customHeight="1">
      <c r="A152" s="1817"/>
      <c r="B152" s="1528"/>
      <c r="C152" s="2697" t="s">
        <v>2131</v>
      </c>
      <c r="D152" s="2698"/>
      <c r="E152" s="2698"/>
      <c r="F152" s="2698"/>
      <c r="G152" s="2698"/>
      <c r="H152" s="2698"/>
      <c r="I152" s="2698"/>
      <c r="J152" s="2698"/>
      <c r="K152" s="2698"/>
      <c r="L152" s="2698"/>
      <c r="M152" s="2699"/>
      <c r="N152" s="2700"/>
      <c r="O152" s="2700"/>
      <c r="P152" s="2700"/>
      <c r="Q152" s="2700"/>
      <c r="R152" s="2700"/>
      <c r="S152" s="2700"/>
      <c r="T152" s="2701"/>
      <c r="U152" s="2678"/>
      <c r="V152" s="2679"/>
      <c r="W152" s="2679"/>
      <c r="X152" s="2679"/>
      <c r="Y152" s="2679"/>
      <c r="Z152" s="2679"/>
      <c r="AA152" s="2679"/>
      <c r="AB152" s="2679"/>
      <c r="AC152" s="2679"/>
      <c r="AD152" s="2679"/>
      <c r="AE152" s="2708"/>
      <c r="AF152" s="1528"/>
      <c r="AG152" s="1528"/>
      <c r="AH152" s="2702"/>
      <c r="AI152" s="2703"/>
      <c r="AJ152" s="2703"/>
      <c r="AK152" s="2703"/>
      <c r="AL152" s="2703"/>
      <c r="AM152" s="2703"/>
      <c r="AN152" s="2703"/>
      <c r="AO152" s="2703"/>
      <c r="AP152" s="2703"/>
      <c r="AQ152" s="2703"/>
      <c r="AR152" s="2704"/>
      <c r="AS152" s="2705"/>
      <c r="AT152" s="2706"/>
      <c r="AU152" s="2706"/>
      <c r="AV152" s="2706"/>
      <c r="AW152" s="2707"/>
      <c r="AX152" s="1528"/>
      <c r="AY152" s="1528"/>
      <c r="AZ152" s="1528"/>
      <c r="BA152" s="1528"/>
      <c r="BB152" s="1528"/>
      <c r="BC152" s="1528"/>
      <c r="BD152" s="1528"/>
      <c r="BE152" s="1534"/>
    </row>
    <row r="153" spans="1:57" ht="15.75" customHeight="1" thickBot="1">
      <c r="A153" s="1817"/>
      <c r="B153" s="1528"/>
      <c r="C153" s="2680" t="s">
        <v>2132</v>
      </c>
      <c r="D153" s="2681"/>
      <c r="E153" s="2681"/>
      <c r="F153" s="2681"/>
      <c r="G153" s="2681"/>
      <c r="H153" s="2681"/>
      <c r="I153" s="2681"/>
      <c r="J153" s="2681"/>
      <c r="K153" s="2681"/>
      <c r="L153" s="2681"/>
      <c r="M153" s="2682"/>
      <c r="N153" s="2683">
        <f>SUM('Sources and Uses Budget'!B85:B86)</f>
        <v>2879186</v>
      </c>
      <c r="O153" s="2683"/>
      <c r="P153" s="2683"/>
      <c r="Q153" s="2683"/>
      <c r="R153" s="2683"/>
      <c r="S153" s="2683"/>
      <c r="T153" s="2684"/>
      <c r="U153" s="2675"/>
      <c r="V153" s="2676"/>
      <c r="W153" s="2676"/>
      <c r="X153" s="2676"/>
      <c r="Y153" s="2676"/>
      <c r="Z153" s="2676"/>
      <c r="AA153" s="2676"/>
      <c r="AB153" s="2676"/>
      <c r="AC153" s="2676"/>
      <c r="AD153" s="2676"/>
      <c r="AE153" s="2677"/>
      <c r="AF153" s="1528"/>
      <c r="AG153" s="1528"/>
      <c r="AH153" s="2685" t="s">
        <v>2133</v>
      </c>
      <c r="AI153" s="2686"/>
      <c r="AJ153" s="2686"/>
      <c r="AK153" s="2686"/>
      <c r="AL153" s="2686"/>
      <c r="AM153" s="2686"/>
      <c r="AN153" s="2686"/>
      <c r="AO153" s="2686"/>
      <c r="AP153" s="2686"/>
      <c r="AQ153" s="2686"/>
      <c r="AR153" s="2686"/>
      <c r="AS153" s="2687">
        <f>SUM(AS149:AW151)</f>
        <v>0</v>
      </c>
      <c r="AT153" s="2688"/>
      <c r="AU153" s="2688"/>
      <c r="AV153" s="2688"/>
      <c r="AW153" s="2688"/>
      <c r="AX153" s="1528"/>
      <c r="AY153" s="1528"/>
      <c r="AZ153" s="1528"/>
      <c r="BA153" s="1528"/>
      <c r="BB153" s="1528"/>
      <c r="BC153" s="1528"/>
      <c r="BD153" s="1528"/>
      <c r="BE153" s="1534"/>
    </row>
    <row r="154" spans="1:57" ht="15.75" customHeight="1">
      <c r="A154" s="1817"/>
      <c r="B154" s="1528"/>
      <c r="C154" s="2680" t="s">
        <v>2134</v>
      </c>
      <c r="D154" s="2681"/>
      <c r="E154" s="2681"/>
      <c r="F154" s="2681"/>
      <c r="G154" s="2681"/>
      <c r="H154" s="2681"/>
      <c r="I154" s="2681"/>
      <c r="J154" s="2681"/>
      <c r="K154" s="2681"/>
      <c r="L154" s="2681"/>
      <c r="M154" s="2682"/>
      <c r="N154" s="2683">
        <f>'Sources and Uses Budget'!B8</f>
        <v>9842237</v>
      </c>
      <c r="O154" s="2683"/>
      <c r="P154" s="2683"/>
      <c r="Q154" s="2683"/>
      <c r="R154" s="2683"/>
      <c r="S154" s="2683"/>
      <c r="T154" s="2684"/>
      <c r="U154" s="2675"/>
      <c r="V154" s="2676"/>
      <c r="W154" s="2676"/>
      <c r="X154" s="2676"/>
      <c r="Y154" s="2676"/>
      <c r="Z154" s="2676"/>
      <c r="AA154" s="2676"/>
      <c r="AB154" s="2676"/>
      <c r="AC154" s="2676"/>
      <c r="AD154" s="2676"/>
      <c r="AE154" s="2677"/>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680" t="s">
        <v>2135</v>
      </c>
      <c r="D155" s="2681"/>
      <c r="E155" s="2681"/>
      <c r="F155" s="2681"/>
      <c r="G155" s="2681"/>
      <c r="H155" s="2681"/>
      <c r="I155" s="2681"/>
      <c r="J155" s="2681"/>
      <c r="K155" s="2681"/>
      <c r="L155" s="2681"/>
      <c r="M155" s="2682"/>
      <c r="N155" s="2673"/>
      <c r="O155" s="2673"/>
      <c r="P155" s="2673"/>
      <c r="Q155" s="2673"/>
      <c r="R155" s="2673"/>
      <c r="S155" s="2673"/>
      <c r="T155" s="2674"/>
      <c r="U155" s="2675"/>
      <c r="V155" s="2676"/>
      <c r="W155" s="2676"/>
      <c r="X155" s="2676"/>
      <c r="Y155" s="2676"/>
      <c r="Z155" s="2676"/>
      <c r="AA155" s="2676"/>
      <c r="AB155" s="2676"/>
      <c r="AC155" s="2676"/>
      <c r="AD155" s="2676"/>
      <c r="AE155" s="2677"/>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680" t="s">
        <v>2128</v>
      </c>
      <c r="D156" s="2681"/>
      <c r="E156" s="2681"/>
      <c r="F156" s="2681"/>
      <c r="G156" s="2681"/>
      <c r="H156" s="2681"/>
      <c r="I156" s="2681"/>
      <c r="J156" s="2681"/>
      <c r="K156" s="2681"/>
      <c r="L156" s="2681"/>
      <c r="M156" s="2682"/>
      <c r="N156" s="2673"/>
      <c r="O156" s="2673"/>
      <c r="P156" s="2673"/>
      <c r="Q156" s="2673"/>
      <c r="R156" s="2673"/>
      <c r="S156" s="2673"/>
      <c r="T156" s="2674"/>
      <c r="U156" s="2675"/>
      <c r="V156" s="2676"/>
      <c r="W156" s="2676"/>
      <c r="X156" s="2676"/>
      <c r="Y156" s="2676"/>
      <c r="Z156" s="2676"/>
      <c r="AA156" s="2676"/>
      <c r="AB156" s="2676"/>
      <c r="AC156" s="2676"/>
      <c r="AD156" s="2676"/>
      <c r="AE156" s="2677"/>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669" t="s">
        <v>308</v>
      </c>
      <c r="D157" s="2670"/>
      <c r="E157" s="2671" t="s">
        <v>2118</v>
      </c>
      <c r="F157" s="2671"/>
      <c r="G157" s="2671"/>
      <c r="H157" s="2671"/>
      <c r="I157" s="2671"/>
      <c r="J157" s="2671"/>
      <c r="K157" s="2671"/>
      <c r="L157" s="2671"/>
      <c r="M157" s="2672"/>
      <c r="N157" s="2673"/>
      <c r="O157" s="2673"/>
      <c r="P157" s="2673"/>
      <c r="Q157" s="2673"/>
      <c r="R157" s="2673"/>
      <c r="S157" s="2673"/>
      <c r="T157" s="2674"/>
      <c r="U157" s="2675"/>
      <c r="V157" s="2676"/>
      <c r="W157" s="2676"/>
      <c r="X157" s="2676"/>
      <c r="Y157" s="2676"/>
      <c r="Z157" s="2676"/>
      <c r="AA157" s="2676"/>
      <c r="AB157" s="2676"/>
      <c r="AC157" s="2676"/>
      <c r="AD157" s="2676"/>
      <c r="AE157" s="2677"/>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678" t="s">
        <v>308</v>
      </c>
      <c r="D158" s="2679"/>
      <c r="E158" s="2671" t="s">
        <v>2118</v>
      </c>
      <c r="F158" s="2671"/>
      <c r="G158" s="2671"/>
      <c r="H158" s="2671"/>
      <c r="I158" s="2671"/>
      <c r="J158" s="2671"/>
      <c r="K158" s="2671"/>
      <c r="L158" s="2671"/>
      <c r="M158" s="2672"/>
      <c r="N158" s="2673"/>
      <c r="O158" s="2673"/>
      <c r="P158" s="2673"/>
      <c r="Q158" s="2673"/>
      <c r="R158" s="2673"/>
      <c r="S158" s="2673"/>
      <c r="T158" s="2674"/>
      <c r="U158" s="2675"/>
      <c r="V158" s="2676"/>
      <c r="W158" s="2676"/>
      <c r="X158" s="2676"/>
      <c r="Y158" s="2676"/>
      <c r="Z158" s="2676"/>
      <c r="AA158" s="2676"/>
      <c r="AB158" s="2676"/>
      <c r="AC158" s="2676"/>
      <c r="AD158" s="2676"/>
      <c r="AE158" s="2677"/>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654" t="s">
        <v>308</v>
      </c>
      <c r="D159" s="2655"/>
      <c r="E159" s="2656" t="s">
        <v>2118</v>
      </c>
      <c r="F159" s="2656"/>
      <c r="G159" s="2656"/>
      <c r="H159" s="2656"/>
      <c r="I159" s="2656"/>
      <c r="J159" s="2656"/>
      <c r="K159" s="2656"/>
      <c r="L159" s="2656"/>
      <c r="M159" s="2657"/>
      <c r="N159" s="2658"/>
      <c r="O159" s="2658"/>
      <c r="P159" s="2658"/>
      <c r="Q159" s="2658"/>
      <c r="R159" s="2658"/>
      <c r="S159" s="2658"/>
      <c r="T159" s="2659"/>
      <c r="U159" s="2660"/>
      <c r="V159" s="2661"/>
      <c r="W159" s="2661"/>
      <c r="X159" s="2661"/>
      <c r="Y159" s="2661"/>
      <c r="Z159" s="2661"/>
      <c r="AA159" s="2661"/>
      <c r="AB159" s="2661"/>
      <c r="AC159" s="2661"/>
      <c r="AD159" s="2661"/>
      <c r="AE159" s="2662"/>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663" t="s">
        <v>2136</v>
      </c>
      <c r="D160" s="2664"/>
      <c r="E160" s="2664"/>
      <c r="F160" s="2664"/>
      <c r="G160" s="2664"/>
      <c r="H160" s="2664"/>
      <c r="I160" s="2664"/>
      <c r="J160" s="2664"/>
      <c r="K160" s="2664"/>
      <c r="L160" s="2664"/>
      <c r="M160" s="2665"/>
      <c r="N160" s="2666">
        <f>SUM(N152:T159)</f>
        <v>12721423</v>
      </c>
      <c r="O160" s="2667"/>
      <c r="P160" s="2667"/>
      <c r="Q160" s="2667"/>
      <c r="R160" s="2667"/>
      <c r="S160" s="2667"/>
      <c r="T160" s="2668"/>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641" t="s">
        <v>2137</v>
      </c>
      <c r="D161" s="2642"/>
      <c r="E161" s="2642"/>
      <c r="F161" s="2642"/>
      <c r="G161" s="2642"/>
      <c r="H161" s="2642"/>
      <c r="I161" s="2642"/>
      <c r="J161" s="2642"/>
      <c r="K161" s="2642"/>
      <c r="L161" s="2642"/>
      <c r="M161" s="2642"/>
      <c r="N161" s="2643">
        <f>(N150-N160)/J29</f>
        <v>-83095.191011235962</v>
      </c>
      <c r="O161" s="2643"/>
      <c r="P161" s="2643"/>
      <c r="Q161" s="2643"/>
      <c r="R161" s="2643"/>
      <c r="S161" s="2643"/>
      <c r="T161" s="2644"/>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645" t="s">
        <v>2138</v>
      </c>
      <c r="C164" s="2646"/>
      <c r="D164" s="2646"/>
      <c r="E164" s="2646"/>
      <c r="F164" s="2646"/>
      <c r="G164" s="2646"/>
      <c r="H164" s="2646"/>
      <c r="I164" s="2646"/>
      <c r="J164" s="2646"/>
      <c r="K164" s="2646"/>
      <c r="L164" s="2646"/>
      <c r="M164" s="2646"/>
      <c r="N164" s="2646"/>
      <c r="O164" s="2646"/>
      <c r="P164" s="2646"/>
      <c r="Q164" s="2646"/>
      <c r="R164" s="2646"/>
      <c r="S164" s="2646"/>
      <c r="T164" s="2646"/>
      <c r="U164" s="2646"/>
      <c r="V164" s="2646"/>
      <c r="W164" s="2646"/>
      <c r="X164" s="2646"/>
      <c r="Y164" s="2646"/>
      <c r="Z164" s="2646"/>
      <c r="AA164" s="2646"/>
      <c r="AB164" s="2646"/>
      <c r="AC164" s="2646"/>
      <c r="AD164" s="2646"/>
      <c r="AE164" s="2646"/>
      <c r="AF164" s="2646"/>
      <c r="AG164" s="2646"/>
      <c r="AH164" s="2646"/>
      <c r="AI164" s="2646"/>
      <c r="AJ164" s="2646"/>
      <c r="AK164" s="2646"/>
      <c r="AL164" s="2646"/>
      <c r="AM164" s="2646"/>
      <c r="AN164" s="2646"/>
      <c r="AO164" s="2646"/>
      <c r="AP164" s="2646"/>
      <c r="AQ164" s="2646"/>
      <c r="AR164" s="2646"/>
      <c r="AS164" s="2646"/>
      <c r="AT164" s="2646"/>
      <c r="AU164" s="2646"/>
      <c r="AV164" s="2646"/>
      <c r="AW164" s="2646"/>
      <c r="AX164" s="2646"/>
      <c r="AY164" s="2646"/>
      <c r="AZ164" s="2646"/>
      <c r="BA164" s="2646"/>
      <c r="BB164" s="2646"/>
      <c r="BC164" s="2646"/>
      <c r="BD164" s="2647"/>
      <c r="BE164" s="1534"/>
    </row>
    <row r="165" spans="1:57" ht="15.75" customHeight="1">
      <c r="A165" s="1817"/>
      <c r="B165" s="2648"/>
      <c r="C165" s="2649"/>
      <c r="D165" s="2649"/>
      <c r="E165" s="2649"/>
      <c r="F165" s="2649"/>
      <c r="G165" s="2649"/>
      <c r="H165" s="2649"/>
      <c r="I165" s="2649"/>
      <c r="J165" s="2649"/>
      <c r="K165" s="2649"/>
      <c r="L165" s="2649"/>
      <c r="M165" s="2649"/>
      <c r="N165" s="2649"/>
      <c r="O165" s="2649"/>
      <c r="P165" s="2649"/>
      <c r="Q165" s="2649"/>
      <c r="R165" s="2649"/>
      <c r="S165" s="2649"/>
      <c r="T165" s="2649"/>
      <c r="U165" s="2649"/>
      <c r="V165" s="2649"/>
      <c r="W165" s="2649"/>
      <c r="X165" s="2649"/>
      <c r="Y165" s="2649"/>
      <c r="Z165" s="2649"/>
      <c r="AA165" s="2649"/>
      <c r="AB165" s="2649"/>
      <c r="AC165" s="2649"/>
      <c r="AD165" s="2649"/>
      <c r="AE165" s="2649"/>
      <c r="AF165" s="2649"/>
      <c r="AG165" s="2649"/>
      <c r="AH165" s="2649"/>
      <c r="AI165" s="2649"/>
      <c r="AJ165" s="2649"/>
      <c r="AK165" s="2649"/>
      <c r="AL165" s="2649"/>
      <c r="AM165" s="2649"/>
      <c r="AN165" s="2649"/>
      <c r="AO165" s="2649"/>
      <c r="AP165" s="2649"/>
      <c r="AQ165" s="2649"/>
      <c r="AR165" s="2649"/>
      <c r="AS165" s="2649"/>
      <c r="AT165" s="2649"/>
      <c r="AU165" s="2649"/>
      <c r="AV165" s="2649"/>
      <c r="AW165" s="2649"/>
      <c r="AX165" s="2649"/>
      <c r="AY165" s="2649"/>
      <c r="AZ165" s="2649"/>
      <c r="BA165" s="2649"/>
      <c r="BB165" s="2649"/>
      <c r="BC165" s="2649"/>
      <c r="BD165" s="2650"/>
      <c r="BE165" s="1534"/>
    </row>
    <row r="166" spans="1:57" ht="15.75" customHeight="1">
      <c r="A166" s="1817"/>
      <c r="B166" s="2651" t="s">
        <v>2139</v>
      </c>
      <c r="C166" s="2652"/>
      <c r="D166" s="2652"/>
      <c r="E166" s="2652"/>
      <c r="F166" s="2652"/>
      <c r="G166" s="2652"/>
      <c r="H166" s="2652"/>
      <c r="I166" s="2652"/>
      <c r="J166" s="2652"/>
      <c r="K166" s="2652"/>
      <c r="L166" s="2652"/>
      <c r="M166" s="2652"/>
      <c r="N166" s="2652"/>
      <c r="O166" s="2652"/>
      <c r="P166" s="2652"/>
      <c r="Q166" s="2652"/>
      <c r="R166" s="2652"/>
      <c r="S166" s="2652"/>
      <c r="T166" s="2652"/>
      <c r="U166" s="2652"/>
      <c r="V166" s="2652"/>
      <c r="W166" s="2652"/>
      <c r="X166" s="2652"/>
      <c r="Y166" s="2652"/>
      <c r="Z166" s="2652"/>
      <c r="AA166" s="2652"/>
      <c r="AB166" s="2652"/>
      <c r="AC166" s="2652"/>
      <c r="AD166" s="2652"/>
      <c r="AE166" s="2652"/>
      <c r="AF166" s="2652"/>
      <c r="AG166" s="2652"/>
      <c r="AH166" s="2652"/>
      <c r="AI166" s="2652"/>
      <c r="AJ166" s="2652"/>
      <c r="AK166" s="2652"/>
      <c r="AL166" s="2652"/>
      <c r="AM166" s="2652"/>
      <c r="AN166" s="2652"/>
      <c r="AO166" s="2652"/>
      <c r="AP166" s="2652"/>
      <c r="AQ166" s="2652"/>
      <c r="AR166" s="2652"/>
      <c r="AS166" s="2652"/>
      <c r="AT166" s="2652"/>
      <c r="AU166" s="2652"/>
      <c r="AV166" s="2652"/>
      <c r="AW166" s="2652"/>
      <c r="AX166" s="2652"/>
      <c r="AY166" s="2652"/>
      <c r="AZ166" s="2652"/>
      <c r="BA166" s="2652"/>
      <c r="BB166" s="2652"/>
      <c r="BC166" s="2652"/>
      <c r="BD166" s="2653"/>
      <c r="BE166" s="1534"/>
    </row>
    <row r="167" spans="1:57" ht="15.75" customHeight="1">
      <c r="A167" s="1817"/>
      <c r="B167" s="2651" t="s">
        <v>2140</v>
      </c>
      <c r="C167" s="2652"/>
      <c r="D167" s="2652"/>
      <c r="E167" s="2652"/>
      <c r="F167" s="2652"/>
      <c r="G167" s="2652"/>
      <c r="H167" s="2652"/>
      <c r="I167" s="2652"/>
      <c r="J167" s="2652"/>
      <c r="K167" s="2652"/>
      <c r="L167" s="2652"/>
      <c r="M167" s="2652"/>
      <c r="N167" s="2652"/>
      <c r="O167" s="2652"/>
      <c r="P167" s="2652"/>
      <c r="Q167" s="2652"/>
      <c r="R167" s="2652"/>
      <c r="S167" s="2652"/>
      <c r="T167" s="2652"/>
      <c r="U167" s="2652"/>
      <c r="V167" s="2652"/>
      <c r="W167" s="2652"/>
      <c r="X167" s="2652"/>
      <c r="Y167" s="2652"/>
      <c r="Z167" s="2652"/>
      <c r="AA167" s="2652"/>
      <c r="AB167" s="2652"/>
      <c r="AC167" s="2652"/>
      <c r="AD167" s="2652"/>
      <c r="AE167" s="2652"/>
      <c r="AF167" s="2652"/>
      <c r="AG167" s="2652"/>
      <c r="AH167" s="2652"/>
      <c r="AI167" s="2652"/>
      <c r="AJ167" s="2652"/>
      <c r="AK167" s="2652"/>
      <c r="AL167" s="2652"/>
      <c r="AM167" s="2652"/>
      <c r="AN167" s="2652"/>
      <c r="AO167" s="2652"/>
      <c r="AP167" s="2652"/>
      <c r="AQ167" s="2652"/>
      <c r="AR167" s="2652"/>
      <c r="AS167" s="2652"/>
      <c r="AT167" s="2652"/>
      <c r="AU167" s="2652"/>
      <c r="AV167" s="2652"/>
      <c r="AW167" s="2652"/>
      <c r="AX167" s="2652"/>
      <c r="AY167" s="2652"/>
      <c r="AZ167" s="2652"/>
      <c r="BA167" s="2652"/>
      <c r="BB167" s="2652"/>
      <c r="BC167" s="2652"/>
      <c r="BD167" s="2653"/>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635" t="s">
        <v>2141</v>
      </c>
      <c r="C169" s="2636"/>
      <c r="D169" s="2636"/>
      <c r="E169" s="2636"/>
      <c r="F169" s="2636"/>
      <c r="G169" s="2636"/>
      <c r="H169" s="2636"/>
      <c r="I169" s="2636"/>
      <c r="J169" s="2636"/>
      <c r="K169" s="2636"/>
      <c r="L169" s="2636"/>
      <c r="M169" s="2636"/>
      <c r="N169" s="2636"/>
      <c r="O169" s="2636"/>
      <c r="P169" s="2636"/>
      <c r="Q169" s="2636"/>
      <c r="R169" s="2636"/>
      <c r="S169" s="2636"/>
      <c r="T169" s="2636"/>
      <c r="U169" s="2636"/>
      <c r="V169" s="2636"/>
      <c r="W169" s="2636"/>
      <c r="X169" s="2636"/>
      <c r="Y169" s="2636"/>
      <c r="Z169" s="2636"/>
      <c r="AA169" s="2636"/>
      <c r="AB169" s="2636"/>
      <c r="AC169" s="2636"/>
      <c r="AD169" s="2636"/>
      <c r="AE169" s="2636"/>
      <c r="AF169" s="2636"/>
      <c r="AG169" s="2636"/>
      <c r="AH169" s="2636"/>
      <c r="AI169" s="2636"/>
      <c r="AJ169" s="2636"/>
      <c r="AK169" s="2636"/>
      <c r="AL169" s="2636"/>
      <c r="AM169" s="2636"/>
      <c r="AN169" s="2636"/>
      <c r="AO169" s="2636"/>
      <c r="AP169" s="2636"/>
      <c r="AQ169" s="2636"/>
      <c r="AR169" s="2636"/>
      <c r="AS169" s="2636"/>
      <c r="AT169" s="2636"/>
      <c r="AU169" s="2636"/>
      <c r="AV169" s="2636"/>
      <c r="AW169" s="2636"/>
      <c r="AX169" s="2636"/>
      <c r="AY169" s="2636"/>
      <c r="AZ169" s="2636"/>
      <c r="BA169" s="2636"/>
      <c r="BB169" s="2636"/>
      <c r="BC169" s="2636"/>
      <c r="BD169" s="2637"/>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2142</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638" t="s">
        <v>2143</v>
      </c>
      <c r="I173" s="2638"/>
      <c r="J173" s="2638"/>
      <c r="K173" s="2638"/>
      <c r="L173" s="2638"/>
      <c r="M173" s="2638"/>
      <c r="N173" s="2638"/>
      <c r="O173" s="2638"/>
      <c r="P173" s="2638"/>
      <c r="Q173" s="2638"/>
      <c r="R173" s="2638"/>
      <c r="S173" s="2638"/>
      <c r="T173" s="2638"/>
      <c r="U173" s="2638"/>
      <c r="V173" s="2638"/>
      <c r="W173" s="2638"/>
      <c r="X173" s="2638"/>
      <c r="Y173" s="2638"/>
      <c r="Z173" s="2638"/>
      <c r="AA173" s="2638"/>
      <c r="AB173" s="2638"/>
      <c r="AC173" s="2638"/>
      <c r="AD173" s="2638"/>
      <c r="AE173" s="2638"/>
      <c r="AF173" s="2638"/>
      <c r="AG173" s="2638"/>
      <c r="AH173" s="2638"/>
      <c r="AI173" s="2638"/>
      <c r="AJ173" s="2638"/>
      <c r="AK173" s="2638"/>
      <c r="AL173" s="2638"/>
      <c r="AM173" s="2638"/>
      <c r="AN173" s="2638"/>
      <c r="AO173" s="2638"/>
      <c r="AP173" s="2638"/>
      <c r="AQ173" s="2638"/>
      <c r="AR173" s="2638"/>
      <c r="AS173" s="2638"/>
      <c r="AT173" s="2638"/>
      <c r="AU173" s="2638"/>
      <c r="AV173" s="2638"/>
      <c r="AW173" s="2638"/>
      <c r="AX173" s="2638"/>
      <c r="AY173" s="2638"/>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639" t="s">
        <v>2144</v>
      </c>
      <c r="I175" s="2639"/>
      <c r="J175" s="2639"/>
      <c r="K175" s="2639"/>
      <c r="L175" s="2639"/>
      <c r="M175" s="2639"/>
      <c r="N175" s="2639"/>
      <c r="O175" s="2639"/>
      <c r="P175" s="2639"/>
      <c r="Q175" s="2639"/>
      <c r="R175" s="2639"/>
      <c r="S175" s="2639"/>
      <c r="T175" s="2639"/>
      <c r="U175" s="2639"/>
      <c r="V175" s="2639"/>
      <c r="W175" s="2639"/>
      <c r="X175" s="2639"/>
      <c r="Y175" s="2639"/>
      <c r="Z175" s="2639"/>
      <c r="AA175" s="2639"/>
      <c r="AB175" s="2639"/>
      <c r="AC175" s="2639"/>
      <c r="AD175" s="2639"/>
      <c r="AE175" s="2639"/>
      <c r="AF175" s="2639"/>
      <c r="AG175" s="2639"/>
      <c r="AH175" s="2639"/>
      <c r="AI175" s="2639"/>
      <c r="AJ175" s="2639"/>
      <c r="AK175" s="2639"/>
      <c r="AL175" s="2639"/>
      <c r="AM175" s="2639"/>
      <c r="AN175" s="2639"/>
      <c r="AO175" s="2639"/>
      <c r="AP175" s="2639"/>
      <c r="AQ175" s="2639"/>
      <c r="AR175" s="2639"/>
      <c r="AS175" s="2639"/>
      <c r="AT175" s="2639"/>
      <c r="AU175" s="2639"/>
      <c r="AV175" s="2639"/>
      <c r="AW175" s="2639"/>
      <c r="AX175" s="2639"/>
      <c r="AY175" s="2639"/>
      <c r="AZ175" s="2639"/>
      <c r="BA175" s="1554"/>
      <c r="BB175" s="1554"/>
      <c r="BC175" s="1554"/>
      <c r="BD175" s="1534"/>
      <c r="BE175" s="1534"/>
    </row>
    <row r="176" spans="1:57" ht="15.75" customHeight="1">
      <c r="A176" s="1817"/>
      <c r="B176" s="1527"/>
      <c r="C176" s="1554"/>
      <c r="D176" s="1554"/>
      <c r="E176" s="1554"/>
      <c r="F176" s="1554"/>
      <c r="G176" s="1554"/>
      <c r="H176" s="2639"/>
      <c r="I176" s="2639"/>
      <c r="J176" s="2639"/>
      <c r="K176" s="2639"/>
      <c r="L176" s="2639"/>
      <c r="M176" s="2639"/>
      <c r="N176" s="2639"/>
      <c r="O176" s="2639"/>
      <c r="P176" s="2639"/>
      <c r="Q176" s="2639"/>
      <c r="R176" s="2639"/>
      <c r="S176" s="2639"/>
      <c r="T176" s="2639"/>
      <c r="U176" s="2639"/>
      <c r="V176" s="2639"/>
      <c r="W176" s="2639"/>
      <c r="X176" s="2639"/>
      <c r="Y176" s="2639"/>
      <c r="Z176" s="2639"/>
      <c r="AA176" s="2639"/>
      <c r="AB176" s="2639"/>
      <c r="AC176" s="2639"/>
      <c r="AD176" s="2639"/>
      <c r="AE176" s="2639"/>
      <c r="AF176" s="2639"/>
      <c r="AG176" s="2639"/>
      <c r="AH176" s="2639"/>
      <c r="AI176" s="2639"/>
      <c r="AJ176" s="2639"/>
      <c r="AK176" s="2639"/>
      <c r="AL176" s="2639"/>
      <c r="AM176" s="2639"/>
      <c r="AN176" s="2639"/>
      <c r="AO176" s="2639"/>
      <c r="AP176" s="2639"/>
      <c r="AQ176" s="2639"/>
      <c r="AR176" s="2639"/>
      <c r="AS176" s="2639"/>
      <c r="AT176" s="2639"/>
      <c r="AU176" s="2639"/>
      <c r="AV176" s="2639"/>
      <c r="AW176" s="2639"/>
      <c r="AX176" s="2639"/>
      <c r="AY176" s="2639"/>
      <c r="AZ176" s="2639"/>
      <c r="BA176" s="1554"/>
      <c r="BB176" s="1554"/>
      <c r="BC176" s="1554"/>
      <c r="BD176" s="1534"/>
      <c r="BE176" s="1534"/>
    </row>
    <row r="177" spans="1:57" ht="15.75" customHeight="1">
      <c r="A177" s="1817"/>
      <c r="B177" s="1527"/>
      <c r="C177" s="1554"/>
      <c r="D177" s="1554"/>
      <c r="E177" s="1554"/>
      <c r="F177" s="1554"/>
      <c r="G177" s="1554"/>
      <c r="H177" s="2639"/>
      <c r="I177" s="2639"/>
      <c r="J177" s="2639"/>
      <c r="K177" s="2639"/>
      <c r="L177" s="2639"/>
      <c r="M177" s="2639"/>
      <c r="N177" s="2639"/>
      <c r="O177" s="2639"/>
      <c r="P177" s="2639"/>
      <c r="Q177" s="2639"/>
      <c r="R177" s="2639"/>
      <c r="S177" s="2639"/>
      <c r="T177" s="2639"/>
      <c r="U177" s="2639"/>
      <c r="V177" s="2639"/>
      <c r="W177" s="2639"/>
      <c r="X177" s="2639"/>
      <c r="Y177" s="2639"/>
      <c r="Z177" s="2639"/>
      <c r="AA177" s="2639"/>
      <c r="AB177" s="2639"/>
      <c r="AC177" s="2639"/>
      <c r="AD177" s="2639"/>
      <c r="AE177" s="2639"/>
      <c r="AF177" s="2639"/>
      <c r="AG177" s="2639"/>
      <c r="AH177" s="2639"/>
      <c r="AI177" s="2639"/>
      <c r="AJ177" s="2639"/>
      <c r="AK177" s="2639"/>
      <c r="AL177" s="2639"/>
      <c r="AM177" s="2639"/>
      <c r="AN177" s="2639"/>
      <c r="AO177" s="2639"/>
      <c r="AP177" s="2639"/>
      <c r="AQ177" s="2639"/>
      <c r="AR177" s="2639"/>
      <c r="AS177" s="2639"/>
      <c r="AT177" s="2639"/>
      <c r="AU177" s="2639"/>
      <c r="AV177" s="2639"/>
      <c r="AW177" s="2639"/>
      <c r="AX177" s="2639"/>
      <c r="AY177" s="2639"/>
      <c r="AZ177" s="2639"/>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640" t="s">
        <v>2145</v>
      </c>
      <c r="I180" s="2640"/>
      <c r="J180" s="2640"/>
      <c r="K180" s="2640"/>
      <c r="L180" s="2640"/>
      <c r="M180" s="2640"/>
      <c r="N180" s="2640"/>
      <c r="O180" s="2640"/>
      <c r="P180" s="2640"/>
      <c r="Q180" s="2640"/>
      <c r="R180" s="2640"/>
      <c r="S180" s="2640"/>
      <c r="T180" s="2640"/>
      <c r="U180" s="2640"/>
      <c r="V180" s="2640"/>
      <c r="W180" s="2640"/>
      <c r="X180" s="2640"/>
      <c r="Y180" s="2640"/>
      <c r="Z180" s="2640"/>
      <c r="AA180" s="2640"/>
      <c r="AB180" s="2640"/>
      <c r="AC180" s="2640"/>
      <c r="AD180" s="2640"/>
      <c r="AE180" s="2640"/>
      <c r="AF180" s="2640"/>
      <c r="AG180" s="2640"/>
      <c r="AH180" s="2640"/>
      <c r="AI180" s="2640"/>
      <c r="AJ180" s="2640"/>
      <c r="AK180" s="2640"/>
      <c r="AL180" s="2640"/>
      <c r="AM180" s="2640"/>
      <c r="AN180" s="2640"/>
      <c r="AO180" s="2640"/>
      <c r="AP180" s="2640"/>
      <c r="AQ180" s="2640"/>
      <c r="AR180" s="2640"/>
      <c r="AS180" s="2640"/>
      <c r="AT180" s="2640"/>
      <c r="AU180" s="2640"/>
      <c r="AV180" s="2640"/>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633" t="s">
        <v>2146</v>
      </c>
      <c r="I182" s="2633"/>
      <c r="J182" s="2633"/>
      <c r="K182" s="2633"/>
      <c r="L182" s="1563"/>
      <c r="M182" s="1563"/>
      <c r="N182" s="1563"/>
      <c r="O182" s="1563"/>
      <c r="P182" s="1563"/>
      <c r="Q182" s="1563"/>
      <c r="R182" s="1563"/>
      <c r="S182" s="2630"/>
      <c r="T182" s="2631"/>
      <c r="U182" s="2631"/>
      <c r="V182" s="2631"/>
      <c r="W182" s="2631"/>
      <c r="X182" s="2631"/>
      <c r="Y182" s="2631"/>
      <c r="Z182" s="2631"/>
      <c r="AA182" s="2631"/>
      <c r="AB182" s="2631"/>
      <c r="AC182" s="2631"/>
      <c r="AD182" s="2631"/>
      <c r="AE182" s="2631"/>
      <c r="AF182" s="2631"/>
      <c r="AG182" s="2631"/>
      <c r="AH182" s="2631"/>
      <c r="AI182" s="2631"/>
      <c r="AJ182" s="2632"/>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633" t="s">
        <v>2147</v>
      </c>
      <c r="I184" s="2633"/>
      <c r="J184" s="2633"/>
      <c r="K184" s="1565"/>
      <c r="L184" s="1563"/>
      <c r="M184" s="1563"/>
      <c r="N184" s="1563"/>
      <c r="O184" s="1563"/>
      <c r="P184" s="1563"/>
      <c r="Q184" s="1563"/>
      <c r="R184" s="1563"/>
      <c r="S184" s="2630"/>
      <c r="T184" s="2631"/>
      <c r="U184" s="2631"/>
      <c r="V184" s="2631"/>
      <c r="W184" s="2631"/>
      <c r="X184" s="2631"/>
      <c r="Y184" s="2631"/>
      <c r="Z184" s="2631"/>
      <c r="AA184" s="2631"/>
      <c r="AB184" s="2631"/>
      <c r="AC184" s="2631"/>
      <c r="AD184" s="2631"/>
      <c r="AE184" s="2631"/>
      <c r="AF184" s="2631"/>
      <c r="AG184" s="2631"/>
      <c r="AH184" s="2631"/>
      <c r="AI184" s="2631"/>
      <c r="AJ184" s="2632"/>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633" t="s">
        <v>463</v>
      </c>
      <c r="I186" s="2633"/>
      <c r="J186" s="1565"/>
      <c r="K186" s="1565"/>
      <c r="L186" s="1563"/>
      <c r="M186" s="1563"/>
      <c r="N186" s="1563"/>
      <c r="O186" s="1563"/>
      <c r="P186" s="1563"/>
      <c r="Q186" s="1563"/>
      <c r="R186" s="1563"/>
      <c r="S186" s="2630"/>
      <c r="T186" s="2631"/>
      <c r="U186" s="2631"/>
      <c r="V186" s="2631"/>
      <c r="W186" s="2631"/>
      <c r="X186" s="2631"/>
      <c r="Y186" s="2631"/>
      <c r="Z186" s="2631"/>
      <c r="AA186" s="2631"/>
      <c r="AB186" s="2631"/>
      <c r="AC186" s="2631"/>
      <c r="AD186" s="2631"/>
      <c r="AE186" s="2631"/>
      <c r="AF186" s="2631"/>
      <c r="AG186" s="2631"/>
      <c r="AH186" s="2631"/>
      <c r="AI186" s="2631"/>
      <c r="AJ186" s="2632"/>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634" t="s">
        <v>2148</v>
      </c>
      <c r="I188" s="2634"/>
      <c r="J188" s="2634"/>
      <c r="K188" s="2634"/>
      <c r="L188" s="2634"/>
      <c r="M188" s="2634"/>
      <c r="N188" s="2634"/>
      <c r="O188" s="2634"/>
      <c r="P188" s="1563"/>
      <c r="Q188" s="1563"/>
      <c r="R188" s="1563"/>
      <c r="S188" s="2630"/>
      <c r="T188" s="2631"/>
      <c r="U188" s="2631"/>
      <c r="V188" s="2631"/>
      <c r="W188" s="2631"/>
      <c r="X188" s="2631"/>
      <c r="Y188" s="2631"/>
      <c r="Z188" s="2631"/>
      <c r="AA188" s="2631"/>
      <c r="AB188" s="2631"/>
      <c r="AC188" s="2631"/>
      <c r="AD188" s="2631"/>
      <c r="AE188" s="2631"/>
      <c r="AF188" s="2631"/>
      <c r="AG188" s="2631"/>
      <c r="AH188" s="2631"/>
      <c r="AI188" s="2631"/>
      <c r="AJ188" s="2632"/>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629" t="s">
        <v>2149</v>
      </c>
      <c r="I190" s="2629"/>
      <c r="J190" s="1563"/>
      <c r="K190" s="1563"/>
      <c r="L190" s="1563"/>
      <c r="M190" s="1563"/>
      <c r="N190" s="1563"/>
      <c r="O190" s="1563"/>
      <c r="P190" s="1563"/>
      <c r="Q190" s="1563"/>
      <c r="R190" s="1563"/>
      <c r="S190" s="2630"/>
      <c r="T190" s="2631"/>
      <c r="U190" s="2631"/>
      <c r="V190" s="2631"/>
      <c r="W190" s="2631"/>
      <c r="X190" s="2631"/>
      <c r="Y190" s="2631"/>
      <c r="Z190" s="2631"/>
      <c r="AA190" s="2631"/>
      <c r="AB190" s="2631"/>
      <c r="AC190" s="2631"/>
      <c r="AD190" s="2631"/>
      <c r="AE190" s="2631"/>
      <c r="AF190" s="2631"/>
      <c r="AG190" s="2631"/>
      <c r="AH190" s="2631"/>
      <c r="AI190" s="2631"/>
      <c r="AJ190" s="2632"/>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89" zoomScaleNormal="100" zoomScaleSheetLayoutView="100" workbookViewId="0">
      <selection activeCell="E442" sqref="E442:AC444"/>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63" t="s">
        <v>1558</v>
      </c>
      <c r="B1" s="3063"/>
      <c r="C1" s="3063"/>
      <c r="D1" s="3063"/>
      <c r="E1" s="3063"/>
      <c r="F1" s="3063"/>
      <c r="G1" s="3063"/>
      <c r="H1" s="3063"/>
      <c r="I1" s="3063"/>
      <c r="J1" s="3063"/>
      <c r="K1" s="3063"/>
      <c r="L1" s="3063"/>
      <c r="M1" s="3063"/>
      <c r="N1" s="3063"/>
      <c r="O1" s="3063"/>
      <c r="P1" s="3063"/>
      <c r="Q1" s="3063"/>
      <c r="R1" s="3063"/>
      <c r="S1" s="3063"/>
      <c r="T1" s="3063"/>
      <c r="U1" s="3063"/>
      <c r="V1" s="3063"/>
      <c r="W1" s="3063"/>
      <c r="X1" s="3063"/>
      <c r="Y1" s="3063"/>
      <c r="Z1" s="3063"/>
      <c r="AA1" s="3063"/>
      <c r="AB1" s="3063"/>
      <c r="AC1" s="3063"/>
      <c r="AD1" s="3063"/>
      <c r="AE1" s="3063"/>
      <c r="AF1" s="3063"/>
      <c r="AG1" s="3063"/>
      <c r="AH1" s="3063"/>
      <c r="AI1" s="3063"/>
      <c r="AJ1" s="3063"/>
      <c r="AK1" s="3063"/>
      <c r="AL1" s="3063"/>
      <c r="AM1" s="3063"/>
    </row>
    <row r="2" spans="1:42" s="927" customFormat="1" ht="12.75" customHeight="1" thickBot="1">
      <c r="A2" s="3064"/>
      <c r="B2" s="3064"/>
      <c r="C2" s="3064"/>
      <c r="D2" s="3064"/>
      <c r="E2" s="3064"/>
      <c r="F2" s="3064"/>
      <c r="G2" s="3064"/>
      <c r="H2" s="3064"/>
      <c r="I2" s="3064"/>
      <c r="J2" s="3064"/>
      <c r="K2" s="3064"/>
      <c r="L2" s="3064"/>
      <c r="M2" s="3064"/>
      <c r="N2" s="3064"/>
      <c r="O2" s="3064"/>
      <c r="P2" s="3064"/>
      <c r="Q2" s="3064"/>
      <c r="R2" s="3064"/>
      <c r="S2" s="3064"/>
      <c r="T2" s="3064"/>
      <c r="U2" s="3064"/>
      <c r="V2" s="3064"/>
      <c r="W2" s="3064"/>
      <c r="X2" s="3064"/>
      <c r="Y2" s="3064"/>
      <c r="Z2" s="3064"/>
      <c r="AA2" s="3064"/>
      <c r="AB2" s="3064"/>
      <c r="AC2" s="3064"/>
      <c r="AD2" s="3064"/>
      <c r="AE2" s="3064"/>
      <c r="AF2" s="3064"/>
      <c r="AG2" s="3064"/>
      <c r="AH2" s="3064"/>
      <c r="AI2" s="3064"/>
      <c r="AJ2" s="3064"/>
      <c r="AK2" s="3064"/>
      <c r="AL2" s="3064"/>
      <c r="AM2" s="3064"/>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52" t="s">
        <v>1563</v>
      </c>
      <c r="AF7" s="3052"/>
      <c r="AG7" s="3052"/>
      <c r="AH7" s="3052"/>
      <c r="AI7" s="3052"/>
      <c r="AJ7" s="3052"/>
      <c r="AK7" s="3052"/>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36" t="s">
        <v>625</v>
      </c>
      <c r="C12" s="3036"/>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65"/>
      <c r="AH12" s="3065"/>
      <c r="AI12" s="3065"/>
      <c r="AJ12" s="3066"/>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36" t="s">
        <v>625</v>
      </c>
      <c r="C15" s="3036"/>
      <c r="D15" s="940"/>
      <c r="E15" s="3053" t="s">
        <v>1566</v>
      </c>
      <c r="F15" s="3054"/>
      <c r="G15" s="3054"/>
      <c r="H15" s="3054"/>
      <c r="I15" s="3054"/>
      <c r="J15" s="3054"/>
      <c r="K15" s="3054"/>
      <c r="L15" s="3054"/>
      <c r="M15" s="3054"/>
      <c r="N15" s="3054"/>
      <c r="O15" s="3054"/>
      <c r="P15" s="3054"/>
      <c r="Q15" s="3054"/>
      <c r="R15" s="3054"/>
      <c r="S15" s="3054"/>
      <c r="T15" s="3054"/>
      <c r="U15" s="3054"/>
      <c r="V15" s="3054"/>
      <c r="W15" s="3054"/>
      <c r="X15" s="3054"/>
      <c r="Y15" s="3054"/>
      <c r="Z15" s="3054"/>
      <c r="AA15" s="3054"/>
      <c r="AB15" s="3054"/>
      <c r="AC15" s="3054"/>
      <c r="AD15" s="3054"/>
      <c r="AE15" s="3054"/>
      <c r="AF15" s="3054"/>
      <c r="AG15" s="3054"/>
      <c r="AH15" s="3054"/>
      <c r="AI15" s="3054"/>
      <c r="AJ15" s="3055"/>
      <c r="AK15" s="933"/>
      <c r="AL15" s="933"/>
      <c r="AM15" s="933"/>
      <c r="AN15" s="929"/>
      <c r="AO15" s="943">
        <f>IF($B24="yes",20,0)</f>
        <v>0</v>
      </c>
      <c r="AP15" s="51"/>
    </row>
    <row r="16" spans="1:42" s="930" customFormat="1" ht="12.75" customHeight="1">
      <c r="A16" s="933"/>
      <c r="B16" s="933"/>
      <c r="C16" s="933"/>
      <c r="D16" s="944"/>
      <c r="E16" s="3056"/>
      <c r="F16" s="3057"/>
      <c r="G16" s="3057"/>
      <c r="H16" s="3057"/>
      <c r="I16" s="3057"/>
      <c r="J16" s="3057"/>
      <c r="K16" s="3057"/>
      <c r="L16" s="3057"/>
      <c r="M16" s="3057"/>
      <c r="N16" s="3057"/>
      <c r="O16" s="3057"/>
      <c r="P16" s="3057"/>
      <c r="Q16" s="3057"/>
      <c r="R16" s="3057"/>
      <c r="S16" s="3057"/>
      <c r="T16" s="3057"/>
      <c r="U16" s="3057"/>
      <c r="V16" s="3057"/>
      <c r="W16" s="3057"/>
      <c r="X16" s="3057"/>
      <c r="Y16" s="3057"/>
      <c r="Z16" s="3057"/>
      <c r="AA16" s="3057"/>
      <c r="AB16" s="3057"/>
      <c r="AC16" s="3057"/>
      <c r="AD16" s="3057"/>
      <c r="AE16" s="3057"/>
      <c r="AF16" s="3057"/>
      <c r="AG16" s="3057"/>
      <c r="AH16" s="3057"/>
      <c r="AI16" s="3057"/>
      <c r="AJ16" s="3058"/>
      <c r="AK16" s="933"/>
      <c r="AL16" s="933"/>
      <c r="AM16" s="933"/>
      <c r="AN16" s="929"/>
      <c r="AO16" s="930">
        <f>IF(SUM(AO12:AO15)&gt;20,20,(SUM(AO12:AO15)))</f>
        <v>0</v>
      </c>
      <c r="AP16" s="930" t="s">
        <v>1567</v>
      </c>
    </row>
    <row r="17" spans="1:42" s="930" customFormat="1" ht="12.75" customHeight="1">
      <c r="A17" s="933"/>
      <c r="B17" s="933"/>
      <c r="C17" s="933"/>
      <c r="D17" s="944"/>
      <c r="E17" s="3056"/>
      <c r="F17" s="3057"/>
      <c r="G17" s="3057"/>
      <c r="H17" s="3057"/>
      <c r="I17" s="3057"/>
      <c r="J17" s="3057"/>
      <c r="K17" s="3057"/>
      <c r="L17" s="3057"/>
      <c r="M17" s="3057"/>
      <c r="N17" s="3057"/>
      <c r="O17" s="3057"/>
      <c r="P17" s="3057"/>
      <c r="Q17" s="3057"/>
      <c r="R17" s="3057"/>
      <c r="S17" s="3057"/>
      <c r="T17" s="3057"/>
      <c r="U17" s="3057"/>
      <c r="V17" s="3057"/>
      <c r="W17" s="3057"/>
      <c r="X17" s="3057"/>
      <c r="Y17" s="3057"/>
      <c r="Z17" s="3057"/>
      <c r="AA17" s="3057"/>
      <c r="AB17" s="3057"/>
      <c r="AC17" s="3057"/>
      <c r="AD17" s="3057"/>
      <c r="AE17" s="3057"/>
      <c r="AF17" s="3057"/>
      <c r="AG17" s="3057"/>
      <c r="AH17" s="3057"/>
      <c r="AI17" s="3057"/>
      <c r="AJ17" s="3058"/>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33"/>
      <c r="F19" s="3034"/>
      <c r="G19" s="3034"/>
      <c r="H19" s="3034"/>
      <c r="I19" s="3034"/>
      <c r="J19" s="3034"/>
      <c r="K19" s="3034"/>
      <c r="L19" s="3034"/>
      <c r="M19" s="3034"/>
      <c r="N19" s="3034"/>
      <c r="O19" s="3034"/>
      <c r="P19" s="3034"/>
      <c r="Q19" s="3034"/>
      <c r="R19" s="3034"/>
      <c r="S19" s="3034"/>
      <c r="T19" s="3034"/>
      <c r="U19" s="3034"/>
      <c r="V19" s="3034"/>
      <c r="W19" s="3034"/>
      <c r="X19" s="3034"/>
      <c r="Y19" s="3034"/>
      <c r="Z19" s="3034"/>
      <c r="AA19" s="3034"/>
      <c r="AB19" s="3034"/>
      <c r="AC19" s="3034"/>
      <c r="AD19" s="3034"/>
      <c r="AE19" s="3034"/>
      <c r="AF19" s="3034"/>
      <c r="AG19" s="3034"/>
      <c r="AH19" s="3034"/>
      <c r="AI19" s="3034"/>
      <c r="AJ19" s="3035"/>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36" t="s">
        <v>625</v>
      </c>
      <c r="C21" s="3036"/>
      <c r="D21" s="940"/>
      <c r="E21" s="3037" t="s">
        <v>1569</v>
      </c>
      <c r="F21" s="3038"/>
      <c r="G21" s="3038"/>
      <c r="H21" s="3038"/>
      <c r="I21" s="3038"/>
      <c r="J21" s="3038"/>
      <c r="K21" s="3038"/>
      <c r="L21" s="3038"/>
      <c r="M21" s="3038"/>
      <c r="N21" s="3038"/>
      <c r="O21" s="3038"/>
      <c r="P21" s="3038"/>
      <c r="Q21" s="3038"/>
      <c r="R21" s="3038"/>
      <c r="S21" s="3038"/>
      <c r="T21" s="3038"/>
      <c r="U21" s="3038"/>
      <c r="V21" s="3038"/>
      <c r="W21" s="3038"/>
      <c r="X21" s="3038"/>
      <c r="Y21" s="3038"/>
      <c r="Z21" s="3038"/>
      <c r="AA21" s="3038"/>
      <c r="AB21" s="3038"/>
      <c r="AC21" s="3038"/>
      <c r="AD21" s="3038"/>
      <c r="AE21" s="3038"/>
      <c r="AF21" s="3038"/>
      <c r="AG21" s="3038"/>
      <c r="AH21" s="3038"/>
      <c r="AI21" s="3038"/>
      <c r="AJ21" s="3039"/>
      <c r="AK21" s="933"/>
      <c r="AL21" s="933"/>
      <c r="AM21" s="933"/>
      <c r="AN21" s="929"/>
      <c r="AO21" s="930">
        <f>SUM(AO20)</f>
        <v>0</v>
      </c>
      <c r="AP21" s="930" t="s">
        <v>1567</v>
      </c>
    </row>
    <row r="22" spans="1:42" s="930" customFormat="1" ht="12.75" customHeight="1">
      <c r="A22" s="933"/>
      <c r="B22" s="933"/>
      <c r="C22" s="933"/>
      <c r="D22" s="943"/>
      <c r="E22" s="3040"/>
      <c r="F22" s="3041"/>
      <c r="G22" s="3041"/>
      <c r="H22" s="3041"/>
      <c r="I22" s="3041"/>
      <c r="J22" s="3041"/>
      <c r="K22" s="3041"/>
      <c r="L22" s="3041"/>
      <c r="M22" s="3041"/>
      <c r="N22" s="3041"/>
      <c r="O22" s="3041"/>
      <c r="P22" s="3041"/>
      <c r="Q22" s="3041"/>
      <c r="R22" s="3041"/>
      <c r="S22" s="3041"/>
      <c r="T22" s="3041"/>
      <c r="U22" s="3041"/>
      <c r="V22" s="3041"/>
      <c r="W22" s="3041"/>
      <c r="X22" s="3041"/>
      <c r="Y22" s="3041"/>
      <c r="Z22" s="3041"/>
      <c r="AA22" s="3041"/>
      <c r="AB22" s="3041"/>
      <c r="AC22" s="3041"/>
      <c r="AD22" s="3041"/>
      <c r="AE22" s="3041"/>
      <c r="AF22" s="3041"/>
      <c r="AG22" s="3041"/>
      <c r="AH22" s="3041"/>
      <c r="AI22" s="3041"/>
      <c r="AJ22" s="3042"/>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36" t="s">
        <v>625</v>
      </c>
      <c r="C24" s="3036"/>
      <c r="D24" s="940"/>
      <c r="E24" s="3043" t="s">
        <v>1570</v>
      </c>
      <c r="F24" s="3044"/>
      <c r="G24" s="3044"/>
      <c r="H24" s="3044"/>
      <c r="I24" s="3044"/>
      <c r="J24" s="3044"/>
      <c r="K24" s="3044"/>
      <c r="L24" s="3044"/>
      <c r="M24" s="3044"/>
      <c r="N24" s="3044"/>
      <c r="O24" s="3044"/>
      <c r="P24" s="3044"/>
      <c r="Q24" s="3044"/>
      <c r="R24" s="3044"/>
      <c r="S24" s="3044"/>
      <c r="T24" s="3044"/>
      <c r="U24" s="3044"/>
      <c r="V24" s="3044"/>
      <c r="W24" s="3044"/>
      <c r="X24" s="3044"/>
      <c r="Y24" s="3044"/>
      <c r="Z24" s="3044"/>
      <c r="AA24" s="3044"/>
      <c r="AB24" s="3044"/>
      <c r="AC24" s="3044"/>
      <c r="AD24" s="3044"/>
      <c r="AE24" s="3044"/>
      <c r="AF24" s="3044"/>
      <c r="AG24" s="3044"/>
      <c r="AH24" s="3044"/>
      <c r="AI24" s="3044"/>
      <c r="AJ24" s="3045"/>
      <c r="AK24" s="933"/>
      <c r="AL24" s="933"/>
      <c r="AM24" s="933"/>
      <c r="AN24" s="929"/>
      <c r="AO24" s="943">
        <f>IF($B39="yes",6,0)</f>
        <v>0</v>
      </c>
    </row>
    <row r="25" spans="1:42" s="930" customFormat="1" ht="12.75" customHeight="1">
      <c r="A25" s="933"/>
      <c r="B25" s="933"/>
      <c r="C25" s="933"/>
      <c r="D25" s="943"/>
      <c r="E25" s="3046"/>
      <c r="F25" s="3047"/>
      <c r="G25" s="3047"/>
      <c r="H25" s="3047"/>
      <c r="I25" s="3047"/>
      <c r="J25" s="3047"/>
      <c r="K25" s="3047"/>
      <c r="L25" s="3047"/>
      <c r="M25" s="3047"/>
      <c r="N25" s="3047"/>
      <c r="O25" s="3047"/>
      <c r="P25" s="3047"/>
      <c r="Q25" s="3047"/>
      <c r="R25" s="3047"/>
      <c r="S25" s="3047"/>
      <c r="T25" s="3047"/>
      <c r="U25" s="3047"/>
      <c r="V25" s="3047"/>
      <c r="W25" s="3047"/>
      <c r="X25" s="3047"/>
      <c r="Y25" s="3047"/>
      <c r="Z25" s="3047"/>
      <c r="AA25" s="3047"/>
      <c r="AB25" s="3047"/>
      <c r="AC25" s="3047"/>
      <c r="AD25" s="3047"/>
      <c r="AE25" s="3047"/>
      <c r="AF25" s="3047"/>
      <c r="AG25" s="3047"/>
      <c r="AH25" s="3047"/>
      <c r="AI25" s="3047"/>
      <c r="AJ25" s="3048"/>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36" t="s">
        <v>625</v>
      </c>
      <c r="C29" s="3036"/>
      <c r="D29" s="940"/>
      <c r="E29" s="3043" t="s">
        <v>1572</v>
      </c>
      <c r="F29" s="3044"/>
      <c r="G29" s="3044"/>
      <c r="H29" s="3044"/>
      <c r="I29" s="3044"/>
      <c r="J29" s="3044"/>
      <c r="K29" s="3044"/>
      <c r="L29" s="3044"/>
      <c r="M29" s="3044"/>
      <c r="N29" s="3044"/>
      <c r="O29" s="3044"/>
      <c r="P29" s="3044"/>
      <c r="Q29" s="3044"/>
      <c r="R29" s="3044"/>
      <c r="S29" s="3044"/>
      <c r="T29" s="3044"/>
      <c r="U29" s="3044"/>
      <c r="V29" s="3044"/>
      <c r="W29" s="3044"/>
      <c r="X29" s="3044"/>
      <c r="Y29" s="3044"/>
      <c r="Z29" s="3044"/>
      <c r="AA29" s="3044"/>
      <c r="AB29" s="3044"/>
      <c r="AC29" s="3044"/>
      <c r="AD29" s="3044"/>
      <c r="AE29" s="3044"/>
      <c r="AF29" s="3044"/>
      <c r="AG29" s="3044"/>
      <c r="AH29" s="3044"/>
      <c r="AI29" s="3044"/>
      <c r="AJ29" s="3045"/>
      <c r="AK29" s="933"/>
      <c r="AL29" s="933"/>
      <c r="AM29" s="933"/>
      <c r="AN29" s="929"/>
      <c r="AO29" s="943">
        <f>IF($B49="yes",6,0)</f>
        <v>0</v>
      </c>
    </row>
    <row r="30" spans="1:42" s="930" customFormat="1" ht="12.75" customHeight="1">
      <c r="A30" s="933"/>
      <c r="B30" s="933"/>
      <c r="C30" s="933"/>
      <c r="E30" s="3049"/>
      <c r="F30" s="3050"/>
      <c r="G30" s="3050"/>
      <c r="H30" s="3050"/>
      <c r="I30" s="3050"/>
      <c r="J30" s="3050"/>
      <c r="K30" s="3050"/>
      <c r="L30" s="3050"/>
      <c r="M30" s="3050"/>
      <c r="N30" s="3050"/>
      <c r="O30" s="3050"/>
      <c r="P30" s="3050"/>
      <c r="Q30" s="3050"/>
      <c r="R30" s="3050"/>
      <c r="S30" s="3050"/>
      <c r="T30" s="3050"/>
      <c r="U30" s="3050"/>
      <c r="V30" s="3050"/>
      <c r="W30" s="3050"/>
      <c r="X30" s="3050"/>
      <c r="Y30" s="3050"/>
      <c r="Z30" s="3050"/>
      <c r="AA30" s="3050"/>
      <c r="AB30" s="3050"/>
      <c r="AC30" s="3050"/>
      <c r="AD30" s="3050"/>
      <c r="AE30" s="3050"/>
      <c r="AF30" s="3050"/>
      <c r="AG30" s="3050"/>
      <c r="AH30" s="3050"/>
      <c r="AI30" s="3050"/>
      <c r="AJ30" s="3051"/>
      <c r="AK30" s="933"/>
      <c r="AL30" s="933"/>
      <c r="AM30" s="933"/>
      <c r="AN30" s="929"/>
      <c r="AO30" s="930">
        <f>IF(SUM(AO23:AO29)&gt;6,6,(SUM(AO23:AO29)))</f>
        <v>0</v>
      </c>
      <c r="AP30" s="930" t="s">
        <v>1567</v>
      </c>
    </row>
    <row r="31" spans="1:42" s="930" customFormat="1" ht="12.75" customHeight="1">
      <c r="A31" s="933"/>
      <c r="B31" s="933"/>
      <c r="C31" s="933"/>
      <c r="E31" s="3046"/>
      <c r="F31" s="3047"/>
      <c r="G31" s="3047"/>
      <c r="H31" s="3047"/>
      <c r="I31" s="3047"/>
      <c r="J31" s="3047"/>
      <c r="K31" s="3047"/>
      <c r="L31" s="3047"/>
      <c r="M31" s="3047"/>
      <c r="N31" s="3047"/>
      <c r="O31" s="3047"/>
      <c r="P31" s="3047"/>
      <c r="Q31" s="3047"/>
      <c r="R31" s="3047"/>
      <c r="S31" s="3047"/>
      <c r="T31" s="3047"/>
      <c r="U31" s="3047"/>
      <c r="V31" s="3047"/>
      <c r="W31" s="3047"/>
      <c r="X31" s="3047"/>
      <c r="Y31" s="3047"/>
      <c r="Z31" s="3047"/>
      <c r="AA31" s="3047"/>
      <c r="AB31" s="3047"/>
      <c r="AC31" s="3047"/>
      <c r="AD31" s="3047"/>
      <c r="AE31" s="3047"/>
      <c r="AF31" s="3047"/>
      <c r="AG31" s="3047"/>
      <c r="AH31" s="3047"/>
      <c r="AI31" s="3047"/>
      <c r="AJ31" s="3048"/>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70" t="s">
        <v>2399</v>
      </c>
      <c r="C34" s="3070"/>
      <c r="D34" s="3070"/>
      <c r="E34" s="3070"/>
      <c r="F34" s="3070"/>
      <c r="G34" s="3070"/>
      <c r="H34" s="3070"/>
      <c r="I34" s="3070"/>
      <c r="J34" s="3070"/>
      <c r="K34" s="3070"/>
      <c r="L34" s="3070"/>
      <c r="M34" s="3070"/>
      <c r="N34" s="3070"/>
      <c r="O34" s="3070"/>
      <c r="P34" s="3070"/>
      <c r="Q34" s="3070"/>
      <c r="R34" s="3070"/>
      <c r="S34" s="3070"/>
      <c r="T34" s="3070"/>
      <c r="U34" s="3070"/>
      <c r="V34" s="3070"/>
      <c r="W34" s="3070"/>
      <c r="X34" s="3070"/>
      <c r="Y34" s="3070"/>
      <c r="Z34" s="3070"/>
      <c r="AA34" s="3070"/>
      <c r="AB34" s="3070"/>
      <c r="AC34" s="3070"/>
      <c r="AD34" s="3070"/>
      <c r="AE34" s="3070"/>
      <c r="AF34" s="3070"/>
      <c r="AG34" s="3070"/>
      <c r="AH34" s="3070"/>
      <c r="AI34" s="3070"/>
      <c r="AJ34" s="3070"/>
      <c r="AK34" s="3070"/>
      <c r="AL34" s="933"/>
      <c r="AM34" s="933"/>
      <c r="AN34" s="929"/>
    </row>
    <row r="35" spans="1:41" s="930" customFormat="1" ht="12.75" customHeight="1">
      <c r="A35" s="933"/>
      <c r="B35" s="3070"/>
      <c r="C35" s="3070"/>
      <c r="D35" s="3070"/>
      <c r="E35" s="3070"/>
      <c r="F35" s="3070"/>
      <c r="G35" s="3070"/>
      <c r="H35" s="3070"/>
      <c r="I35" s="3070"/>
      <c r="J35" s="3070"/>
      <c r="K35" s="3070"/>
      <c r="L35" s="3070"/>
      <c r="M35" s="3070"/>
      <c r="N35" s="3070"/>
      <c r="O35" s="3070"/>
      <c r="P35" s="3070"/>
      <c r="Q35" s="3070"/>
      <c r="R35" s="3070"/>
      <c r="S35" s="3070"/>
      <c r="T35" s="3070"/>
      <c r="U35" s="3070"/>
      <c r="V35" s="3070"/>
      <c r="W35" s="3070"/>
      <c r="X35" s="3070"/>
      <c r="Y35" s="3070"/>
      <c r="Z35" s="3070"/>
      <c r="AA35" s="3070"/>
      <c r="AB35" s="3070"/>
      <c r="AC35" s="3070"/>
      <c r="AD35" s="3070"/>
      <c r="AE35" s="3070"/>
      <c r="AF35" s="3070"/>
      <c r="AG35" s="3070"/>
      <c r="AH35" s="3070"/>
      <c r="AI35" s="3070"/>
      <c r="AJ35" s="3070"/>
      <c r="AK35" s="3070"/>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36" t="s">
        <v>625</v>
      </c>
      <c r="C37" s="3036"/>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36" t="s">
        <v>625</v>
      </c>
      <c r="C39" s="3036"/>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36" t="s">
        <v>625</v>
      </c>
      <c r="C41" s="3036"/>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36" t="s">
        <v>625</v>
      </c>
      <c r="C43" s="3036"/>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36" t="s">
        <v>625</v>
      </c>
      <c r="C45" s="3036"/>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36" t="s">
        <v>625</v>
      </c>
      <c r="C47" s="3036"/>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36" t="s">
        <v>625</v>
      </c>
      <c r="C49" s="3036"/>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067">
        <f>AO32</f>
        <v>0</v>
      </c>
      <c r="AL51" s="3068"/>
      <c r="AM51" s="3069"/>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52" t="s">
        <v>1584</v>
      </c>
      <c r="AF54" s="3052"/>
      <c r="AG54" s="3052"/>
      <c r="AH54" s="3052"/>
      <c r="AI54" s="3052"/>
      <c r="AJ54" s="3052"/>
      <c r="AK54" s="3052"/>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36" t="s">
        <v>625</v>
      </c>
      <c r="C57" s="3036"/>
      <c r="D57" s="940" t="s">
        <v>1585</v>
      </c>
      <c r="E57" s="3053" t="s">
        <v>2238</v>
      </c>
      <c r="F57" s="3054"/>
      <c r="G57" s="3054"/>
      <c r="H57" s="3054"/>
      <c r="I57" s="3054"/>
      <c r="J57" s="3054"/>
      <c r="K57" s="3054"/>
      <c r="L57" s="3054"/>
      <c r="M57" s="3054"/>
      <c r="N57" s="3054"/>
      <c r="O57" s="3054"/>
      <c r="P57" s="3054"/>
      <c r="Q57" s="3054"/>
      <c r="R57" s="3054"/>
      <c r="S57" s="3054"/>
      <c r="T57" s="3054"/>
      <c r="U57" s="3054"/>
      <c r="V57" s="3054"/>
      <c r="W57" s="3054"/>
      <c r="X57" s="3054"/>
      <c r="Y57" s="3054"/>
      <c r="Z57" s="3054"/>
      <c r="AA57" s="3054"/>
      <c r="AB57" s="3054"/>
      <c r="AC57" s="3054"/>
      <c r="AD57" s="3054"/>
      <c r="AE57" s="3054"/>
      <c r="AF57" s="3054"/>
      <c r="AG57" s="3054"/>
      <c r="AH57" s="3054"/>
      <c r="AI57" s="3054"/>
      <c r="AJ57" s="3055"/>
      <c r="AK57" s="936"/>
      <c r="AL57" s="933"/>
      <c r="AM57" s="933"/>
      <c r="AN57" s="929"/>
      <c r="AO57" s="943">
        <f>IF($B57="yes",10,0)</f>
        <v>0</v>
      </c>
    </row>
    <row r="58" spans="1:50" s="930" customFormat="1" ht="12.75" customHeight="1">
      <c r="A58" s="931"/>
      <c r="B58" s="933"/>
      <c r="C58" s="933"/>
      <c r="D58" s="944"/>
      <c r="E58" s="3056"/>
      <c r="F58" s="3057"/>
      <c r="G58" s="3057"/>
      <c r="H58" s="3057"/>
      <c r="I58" s="3057"/>
      <c r="J58" s="3057"/>
      <c r="K58" s="3057"/>
      <c r="L58" s="3057"/>
      <c r="M58" s="3057"/>
      <c r="N58" s="3057"/>
      <c r="O58" s="3057"/>
      <c r="P58" s="3057"/>
      <c r="Q58" s="3057"/>
      <c r="R58" s="3057"/>
      <c r="S58" s="3057"/>
      <c r="T58" s="3057"/>
      <c r="U58" s="3057"/>
      <c r="V58" s="3057"/>
      <c r="W58" s="3057"/>
      <c r="X58" s="3057"/>
      <c r="Y58" s="3057"/>
      <c r="Z58" s="3057"/>
      <c r="AA58" s="3057"/>
      <c r="AB58" s="3057"/>
      <c r="AC58" s="3057"/>
      <c r="AD58" s="3057"/>
      <c r="AE58" s="3057"/>
      <c r="AF58" s="3057"/>
      <c r="AG58" s="3057"/>
      <c r="AH58" s="3057"/>
      <c r="AI58" s="3057"/>
      <c r="AJ58" s="3058"/>
      <c r="AK58" s="936"/>
      <c r="AL58" s="933"/>
      <c r="AM58" s="933"/>
      <c r="AN58" s="929"/>
      <c r="AO58" s="943">
        <f>IF($B62="yes",10,0)</f>
        <v>10</v>
      </c>
    </row>
    <row r="59" spans="1:50" s="930" customFormat="1" ht="12.75" customHeight="1">
      <c r="A59" s="931"/>
      <c r="B59" s="933"/>
      <c r="C59" s="933"/>
      <c r="D59" s="944"/>
      <c r="E59" s="3056"/>
      <c r="F59" s="3057"/>
      <c r="G59" s="3057"/>
      <c r="H59" s="3057"/>
      <c r="I59" s="3057"/>
      <c r="J59" s="3057"/>
      <c r="K59" s="3057"/>
      <c r="L59" s="3057"/>
      <c r="M59" s="3057"/>
      <c r="N59" s="3057"/>
      <c r="O59" s="3057"/>
      <c r="P59" s="3057"/>
      <c r="Q59" s="3057"/>
      <c r="R59" s="3057"/>
      <c r="S59" s="3057"/>
      <c r="T59" s="3057"/>
      <c r="U59" s="3057"/>
      <c r="V59" s="3057"/>
      <c r="W59" s="3057"/>
      <c r="X59" s="3057"/>
      <c r="Y59" s="3057"/>
      <c r="Z59" s="3057"/>
      <c r="AA59" s="3057"/>
      <c r="AB59" s="3057"/>
      <c r="AC59" s="3057"/>
      <c r="AD59" s="3057"/>
      <c r="AE59" s="3057"/>
      <c r="AF59" s="3057"/>
      <c r="AG59" s="3057"/>
      <c r="AH59" s="3057"/>
      <c r="AI59" s="3057"/>
      <c r="AJ59" s="3058"/>
      <c r="AK59" s="936"/>
      <c r="AL59" s="933"/>
      <c r="AM59" s="933"/>
      <c r="AN59" s="929"/>
      <c r="AO59" s="943">
        <f>IF($B69="yes",10,0)</f>
        <v>0</v>
      </c>
    </row>
    <row r="60" spans="1:50" s="930" customFormat="1" ht="12.75" customHeight="1">
      <c r="A60" s="931"/>
      <c r="B60" s="933"/>
      <c r="C60" s="933"/>
      <c r="D60" s="944"/>
      <c r="E60" s="3059"/>
      <c r="F60" s="3060"/>
      <c r="G60" s="3060"/>
      <c r="H60" s="3060"/>
      <c r="I60" s="3060"/>
      <c r="J60" s="3060"/>
      <c r="K60" s="3060"/>
      <c r="L60" s="3060"/>
      <c r="M60" s="3060"/>
      <c r="N60" s="3060"/>
      <c r="O60" s="3060"/>
      <c r="P60" s="3060"/>
      <c r="Q60" s="3060"/>
      <c r="R60" s="3060"/>
      <c r="S60" s="3060"/>
      <c r="T60" s="3060"/>
      <c r="U60" s="3060"/>
      <c r="V60" s="3060"/>
      <c r="W60" s="3060"/>
      <c r="X60" s="3060"/>
      <c r="Y60" s="3060"/>
      <c r="Z60" s="3060"/>
      <c r="AA60" s="3060"/>
      <c r="AB60" s="3060"/>
      <c r="AC60" s="3060"/>
      <c r="AD60" s="3060"/>
      <c r="AE60" s="3060"/>
      <c r="AF60" s="3060"/>
      <c r="AG60" s="3060"/>
      <c r="AH60" s="3060"/>
      <c r="AI60" s="3060"/>
      <c r="AJ60" s="3061"/>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36" t="s">
        <v>577</v>
      </c>
      <c r="C62" s="3036"/>
      <c r="D62" s="940" t="s">
        <v>1587</v>
      </c>
      <c r="E62" s="1688" t="s">
        <v>2222</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6"/>
      <c r="AL62" s="933"/>
      <c r="AM62" s="933"/>
      <c r="AN62" s="929"/>
    </row>
    <row r="63" spans="1:50" s="930" customFormat="1" ht="12.75" customHeight="1">
      <c r="A63" s="931"/>
      <c r="B63" s="933"/>
      <c r="C63" s="933"/>
      <c r="D63" s="943"/>
      <c r="E63" s="3062" t="s">
        <v>625</v>
      </c>
      <c r="F63" s="3036"/>
      <c r="G63" s="969"/>
      <c r="H63" s="1687" t="s">
        <v>1588</v>
      </c>
      <c r="I63" s="1592"/>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1"/>
      <c r="AK63" s="936"/>
      <c r="AL63" s="933"/>
      <c r="AM63" s="933"/>
      <c r="AN63" s="929"/>
    </row>
    <row r="64" spans="1:50" s="930" customFormat="1" ht="12.75" customHeight="1">
      <c r="A64" s="931"/>
      <c r="B64" s="933"/>
      <c r="C64" s="933"/>
      <c r="D64" s="943"/>
      <c r="E64" s="3031" t="s">
        <v>625</v>
      </c>
      <c r="F64" s="3032"/>
      <c r="G64" s="969"/>
      <c r="H64" s="1687"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1"/>
      <c r="AK64" s="936"/>
      <c r="AL64" s="933"/>
      <c r="AM64" s="933"/>
      <c r="AN64" s="929"/>
    </row>
    <row r="65" spans="1:40" s="930" customFormat="1" ht="12.75" customHeight="1">
      <c r="A65" s="931"/>
      <c r="B65" s="933"/>
      <c r="C65" s="933"/>
      <c r="D65" s="943"/>
      <c r="E65" s="3031" t="s">
        <v>625</v>
      </c>
      <c r="F65" s="3032"/>
      <c r="G65" s="969"/>
      <c r="H65" s="1687"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1"/>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1"/>
      <c r="AK66" s="1593"/>
      <c r="AL66" s="933"/>
      <c r="AM66" s="933"/>
      <c r="AN66" s="929"/>
    </row>
    <row r="67" spans="1:40" s="930" customFormat="1" ht="12.75" customHeight="1">
      <c r="A67" s="931"/>
      <c r="B67" s="933"/>
      <c r="C67" s="933"/>
      <c r="D67" s="943"/>
      <c r="E67" s="3062" t="s">
        <v>577</v>
      </c>
      <c r="F67" s="3036"/>
      <c r="G67" s="1590"/>
      <c r="H67" s="1696" t="s">
        <v>2236</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36" t="s">
        <v>625</v>
      </c>
      <c r="C69" s="3036"/>
      <c r="D69" s="940" t="s">
        <v>1590</v>
      </c>
      <c r="E69" s="3043" t="s">
        <v>2239</v>
      </c>
      <c r="F69" s="3044"/>
      <c r="G69" s="3044"/>
      <c r="H69" s="3044"/>
      <c r="I69" s="3044"/>
      <c r="J69" s="3044"/>
      <c r="K69" s="3044"/>
      <c r="L69" s="3044"/>
      <c r="M69" s="3044"/>
      <c r="N69" s="3044"/>
      <c r="O69" s="3044"/>
      <c r="P69" s="3044"/>
      <c r="Q69" s="3044"/>
      <c r="R69" s="3044"/>
      <c r="S69" s="3044"/>
      <c r="T69" s="3044"/>
      <c r="U69" s="3044"/>
      <c r="V69" s="3044"/>
      <c r="W69" s="3044"/>
      <c r="X69" s="3044"/>
      <c r="Y69" s="3044"/>
      <c r="Z69" s="3044"/>
      <c r="AA69" s="3044"/>
      <c r="AB69" s="3044"/>
      <c r="AC69" s="3044"/>
      <c r="AD69" s="3044"/>
      <c r="AE69" s="3044"/>
      <c r="AF69" s="3044"/>
      <c r="AG69" s="3044"/>
      <c r="AH69" s="3044"/>
      <c r="AI69" s="3044"/>
      <c r="AJ69" s="3045"/>
      <c r="AK69" s="936"/>
      <c r="AL69" s="933"/>
      <c r="AM69" s="933"/>
      <c r="AN69" s="929"/>
    </row>
    <row r="70" spans="1:40" s="930" customFormat="1" ht="12.75" customHeight="1">
      <c r="A70" s="931"/>
      <c r="B70" s="933"/>
      <c r="C70" s="933"/>
      <c r="D70" s="943"/>
      <c r="E70" s="3046"/>
      <c r="F70" s="3047"/>
      <c r="G70" s="3047"/>
      <c r="H70" s="3047"/>
      <c r="I70" s="3047"/>
      <c r="J70" s="3047"/>
      <c r="K70" s="3047"/>
      <c r="L70" s="3047"/>
      <c r="M70" s="3047"/>
      <c r="N70" s="3047"/>
      <c r="O70" s="3047"/>
      <c r="P70" s="3047"/>
      <c r="Q70" s="3047"/>
      <c r="R70" s="3047"/>
      <c r="S70" s="3047"/>
      <c r="T70" s="3047"/>
      <c r="U70" s="3047"/>
      <c r="V70" s="3047"/>
      <c r="W70" s="3047"/>
      <c r="X70" s="3047"/>
      <c r="Y70" s="3047"/>
      <c r="Z70" s="3047"/>
      <c r="AA70" s="3047"/>
      <c r="AB70" s="3047"/>
      <c r="AC70" s="3047"/>
      <c r="AD70" s="3047"/>
      <c r="AE70" s="3047"/>
      <c r="AF70" s="3047"/>
      <c r="AG70" s="3047"/>
      <c r="AH70" s="3047"/>
      <c r="AI70" s="3047"/>
      <c r="AJ70" s="3048"/>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067">
        <f>IF(AK51&gt;0,0,AO60)</f>
        <v>10</v>
      </c>
      <c r="AL72" s="3068"/>
      <c r="AM72" s="3069"/>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52" t="s">
        <v>1563</v>
      </c>
      <c r="AF75" s="3052"/>
      <c r="AG75" s="3052"/>
      <c r="AH75" s="3052"/>
      <c r="AI75" s="3052"/>
      <c r="AJ75" s="3052"/>
      <c r="AK75" s="3052"/>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36" t="s">
        <v>625</v>
      </c>
      <c r="C78" s="3036"/>
      <c r="D78" s="940" t="s">
        <v>1585</v>
      </c>
      <c r="E78" s="3075" t="s">
        <v>1595</v>
      </c>
      <c r="F78" s="3076"/>
      <c r="G78" s="3076"/>
      <c r="H78" s="3076"/>
      <c r="I78" s="3076"/>
      <c r="J78" s="3076"/>
      <c r="K78" s="3076"/>
      <c r="L78" s="3076"/>
      <c r="M78" s="3076"/>
      <c r="N78" s="3076"/>
      <c r="O78" s="3076"/>
      <c r="P78" s="3076"/>
      <c r="Q78" s="3076"/>
      <c r="R78" s="3076"/>
      <c r="S78" s="3076"/>
      <c r="T78" s="3076"/>
      <c r="U78" s="3076"/>
      <c r="V78" s="3076"/>
      <c r="W78" s="3076"/>
      <c r="X78" s="3076"/>
      <c r="Y78" s="3076"/>
      <c r="Z78" s="3076"/>
      <c r="AA78" s="3076"/>
      <c r="AB78" s="3076"/>
      <c r="AC78" s="3076"/>
      <c r="AD78" s="3076"/>
      <c r="AE78" s="3076"/>
      <c r="AF78" s="3076"/>
      <c r="AG78" s="3076"/>
      <c r="AH78" s="3076"/>
      <c r="AI78" s="3076"/>
      <c r="AJ78" s="3077"/>
      <c r="AK78" s="936"/>
      <c r="AL78" s="933"/>
      <c r="AM78" s="933"/>
      <c r="AN78" s="929"/>
    </row>
    <row r="79" spans="1:40" s="930" customFormat="1" ht="12.75" customHeight="1">
      <c r="A79" s="931"/>
      <c r="B79" s="932"/>
      <c r="C79" s="932"/>
      <c r="D79" s="932"/>
      <c r="E79" s="3078"/>
      <c r="F79" s="3079"/>
      <c r="G79" s="3079"/>
      <c r="H79" s="3079"/>
      <c r="I79" s="3079"/>
      <c r="J79" s="3079"/>
      <c r="K79" s="3079"/>
      <c r="L79" s="3079"/>
      <c r="M79" s="3079"/>
      <c r="N79" s="3079"/>
      <c r="O79" s="3079"/>
      <c r="P79" s="3079"/>
      <c r="Q79" s="3079"/>
      <c r="R79" s="3079"/>
      <c r="S79" s="3079"/>
      <c r="T79" s="3079"/>
      <c r="U79" s="3079"/>
      <c r="V79" s="3079"/>
      <c r="W79" s="3079"/>
      <c r="X79" s="3079"/>
      <c r="Y79" s="3079"/>
      <c r="Z79" s="3079"/>
      <c r="AA79" s="3079"/>
      <c r="AB79" s="3079"/>
      <c r="AC79" s="3079"/>
      <c r="AD79" s="3079"/>
      <c r="AE79" s="3079"/>
      <c r="AF79" s="3079"/>
      <c r="AG79" s="3079"/>
      <c r="AH79" s="3079"/>
      <c r="AI79" s="3079"/>
      <c r="AJ79" s="3080"/>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81">
        <f>Application!AH753</f>
        <v>0.49886363636363629</v>
      </c>
      <c r="F81" s="3082"/>
      <c r="G81" s="3082"/>
      <c r="H81" s="3082"/>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83">
        <f>0.6-ROUNDUP(E81,2)</f>
        <v>9.9999999999999978E-2</v>
      </c>
      <c r="F82" s="3084"/>
      <c r="G82" s="3084"/>
      <c r="H82" s="3084"/>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73">
        <f>IF(E82*200&gt;20,20,E82*200)</f>
        <v>19.999999999999996</v>
      </c>
      <c r="F83" s="3074"/>
      <c r="G83" s="3074"/>
      <c r="H83" s="3074"/>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36" t="s">
        <v>577</v>
      </c>
      <c r="C86" s="3036"/>
      <c r="D86" s="940" t="s">
        <v>1587</v>
      </c>
      <c r="E86" s="3075" t="s">
        <v>2223</v>
      </c>
      <c r="F86" s="3076"/>
      <c r="G86" s="3076"/>
      <c r="H86" s="3076"/>
      <c r="I86" s="3076"/>
      <c r="J86" s="3076"/>
      <c r="K86" s="3076"/>
      <c r="L86" s="3076"/>
      <c r="M86" s="3076"/>
      <c r="N86" s="3076"/>
      <c r="O86" s="3076"/>
      <c r="P86" s="3076"/>
      <c r="Q86" s="3076"/>
      <c r="R86" s="3076"/>
      <c r="S86" s="3076"/>
      <c r="T86" s="3076"/>
      <c r="U86" s="3076"/>
      <c r="V86" s="3076"/>
      <c r="W86" s="3076"/>
      <c r="X86" s="3076"/>
      <c r="Y86" s="3076"/>
      <c r="Z86" s="3076"/>
      <c r="AA86" s="3076"/>
      <c r="AB86" s="3076"/>
      <c r="AC86" s="3076"/>
      <c r="AD86" s="3076"/>
      <c r="AE86" s="3076"/>
      <c r="AF86" s="3076"/>
      <c r="AG86" s="3076"/>
      <c r="AH86" s="3076"/>
      <c r="AI86" s="3076"/>
      <c r="AJ86" s="3077"/>
      <c r="AK86" s="936"/>
      <c r="AL86" s="933"/>
      <c r="AM86" s="933"/>
      <c r="AN86" s="929"/>
    </row>
    <row r="87" spans="1:47" s="930" customFormat="1" ht="12.75" customHeight="1">
      <c r="A87" s="931"/>
      <c r="B87" s="932"/>
      <c r="C87" s="932"/>
      <c r="D87" s="932"/>
      <c r="E87" s="3078"/>
      <c r="F87" s="3079"/>
      <c r="G87" s="3079"/>
      <c r="H87" s="3079"/>
      <c r="I87" s="3079"/>
      <c r="J87" s="3079"/>
      <c r="K87" s="3079"/>
      <c r="L87" s="3079"/>
      <c r="M87" s="3079"/>
      <c r="N87" s="3079"/>
      <c r="O87" s="3079"/>
      <c r="P87" s="3079"/>
      <c r="Q87" s="3079"/>
      <c r="R87" s="3079"/>
      <c r="S87" s="3079"/>
      <c r="T87" s="3079"/>
      <c r="U87" s="3079"/>
      <c r="V87" s="3079"/>
      <c r="W87" s="3079"/>
      <c r="X87" s="3079"/>
      <c r="Y87" s="3079"/>
      <c r="Z87" s="3079"/>
      <c r="AA87" s="3079"/>
      <c r="AB87" s="3079"/>
      <c r="AC87" s="3079"/>
      <c r="AD87" s="3079"/>
      <c r="AE87" s="3079"/>
      <c r="AF87" s="3079"/>
      <c r="AG87" s="3079"/>
      <c r="AH87" s="3079"/>
      <c r="AI87" s="3079"/>
      <c r="AJ87" s="3080"/>
      <c r="AK87" s="936"/>
      <c r="AL87" s="933"/>
      <c r="AM87" s="933"/>
      <c r="AN87" s="929"/>
    </row>
    <row r="88" spans="1:47" s="930" customFormat="1" ht="12.75" customHeight="1">
      <c r="A88" s="931"/>
      <c r="B88" s="932"/>
      <c r="C88" s="932"/>
      <c r="D88" s="932"/>
      <c r="E88" s="3078"/>
      <c r="F88" s="3079"/>
      <c r="G88" s="3079"/>
      <c r="H88" s="3079"/>
      <c r="I88" s="3079"/>
      <c r="J88" s="3079"/>
      <c r="K88" s="3079"/>
      <c r="L88" s="3079"/>
      <c r="M88" s="3079"/>
      <c r="N88" s="3079"/>
      <c r="O88" s="3079"/>
      <c r="P88" s="3079"/>
      <c r="Q88" s="3079"/>
      <c r="R88" s="3079"/>
      <c r="S88" s="3079"/>
      <c r="T88" s="3079"/>
      <c r="U88" s="3079"/>
      <c r="V88" s="3079"/>
      <c r="W88" s="3079"/>
      <c r="X88" s="3079"/>
      <c r="Y88" s="3079"/>
      <c r="Z88" s="3079"/>
      <c r="AA88" s="3079"/>
      <c r="AB88" s="3079"/>
      <c r="AC88" s="3079"/>
      <c r="AD88" s="3079"/>
      <c r="AE88" s="3079"/>
      <c r="AF88" s="3079"/>
      <c r="AG88" s="3079"/>
      <c r="AH88" s="3079"/>
      <c r="AI88" s="3079"/>
      <c r="AJ88" s="3080"/>
      <c r="AK88" s="936"/>
      <c r="AL88" s="933"/>
      <c r="AM88" s="933"/>
      <c r="AN88" s="929"/>
    </row>
    <row r="89" spans="1:47" s="930" customFormat="1" ht="12.75" customHeight="1">
      <c r="A89" s="931"/>
      <c r="B89" s="932"/>
      <c r="C89" s="932"/>
      <c r="D89" s="932"/>
      <c r="E89" s="3078"/>
      <c r="F89" s="3079"/>
      <c r="G89" s="3079"/>
      <c r="H89" s="3079"/>
      <c r="I89" s="3079"/>
      <c r="J89" s="3079"/>
      <c r="K89" s="3079"/>
      <c r="L89" s="3079"/>
      <c r="M89" s="3079"/>
      <c r="N89" s="3079"/>
      <c r="O89" s="3079"/>
      <c r="P89" s="3079"/>
      <c r="Q89" s="3079"/>
      <c r="R89" s="3079"/>
      <c r="S89" s="3079"/>
      <c r="T89" s="3079"/>
      <c r="U89" s="3079"/>
      <c r="V89" s="3079"/>
      <c r="W89" s="3079"/>
      <c r="X89" s="3079"/>
      <c r="Y89" s="3079"/>
      <c r="Z89" s="3079"/>
      <c r="AA89" s="3079"/>
      <c r="AB89" s="3079"/>
      <c r="AC89" s="3079"/>
      <c r="AD89" s="3079"/>
      <c r="AE89" s="3079"/>
      <c r="AF89" s="3079"/>
      <c r="AG89" s="3079"/>
      <c r="AH89" s="3079"/>
      <c r="AI89" s="3079"/>
      <c r="AJ89" s="3080"/>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81">
        <f>Application!AH753</f>
        <v>0.49886363636363629</v>
      </c>
      <c r="F91" s="3082"/>
      <c r="G91" s="3082"/>
      <c r="H91" s="3082"/>
      <c r="I91" s="971"/>
      <c r="J91" s="1479" t="s">
        <v>1596</v>
      </c>
      <c r="K91" s="1472"/>
      <c r="L91" s="1472"/>
      <c r="M91" s="1472"/>
      <c r="N91" s="1472"/>
      <c r="O91" s="1472"/>
      <c r="P91" s="1472"/>
      <c r="Q91" s="1472"/>
      <c r="R91" s="1481"/>
      <c r="S91" s="1481"/>
      <c r="T91" s="1481"/>
      <c r="U91" s="1481"/>
      <c r="V91" s="1481"/>
      <c r="W91" s="1481"/>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81">
        <f ca="1">SUMIF(Application!AH728:AL752,0.2,Application!G728:J752)/Application!G753+SUMIF(Application!AH728:AL752,0.25,Application!G728:J752)/Application!G753+SUMIF(Application!AH728:AL752,0.3,Application!G728:J752)/Application!G753</f>
        <v>0.10227272727272728</v>
      </c>
      <c r="F92" s="3082"/>
      <c r="G92" s="3082"/>
      <c r="H92" s="3082"/>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0"/>
    </row>
    <row r="93" spans="1:47" s="930" customFormat="1" ht="12.75" customHeight="1">
      <c r="A93" s="931"/>
      <c r="B93" s="932"/>
      <c r="C93" s="932"/>
      <c r="D93" s="932"/>
      <c r="E93" s="3081">
        <f ca="1">SUMIF(Application!AH728:AL752,0.35,Application!G728:J752)/Application!G753+SUMIF(Application!AH728:AL752,0.4,Application!G728:J752)/Application!G753+SUMIF(Application!AH728:AL752,0.45,Application!G728:J752)/Application!G753+SUMIF(Application!AH728:AL752,0.5,Application!G728:J752)/Application!G753</f>
        <v>0.40909090909090912</v>
      </c>
      <c r="F93" s="3082"/>
      <c r="G93" s="3082"/>
      <c r="H93" s="3082"/>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0"/>
    </row>
    <row r="94" spans="1:47" s="930" customFormat="1" ht="12.75" customHeight="1">
      <c r="A94" s="931"/>
      <c r="B94" s="932"/>
      <c r="C94" s="932"/>
      <c r="D94" s="932"/>
      <c r="E94" s="3092">
        <f ca="1">IF(AND(E91&lt;=0.6,E92&gt;=0.1,OR(E93&gt;=0.1,E92=1)),20,0)</f>
        <v>20</v>
      </c>
      <c r="F94" s="3093"/>
      <c r="G94" s="3093"/>
      <c r="H94" s="3093"/>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067">
        <f ca="1">MAX(AP83,AP94)</f>
        <v>20</v>
      </c>
      <c r="AL97" s="3068"/>
      <c r="AM97" s="3069"/>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52" t="s">
        <v>1584</v>
      </c>
      <c r="AF100" s="3052"/>
      <c r="AG100" s="3052"/>
      <c r="AH100" s="3052"/>
      <c r="AI100" s="3052"/>
      <c r="AJ100" s="3052"/>
      <c r="AK100" s="3052"/>
      <c r="AL100" s="933"/>
      <c r="AM100" s="933"/>
      <c r="AN100" s="929"/>
      <c r="AO100" s="930" t="str">
        <f>Application!B728</f>
        <v>1 Bedroom</v>
      </c>
      <c r="AQ100" s="930">
        <f>Application!O728</f>
        <v>668</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2"/>
      <c r="AF101" s="1782"/>
      <c r="AG101" s="1782"/>
      <c r="AH101" s="1782"/>
      <c r="AI101" s="1782"/>
      <c r="AJ101" s="1782"/>
      <c r="AK101" s="933"/>
      <c r="AL101" s="933"/>
      <c r="AM101" s="933"/>
      <c r="AN101" s="929"/>
      <c r="AO101" s="930" t="str">
        <f>Application!B729</f>
        <v>2 Bedrooms</v>
      </c>
      <c r="AQ101" s="930">
        <f>Application!O729</f>
        <v>799</v>
      </c>
    </row>
    <row r="102" spans="1:49" s="930" customFormat="1" ht="12.75" customHeight="1">
      <c r="A102" s="933"/>
      <c r="B102" s="932"/>
      <c r="C102" s="932"/>
      <c r="D102" s="932"/>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3"/>
      <c r="AL102" s="933"/>
      <c r="AM102" s="933"/>
      <c r="AN102" s="929"/>
      <c r="AO102" s="930" t="str">
        <f>Application!B730</f>
        <v>3 Bedrooms</v>
      </c>
      <c r="AQ102" s="930">
        <f>Application!O730</f>
        <v>924</v>
      </c>
    </row>
    <row r="103" spans="1:49" s="930" customFormat="1" ht="12.75" customHeight="1">
      <c r="A103" s="933"/>
      <c r="B103" s="3036" t="s">
        <v>577</v>
      </c>
      <c r="C103" s="3036"/>
      <c r="D103" s="940" t="s">
        <v>1585</v>
      </c>
      <c r="E103" s="3075" t="s">
        <v>2385</v>
      </c>
      <c r="F103" s="3076"/>
      <c r="G103" s="3076"/>
      <c r="H103" s="3076"/>
      <c r="I103" s="3076"/>
      <c r="J103" s="3076"/>
      <c r="K103" s="3076"/>
      <c r="L103" s="3076"/>
      <c r="M103" s="3076"/>
      <c r="N103" s="3076"/>
      <c r="O103" s="3076"/>
      <c r="P103" s="3076"/>
      <c r="Q103" s="3076"/>
      <c r="R103" s="3076"/>
      <c r="S103" s="3076"/>
      <c r="T103" s="3076"/>
      <c r="U103" s="3076"/>
      <c r="V103" s="3076"/>
      <c r="W103" s="3076"/>
      <c r="X103" s="3076"/>
      <c r="Y103" s="3076"/>
      <c r="Z103" s="3076"/>
      <c r="AA103" s="3076"/>
      <c r="AB103" s="3076"/>
      <c r="AC103" s="3076"/>
      <c r="AD103" s="3076"/>
      <c r="AE103" s="3076"/>
      <c r="AF103" s="3076"/>
      <c r="AG103" s="3076"/>
      <c r="AH103" s="3076"/>
      <c r="AI103" s="3076"/>
      <c r="AJ103" s="3077"/>
      <c r="AK103" s="933"/>
      <c r="AL103" s="933"/>
      <c r="AM103" s="933"/>
      <c r="AN103" s="929"/>
      <c r="AO103" s="930" t="str">
        <f>Application!B731</f>
        <v>1 Bedroom</v>
      </c>
      <c r="AQ103" s="930">
        <f>Application!O731</f>
        <v>895</v>
      </c>
      <c r="AU103" s="930" t="s">
        <v>2363</v>
      </c>
      <c r="AV103" s="1764" t="s">
        <v>2364</v>
      </c>
      <c r="AW103" s="930" t="s">
        <v>2365</v>
      </c>
    </row>
    <row r="104" spans="1:49" s="930" customFormat="1" ht="12.75" customHeight="1">
      <c r="A104" s="933"/>
      <c r="B104" s="932"/>
      <c r="C104" s="932"/>
      <c r="D104" s="932"/>
      <c r="E104" s="3078"/>
      <c r="F104" s="3079"/>
      <c r="G104" s="3079"/>
      <c r="H104" s="3079"/>
      <c r="I104" s="3079"/>
      <c r="J104" s="3079"/>
      <c r="K104" s="3079"/>
      <c r="L104" s="3079"/>
      <c r="M104" s="3079"/>
      <c r="N104" s="3079"/>
      <c r="O104" s="3079"/>
      <c r="P104" s="3079"/>
      <c r="Q104" s="3079"/>
      <c r="R104" s="3079"/>
      <c r="S104" s="3079"/>
      <c r="T104" s="3079"/>
      <c r="U104" s="3079"/>
      <c r="V104" s="3079"/>
      <c r="W104" s="3079"/>
      <c r="X104" s="3079"/>
      <c r="Y104" s="3079"/>
      <c r="Z104" s="3079"/>
      <c r="AA104" s="3079"/>
      <c r="AB104" s="3079"/>
      <c r="AC104" s="3079"/>
      <c r="AD104" s="3079"/>
      <c r="AE104" s="3079"/>
      <c r="AF104" s="3079"/>
      <c r="AG104" s="3079"/>
      <c r="AH104" s="3079"/>
      <c r="AI104" s="3079"/>
      <c r="AJ104" s="3080"/>
      <c r="AK104" s="933"/>
      <c r="AL104" s="933"/>
      <c r="AM104" s="933"/>
      <c r="AN104" s="929"/>
      <c r="AO104" s="930" t="str">
        <f>Application!B732</f>
        <v>2 Bedrooms</v>
      </c>
      <c r="AQ104" s="930">
        <f>Application!O732</f>
        <v>1072</v>
      </c>
      <c r="AU104" s="1767" t="str">
        <f>E112</f>
        <v>Studio/SRO</v>
      </c>
      <c r="AV104" s="930">
        <f t="array" ref="AV104">SUM(IF(Application!B728:F752="SRO/Studio",Application!G728:J752))</f>
        <v>0</v>
      </c>
      <c r="AW104" s="1802">
        <f>AV104/AV110</f>
        <v>0</v>
      </c>
    </row>
    <row r="105" spans="1:49" s="930" customFormat="1" ht="12.75" customHeight="1">
      <c r="A105" s="933"/>
      <c r="B105" s="932"/>
      <c r="C105" s="932"/>
      <c r="D105" s="932"/>
      <c r="E105" s="3078"/>
      <c r="F105" s="3079"/>
      <c r="G105" s="3079"/>
      <c r="H105" s="3079"/>
      <c r="I105" s="3079"/>
      <c r="J105" s="3079"/>
      <c r="K105" s="3079"/>
      <c r="L105" s="3079"/>
      <c r="M105" s="3079"/>
      <c r="N105" s="3079"/>
      <c r="O105" s="3079"/>
      <c r="P105" s="3079"/>
      <c r="Q105" s="3079"/>
      <c r="R105" s="3079"/>
      <c r="S105" s="3079"/>
      <c r="T105" s="3079"/>
      <c r="U105" s="3079"/>
      <c r="V105" s="3079"/>
      <c r="W105" s="3079"/>
      <c r="X105" s="3079"/>
      <c r="Y105" s="3079"/>
      <c r="Z105" s="3079"/>
      <c r="AA105" s="3079"/>
      <c r="AB105" s="3079"/>
      <c r="AC105" s="3079"/>
      <c r="AD105" s="3079"/>
      <c r="AE105" s="3079"/>
      <c r="AF105" s="3079"/>
      <c r="AG105" s="3079"/>
      <c r="AH105" s="3079"/>
      <c r="AI105" s="3079"/>
      <c r="AJ105" s="3080"/>
      <c r="AK105" s="933"/>
      <c r="AL105" s="933"/>
      <c r="AM105" s="933"/>
      <c r="AN105" s="929"/>
      <c r="AO105" s="930" t="str">
        <f>Application!B733</f>
        <v>3 Bedrooms</v>
      </c>
      <c r="AQ105" s="930">
        <f>Application!O733</f>
        <v>1239</v>
      </c>
      <c r="AU105" s="1767" t="str">
        <f>J112</f>
        <v>1-bedroom</v>
      </c>
      <c r="AV105" s="930">
        <f t="array" ref="AV105">SUM(IF(Application!B728:F752="1 Bedroom",Application!G728:J752))</f>
        <v>23</v>
      </c>
      <c r="AW105" s="1802">
        <f>AV105/AV110</f>
        <v>0.26136363636363635</v>
      </c>
    </row>
    <row r="106" spans="1:49" s="930" customFormat="1" ht="12.75" customHeight="1">
      <c r="A106" s="933"/>
      <c r="B106" s="932"/>
      <c r="C106" s="932"/>
      <c r="D106" s="932"/>
      <c r="E106" s="3078"/>
      <c r="F106" s="3079"/>
      <c r="G106" s="3079"/>
      <c r="H106" s="3079"/>
      <c r="I106" s="3079"/>
      <c r="J106" s="3079"/>
      <c r="K106" s="3079"/>
      <c r="L106" s="3079"/>
      <c r="M106" s="3079"/>
      <c r="N106" s="3079"/>
      <c r="O106" s="3079"/>
      <c r="P106" s="3079"/>
      <c r="Q106" s="3079"/>
      <c r="R106" s="3079"/>
      <c r="S106" s="3079"/>
      <c r="T106" s="3079"/>
      <c r="U106" s="3079"/>
      <c r="V106" s="3079"/>
      <c r="W106" s="3079"/>
      <c r="X106" s="3079"/>
      <c r="Y106" s="3079"/>
      <c r="Z106" s="3079"/>
      <c r="AA106" s="3079"/>
      <c r="AB106" s="3079"/>
      <c r="AC106" s="3079"/>
      <c r="AD106" s="3079"/>
      <c r="AE106" s="3079"/>
      <c r="AF106" s="3079"/>
      <c r="AG106" s="3079"/>
      <c r="AH106" s="3079"/>
      <c r="AI106" s="3079"/>
      <c r="AJ106" s="3080"/>
      <c r="AK106" s="933"/>
      <c r="AL106" s="933"/>
      <c r="AM106" s="933"/>
      <c r="AN106" s="929"/>
      <c r="AO106" s="930" t="str">
        <f>Application!B734</f>
        <v>1 Bedroom</v>
      </c>
      <c r="AQ106" s="930">
        <f>Application!O734</f>
        <v>1122</v>
      </c>
      <c r="AU106" s="1767" t="str">
        <f>O112</f>
        <v>2-bedroom</v>
      </c>
      <c r="AV106" s="930">
        <f t="array" ref="AV106">SUM(IF(Application!B728:F752="2 Bedrooms",Application!G728:J752))</f>
        <v>18</v>
      </c>
      <c r="AW106" s="1802">
        <f>AV106/AV110</f>
        <v>0.20454545454545456</v>
      </c>
    </row>
    <row r="107" spans="1:49" s="930" customFormat="1" ht="12.75" customHeight="1">
      <c r="A107" s="933"/>
      <c r="B107" s="932"/>
      <c r="C107" s="932"/>
      <c r="D107" s="932"/>
      <c r="E107" s="3078"/>
      <c r="F107" s="3079"/>
      <c r="G107" s="3079"/>
      <c r="H107" s="3079"/>
      <c r="I107" s="3079"/>
      <c r="J107" s="3079"/>
      <c r="K107" s="3079"/>
      <c r="L107" s="3079"/>
      <c r="M107" s="3079"/>
      <c r="N107" s="3079"/>
      <c r="O107" s="3079"/>
      <c r="P107" s="3079"/>
      <c r="Q107" s="3079"/>
      <c r="R107" s="3079"/>
      <c r="S107" s="3079"/>
      <c r="T107" s="3079"/>
      <c r="U107" s="3079"/>
      <c r="V107" s="3079"/>
      <c r="W107" s="3079"/>
      <c r="X107" s="3079"/>
      <c r="Y107" s="3079"/>
      <c r="Z107" s="3079"/>
      <c r="AA107" s="3079"/>
      <c r="AB107" s="3079"/>
      <c r="AC107" s="3079"/>
      <c r="AD107" s="3079"/>
      <c r="AE107" s="3079"/>
      <c r="AF107" s="3079"/>
      <c r="AG107" s="3079"/>
      <c r="AH107" s="3079"/>
      <c r="AI107" s="3079"/>
      <c r="AJ107" s="3080"/>
      <c r="AK107" s="933"/>
      <c r="AL107" s="933"/>
      <c r="AM107" s="933"/>
      <c r="AN107" s="929"/>
      <c r="AO107" s="930" t="str">
        <f>Application!B735</f>
        <v>2 Bedrooms</v>
      </c>
      <c r="AQ107" s="930">
        <f>Application!O735</f>
        <v>1344</v>
      </c>
      <c r="AU107" s="1767" t="str">
        <f>T112</f>
        <v>3-bedroom</v>
      </c>
      <c r="AV107" s="930">
        <f t="array" ref="AV107">SUM(IF(Application!B728:F752="3 Bedrooms",Application!G728:J752))</f>
        <v>47</v>
      </c>
      <c r="AW107" s="1802">
        <f>AV107/AV110</f>
        <v>0.53409090909090906</v>
      </c>
    </row>
    <row r="108" spans="1:49" s="930" customFormat="1" ht="12.75" customHeight="1">
      <c r="A108" s="933"/>
      <c r="B108" s="932"/>
      <c r="C108" s="932"/>
      <c r="D108" s="932"/>
      <c r="E108" s="3078"/>
      <c r="F108" s="3079"/>
      <c r="G108" s="3079"/>
      <c r="H108" s="3079"/>
      <c r="I108" s="3079"/>
      <c r="J108" s="3079"/>
      <c r="K108" s="3079"/>
      <c r="L108" s="3079"/>
      <c r="M108" s="3079"/>
      <c r="N108" s="3079"/>
      <c r="O108" s="3079"/>
      <c r="P108" s="3079"/>
      <c r="Q108" s="3079"/>
      <c r="R108" s="3079"/>
      <c r="S108" s="3079"/>
      <c r="T108" s="3079"/>
      <c r="U108" s="3079"/>
      <c r="V108" s="3079"/>
      <c r="W108" s="3079"/>
      <c r="X108" s="3079"/>
      <c r="Y108" s="3079"/>
      <c r="Z108" s="3079"/>
      <c r="AA108" s="3079"/>
      <c r="AB108" s="3079"/>
      <c r="AC108" s="3079"/>
      <c r="AD108" s="3079"/>
      <c r="AE108" s="3079"/>
      <c r="AF108" s="3079"/>
      <c r="AG108" s="3079"/>
      <c r="AH108" s="3079"/>
      <c r="AI108" s="3079"/>
      <c r="AJ108" s="3080"/>
      <c r="AK108" s="933"/>
      <c r="AL108" s="933"/>
      <c r="AM108" s="933"/>
      <c r="AN108" s="929"/>
      <c r="AO108" s="930" t="str">
        <f>Application!B736</f>
        <v>3 Bedrooms</v>
      </c>
      <c r="AQ108" s="930">
        <f>Application!O736</f>
        <v>1554</v>
      </c>
      <c r="AU108" s="1767" t="str">
        <f>Y112</f>
        <v>4-bedroom</v>
      </c>
      <c r="AV108" s="930">
        <f t="array" ref="AV108">SUM(IF(Application!B728:F752="4 Bedrooms",Application!G728:J752))</f>
        <v>0</v>
      </c>
      <c r="AW108" s="1802">
        <f>AV108/AV110</f>
        <v>0</v>
      </c>
    </row>
    <row r="109" spans="1:49" s="930" customFormat="1" ht="12.75" customHeight="1">
      <c r="A109" s="933"/>
      <c r="B109" s="932"/>
      <c r="C109" s="932"/>
      <c r="D109" s="932"/>
      <c r="E109" s="3078"/>
      <c r="F109" s="3079"/>
      <c r="G109" s="3079"/>
      <c r="H109" s="3079"/>
      <c r="I109" s="3079"/>
      <c r="J109" s="3079"/>
      <c r="K109" s="3079"/>
      <c r="L109" s="3079"/>
      <c r="M109" s="3079"/>
      <c r="N109" s="3079"/>
      <c r="O109" s="3079"/>
      <c r="P109" s="3079"/>
      <c r="Q109" s="3079"/>
      <c r="R109" s="3079"/>
      <c r="S109" s="3079"/>
      <c r="T109" s="3079"/>
      <c r="U109" s="3079"/>
      <c r="V109" s="3079"/>
      <c r="W109" s="3079"/>
      <c r="X109" s="3079"/>
      <c r="Y109" s="3079"/>
      <c r="Z109" s="3079"/>
      <c r="AA109" s="3079"/>
      <c r="AB109" s="3079"/>
      <c r="AC109" s="3079"/>
      <c r="AD109" s="3079"/>
      <c r="AE109" s="3079"/>
      <c r="AF109" s="3079"/>
      <c r="AG109" s="3079"/>
      <c r="AH109" s="3079"/>
      <c r="AI109" s="3079"/>
      <c r="AJ109" s="3080"/>
      <c r="AK109" s="933"/>
      <c r="AL109" s="933"/>
      <c r="AM109" s="933"/>
      <c r="AN109" s="929"/>
      <c r="AO109" s="930" t="str">
        <f>Application!B737</f>
        <v>1 Bedroom</v>
      </c>
      <c r="AQ109" s="930">
        <f>Application!O737</f>
        <v>1350</v>
      </c>
      <c r="AU109" s="1767" t="str">
        <f>AD112</f>
        <v>5-bedroom</v>
      </c>
      <c r="AV109" s="930">
        <f t="array" ref="AV109">SUM(IF(Application!B728:F752="5 Bedrooms",Application!G728:J752))</f>
        <v>0</v>
      </c>
      <c r="AW109" s="1802">
        <f>AV109/AV110</f>
        <v>0</v>
      </c>
    </row>
    <row r="110" spans="1:49" s="930" customFormat="1" ht="12.75" customHeight="1">
      <c r="A110" s="933"/>
      <c r="B110" s="932"/>
      <c r="C110" s="932"/>
      <c r="D110" s="932"/>
      <c r="E110" s="3078"/>
      <c r="F110" s="3079"/>
      <c r="G110" s="3079"/>
      <c r="H110" s="3079"/>
      <c r="I110" s="3079"/>
      <c r="J110" s="3079"/>
      <c r="K110" s="3079"/>
      <c r="L110" s="3079"/>
      <c r="M110" s="3079"/>
      <c r="N110" s="3079"/>
      <c r="O110" s="3079"/>
      <c r="P110" s="3079"/>
      <c r="Q110" s="3079"/>
      <c r="R110" s="3079"/>
      <c r="S110" s="3079"/>
      <c r="T110" s="3079"/>
      <c r="U110" s="3079"/>
      <c r="V110" s="3079"/>
      <c r="W110" s="3079"/>
      <c r="X110" s="3079"/>
      <c r="Y110" s="3079"/>
      <c r="Z110" s="3079"/>
      <c r="AA110" s="3079"/>
      <c r="AB110" s="3079"/>
      <c r="AC110" s="3079"/>
      <c r="AD110" s="3079"/>
      <c r="AE110" s="3079"/>
      <c r="AF110" s="3079"/>
      <c r="AG110" s="3079"/>
      <c r="AH110" s="3079"/>
      <c r="AI110" s="3079"/>
      <c r="AJ110" s="3080"/>
      <c r="AK110" s="933"/>
      <c r="AL110" s="933"/>
      <c r="AM110" s="933"/>
      <c r="AN110" s="929"/>
      <c r="AO110" s="930" t="str">
        <f>Application!B738</f>
        <v>2 Bedrooms</v>
      </c>
      <c r="AQ110" s="930">
        <f>Application!O738</f>
        <v>1617</v>
      </c>
      <c r="AV110" s="930">
        <f>SUM(AV104:AV109)</f>
        <v>88</v>
      </c>
      <c r="AW110" s="1802">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1869</v>
      </c>
    </row>
    <row r="112" spans="1:49" s="930" customFormat="1" ht="12.75" customHeight="1">
      <c r="A112" s="933"/>
      <c r="B112" s="932"/>
      <c r="C112" s="933"/>
      <c r="D112" s="933"/>
      <c r="E112" s="3081" t="s">
        <v>1886</v>
      </c>
      <c r="F112" s="3082"/>
      <c r="G112" s="3082"/>
      <c r="H112" s="3082"/>
      <c r="I112" s="1472"/>
      <c r="J112" s="3082" t="s">
        <v>1979</v>
      </c>
      <c r="K112" s="3082"/>
      <c r="L112" s="3082"/>
      <c r="M112" s="3082"/>
      <c r="N112" s="1472"/>
      <c r="O112" s="3082" t="s">
        <v>1980</v>
      </c>
      <c r="P112" s="3082"/>
      <c r="Q112" s="3082"/>
      <c r="R112" s="3082"/>
      <c r="S112" s="1472"/>
      <c r="T112" s="3082" t="s">
        <v>1604</v>
      </c>
      <c r="U112" s="3082"/>
      <c r="V112" s="3082"/>
      <c r="W112" s="3082"/>
      <c r="X112" s="1472"/>
      <c r="Y112" s="3082" t="s">
        <v>1981</v>
      </c>
      <c r="Z112" s="3082"/>
      <c r="AA112" s="3082"/>
      <c r="AB112" s="3082"/>
      <c r="AC112" s="1472"/>
      <c r="AD112" s="3082" t="s">
        <v>1982</v>
      </c>
      <c r="AE112" s="3082"/>
      <c r="AF112" s="3082"/>
      <c r="AG112" s="3082"/>
      <c r="AH112" s="971"/>
      <c r="AI112" s="971"/>
      <c r="AJ112" s="973"/>
      <c r="AK112" s="933"/>
      <c r="AL112" s="933"/>
      <c r="AM112" s="933"/>
      <c r="AN112" s="929"/>
      <c r="AO112" s="930" t="str">
        <f>Application!B740</f>
        <v>2 Bedrooms</v>
      </c>
      <c r="AQ112" s="930">
        <f>Application!O740</f>
        <v>1592</v>
      </c>
    </row>
    <row r="113" spans="1:52" s="930" customFormat="1" ht="12.75" customHeight="1">
      <c r="A113" s="933"/>
      <c r="B113" s="954"/>
      <c r="C113" s="933"/>
      <c r="D113" s="933"/>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3"/>
      <c r="AL113" s="933"/>
      <c r="AM113" s="933"/>
      <c r="AN113" s="929"/>
      <c r="AO113" s="930">
        <f>Application!B741</f>
        <v>0</v>
      </c>
      <c r="AQ113" s="930">
        <f>Application!O741</f>
        <v>0</v>
      </c>
    </row>
    <row r="114" spans="1:52" s="930" customFormat="1" ht="12.75" customHeight="1">
      <c r="A114" s="933"/>
      <c r="B114" s="954"/>
      <c r="C114" s="933"/>
      <c r="D114" s="933"/>
      <c r="E114" s="1476" t="s">
        <v>1983</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3"/>
      <c r="AL114" s="933"/>
      <c r="AM114" s="933"/>
      <c r="AN114" s="929"/>
      <c r="AO114" s="930">
        <f>Application!B742</f>
        <v>0</v>
      </c>
      <c r="AQ114" s="930">
        <f>Application!O742</f>
        <v>0</v>
      </c>
    </row>
    <row r="115" spans="1:52" s="930" customFormat="1" ht="12.75" customHeight="1">
      <c r="A115" s="933"/>
      <c r="B115" s="954"/>
      <c r="C115" s="933"/>
      <c r="D115" s="933"/>
      <c r="E115" s="3094"/>
      <c r="F115" s="3071"/>
      <c r="G115" s="3071"/>
      <c r="H115" s="3071"/>
      <c r="I115" s="1474"/>
      <c r="J115" s="3071">
        <v>2083</v>
      </c>
      <c r="K115" s="3071"/>
      <c r="L115" s="3071"/>
      <c r="M115" s="3071"/>
      <c r="N115" s="1474"/>
      <c r="O115" s="3071">
        <v>2494</v>
      </c>
      <c r="P115" s="3071"/>
      <c r="Q115" s="3071"/>
      <c r="R115" s="3071"/>
      <c r="S115" s="1474"/>
      <c r="T115" s="3071">
        <v>2993</v>
      </c>
      <c r="U115" s="3071"/>
      <c r="V115" s="3071"/>
      <c r="W115" s="3071"/>
      <c r="X115" s="1474"/>
      <c r="Y115" s="3071"/>
      <c r="Z115" s="3071"/>
      <c r="AA115" s="3071"/>
      <c r="AB115" s="3071"/>
      <c r="AC115" s="1474"/>
      <c r="AD115" s="3071"/>
      <c r="AE115" s="3071"/>
      <c r="AF115" s="3071"/>
      <c r="AG115" s="3071"/>
      <c r="AH115" s="1472"/>
      <c r="AI115" s="1472"/>
      <c r="AJ115" s="1473"/>
      <c r="AK115" s="933"/>
      <c r="AL115" s="933"/>
      <c r="AM115" s="933"/>
      <c r="AN115" s="929"/>
      <c r="AO115" s="930">
        <f>Application!B743</f>
        <v>0</v>
      </c>
      <c r="AQ115" s="930">
        <f>Application!O743</f>
        <v>0</v>
      </c>
    </row>
    <row r="116" spans="1:52" s="930" customFormat="1" ht="12.75" customHeight="1">
      <c r="A116" s="933"/>
      <c r="B116" s="954"/>
      <c r="C116" s="933"/>
      <c r="D116" s="933"/>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3"/>
      <c r="AL116" s="933"/>
      <c r="AM116" s="933"/>
      <c r="AN116" s="929"/>
      <c r="AO116" s="930">
        <f>Application!B744</f>
        <v>0</v>
      </c>
      <c r="AQ116" s="930">
        <f>Application!O744</f>
        <v>0</v>
      </c>
      <c r="AU116" s="1800"/>
      <c r="AV116" s="1800"/>
      <c r="AW116" s="1800"/>
      <c r="AX116" s="1800"/>
      <c r="AY116" s="1800"/>
      <c r="AZ116" s="1800"/>
    </row>
    <row r="117" spans="1:52" s="930" customFormat="1" ht="12.75" customHeight="1">
      <c r="A117" s="933"/>
      <c r="B117" s="954"/>
      <c r="C117" s="933"/>
      <c r="D117" s="933"/>
      <c r="E117" s="1476" t="s">
        <v>2367</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3"/>
      <c r="AL117" s="933"/>
      <c r="AM117" s="933"/>
      <c r="AN117" s="929"/>
      <c r="AO117" s="930">
        <f>Application!B745</f>
        <v>0</v>
      </c>
      <c r="AQ117" s="930">
        <f>Application!O745</f>
        <v>0</v>
      </c>
      <c r="AU117" s="1800"/>
      <c r="AV117" s="1800"/>
      <c r="AW117" s="1800"/>
      <c r="AX117" s="1800"/>
      <c r="AY117" s="1800"/>
      <c r="AZ117" s="1800"/>
    </row>
    <row r="118" spans="1:52" s="930" customFormat="1" ht="12.75" customHeight="1">
      <c r="A118" s="933"/>
      <c r="B118" s="932"/>
      <c r="C118" s="933"/>
      <c r="D118" s="933"/>
      <c r="E118" s="3072">
        <f>Application!DX663</f>
        <v>0</v>
      </c>
      <c r="F118" s="3030"/>
      <c r="G118" s="3030"/>
      <c r="H118" s="3030"/>
      <c r="I118" s="1474"/>
      <c r="J118" s="3030">
        <f>Application!EC663</f>
        <v>1023.5652173913043</v>
      </c>
      <c r="K118" s="3030"/>
      <c r="L118" s="3030"/>
      <c r="M118" s="3030"/>
      <c r="N118" s="1474"/>
      <c r="O118" s="3030">
        <f>Application!EH663</f>
        <v>1371.8888888888889</v>
      </c>
      <c r="P118" s="3030"/>
      <c r="Q118" s="3030"/>
      <c r="R118" s="3030"/>
      <c r="S118" s="1478"/>
      <c r="T118" s="3030">
        <f>Application!EM663</f>
        <v>1600.9148936170213</v>
      </c>
      <c r="U118" s="3030"/>
      <c r="V118" s="3030"/>
      <c r="W118" s="3030"/>
      <c r="X118" s="1478"/>
      <c r="Y118" s="3030">
        <f>Application!ER663</f>
        <v>0</v>
      </c>
      <c r="Z118" s="3030"/>
      <c r="AA118" s="3030"/>
      <c r="AB118" s="3030"/>
      <c r="AC118" s="1478"/>
      <c r="AD118" s="3030">
        <f>Application!EW663</f>
        <v>0</v>
      </c>
      <c r="AE118" s="3030"/>
      <c r="AF118" s="3030"/>
      <c r="AG118" s="3030"/>
      <c r="AH118" s="971"/>
      <c r="AI118" s="971"/>
      <c r="AJ118" s="973"/>
      <c r="AK118" s="933"/>
      <c r="AL118" s="933"/>
      <c r="AM118" s="933"/>
      <c r="AN118" s="929"/>
      <c r="AO118" s="930">
        <f>Application!B746</f>
        <v>0</v>
      </c>
      <c r="AQ118" s="930">
        <f>Application!O746</f>
        <v>0</v>
      </c>
      <c r="AU118" s="1800"/>
      <c r="AV118" s="1800"/>
      <c r="AW118" s="1801"/>
      <c r="AX118" s="1801"/>
      <c r="AY118" s="1800"/>
      <c r="AZ118" s="1800"/>
    </row>
    <row r="119" spans="1:52" s="930" customFormat="1" ht="12.75" customHeight="1">
      <c r="A119" s="933"/>
      <c r="B119" s="932"/>
      <c r="C119" s="933"/>
      <c r="D119" s="933"/>
      <c r="E119" s="1477"/>
      <c r="F119" s="1471"/>
      <c r="G119" s="1471"/>
      <c r="H119" s="1471"/>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0"/>
      <c r="AV119" s="1800"/>
      <c r="AW119" s="1801"/>
      <c r="AX119" s="1801"/>
      <c r="AY119" s="1800"/>
      <c r="AZ119" s="1800"/>
    </row>
    <row r="120" spans="1:52" s="930" customFormat="1" ht="12.75" customHeight="1">
      <c r="A120" s="933"/>
      <c r="B120" s="932"/>
      <c r="C120" s="933"/>
      <c r="D120" s="933"/>
      <c r="E120" s="1476" t="s">
        <v>2368</v>
      </c>
      <c r="F120" s="1471"/>
      <c r="G120" s="1471"/>
      <c r="H120" s="1471"/>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0"/>
      <c r="AV120" s="1800"/>
      <c r="AW120" s="1801"/>
      <c r="AX120" s="1801"/>
      <c r="AY120" s="1800"/>
      <c r="AZ120" s="1800"/>
    </row>
    <row r="121" spans="1:52" s="930" customFormat="1" ht="12.75" customHeight="1">
      <c r="A121" s="933"/>
      <c r="B121" s="932"/>
      <c r="C121" s="933"/>
      <c r="D121" s="933"/>
      <c r="E121" s="3294" t="e">
        <f>(E115-E118)/E115</f>
        <v>#DIV/0!</v>
      </c>
      <c r="F121" s="3295"/>
      <c r="G121" s="3295"/>
      <c r="H121" s="3296"/>
      <c r="I121" s="971"/>
      <c r="J121" s="3294">
        <f>(J115-J118)/J115</f>
        <v>0.50861007326389618</v>
      </c>
      <c r="K121" s="3295"/>
      <c r="L121" s="3295"/>
      <c r="M121" s="3296"/>
      <c r="N121" s="971"/>
      <c r="O121" s="3294">
        <f>(O115-O118)/O115</f>
        <v>0.44992426267486413</v>
      </c>
      <c r="P121" s="3295"/>
      <c r="Q121" s="3295"/>
      <c r="R121" s="3296"/>
      <c r="S121" s="971"/>
      <c r="T121" s="3294">
        <f>(T115-T118)/T115</f>
        <v>0.46511363394018668</v>
      </c>
      <c r="U121" s="3295"/>
      <c r="V121" s="3295"/>
      <c r="W121" s="3296"/>
      <c r="X121" s="971"/>
      <c r="Y121" s="3294" t="e">
        <f>(Y115-Y118)/Y115</f>
        <v>#DIV/0!</v>
      </c>
      <c r="Z121" s="3295"/>
      <c r="AA121" s="3295"/>
      <c r="AB121" s="3296"/>
      <c r="AC121" s="971"/>
      <c r="AD121" s="3294" t="e">
        <f>(AD115-AD118)/AD115</f>
        <v>#DIV/0!</v>
      </c>
      <c r="AE121" s="3295"/>
      <c r="AF121" s="3295"/>
      <c r="AG121" s="3296"/>
      <c r="AH121" s="971"/>
      <c r="AI121" s="971"/>
      <c r="AJ121" s="973"/>
      <c r="AK121" s="933"/>
      <c r="AL121" s="933"/>
      <c r="AM121" s="933"/>
      <c r="AN121" s="929"/>
      <c r="AO121" s="930">
        <f>Application!B749</f>
        <v>0</v>
      </c>
      <c r="AQ121" s="930">
        <f>Application!O749</f>
        <v>0</v>
      </c>
      <c r="AU121" s="1800"/>
      <c r="AV121" s="1800"/>
      <c r="AW121" s="1801"/>
      <c r="AX121" s="1801"/>
      <c r="AY121" s="1800"/>
      <c r="AZ121" s="1800"/>
    </row>
    <row r="122" spans="1:52" s="930" customFormat="1" ht="12.75" customHeight="1">
      <c r="A122" s="933"/>
      <c r="B122" s="932"/>
      <c r="C122" s="933"/>
      <c r="D122" s="933"/>
      <c r="E122" s="1780"/>
      <c r="F122" s="1779"/>
      <c r="G122" s="1779"/>
      <c r="H122" s="1779"/>
      <c r="I122" s="971"/>
      <c r="J122" s="1779"/>
      <c r="K122" s="1779"/>
      <c r="L122" s="1779"/>
      <c r="M122" s="1779"/>
      <c r="N122" s="971"/>
      <c r="O122" s="1779"/>
      <c r="P122" s="1779"/>
      <c r="Q122" s="1779"/>
      <c r="R122" s="1779"/>
      <c r="S122" s="971"/>
      <c r="T122" s="1779"/>
      <c r="U122" s="1779"/>
      <c r="V122" s="1779"/>
      <c r="W122" s="1779"/>
      <c r="X122" s="971"/>
      <c r="Y122" s="1779"/>
      <c r="Z122" s="1779"/>
      <c r="AA122" s="1779"/>
      <c r="AB122" s="1779"/>
      <c r="AC122" s="971"/>
      <c r="AD122" s="1779"/>
      <c r="AE122" s="1779"/>
      <c r="AF122" s="1779"/>
      <c r="AG122" s="1779"/>
      <c r="AH122" s="971"/>
      <c r="AI122" s="971"/>
      <c r="AJ122" s="973"/>
      <c r="AK122" s="933"/>
      <c r="AL122" s="933"/>
      <c r="AM122" s="933"/>
      <c r="AN122" s="929"/>
      <c r="AO122" s="930">
        <f>Application!B750</f>
        <v>0</v>
      </c>
      <c r="AQ122" s="930">
        <f>Application!O750</f>
        <v>0</v>
      </c>
      <c r="AU122" s="1800"/>
      <c r="AV122" s="1800"/>
      <c r="AW122" s="1801"/>
      <c r="AX122" s="1801"/>
      <c r="AY122" s="1800"/>
      <c r="AZ122" s="1800"/>
    </row>
    <row r="123" spans="1:52" s="930" customFormat="1" ht="12.75" customHeight="1">
      <c r="A123" s="933"/>
      <c r="B123" s="932"/>
      <c r="C123" s="933"/>
      <c r="D123" s="933"/>
      <c r="E123" s="1781" t="s">
        <v>2369</v>
      </c>
      <c r="F123" s="1779"/>
      <c r="G123" s="1779"/>
      <c r="H123" s="1779"/>
      <c r="I123" s="971"/>
      <c r="J123" s="1779"/>
      <c r="K123" s="1779"/>
      <c r="L123" s="1779"/>
      <c r="M123" s="1779"/>
      <c r="N123" s="971"/>
      <c r="O123" s="1779"/>
      <c r="P123" s="1779"/>
      <c r="Q123" s="1779"/>
      <c r="R123" s="1779"/>
      <c r="S123" s="971"/>
      <c r="T123" s="1779"/>
      <c r="U123" s="1779"/>
      <c r="V123" s="1779"/>
      <c r="W123" s="1779"/>
      <c r="X123" s="971"/>
      <c r="Y123" s="1779"/>
      <c r="Z123" s="1779"/>
      <c r="AA123" s="1779"/>
      <c r="AB123" s="1779"/>
      <c r="AC123" s="971"/>
      <c r="AD123" s="1779"/>
      <c r="AE123" s="1779"/>
      <c r="AF123" s="1779"/>
      <c r="AG123" s="1779"/>
      <c r="AH123" s="971"/>
      <c r="AI123" s="971"/>
      <c r="AJ123" s="973"/>
      <c r="AK123" s="933"/>
      <c r="AL123" s="933"/>
      <c r="AM123" s="933"/>
      <c r="AN123" s="929"/>
      <c r="AO123" s="930">
        <f>Application!B751</f>
        <v>0</v>
      </c>
      <c r="AQ123" s="930">
        <f>Application!O751</f>
        <v>0</v>
      </c>
      <c r="AU123" s="1801"/>
      <c r="AV123" s="1800"/>
      <c r="AW123" s="1801"/>
      <c r="AX123" s="1801"/>
      <c r="AY123" s="1800"/>
      <c r="AZ123" s="1800"/>
    </row>
    <row r="124" spans="1:52" s="930" customFormat="1" ht="12.75" customHeight="1">
      <c r="A124" s="933"/>
      <c r="B124" s="932"/>
      <c r="C124" s="933"/>
      <c r="D124" s="933"/>
      <c r="E124" s="3027" t="e">
        <f>IF(((E121-0.1)*AW104)&gt;0,((E121-0.1)*AW104),0)</f>
        <v>#DIV/0!</v>
      </c>
      <c r="F124" s="3028"/>
      <c r="G124" s="3028"/>
      <c r="H124" s="3029"/>
      <c r="I124" s="971"/>
      <c r="J124" s="3027">
        <f>IF(((J121-0.1)*AW105)&gt;0,((J121-0.1)*AW105),0)</f>
        <v>0.10679581460306378</v>
      </c>
      <c r="K124" s="3028"/>
      <c r="L124" s="3028"/>
      <c r="M124" s="3029"/>
      <c r="N124" s="971"/>
      <c r="O124" s="3027">
        <f>IF(((O121-0.1)*AW106)&gt;0,((O121-0.1)*AW106),0)</f>
        <v>7.1575417365313115E-2</v>
      </c>
      <c r="P124" s="3028"/>
      <c r="Q124" s="3028"/>
      <c r="R124" s="3029"/>
      <c r="S124" s="971"/>
      <c r="T124" s="3027">
        <f>IF(((T121-0.1)*AW107)&gt;0,((T121-0.1)*AW107),0)</f>
        <v>0.19500387267259969</v>
      </c>
      <c r="U124" s="3028"/>
      <c r="V124" s="3028"/>
      <c r="W124" s="3029"/>
      <c r="X124" s="971"/>
      <c r="Y124" s="3027" t="e">
        <f>IF(((Y121-0.1)*AW108)&gt;0,((Y121-0.1)*AW108),0)</f>
        <v>#DIV/0!</v>
      </c>
      <c r="Z124" s="3028"/>
      <c r="AA124" s="3028"/>
      <c r="AB124" s="3029"/>
      <c r="AC124" s="971"/>
      <c r="AD124" s="3027" t="e">
        <f>IF(((AD121-0.1)*AW109)&gt;0,((AD121-0.1)*AW109),0)</f>
        <v>#DIV/0!</v>
      </c>
      <c r="AE124" s="3028"/>
      <c r="AF124" s="3028"/>
      <c r="AG124" s="3029"/>
      <c r="AH124" s="971"/>
      <c r="AI124" s="971"/>
      <c r="AJ124" s="973"/>
      <c r="AK124" s="933"/>
      <c r="AL124" s="933"/>
      <c r="AM124" s="933"/>
      <c r="AN124" s="929"/>
      <c r="AO124" s="930">
        <f>Application!B752</f>
        <v>0</v>
      </c>
      <c r="AQ124" s="930">
        <f>Application!O752</f>
        <v>0</v>
      </c>
      <c r="AU124" s="1800"/>
      <c r="AV124" s="1800"/>
      <c r="AW124" s="1800"/>
      <c r="AX124" s="1801"/>
      <c r="AY124" s="1800"/>
      <c r="AZ124" s="1800"/>
    </row>
    <row r="125" spans="1:52" s="930" customFormat="1" ht="12.75" customHeight="1">
      <c r="A125" s="933"/>
      <c r="B125" s="932"/>
      <c r="C125" s="933"/>
      <c r="D125" s="933"/>
      <c r="E125" s="1477"/>
      <c r="F125" s="1471"/>
      <c r="G125" s="1471"/>
      <c r="H125" s="1471"/>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0"/>
      <c r="AV125" s="1800"/>
      <c r="AW125" s="1800"/>
      <c r="AX125" s="1800"/>
      <c r="AY125" s="1800"/>
      <c r="AZ125" s="1800"/>
    </row>
    <row r="126" spans="1:52" s="930" customFormat="1" ht="12.75" customHeight="1">
      <c r="A126" s="933"/>
      <c r="B126" s="932"/>
      <c r="C126" s="933"/>
      <c r="D126" s="933"/>
      <c r="E126" s="3294">
        <f>ROUNDDOWN(SUMIF(E124:AG124,"&gt;0"),2)</f>
        <v>0.37</v>
      </c>
      <c r="F126" s="3295"/>
      <c r="G126" s="3295"/>
      <c r="H126" s="3296"/>
      <c r="I126" s="1472"/>
      <c r="J126" s="1479" t="s">
        <v>2370</v>
      </c>
      <c r="K126" s="1472"/>
      <c r="L126" s="1472"/>
      <c r="M126" s="1472"/>
      <c r="N126" s="1472"/>
      <c r="O126" s="1472"/>
      <c r="P126" s="971"/>
      <c r="Q126" s="971"/>
      <c r="R126" s="971"/>
      <c r="S126" s="971"/>
      <c r="T126" s="971"/>
      <c r="U126" s="971"/>
      <c r="V126" s="971"/>
      <c r="W126" s="971"/>
      <c r="X126" s="971"/>
      <c r="Y126" s="971"/>
      <c r="Z126" s="971"/>
      <c r="AA126" s="971"/>
      <c r="AB126" s="971"/>
      <c r="AC126" s="971"/>
      <c r="AD126" s="1480"/>
      <c r="AE126" s="1480"/>
      <c r="AF126" s="1480"/>
      <c r="AG126" s="1480"/>
      <c r="AH126" s="971"/>
      <c r="AI126" s="971"/>
      <c r="AJ126" s="973"/>
      <c r="AK126" s="933"/>
      <c r="AL126" s="933"/>
      <c r="AM126" s="933"/>
      <c r="AN126" s="929"/>
      <c r="AU126" s="1800"/>
      <c r="AV126" s="1800"/>
      <c r="AW126" s="1800"/>
      <c r="AX126" s="1801"/>
      <c r="AY126" s="1800"/>
      <c r="AZ126" s="1800"/>
    </row>
    <row r="127" spans="1:52" s="930" customFormat="1" ht="12.75" customHeight="1">
      <c r="A127" s="933"/>
      <c r="B127" s="932"/>
      <c r="C127" s="933"/>
      <c r="D127" s="933"/>
      <c r="E127" s="3067">
        <f>IF((E126*100)&gt;10,10,E126*100)</f>
        <v>10</v>
      </c>
      <c r="F127" s="3068"/>
      <c r="G127" s="3068"/>
      <c r="H127" s="3069"/>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0"/>
      <c r="AV127" s="1800"/>
      <c r="AW127" s="1800"/>
      <c r="AX127" s="1800"/>
      <c r="AY127" s="1800"/>
      <c r="AZ127" s="1800"/>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3"/>
      <c r="AU128" s="1800"/>
      <c r="AV128" s="1800"/>
      <c r="AW128" s="1801"/>
      <c r="AX128" s="1800"/>
      <c r="AY128" s="1800"/>
      <c r="AZ128" s="1800"/>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0"/>
      <c r="AV129" s="1800"/>
      <c r="AW129" s="1800"/>
      <c r="AX129" s="1800"/>
      <c r="AY129" s="1800"/>
      <c r="AZ129" s="1800"/>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067">
        <f>E127</f>
        <v>10</v>
      </c>
      <c r="AL131" s="3068"/>
      <c r="AM131" s="3069"/>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052" t="s">
        <v>1584</v>
      </c>
      <c r="AF134" s="3052"/>
      <c r="AG134" s="3052"/>
      <c r="AH134" s="3052"/>
      <c r="AI134" s="3052"/>
      <c r="AJ134" s="3052"/>
      <c r="AK134" s="3052"/>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90" t="s">
        <v>1608</v>
      </c>
      <c r="AG136" s="3090"/>
      <c r="AH136" s="3090"/>
      <c r="AI136" s="3090"/>
      <c r="AJ136" s="3090"/>
      <c r="AK136" s="3090"/>
      <c r="AL136" s="3090"/>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5"/>
      <c r="AM137" s="986"/>
      <c r="AN137" s="926"/>
    </row>
    <row r="138" spans="1:52" s="927" customFormat="1" ht="15" customHeight="1">
      <c r="A138" s="931"/>
      <c r="B138" s="3091" t="s">
        <v>2545</v>
      </c>
      <c r="C138" s="3091"/>
      <c r="D138" s="3091"/>
      <c r="E138" s="3091"/>
      <c r="F138" s="3091"/>
      <c r="G138" s="3091"/>
      <c r="H138" s="3091"/>
      <c r="I138" s="3091"/>
      <c r="J138" s="3091"/>
      <c r="K138" s="3091"/>
      <c r="L138" s="3091"/>
      <c r="M138" s="3091"/>
      <c r="N138" s="3091"/>
      <c r="O138" s="3091"/>
      <c r="P138" s="3091"/>
      <c r="Q138" s="3091"/>
      <c r="R138" s="3091"/>
      <c r="S138" s="3091"/>
      <c r="T138" s="3091"/>
      <c r="U138" s="3091"/>
      <c r="V138" s="3091"/>
      <c r="W138" s="3091"/>
      <c r="X138" s="3091"/>
      <c r="Y138" s="3091"/>
      <c r="Z138" s="3091"/>
      <c r="AA138" s="3091"/>
      <c r="AB138" s="3091"/>
      <c r="AC138" s="3091"/>
      <c r="AD138" s="932"/>
      <c r="AE138" s="1595"/>
      <c r="AF138" s="1595"/>
      <c r="AG138" s="1595"/>
      <c r="AH138" s="1595"/>
      <c r="AI138" s="1595"/>
      <c r="AJ138" s="1595"/>
      <c r="AK138" s="1595"/>
      <c r="AL138" s="1595"/>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5"/>
      <c r="AF139" s="1595"/>
      <c r="AG139" s="1595"/>
      <c r="AH139" s="1595"/>
      <c r="AI139" s="1595"/>
      <c r="AJ139" s="1595"/>
      <c r="AK139" s="1595"/>
      <c r="AL139" s="1595"/>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107" t="s">
        <v>1611</v>
      </c>
      <c r="C141" s="3107"/>
      <c r="D141" s="3107"/>
      <c r="E141" s="3107"/>
      <c r="F141" s="3107"/>
      <c r="G141" s="3107"/>
      <c r="H141" s="3107"/>
      <c r="I141" s="3107"/>
      <c r="J141" s="3107"/>
      <c r="K141" s="3107"/>
      <c r="L141" s="3107"/>
      <c r="M141" s="3107"/>
      <c r="N141" s="3107"/>
      <c r="O141" s="3107"/>
      <c r="P141" s="3107"/>
      <c r="Q141" s="3107"/>
      <c r="R141" s="3107"/>
      <c r="S141" s="3107"/>
      <c r="T141" s="3107"/>
      <c r="U141" s="3107"/>
      <c r="V141" s="3107"/>
      <c r="W141" s="3107"/>
      <c r="X141" s="3107"/>
      <c r="Y141" s="3107"/>
      <c r="Z141" s="3107"/>
      <c r="AA141" s="3107"/>
      <c r="AB141" s="3107"/>
      <c r="AC141" s="3107"/>
      <c r="AD141" s="3107"/>
      <c r="AE141" s="3107"/>
      <c r="AF141" s="3107"/>
      <c r="AG141" s="3107"/>
      <c r="AH141" s="3107"/>
      <c r="AI141" s="3107"/>
      <c r="AM141" s="986"/>
      <c r="AN141" s="926"/>
      <c r="AO141" s="994" t="s">
        <v>1611</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108" t="s">
        <v>625</v>
      </c>
      <c r="AC143" s="3108"/>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107" t="s">
        <v>1613</v>
      </c>
      <c r="C146" s="3107"/>
      <c r="D146" s="3107"/>
      <c r="E146" s="3107"/>
      <c r="F146" s="3107"/>
      <c r="G146" s="3107"/>
      <c r="H146" s="3107"/>
      <c r="I146" s="3107"/>
      <c r="J146" s="3107"/>
      <c r="K146" s="3107"/>
      <c r="L146" s="3107"/>
      <c r="M146" s="3107"/>
      <c r="N146" s="3107"/>
      <c r="O146" s="3107"/>
      <c r="P146" s="3107"/>
      <c r="Q146" s="3107"/>
      <c r="R146" s="3107"/>
      <c r="S146" s="3107"/>
      <c r="T146" s="3107"/>
      <c r="U146" s="3107"/>
      <c r="V146" s="3107"/>
      <c r="W146" s="3107"/>
      <c r="X146" s="3107"/>
      <c r="Y146" s="3107"/>
      <c r="Z146" s="3107"/>
      <c r="AA146" s="3107"/>
      <c r="AB146" s="3107"/>
      <c r="AC146" s="3107"/>
      <c r="AD146" s="3107"/>
      <c r="AE146" s="3107"/>
      <c r="AF146" s="3107"/>
      <c r="AG146" s="3107"/>
      <c r="AH146" s="3107"/>
      <c r="AI146" s="3107"/>
      <c r="AJ146" s="3107"/>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110">
        <f>IF($AB$143="N/A",VLOOKUP($B$141,$AO$139:$AP$142,2,FALSE),VLOOKUP($B$146,$AO$144:$AP$147,2,FALSE))</f>
        <v>7</v>
      </c>
      <c r="AK149" s="3110"/>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7"/>
      <c r="AF151" s="3090" t="s">
        <v>1622</v>
      </c>
      <c r="AG151" s="3090"/>
      <c r="AH151" s="3090"/>
      <c r="AI151" s="3090"/>
      <c r="AJ151" s="3090"/>
      <c r="AK151" s="3090"/>
      <c r="AL151" s="3090"/>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107" t="s">
        <v>1620</v>
      </c>
      <c r="D153" s="3107"/>
      <c r="E153" s="3107"/>
      <c r="F153" s="3107"/>
      <c r="G153" s="3107"/>
      <c r="H153" s="3107"/>
      <c r="I153" s="3107"/>
      <c r="J153" s="3107"/>
      <c r="K153" s="3107"/>
      <c r="L153" s="3107"/>
      <c r="M153" s="3107"/>
      <c r="N153" s="3107"/>
      <c r="O153" s="3107"/>
      <c r="P153" s="3107"/>
      <c r="Q153" s="3107"/>
      <c r="R153" s="3107"/>
      <c r="S153" s="3107"/>
      <c r="T153" s="3107"/>
      <c r="U153" s="3107"/>
      <c r="V153" s="3107"/>
      <c r="W153" s="3107"/>
      <c r="X153" s="3107"/>
      <c r="Y153" s="3107"/>
      <c r="Z153" s="3107"/>
      <c r="AA153" s="3107"/>
      <c r="AB153" s="3107"/>
      <c r="AC153" s="3107"/>
      <c r="AD153" s="3107"/>
      <c r="AE153" s="3107"/>
      <c r="AF153" s="3107"/>
      <c r="AG153" s="3107"/>
      <c r="AH153" s="3107"/>
      <c r="AI153" s="3107"/>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08" t="s">
        <v>625</v>
      </c>
      <c r="AD155" s="3108"/>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107" t="s">
        <v>1613</v>
      </c>
      <c r="D157" s="3107"/>
      <c r="E157" s="3107"/>
      <c r="F157" s="3107"/>
      <c r="G157" s="3107"/>
      <c r="H157" s="3107"/>
      <c r="I157" s="3107"/>
      <c r="J157" s="3107"/>
      <c r="K157" s="3107"/>
      <c r="L157" s="3107"/>
      <c r="M157" s="3107"/>
      <c r="N157" s="3107"/>
      <c r="O157" s="3107"/>
      <c r="P157" s="3107"/>
      <c r="Q157" s="3107"/>
      <c r="R157" s="3107"/>
      <c r="S157" s="3107"/>
      <c r="T157" s="3107"/>
      <c r="U157" s="3107"/>
      <c r="V157" s="3107"/>
      <c r="W157" s="3107"/>
      <c r="X157" s="3107"/>
      <c r="Y157" s="3107"/>
      <c r="Z157" s="3107"/>
      <c r="AA157" s="3107"/>
      <c r="AB157" s="3107"/>
      <c r="AC157" s="3107"/>
      <c r="AD157" s="3107"/>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091" t="s">
        <v>2585</v>
      </c>
      <c r="D161" s="3091"/>
      <c r="E161" s="3091"/>
      <c r="F161" s="3091"/>
      <c r="G161" s="3091"/>
      <c r="H161" s="3091"/>
      <c r="I161" s="3091"/>
      <c r="J161" s="3091"/>
      <c r="K161" s="3091"/>
      <c r="L161" s="3091"/>
      <c r="M161" s="3091"/>
      <c r="N161" s="3091"/>
      <c r="O161" s="3091"/>
      <c r="P161" s="3091"/>
      <c r="Q161" s="3091"/>
      <c r="R161" s="3091"/>
      <c r="S161" s="3091"/>
      <c r="T161" s="3091"/>
      <c r="U161" s="3091"/>
      <c r="V161" s="3091"/>
      <c r="W161" s="3091"/>
      <c r="X161" s="3091"/>
      <c r="Y161" s="3091"/>
      <c r="Z161" s="3091"/>
      <c r="AA161" s="3091"/>
      <c r="AB161" s="3091"/>
      <c r="AC161" s="3091"/>
      <c r="AD161" s="3091"/>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109">
        <f>IF($AC$155="N/A",VLOOKUP($C$153,$AO$153:$AP$156,2,FALSE),VLOOKUP($C$157,$AO$160:$AP$162,2,FALSE))</f>
        <v>3</v>
      </c>
      <c r="AK163" s="3109"/>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067">
        <f>$AJ$149+$AJ$163</f>
        <v>10</v>
      </c>
      <c r="AL166" s="3068"/>
      <c r="AM166" s="3069"/>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4" t="s">
        <v>1584</v>
      </c>
      <c r="AF169" s="3104"/>
      <c r="AG169" s="3104"/>
      <c r="AH169" s="3104"/>
      <c r="AI169" s="3104"/>
      <c r="AJ169" s="3104"/>
      <c r="AK169" s="3104"/>
      <c r="AL169" s="1600"/>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0"/>
      <c r="AD170" s="1600"/>
      <c r="AE170" s="927"/>
      <c r="AF170" s="927"/>
      <c r="AG170" s="927"/>
      <c r="AH170" s="927"/>
      <c r="AI170" s="927"/>
      <c r="AJ170" s="927"/>
      <c r="AK170" s="927"/>
      <c r="AL170" s="927"/>
      <c r="AM170" s="1026"/>
      <c r="AN170" s="1000"/>
      <c r="AP170" s="943" t="s">
        <v>1632</v>
      </c>
      <c r="AQ170" s="943">
        <v>10</v>
      </c>
    </row>
    <row r="171" spans="1:81" s="943" customFormat="1" ht="12.75" customHeight="1">
      <c r="A171" s="927"/>
      <c r="B171" s="3105" t="s">
        <v>1154</v>
      </c>
      <c r="C171" s="3105"/>
      <c r="D171" s="3105"/>
      <c r="E171" s="3105"/>
      <c r="F171" s="3105"/>
      <c r="G171" s="3105"/>
      <c r="H171" s="3105"/>
      <c r="I171" s="3105"/>
      <c r="J171" s="3105"/>
      <c r="K171" s="3105"/>
      <c r="L171" s="3105"/>
      <c r="M171" s="3105"/>
      <c r="N171" s="3105"/>
      <c r="O171" s="3105"/>
      <c r="P171" s="3105"/>
      <c r="Q171" s="3105"/>
      <c r="R171" s="3105"/>
      <c r="S171" s="3105"/>
      <c r="T171" s="3105"/>
      <c r="U171" s="3105"/>
      <c r="V171" s="3105"/>
      <c r="W171" s="3105"/>
      <c r="X171" s="3105"/>
      <c r="Y171" s="3105"/>
      <c r="Z171" s="3105"/>
      <c r="AA171" s="3105"/>
      <c r="AB171" s="3105"/>
      <c r="AC171" s="3105"/>
      <c r="AD171" s="1023"/>
      <c r="AE171" s="1023"/>
      <c r="AF171" s="3090" t="s">
        <v>1633</v>
      </c>
      <c r="AG171" s="3090"/>
      <c r="AH171" s="3090"/>
      <c r="AI171" s="3090"/>
      <c r="AJ171" s="3090"/>
      <c r="AK171" s="3090"/>
      <c r="AL171" s="3090"/>
      <c r="AN171" s="1000"/>
      <c r="AP171" s="943" t="s">
        <v>1156</v>
      </c>
      <c r="AQ171" s="943">
        <v>10</v>
      </c>
    </row>
    <row r="172" spans="1:81" s="943" customFormat="1" ht="12.75" customHeight="1">
      <c r="A172" s="927"/>
      <c r="B172" s="3106" t="s">
        <v>2224</v>
      </c>
      <c r="C172" s="3106"/>
      <c r="D172" s="3106"/>
      <c r="E172" s="3106"/>
      <c r="F172" s="3106"/>
      <c r="G172" s="3106"/>
      <c r="H172" s="3106"/>
      <c r="I172" s="3106"/>
      <c r="J172" s="3106"/>
      <c r="K172" s="3106"/>
      <c r="L172" s="3106"/>
      <c r="M172" s="3106"/>
      <c r="N172" s="3106"/>
      <c r="O172" s="3106"/>
      <c r="P172" s="3106"/>
      <c r="Q172" s="3106"/>
      <c r="R172" s="3106"/>
      <c r="S172" s="3106"/>
      <c r="T172" s="3091" t="s">
        <v>625</v>
      </c>
      <c r="U172" s="3091"/>
      <c r="V172" s="3091"/>
      <c r="W172" s="3091"/>
      <c r="X172" s="3091"/>
      <c r="Y172" s="3091"/>
      <c r="Z172" s="3091"/>
      <c r="AA172" s="3091"/>
      <c r="AB172" s="3091"/>
      <c r="AC172" s="3091"/>
      <c r="AD172" s="1006"/>
      <c r="AE172" s="1006"/>
      <c r="AF172" s="1006"/>
      <c r="AG172" s="1006"/>
      <c r="AH172" s="1006"/>
      <c r="AI172" s="1006"/>
      <c r="AJ172" s="1799"/>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89"/>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114">
        <f>IF(AK72&gt;0,VLOOKUP($B$171,AP168:AQ175,2,FALSE),0)</f>
        <v>10</v>
      </c>
      <c r="AL174" s="3115"/>
      <c r="AM174" s="3116"/>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4" t="s">
        <v>1642</v>
      </c>
      <c r="AF177" s="3104"/>
      <c r="AG177" s="3104"/>
      <c r="AH177" s="3104"/>
      <c r="AI177" s="3104"/>
      <c r="AJ177" s="3104"/>
      <c r="AK177" s="3104"/>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96" t="s">
        <v>2522</v>
      </c>
      <c r="C182" s="3096"/>
      <c r="D182" s="3096"/>
      <c r="E182" s="3096"/>
      <c r="F182" s="3096"/>
      <c r="G182" s="3096"/>
      <c r="H182" s="3096"/>
      <c r="I182" s="3096"/>
      <c r="J182" s="3096"/>
      <c r="K182" s="3096"/>
      <c r="L182" s="3096"/>
      <c r="M182" s="3096"/>
      <c r="N182" s="3096"/>
      <c r="O182" s="3096"/>
      <c r="P182" s="3096"/>
      <c r="Q182" s="3096"/>
      <c r="R182" s="3096"/>
      <c r="S182" s="3096"/>
      <c r="T182" s="3096"/>
      <c r="U182" s="3096"/>
      <c r="V182" s="3096"/>
      <c r="W182" s="3096"/>
      <c r="X182" s="3096"/>
      <c r="Y182" s="3096"/>
      <c r="Z182" s="3096"/>
      <c r="AA182" s="3096"/>
      <c r="AB182" s="3096"/>
      <c r="AC182" s="1397"/>
      <c r="AD182" s="3099">
        <v>7408000</v>
      </c>
      <c r="AE182" s="3099"/>
      <c r="AF182" s="3099"/>
      <c r="AG182" s="3099"/>
      <c r="AH182" s="3099"/>
      <c r="AI182" s="3099"/>
      <c r="AJ182" s="3099"/>
      <c r="AK182" s="1024"/>
    </row>
    <row r="183" spans="1:37">
      <c r="A183" s="1016"/>
      <c r="B183" s="3096"/>
      <c r="C183" s="3096"/>
      <c r="D183" s="3096"/>
      <c r="E183" s="3096"/>
      <c r="F183" s="3096"/>
      <c r="G183" s="3096"/>
      <c r="H183" s="3096"/>
      <c r="I183" s="3096"/>
      <c r="J183" s="3096"/>
      <c r="K183" s="3096"/>
      <c r="L183" s="3096"/>
      <c r="M183" s="3096"/>
      <c r="N183" s="3096"/>
      <c r="O183" s="3096"/>
      <c r="P183" s="3096"/>
      <c r="Q183" s="3096"/>
      <c r="R183" s="3096"/>
      <c r="S183" s="3096"/>
      <c r="T183" s="3096"/>
      <c r="U183" s="3096"/>
      <c r="V183" s="3096"/>
      <c r="W183" s="3096"/>
      <c r="X183" s="3096"/>
      <c r="Y183" s="3096"/>
      <c r="Z183" s="3096"/>
      <c r="AA183" s="3096"/>
      <c r="AB183" s="3096"/>
      <c r="AC183" s="1397"/>
      <c r="AD183" s="3099"/>
      <c r="AE183" s="3099"/>
      <c r="AF183" s="3099"/>
      <c r="AG183" s="3099"/>
      <c r="AH183" s="3099"/>
      <c r="AI183" s="3099"/>
      <c r="AJ183" s="3099"/>
      <c r="AK183" s="1024"/>
    </row>
    <row r="184" spans="1:37">
      <c r="A184" s="1016"/>
      <c r="B184" s="3096"/>
      <c r="C184" s="3096"/>
      <c r="D184" s="3096"/>
      <c r="E184" s="3096"/>
      <c r="F184" s="3096"/>
      <c r="G184" s="3096"/>
      <c r="H184" s="3096"/>
      <c r="I184" s="3096"/>
      <c r="J184" s="3096"/>
      <c r="K184" s="3096"/>
      <c r="L184" s="3096"/>
      <c r="M184" s="3096"/>
      <c r="N184" s="3096"/>
      <c r="O184" s="3096"/>
      <c r="P184" s="3096"/>
      <c r="Q184" s="3096"/>
      <c r="R184" s="3096"/>
      <c r="S184" s="3096"/>
      <c r="T184" s="3096"/>
      <c r="U184" s="3096"/>
      <c r="V184" s="3096"/>
      <c r="W184" s="3096"/>
      <c r="X184" s="3096"/>
      <c r="Y184" s="3096"/>
      <c r="Z184" s="3096"/>
      <c r="AA184" s="3096"/>
      <c r="AB184" s="3096"/>
      <c r="AC184" s="1397"/>
      <c r="AD184" s="3099"/>
      <c r="AE184" s="3099"/>
      <c r="AF184" s="3099"/>
      <c r="AG184" s="3099"/>
      <c r="AH184" s="3099"/>
      <c r="AI184" s="3099"/>
      <c r="AJ184" s="3099"/>
      <c r="AK184" s="1024"/>
    </row>
    <row r="185" spans="1:37">
      <c r="A185" s="1016"/>
      <c r="B185" s="3096"/>
      <c r="C185" s="3096"/>
      <c r="D185" s="3096"/>
      <c r="E185" s="3096"/>
      <c r="F185" s="3096"/>
      <c r="G185" s="3096"/>
      <c r="H185" s="3096"/>
      <c r="I185" s="3096"/>
      <c r="J185" s="3096"/>
      <c r="K185" s="3096"/>
      <c r="L185" s="3096"/>
      <c r="M185" s="3096"/>
      <c r="N185" s="3096"/>
      <c r="O185" s="3096"/>
      <c r="P185" s="3096"/>
      <c r="Q185" s="3096"/>
      <c r="R185" s="3096"/>
      <c r="S185" s="3096"/>
      <c r="T185" s="3096"/>
      <c r="U185" s="3096"/>
      <c r="V185" s="3096"/>
      <c r="W185" s="3096"/>
      <c r="X185" s="3096"/>
      <c r="Y185" s="3096"/>
      <c r="Z185" s="3096"/>
      <c r="AA185" s="3096"/>
      <c r="AB185" s="3096"/>
      <c r="AC185" s="1397"/>
      <c r="AD185" s="3099"/>
      <c r="AE185" s="3099"/>
      <c r="AF185" s="3099"/>
      <c r="AG185" s="3099"/>
      <c r="AH185" s="3099"/>
      <c r="AI185" s="3099"/>
      <c r="AJ185" s="3099"/>
      <c r="AK185" s="1024"/>
    </row>
    <row r="186" spans="1:37">
      <c r="A186" s="1016"/>
      <c r="B186" s="3096"/>
      <c r="C186" s="3096"/>
      <c r="D186" s="3096"/>
      <c r="E186" s="3096"/>
      <c r="F186" s="3096"/>
      <c r="G186" s="3096"/>
      <c r="H186" s="3096"/>
      <c r="I186" s="3096"/>
      <c r="J186" s="3096"/>
      <c r="K186" s="3096"/>
      <c r="L186" s="3096"/>
      <c r="M186" s="3096"/>
      <c r="N186" s="3096"/>
      <c r="O186" s="3096"/>
      <c r="P186" s="3096"/>
      <c r="Q186" s="3096"/>
      <c r="R186" s="3096"/>
      <c r="S186" s="3096"/>
      <c r="T186" s="3096"/>
      <c r="U186" s="3096"/>
      <c r="V186" s="3096"/>
      <c r="W186" s="3096"/>
      <c r="X186" s="3096"/>
      <c r="Y186" s="3096"/>
      <c r="Z186" s="3096"/>
      <c r="AA186" s="3096"/>
      <c r="AB186" s="3096"/>
      <c r="AC186" s="1397"/>
      <c r="AD186" s="3099"/>
      <c r="AE186" s="3099"/>
      <c r="AF186" s="3099"/>
      <c r="AG186" s="3099"/>
      <c r="AH186" s="3099"/>
      <c r="AI186" s="3099"/>
      <c r="AJ186" s="3099"/>
      <c r="AK186" s="1024"/>
    </row>
    <row r="187" spans="1:37">
      <c r="A187" s="1016"/>
      <c r="B187" s="3096"/>
      <c r="C187" s="3096"/>
      <c r="D187" s="3096"/>
      <c r="E187" s="3096"/>
      <c r="F187" s="3096"/>
      <c r="G187" s="3096"/>
      <c r="H187" s="3096"/>
      <c r="I187" s="3096"/>
      <c r="J187" s="3096"/>
      <c r="K187" s="3096"/>
      <c r="L187" s="3096"/>
      <c r="M187" s="3096"/>
      <c r="N187" s="3096"/>
      <c r="O187" s="3096"/>
      <c r="P187" s="3096"/>
      <c r="Q187" s="3096"/>
      <c r="R187" s="3096"/>
      <c r="S187" s="3096"/>
      <c r="T187" s="3096"/>
      <c r="U187" s="3096"/>
      <c r="V187" s="3096"/>
      <c r="W187" s="3096"/>
      <c r="X187" s="3096"/>
      <c r="Y187" s="3096"/>
      <c r="Z187" s="3096"/>
      <c r="AA187" s="3096"/>
      <c r="AB187" s="3096"/>
      <c r="AC187" s="1397"/>
      <c r="AD187" s="3099"/>
      <c r="AE187" s="3099"/>
      <c r="AF187" s="3099"/>
      <c r="AG187" s="3099"/>
      <c r="AH187" s="3099"/>
      <c r="AI187" s="3099"/>
      <c r="AJ187" s="3099"/>
      <c r="AK187" s="1024"/>
    </row>
    <row r="188" spans="1:37">
      <c r="A188" s="1016"/>
      <c r="B188" s="3096"/>
      <c r="C188" s="3096"/>
      <c r="D188" s="3096"/>
      <c r="E188" s="3096"/>
      <c r="F188" s="3096"/>
      <c r="G188" s="3096"/>
      <c r="H188" s="3096"/>
      <c r="I188" s="3096"/>
      <c r="J188" s="3096"/>
      <c r="K188" s="3096"/>
      <c r="L188" s="3096"/>
      <c r="M188" s="3096"/>
      <c r="N188" s="3096"/>
      <c r="O188" s="3096"/>
      <c r="P188" s="3096"/>
      <c r="Q188" s="3096"/>
      <c r="R188" s="3096"/>
      <c r="S188" s="3096"/>
      <c r="T188" s="3096"/>
      <c r="U188" s="3096"/>
      <c r="V188" s="3096"/>
      <c r="W188" s="3096"/>
      <c r="X188" s="3096"/>
      <c r="Y188" s="3096"/>
      <c r="Z188" s="3096"/>
      <c r="AA188" s="3096"/>
      <c r="AB188" s="3096"/>
      <c r="AC188" s="1397"/>
      <c r="AD188" s="3099"/>
      <c r="AE188" s="3099"/>
      <c r="AF188" s="3099"/>
      <c r="AG188" s="3099"/>
      <c r="AH188" s="3099"/>
      <c r="AI188" s="3099"/>
      <c r="AJ188" s="3099"/>
      <c r="AK188" s="1024"/>
    </row>
    <row r="189" spans="1:37">
      <c r="A189" s="1016"/>
      <c r="B189" s="3096"/>
      <c r="C189" s="3096"/>
      <c r="D189" s="3096"/>
      <c r="E189" s="3096"/>
      <c r="F189" s="3096"/>
      <c r="G189" s="3096"/>
      <c r="H189" s="3096"/>
      <c r="I189" s="3096"/>
      <c r="J189" s="3096"/>
      <c r="K189" s="3096"/>
      <c r="L189" s="3096"/>
      <c r="M189" s="3096"/>
      <c r="N189" s="3096"/>
      <c r="O189" s="3096"/>
      <c r="P189" s="3096"/>
      <c r="Q189" s="3096"/>
      <c r="R189" s="3096"/>
      <c r="S189" s="3096"/>
      <c r="T189" s="3096"/>
      <c r="U189" s="3096"/>
      <c r="V189" s="3096"/>
      <c r="W189" s="3096"/>
      <c r="X189" s="3096"/>
      <c r="Y189" s="3096"/>
      <c r="Z189" s="3096"/>
      <c r="AA189" s="3096"/>
      <c r="AB189" s="3096"/>
      <c r="AC189" s="1397"/>
      <c r="AD189" s="3099"/>
      <c r="AE189" s="3099"/>
      <c r="AF189" s="3099"/>
      <c r="AG189" s="3099"/>
      <c r="AH189" s="3099"/>
      <c r="AI189" s="3099"/>
      <c r="AJ189" s="3099"/>
      <c r="AK189" s="1024"/>
    </row>
    <row r="190" spans="1:37">
      <c r="A190" s="1016"/>
      <c r="B190" s="3096"/>
      <c r="C190" s="3096"/>
      <c r="D190" s="3096"/>
      <c r="E190" s="3096"/>
      <c r="F190" s="3096"/>
      <c r="G190" s="3096"/>
      <c r="H190" s="3096"/>
      <c r="I190" s="3096"/>
      <c r="J190" s="3096"/>
      <c r="K190" s="3096"/>
      <c r="L190" s="3096"/>
      <c r="M190" s="3096"/>
      <c r="N190" s="3096"/>
      <c r="O190" s="3096"/>
      <c r="P190" s="3096"/>
      <c r="Q190" s="3096"/>
      <c r="R190" s="3096"/>
      <c r="S190" s="3096"/>
      <c r="T190" s="3096"/>
      <c r="U190" s="3096"/>
      <c r="V190" s="3096"/>
      <c r="W190" s="3096"/>
      <c r="X190" s="3096"/>
      <c r="Y190" s="3096"/>
      <c r="Z190" s="3096"/>
      <c r="AA190" s="3096"/>
      <c r="AB190" s="3096"/>
      <c r="AC190" s="1397"/>
      <c r="AD190" s="3099"/>
      <c r="AE190" s="3099"/>
      <c r="AF190" s="3099"/>
      <c r="AG190" s="3099"/>
      <c r="AH190" s="3099"/>
      <c r="AI190" s="3099"/>
      <c r="AJ190" s="3099"/>
      <c r="AK190" s="1024"/>
    </row>
    <row r="191" spans="1:37">
      <c r="A191" s="1016"/>
      <c r="B191" s="3096"/>
      <c r="C191" s="3096"/>
      <c r="D191" s="3096"/>
      <c r="E191" s="3096"/>
      <c r="F191" s="3096"/>
      <c r="G191" s="3096"/>
      <c r="H191" s="3096"/>
      <c r="I191" s="3096"/>
      <c r="J191" s="3096"/>
      <c r="K191" s="3096"/>
      <c r="L191" s="3096"/>
      <c r="M191" s="3096"/>
      <c r="N191" s="3096"/>
      <c r="O191" s="3096"/>
      <c r="P191" s="3096"/>
      <c r="Q191" s="3096"/>
      <c r="R191" s="3096"/>
      <c r="S191" s="3096"/>
      <c r="T191" s="3096"/>
      <c r="U191" s="3096"/>
      <c r="V191" s="3096"/>
      <c r="W191" s="3096"/>
      <c r="X191" s="3096"/>
      <c r="Y191" s="3096"/>
      <c r="Z191" s="3096"/>
      <c r="AA191" s="3096"/>
      <c r="AB191" s="3096"/>
      <c r="AC191" s="1397"/>
      <c r="AD191" s="3099"/>
      <c r="AE191" s="3099"/>
      <c r="AF191" s="3099"/>
      <c r="AG191" s="3099"/>
      <c r="AH191" s="3099"/>
      <c r="AI191" s="3099"/>
      <c r="AJ191" s="3099"/>
      <c r="AK191" s="1024"/>
    </row>
    <row r="192" spans="1:37">
      <c r="A192" s="1016"/>
      <c r="B192" s="3264" t="s">
        <v>1930</v>
      </c>
      <c r="C192" s="3264"/>
      <c r="D192" s="3264"/>
      <c r="E192" s="3264"/>
      <c r="F192" s="3264"/>
      <c r="G192" s="3264"/>
      <c r="H192" s="3264"/>
      <c r="I192" s="3264"/>
      <c r="J192" s="3264"/>
      <c r="K192" s="3264"/>
      <c r="L192" s="3264"/>
      <c r="M192" s="3264"/>
      <c r="N192" s="3264"/>
      <c r="O192" s="3264"/>
      <c r="P192" s="3264"/>
      <c r="Q192" s="3264"/>
      <c r="R192" s="3264"/>
      <c r="S192" s="3264"/>
      <c r="T192" s="3264"/>
      <c r="U192" s="3264"/>
      <c r="V192" s="3264"/>
      <c r="W192" s="3264"/>
      <c r="X192" s="3264"/>
      <c r="Y192" s="3264"/>
      <c r="Z192" s="3264"/>
      <c r="AA192" s="3264"/>
      <c r="AB192" s="3264"/>
      <c r="AC192" s="927"/>
      <c r="AD192" s="3121">
        <f>AB243</f>
        <v>0</v>
      </c>
      <c r="AE192" s="3121"/>
      <c r="AF192" s="3121"/>
      <c r="AG192" s="3121"/>
      <c r="AH192" s="3121"/>
      <c r="AI192" s="3121"/>
      <c r="AJ192" s="3121"/>
      <c r="AK192" s="1024"/>
    </row>
    <row r="193" spans="1:37">
      <c r="A193" s="1016"/>
      <c r="B193" s="3262" t="s">
        <v>1893</v>
      </c>
      <c r="C193" s="3262"/>
      <c r="D193" s="3262"/>
      <c r="E193" s="3262"/>
      <c r="F193" s="3262"/>
      <c r="G193" s="3262"/>
      <c r="H193" s="3262"/>
      <c r="I193" s="3262"/>
      <c r="J193" s="3262"/>
      <c r="K193" s="3262"/>
      <c r="L193" s="3262"/>
      <c r="M193" s="3262"/>
      <c r="N193" s="3262"/>
      <c r="O193" s="3262"/>
      <c r="P193" s="3262"/>
      <c r="Q193" s="3262"/>
      <c r="R193" s="3262"/>
      <c r="S193" s="3262"/>
      <c r="T193" s="3262"/>
      <c r="U193" s="3262"/>
      <c r="V193" s="3262"/>
      <c r="W193" s="3262"/>
      <c r="X193" s="3262"/>
      <c r="Y193" s="3262"/>
      <c r="Z193" s="3262"/>
      <c r="AA193" s="3262"/>
      <c r="AB193" s="3262"/>
      <c r="AC193" s="1397"/>
      <c r="AD193" s="3122">
        <f>'Sources and Uses Budget'!B15</f>
        <v>0</v>
      </c>
      <c r="AE193" s="3122"/>
      <c r="AF193" s="3122"/>
      <c r="AG193" s="3122"/>
      <c r="AH193" s="3122"/>
      <c r="AI193" s="3122"/>
      <c r="AJ193" s="3122"/>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126">
        <f>SUM(AD182:AJ192)-AD193</f>
        <v>7408000</v>
      </c>
      <c r="AE194" s="3126"/>
      <c r="AF194" s="3126"/>
      <c r="AG194" s="3126"/>
      <c r="AH194" s="3126"/>
      <c r="AI194" s="3126"/>
      <c r="AJ194" s="3126"/>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6" t="s">
        <v>1900</v>
      </c>
      <c r="C198" s="1497"/>
      <c r="D198" s="1498"/>
      <c r="E198" s="1498"/>
      <c r="F198" s="1498"/>
      <c r="G198" s="1498"/>
      <c r="H198" s="1498"/>
      <c r="I198" s="1498"/>
      <c r="J198" s="1498"/>
      <c r="K198" s="1499"/>
      <c r="L198" s="1499"/>
      <c r="M198" s="1499"/>
      <c r="N198" s="1499"/>
      <c r="O198" s="1499"/>
      <c r="P198" s="1499"/>
      <c r="Q198" s="1499"/>
      <c r="R198" s="1499"/>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0" t="s">
        <v>1901</v>
      </c>
      <c r="C199" s="1501"/>
      <c r="D199" s="1502"/>
      <c r="E199" s="1502"/>
      <c r="F199" s="1502"/>
      <c r="G199" s="1502"/>
      <c r="H199" s="1502"/>
      <c r="I199" s="1502"/>
      <c r="J199" s="1502"/>
      <c r="K199" s="1503"/>
      <c r="L199" s="1503"/>
      <c r="M199" s="1503"/>
      <c r="N199" s="1503"/>
      <c r="O199" s="1503"/>
      <c r="P199" s="1503"/>
      <c r="Q199" s="1503"/>
      <c r="R199" s="1503"/>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0" t="s">
        <v>1984</v>
      </c>
      <c r="C200" s="1501"/>
      <c r="D200" s="1502"/>
      <c r="E200" s="1502"/>
      <c r="F200" s="1502"/>
      <c r="G200" s="1502"/>
      <c r="H200" s="1502"/>
      <c r="I200" s="1502"/>
      <c r="J200" s="1502"/>
      <c r="K200" s="1503"/>
      <c r="L200" s="1503"/>
      <c r="M200" s="1503"/>
      <c r="N200" s="1503"/>
      <c r="O200" s="1503"/>
      <c r="P200" s="1503"/>
      <c r="Q200" s="1503"/>
      <c r="R200" s="1503"/>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0" t="s">
        <v>1902</v>
      </c>
      <c r="C201" s="1501"/>
      <c r="D201" s="1502"/>
      <c r="E201" s="1502"/>
      <c r="F201" s="1502"/>
      <c r="G201" s="1502"/>
      <c r="H201" s="1502"/>
      <c r="I201" s="1502"/>
      <c r="J201" s="1502"/>
      <c r="K201" s="1503"/>
      <c r="L201" s="1503"/>
      <c r="M201" s="1503"/>
      <c r="N201" s="1503"/>
      <c r="O201" s="1503"/>
      <c r="P201" s="1503"/>
      <c r="Q201" s="1503"/>
      <c r="R201" s="1503"/>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4" t="s">
        <v>1903</v>
      </c>
      <c r="C202" s="1501"/>
      <c r="D202" s="1502"/>
      <c r="E202" s="1502"/>
      <c r="F202" s="1502"/>
      <c r="G202" s="1502"/>
      <c r="H202" s="1502"/>
      <c r="I202" s="1502"/>
      <c r="J202" s="1502"/>
      <c r="K202" s="1503"/>
      <c r="L202" s="1503"/>
      <c r="M202" s="1503"/>
      <c r="N202" s="1503"/>
      <c r="O202" s="1503"/>
      <c r="P202" s="1503"/>
      <c r="Q202" s="1503"/>
      <c r="R202" s="1503"/>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5" t="s">
        <v>1985</v>
      </c>
      <c r="C203" s="1506"/>
      <c r="D203" s="1507"/>
      <c r="E203" s="1507"/>
      <c r="F203" s="1507"/>
      <c r="G203" s="1507"/>
      <c r="H203" s="1507"/>
      <c r="I203" s="1507"/>
      <c r="J203" s="1507"/>
      <c r="K203" s="1508"/>
      <c r="L203" s="1508"/>
      <c r="M203" s="1508"/>
      <c r="N203" s="1508"/>
      <c r="O203" s="1508"/>
      <c r="P203" s="1508"/>
      <c r="Q203" s="1508"/>
      <c r="R203" s="1508"/>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102" t="s">
        <v>1910</v>
      </c>
      <c r="J205" s="3102"/>
      <c r="K205" s="3102"/>
      <c r="L205" s="991"/>
      <c r="M205" s="991"/>
      <c r="N205" s="991"/>
      <c r="O205" s="991"/>
      <c r="P205" s="991"/>
      <c r="Q205" s="991"/>
      <c r="R205" s="991"/>
      <c r="S205" s="991"/>
      <c r="T205" s="3298" t="s">
        <v>1904</v>
      </c>
      <c r="U205" s="3298"/>
      <c r="V205" s="3298"/>
      <c r="W205" s="3298"/>
      <c r="X205" s="3298"/>
      <c r="Y205" s="3298"/>
      <c r="Z205" s="1401"/>
      <c r="AA205" s="1402"/>
      <c r="AB205" s="3095" t="s">
        <v>1905</v>
      </c>
      <c r="AC205" s="3095"/>
      <c r="AD205" s="3095"/>
      <c r="AE205" s="3095"/>
      <c r="AF205" s="3095"/>
      <c r="AG205" s="3095"/>
      <c r="AH205" s="1371"/>
      <c r="AI205" s="1371"/>
      <c r="AJ205" s="1371"/>
      <c r="AK205" s="1024"/>
    </row>
    <row r="206" spans="1:37">
      <c r="A206" s="1016"/>
      <c r="B206" s="3100" t="s">
        <v>1883</v>
      </c>
      <c r="C206" s="3100"/>
      <c r="D206" s="3100"/>
      <c r="E206" s="3100"/>
      <c r="F206" s="3100"/>
      <c r="G206" s="3100"/>
      <c r="I206" s="3101" t="s">
        <v>1911</v>
      </c>
      <c r="J206" s="3101"/>
      <c r="K206" s="3101"/>
      <c r="L206" s="1798"/>
      <c r="N206" s="3088" t="s">
        <v>1906</v>
      </c>
      <c r="O206" s="3088"/>
      <c r="P206" s="3088"/>
      <c r="Q206" s="3088"/>
      <c r="R206" s="3088"/>
      <c r="T206" s="3088" t="s">
        <v>1907</v>
      </c>
      <c r="U206" s="3088"/>
      <c r="V206" s="3088"/>
      <c r="W206" s="3088"/>
      <c r="X206" s="3088"/>
      <c r="Y206" s="3088"/>
      <c r="Z206" s="1403"/>
      <c r="AA206" s="1402"/>
      <c r="AB206" s="3265" t="s">
        <v>1908</v>
      </c>
      <c r="AC206" s="3265"/>
      <c r="AD206" s="3265"/>
      <c r="AE206" s="3265"/>
      <c r="AF206" s="3265"/>
      <c r="AG206" s="3265"/>
      <c r="AH206" s="1371"/>
      <c r="AI206" s="1371"/>
      <c r="AJ206" s="1371"/>
      <c r="AK206" s="1024"/>
    </row>
    <row r="207" spans="1:37">
      <c r="A207" s="1016"/>
      <c r="B207" s="3103" t="s">
        <v>1383</v>
      </c>
      <c r="C207" s="3103"/>
      <c r="D207" s="3103"/>
      <c r="E207" s="3103"/>
      <c r="F207" s="3103"/>
      <c r="G207" s="3103"/>
      <c r="H207" s="1405"/>
      <c r="I207" s="3086"/>
      <c r="J207" s="3086"/>
      <c r="K207" s="3086"/>
      <c r="L207" s="1798"/>
      <c r="N207" s="3089"/>
      <c r="O207" s="3089"/>
      <c r="P207" s="3089"/>
      <c r="Q207" s="3089"/>
      <c r="R207" s="3089"/>
      <c r="T207" s="3263"/>
      <c r="U207" s="3263"/>
      <c r="V207" s="3263"/>
      <c r="W207" s="3263"/>
      <c r="X207" s="3263"/>
      <c r="Y207" s="3263"/>
      <c r="Z207" s="1404"/>
      <c r="AA207" s="1404"/>
      <c r="AB207" s="3085">
        <f t="shared" ref="AB207:AB216" si="0">MAX(($T207-$N207)*$I207*12,0)</f>
        <v>0</v>
      </c>
      <c r="AC207" s="3085"/>
      <c r="AD207" s="3085"/>
      <c r="AE207" s="3085"/>
      <c r="AF207" s="3085"/>
      <c r="AG207" s="3085"/>
      <c r="AH207" s="1371"/>
      <c r="AI207" s="1371"/>
      <c r="AJ207" s="1371"/>
      <c r="AK207" s="1024"/>
    </row>
    <row r="208" spans="1:37">
      <c r="A208" s="1016"/>
      <c r="B208" s="3103" t="s">
        <v>1383</v>
      </c>
      <c r="C208" s="3103"/>
      <c r="D208" s="3103"/>
      <c r="E208" s="3103"/>
      <c r="F208" s="3103"/>
      <c r="G208" s="3103"/>
      <c r="I208" s="3086"/>
      <c r="J208" s="3086"/>
      <c r="K208" s="3086"/>
      <c r="L208" s="1798"/>
      <c r="N208" s="3089"/>
      <c r="O208" s="3089"/>
      <c r="P208" s="3089"/>
      <c r="Q208" s="3089"/>
      <c r="R208" s="3089"/>
      <c r="T208" s="3263"/>
      <c r="U208" s="3263"/>
      <c r="V208" s="3263"/>
      <c r="W208" s="3263"/>
      <c r="X208" s="3263"/>
      <c r="Y208" s="3263"/>
      <c r="Z208" s="1404"/>
      <c r="AA208" s="1404"/>
      <c r="AB208" s="3085">
        <f t="shared" si="0"/>
        <v>0</v>
      </c>
      <c r="AC208" s="3085"/>
      <c r="AD208" s="3085"/>
      <c r="AE208" s="3085"/>
      <c r="AF208" s="3085"/>
      <c r="AG208" s="3085"/>
      <c r="AH208" s="1371"/>
      <c r="AI208" s="1371"/>
      <c r="AJ208" s="1371"/>
      <c r="AK208" s="1024"/>
    </row>
    <row r="209" spans="1:37">
      <c r="A209" s="1016"/>
      <c r="B209" s="3103" t="s">
        <v>1383</v>
      </c>
      <c r="C209" s="3103"/>
      <c r="D209" s="3103"/>
      <c r="E209" s="3103"/>
      <c r="F209" s="3103"/>
      <c r="G209" s="3103"/>
      <c r="I209" s="3086"/>
      <c r="J209" s="3086"/>
      <c r="K209" s="3086"/>
      <c r="L209" s="1798"/>
      <c r="N209" s="3089"/>
      <c r="O209" s="3089"/>
      <c r="P209" s="3089"/>
      <c r="Q209" s="3089"/>
      <c r="R209" s="3089"/>
      <c r="T209" s="3263"/>
      <c r="U209" s="3263"/>
      <c r="V209" s="3263"/>
      <c r="W209" s="3263"/>
      <c r="X209" s="3263"/>
      <c r="Y209" s="3263"/>
      <c r="Z209" s="1404"/>
      <c r="AA209" s="1404"/>
      <c r="AB209" s="3085">
        <f t="shared" si="0"/>
        <v>0</v>
      </c>
      <c r="AC209" s="3085"/>
      <c r="AD209" s="3085"/>
      <c r="AE209" s="3085"/>
      <c r="AF209" s="3085"/>
      <c r="AG209" s="3085"/>
      <c r="AH209" s="1371"/>
      <c r="AI209" s="1371"/>
      <c r="AJ209" s="1371"/>
      <c r="AK209" s="1024"/>
    </row>
    <row r="210" spans="1:37">
      <c r="A210" s="1016"/>
      <c r="B210" s="3103" t="s">
        <v>1383</v>
      </c>
      <c r="C210" s="3103"/>
      <c r="D210" s="3103"/>
      <c r="E210" s="3103"/>
      <c r="F210" s="3103"/>
      <c r="G210" s="3103"/>
      <c r="I210" s="3086"/>
      <c r="J210" s="3086"/>
      <c r="K210" s="3086"/>
      <c r="L210" s="1798"/>
      <c r="N210" s="3089"/>
      <c r="O210" s="3089"/>
      <c r="P210" s="3089"/>
      <c r="Q210" s="3089"/>
      <c r="R210" s="3089"/>
      <c r="T210" s="3263"/>
      <c r="U210" s="3263"/>
      <c r="V210" s="3263"/>
      <c r="W210" s="3263"/>
      <c r="X210" s="3263"/>
      <c r="Y210" s="3263"/>
      <c r="Z210" s="1404"/>
      <c r="AA210" s="1404"/>
      <c r="AB210" s="3085">
        <f t="shared" si="0"/>
        <v>0</v>
      </c>
      <c r="AC210" s="3085"/>
      <c r="AD210" s="3085"/>
      <c r="AE210" s="3085"/>
      <c r="AF210" s="3085"/>
      <c r="AG210" s="3085"/>
      <c r="AH210" s="1371"/>
      <c r="AI210" s="1371"/>
      <c r="AJ210" s="1371"/>
      <c r="AK210" s="1024"/>
    </row>
    <row r="211" spans="1:37">
      <c r="A211" s="1016"/>
      <c r="B211" s="3103" t="s">
        <v>1383</v>
      </c>
      <c r="C211" s="3103"/>
      <c r="D211" s="3103"/>
      <c r="E211" s="3103"/>
      <c r="F211" s="3103"/>
      <c r="G211" s="3103"/>
      <c r="I211" s="3086"/>
      <c r="J211" s="3086"/>
      <c r="K211" s="3086"/>
      <c r="L211" s="1810"/>
      <c r="N211" s="3089"/>
      <c r="O211" s="3089"/>
      <c r="P211" s="3089"/>
      <c r="Q211" s="3089"/>
      <c r="R211" s="3089"/>
      <c r="T211" s="3263"/>
      <c r="U211" s="3263"/>
      <c r="V211" s="3263"/>
      <c r="W211" s="3263"/>
      <c r="X211" s="3263"/>
      <c r="Y211" s="3263"/>
      <c r="Z211" s="1404"/>
      <c r="AA211" s="1404"/>
      <c r="AB211" s="3085">
        <f t="shared" si="0"/>
        <v>0</v>
      </c>
      <c r="AC211" s="3085"/>
      <c r="AD211" s="3085"/>
      <c r="AE211" s="3085"/>
      <c r="AF211" s="3085"/>
      <c r="AG211" s="3085"/>
      <c r="AH211" s="1371"/>
      <c r="AI211" s="1371"/>
      <c r="AJ211" s="1371"/>
      <c r="AK211" s="1024"/>
    </row>
    <row r="212" spans="1:37">
      <c r="A212" s="1016"/>
      <c r="B212" s="3103" t="s">
        <v>1383</v>
      </c>
      <c r="C212" s="3103"/>
      <c r="D212" s="3103"/>
      <c r="E212" s="3103"/>
      <c r="F212" s="3103"/>
      <c r="G212" s="3103"/>
      <c r="I212" s="3086"/>
      <c r="J212" s="3086"/>
      <c r="K212" s="3086"/>
      <c r="L212" s="1810"/>
      <c r="N212" s="3089"/>
      <c r="O212" s="3089"/>
      <c r="P212" s="3089"/>
      <c r="Q212" s="3089"/>
      <c r="R212" s="3089"/>
      <c r="T212" s="3263"/>
      <c r="U212" s="3263"/>
      <c r="V212" s="3263"/>
      <c r="W212" s="3263"/>
      <c r="X212" s="3263"/>
      <c r="Y212" s="3263"/>
      <c r="Z212" s="1404"/>
      <c r="AA212" s="1404"/>
      <c r="AB212" s="3085">
        <f t="shared" si="0"/>
        <v>0</v>
      </c>
      <c r="AC212" s="3085"/>
      <c r="AD212" s="3085"/>
      <c r="AE212" s="3085"/>
      <c r="AF212" s="3085"/>
      <c r="AG212" s="3085"/>
      <c r="AH212" s="1371"/>
      <c r="AI212" s="1371"/>
      <c r="AJ212" s="1371"/>
      <c r="AK212" s="1024"/>
    </row>
    <row r="213" spans="1:37">
      <c r="A213" s="1016"/>
      <c r="B213" s="3103" t="s">
        <v>1383</v>
      </c>
      <c r="C213" s="3103"/>
      <c r="D213" s="3103"/>
      <c r="E213" s="3103"/>
      <c r="F213" s="3103"/>
      <c r="G213" s="3103"/>
      <c r="I213" s="3086"/>
      <c r="J213" s="3086"/>
      <c r="K213" s="3086"/>
      <c r="L213" s="1810"/>
      <c r="N213" s="3089"/>
      <c r="O213" s="3089"/>
      <c r="P213" s="3089"/>
      <c r="Q213" s="3089"/>
      <c r="R213" s="3089"/>
      <c r="T213" s="3263"/>
      <c r="U213" s="3263"/>
      <c r="V213" s="3263"/>
      <c r="W213" s="3263"/>
      <c r="X213" s="3263"/>
      <c r="Y213" s="3263"/>
      <c r="Z213" s="1404"/>
      <c r="AA213" s="1404"/>
      <c r="AB213" s="3085">
        <f t="shared" si="0"/>
        <v>0</v>
      </c>
      <c r="AC213" s="3085"/>
      <c r="AD213" s="3085"/>
      <c r="AE213" s="3085"/>
      <c r="AF213" s="3085"/>
      <c r="AG213" s="3085"/>
      <c r="AH213" s="1371"/>
      <c r="AI213" s="1371"/>
      <c r="AJ213" s="1371"/>
      <c r="AK213" s="1024"/>
    </row>
    <row r="214" spans="1:37">
      <c r="A214" s="1016"/>
      <c r="B214" s="3103" t="s">
        <v>1383</v>
      </c>
      <c r="C214" s="3103"/>
      <c r="D214" s="3103"/>
      <c r="E214" s="3103"/>
      <c r="F214" s="3103"/>
      <c r="G214" s="3103"/>
      <c r="I214" s="3086"/>
      <c r="J214" s="3086"/>
      <c r="K214" s="3086"/>
      <c r="L214" s="1810"/>
      <c r="N214" s="3089"/>
      <c r="O214" s="3089"/>
      <c r="P214" s="3089"/>
      <c r="Q214" s="3089"/>
      <c r="R214" s="3089"/>
      <c r="T214" s="3263"/>
      <c r="U214" s="3263"/>
      <c r="V214" s="3263"/>
      <c r="W214" s="3263"/>
      <c r="X214" s="3263"/>
      <c r="Y214" s="3263"/>
      <c r="Z214" s="1404"/>
      <c r="AA214" s="1404"/>
      <c r="AB214" s="3085">
        <f t="shared" si="0"/>
        <v>0</v>
      </c>
      <c r="AC214" s="3085"/>
      <c r="AD214" s="3085"/>
      <c r="AE214" s="3085"/>
      <c r="AF214" s="3085"/>
      <c r="AG214" s="3085"/>
      <c r="AH214" s="1371"/>
      <c r="AI214" s="1371"/>
      <c r="AJ214" s="1371"/>
      <c r="AK214" s="1024"/>
    </row>
    <row r="215" spans="1:37">
      <c r="A215" s="1016"/>
      <c r="B215" s="3103" t="s">
        <v>1383</v>
      </c>
      <c r="C215" s="3103"/>
      <c r="D215" s="3103"/>
      <c r="E215" s="3103"/>
      <c r="F215" s="3103"/>
      <c r="G215" s="3103"/>
      <c r="I215" s="3086"/>
      <c r="J215" s="3086"/>
      <c r="K215" s="3086"/>
      <c r="L215" s="1810"/>
      <c r="N215" s="3089"/>
      <c r="O215" s="3089"/>
      <c r="P215" s="3089"/>
      <c r="Q215" s="3089"/>
      <c r="R215" s="3089"/>
      <c r="T215" s="3263"/>
      <c r="U215" s="3263"/>
      <c r="V215" s="3263"/>
      <c r="W215" s="3263"/>
      <c r="X215" s="3263"/>
      <c r="Y215" s="3263"/>
      <c r="Z215" s="1404"/>
      <c r="AA215" s="1404"/>
      <c r="AB215" s="3085">
        <f t="shared" si="0"/>
        <v>0</v>
      </c>
      <c r="AC215" s="3085"/>
      <c r="AD215" s="3085"/>
      <c r="AE215" s="3085"/>
      <c r="AF215" s="3085"/>
      <c r="AG215" s="3085"/>
      <c r="AH215" s="1371"/>
      <c r="AI215" s="1371"/>
      <c r="AJ215" s="1371"/>
      <c r="AK215" s="1024"/>
    </row>
    <row r="216" spans="1:37">
      <c r="A216" s="1016"/>
      <c r="B216" s="3103" t="s">
        <v>1383</v>
      </c>
      <c r="C216" s="3103"/>
      <c r="D216" s="3103"/>
      <c r="E216" s="3103"/>
      <c r="F216" s="3103"/>
      <c r="G216" s="3103"/>
      <c r="I216" s="3087"/>
      <c r="J216" s="3087"/>
      <c r="K216" s="3087"/>
      <c r="L216" s="1810"/>
      <c r="N216" s="3089"/>
      <c r="O216" s="3089"/>
      <c r="P216" s="3089"/>
      <c r="Q216" s="3089"/>
      <c r="R216" s="3089"/>
      <c r="T216" s="3263"/>
      <c r="U216" s="3263"/>
      <c r="V216" s="3263"/>
      <c r="W216" s="3263"/>
      <c r="X216" s="3263"/>
      <c r="Y216" s="3263"/>
      <c r="Z216" s="1404"/>
      <c r="AA216" s="1404"/>
      <c r="AB216" s="3273">
        <f t="shared" si="0"/>
        <v>0</v>
      </c>
      <c r="AC216" s="3273"/>
      <c r="AD216" s="3273"/>
      <c r="AE216" s="3273"/>
      <c r="AF216" s="3273"/>
      <c r="AG216" s="3273"/>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7"/>
      <c r="AB217" s="3085">
        <f>SUM(AB207:AB216)</f>
        <v>0</v>
      </c>
      <c r="AC217" s="3085"/>
      <c r="AD217" s="3085"/>
      <c r="AE217" s="3085"/>
      <c r="AF217" s="3085"/>
      <c r="AG217" s="3085"/>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66"/>
      <c r="AC223" s="3266"/>
      <c r="AD223" s="3266"/>
      <c r="AE223" s="3266"/>
      <c r="AF223" s="3266"/>
      <c r="AG223" s="3266"/>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66"/>
      <c r="AC226" s="3266"/>
      <c r="AD226" s="3266"/>
      <c r="AE226" s="3266"/>
      <c r="AF226" s="3266"/>
      <c r="AG226" s="3266"/>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97"/>
      <c r="AC227" s="3297"/>
      <c r="AD227" s="3297"/>
      <c r="AE227" s="3297"/>
      <c r="AF227" s="3297"/>
      <c r="AG227" s="3297"/>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74">
        <f>IFERROR(AB226/AB227,0)</f>
        <v>0</v>
      </c>
      <c r="AC228" s="3274"/>
      <c r="AD228" s="3274"/>
      <c r="AE228" s="3274"/>
      <c r="AF228" s="3274"/>
      <c r="AG228" s="3274"/>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61">
        <f>MAX(AB223,AB228)</f>
        <v>0</v>
      </c>
      <c r="AC230" s="3261"/>
      <c r="AD230" s="3261"/>
      <c r="AE230" s="3261"/>
      <c r="AF230" s="3261"/>
      <c r="AG230" s="3261"/>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97">
        <f>AB217+AB230</f>
        <v>0</v>
      </c>
      <c r="AC233" s="3097"/>
      <c r="AD233" s="3097"/>
      <c r="AE233" s="3097"/>
      <c r="AF233" s="3097"/>
      <c r="AG233" s="3097"/>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30">
        <v>0.05</v>
      </c>
      <c r="AC234" s="3130"/>
      <c r="AD234" s="3130"/>
      <c r="AE234" s="3130"/>
      <c r="AF234" s="3130"/>
      <c r="AG234" s="3130"/>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31">
        <f>AB233-(AB233*AB234)</f>
        <v>0</v>
      </c>
      <c r="AC235" s="3131"/>
      <c r="AD235" s="3131"/>
      <c r="AE235" s="3131"/>
      <c r="AF235" s="3131"/>
      <c r="AG235" s="3131"/>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97">
        <f>AB235/AB241</f>
        <v>0</v>
      </c>
      <c r="AC237" s="3097"/>
      <c r="AD237" s="3097"/>
      <c r="AE237" s="3097"/>
      <c r="AF237" s="3097"/>
      <c r="AG237" s="3097"/>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98">
        <v>15</v>
      </c>
      <c r="AC239" s="3098"/>
      <c r="AD239" s="3098"/>
      <c r="AE239" s="3098"/>
      <c r="AF239" s="3098"/>
      <c r="AG239" s="3098"/>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32">
        <v>0.04</v>
      </c>
      <c r="AC240" s="3132"/>
      <c r="AD240" s="3132"/>
      <c r="AE240" s="3132"/>
      <c r="AF240" s="3132"/>
      <c r="AG240" s="3132"/>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33">
        <v>1.1499999999999999</v>
      </c>
      <c r="AC241" s="3133"/>
      <c r="AD241" s="3133"/>
      <c r="AE241" s="3133"/>
      <c r="AF241" s="3133"/>
      <c r="AG241" s="3133"/>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23">
        <f>PV(AB240/12,AB239*12,-AB237/12, ,0)</f>
        <v>0</v>
      </c>
      <c r="AC243" s="3124"/>
      <c r="AD243" s="3124"/>
      <c r="AE243" s="3124"/>
      <c r="AF243" s="3124"/>
      <c r="AG243" s="3125"/>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27">
        <f>IFERROR(('Sources and Uses Budget'!D105/'Sources and Uses Budget'!B105),0)</f>
        <v>0</v>
      </c>
      <c r="AC249" s="3128"/>
      <c r="AD249" s="3128"/>
      <c r="AE249" s="3128"/>
      <c r="AF249" s="3128"/>
      <c r="AG249" s="3129"/>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117">
        <f>AD194*(1-AB249)</f>
        <v>7408000</v>
      </c>
      <c r="AH251" s="3117"/>
      <c r="AI251" s="3117"/>
      <c r="AJ251" s="3117"/>
      <c r="AK251" s="3117"/>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117">
        <f>'Sources and Uses Budget'!C105</f>
        <v>54049758</v>
      </c>
      <c r="AH252" s="3117"/>
      <c r="AI252" s="3117"/>
      <c r="AJ252" s="3117"/>
      <c r="AK252" s="3117"/>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18">
        <f>ROUNDDOWN(IF(AND(C274="Yes",AK72=10),((AG251*2)/AG252),AG251/AG252),2)</f>
        <v>0.27</v>
      </c>
      <c r="AH253" s="3118"/>
      <c r="AI253" s="3118"/>
      <c r="AJ253" s="3118"/>
      <c r="AK253" s="3118"/>
    </row>
    <row r="254" spans="1:39">
      <c r="A254" s="1045"/>
      <c r="B254" s="1698"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7"/>
      <c r="AH254" s="1697"/>
      <c r="AI254" s="1697"/>
      <c r="AJ254" s="1697"/>
      <c r="AK254" s="1697"/>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119">
        <f>IF(AG253=0,0,IF((AG253*100)&gt;8,8,(AG253*100)))</f>
        <v>8</v>
      </c>
      <c r="AL256" s="3119"/>
      <c r="AM256" s="3120"/>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111" t="s">
        <v>577</v>
      </c>
      <c r="D261" s="3111"/>
      <c r="E261" s="940"/>
      <c r="F261" s="3282" t="s">
        <v>2414</v>
      </c>
      <c r="G261" s="3283"/>
      <c r="H261" s="3283"/>
      <c r="I261" s="3283"/>
      <c r="J261" s="3283"/>
      <c r="K261" s="3283"/>
      <c r="L261" s="3283"/>
      <c r="M261" s="3283"/>
      <c r="N261" s="3283"/>
      <c r="O261" s="3283"/>
      <c r="P261" s="3283"/>
      <c r="Q261" s="3283"/>
      <c r="R261" s="3283"/>
      <c r="S261" s="3283"/>
      <c r="T261" s="3283"/>
      <c r="U261" s="3283"/>
      <c r="V261" s="3283"/>
      <c r="W261" s="3283"/>
      <c r="X261" s="3283"/>
      <c r="Y261" s="3283"/>
      <c r="Z261" s="3283"/>
      <c r="AA261" s="3283"/>
      <c r="AB261" s="3283"/>
      <c r="AC261" s="3283"/>
      <c r="AD261" s="3284"/>
      <c r="AE261" s="943"/>
      <c r="AF261" s="1066"/>
      <c r="AG261" s="3112" t="s">
        <v>1633</v>
      </c>
      <c r="AH261" s="3112"/>
      <c r="AI261" s="3112"/>
      <c r="AJ261" s="3112"/>
      <c r="AK261" s="1026"/>
      <c r="AL261" s="1026"/>
      <c r="AM261" s="1026"/>
      <c r="AN261" s="1061"/>
      <c r="AO261" s="943"/>
      <c r="AS261" s="21"/>
      <c r="AT261" s="21"/>
    </row>
    <row r="262" spans="1:81" ht="13.7" customHeight="1">
      <c r="A262" s="1060"/>
      <c r="B262" s="1065"/>
      <c r="C262" s="1067"/>
      <c r="D262" s="943"/>
      <c r="E262" s="940"/>
      <c r="F262" s="3285"/>
      <c r="G262" s="3286"/>
      <c r="H262" s="3286"/>
      <c r="I262" s="3286"/>
      <c r="J262" s="3286"/>
      <c r="K262" s="3286"/>
      <c r="L262" s="3286"/>
      <c r="M262" s="3286"/>
      <c r="N262" s="3286"/>
      <c r="O262" s="3286"/>
      <c r="P262" s="3286"/>
      <c r="Q262" s="3286"/>
      <c r="R262" s="3286"/>
      <c r="S262" s="3286"/>
      <c r="T262" s="3286"/>
      <c r="U262" s="3286"/>
      <c r="V262" s="3286"/>
      <c r="W262" s="3286"/>
      <c r="X262" s="3286"/>
      <c r="Y262" s="3286"/>
      <c r="Z262" s="3286"/>
      <c r="AA262" s="3286"/>
      <c r="AB262" s="3286"/>
      <c r="AC262" s="3286"/>
      <c r="AD262" s="3287"/>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85"/>
      <c r="G263" s="3286"/>
      <c r="H263" s="3286"/>
      <c r="I263" s="3286"/>
      <c r="J263" s="3286"/>
      <c r="K263" s="3286"/>
      <c r="L263" s="3286"/>
      <c r="M263" s="3286"/>
      <c r="N263" s="3286"/>
      <c r="O263" s="3286"/>
      <c r="P263" s="3286"/>
      <c r="Q263" s="3286"/>
      <c r="R263" s="3286"/>
      <c r="S263" s="3286"/>
      <c r="T263" s="3286"/>
      <c r="U263" s="3286"/>
      <c r="V263" s="3286"/>
      <c r="W263" s="3286"/>
      <c r="X263" s="3286"/>
      <c r="Y263" s="3286"/>
      <c r="Z263" s="3286"/>
      <c r="AA263" s="3286"/>
      <c r="AB263" s="3286"/>
      <c r="AC263" s="3286"/>
      <c r="AD263" s="3287"/>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13"/>
      <c r="D264" s="3113"/>
      <c r="E264" s="940"/>
      <c r="F264" s="3288"/>
      <c r="G264" s="3289"/>
      <c r="H264" s="3289"/>
      <c r="I264" s="3289"/>
      <c r="J264" s="3289"/>
      <c r="K264" s="3289"/>
      <c r="L264" s="3289"/>
      <c r="M264" s="3289"/>
      <c r="N264" s="3289"/>
      <c r="O264" s="3289"/>
      <c r="P264" s="3289"/>
      <c r="Q264" s="3289"/>
      <c r="R264" s="3289"/>
      <c r="S264" s="3289"/>
      <c r="T264" s="3289"/>
      <c r="U264" s="3289"/>
      <c r="V264" s="3289"/>
      <c r="W264" s="3289"/>
      <c r="X264" s="3289"/>
      <c r="Y264" s="3289"/>
      <c r="Z264" s="3289"/>
      <c r="AA264" s="3289"/>
      <c r="AB264" s="3289"/>
      <c r="AC264" s="3289"/>
      <c r="AD264" s="3290"/>
      <c r="AE264" s="943"/>
      <c r="AF264" s="1066"/>
      <c r="AG264" s="3112"/>
      <c r="AH264" s="3112"/>
      <c r="AI264" s="3112"/>
      <c r="AJ264" s="3112"/>
      <c r="AK264" s="1026"/>
      <c r="AL264" s="1026"/>
      <c r="AM264" s="1026"/>
      <c r="AN264" s="1061"/>
      <c r="AS264" s="21"/>
      <c r="AT264" s="21"/>
    </row>
    <row r="265" spans="1:81" ht="13.7" hidden="1" customHeight="1">
      <c r="A265" s="1060"/>
      <c r="C265" s="1069"/>
      <c r="D265" s="1069"/>
      <c r="E265" s="1069"/>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119">
        <f>IF($C$261="yes",10,0)</f>
        <v>10</v>
      </c>
      <c r="AL267" s="3119"/>
      <c r="AM267" s="3120"/>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40" t="s">
        <v>1652</v>
      </c>
      <c r="B274" s="3140"/>
      <c r="C274" s="3111" t="s">
        <v>577</v>
      </c>
      <c r="D274" s="3111"/>
      <c r="E274" s="940"/>
      <c r="F274" s="3141" t="s">
        <v>1653</v>
      </c>
      <c r="G274" s="3142"/>
      <c r="H274" s="3142"/>
      <c r="I274" s="3142"/>
      <c r="J274" s="3142"/>
      <c r="K274" s="3142"/>
      <c r="L274" s="3142"/>
      <c r="M274" s="3142"/>
      <c r="N274" s="3142"/>
      <c r="O274" s="3142"/>
      <c r="P274" s="3142"/>
      <c r="Q274" s="3142"/>
      <c r="R274" s="3142"/>
      <c r="S274" s="3142"/>
      <c r="T274" s="3142"/>
      <c r="U274" s="3142"/>
      <c r="V274" s="3142"/>
      <c r="W274" s="3142"/>
      <c r="X274" s="3142"/>
      <c r="Y274" s="3142"/>
      <c r="Z274" s="3142"/>
      <c r="AA274" s="3142"/>
      <c r="AB274" s="3142"/>
      <c r="AC274" s="3142"/>
      <c r="AD274" s="3143"/>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34"/>
      <c r="G275" s="3135"/>
      <c r="H275" s="3135"/>
      <c r="I275" s="3135"/>
      <c r="J275" s="3135"/>
      <c r="K275" s="3135"/>
      <c r="L275" s="3135"/>
      <c r="M275" s="3135"/>
      <c r="N275" s="3135"/>
      <c r="O275" s="3135"/>
      <c r="P275" s="3135"/>
      <c r="Q275" s="3135"/>
      <c r="R275" s="3135"/>
      <c r="S275" s="3135"/>
      <c r="T275" s="3135"/>
      <c r="U275" s="3135"/>
      <c r="V275" s="3135"/>
      <c r="W275" s="3135"/>
      <c r="X275" s="3135"/>
      <c r="Y275" s="3135"/>
      <c r="Z275" s="3135"/>
      <c r="AA275" s="3135"/>
      <c r="AB275" s="3135"/>
      <c r="AC275" s="3135"/>
      <c r="AD275" s="3136"/>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 customHeight="1">
      <c r="A276" s="1074"/>
      <c r="B276" s="1065"/>
      <c r="F276" s="3134"/>
      <c r="G276" s="3135"/>
      <c r="H276" s="3135"/>
      <c r="I276" s="3135"/>
      <c r="J276" s="3135"/>
      <c r="K276" s="3135"/>
      <c r="L276" s="3135"/>
      <c r="M276" s="3135"/>
      <c r="N276" s="3135"/>
      <c r="O276" s="3135"/>
      <c r="P276" s="3135"/>
      <c r="Q276" s="3135"/>
      <c r="R276" s="3135"/>
      <c r="S276" s="3135"/>
      <c r="T276" s="3135"/>
      <c r="U276" s="3135"/>
      <c r="V276" s="3135"/>
      <c r="W276" s="3135"/>
      <c r="X276" s="3135"/>
      <c r="Y276" s="3135"/>
      <c r="Z276" s="3135"/>
      <c r="AA276" s="3135"/>
      <c r="AB276" s="3135"/>
      <c r="AC276" s="3135"/>
      <c r="AD276" s="3136"/>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34" t="s">
        <v>1655</v>
      </c>
      <c r="G277" s="3135"/>
      <c r="H277" s="3135"/>
      <c r="I277" s="3135"/>
      <c r="J277" s="3135"/>
      <c r="K277" s="3135"/>
      <c r="L277" s="3135"/>
      <c r="M277" s="3135"/>
      <c r="N277" s="3135"/>
      <c r="O277" s="3135"/>
      <c r="P277" s="3135"/>
      <c r="Q277" s="3135"/>
      <c r="R277" s="3135"/>
      <c r="S277" s="3135"/>
      <c r="T277" s="3135"/>
      <c r="U277" s="3135"/>
      <c r="V277" s="3135"/>
      <c r="W277" s="3135"/>
      <c r="X277" s="3135"/>
      <c r="Y277" s="3135"/>
      <c r="Z277" s="3135"/>
      <c r="AA277" s="3135"/>
      <c r="AB277" s="3135"/>
      <c r="AC277" s="3135"/>
      <c r="AD277" s="3136"/>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34"/>
      <c r="G278" s="3135"/>
      <c r="H278" s="3135"/>
      <c r="I278" s="3135"/>
      <c r="J278" s="3135"/>
      <c r="K278" s="3135"/>
      <c r="L278" s="3135"/>
      <c r="M278" s="3135"/>
      <c r="N278" s="3135"/>
      <c r="O278" s="3135"/>
      <c r="P278" s="3135"/>
      <c r="Q278" s="3135"/>
      <c r="R278" s="3135"/>
      <c r="S278" s="3135"/>
      <c r="T278" s="3135"/>
      <c r="U278" s="3135"/>
      <c r="V278" s="3135"/>
      <c r="W278" s="3135"/>
      <c r="X278" s="3135"/>
      <c r="Y278" s="3135"/>
      <c r="Z278" s="3135"/>
      <c r="AA278" s="3135"/>
      <c r="AB278" s="3135"/>
      <c r="AC278" s="3135"/>
      <c r="AD278" s="3136"/>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34" t="s">
        <v>1656</v>
      </c>
      <c r="G279" s="3135"/>
      <c r="H279" s="3135"/>
      <c r="I279" s="3135"/>
      <c r="J279" s="3135"/>
      <c r="K279" s="3135"/>
      <c r="L279" s="3135"/>
      <c r="M279" s="3135"/>
      <c r="N279" s="3135"/>
      <c r="O279" s="3135"/>
      <c r="P279" s="3135"/>
      <c r="Q279" s="3135"/>
      <c r="R279" s="3135"/>
      <c r="S279" s="3135"/>
      <c r="T279" s="3135"/>
      <c r="U279" s="3135"/>
      <c r="V279" s="3135"/>
      <c r="W279" s="3135"/>
      <c r="X279" s="3135"/>
      <c r="Y279" s="3135"/>
      <c r="Z279" s="3135"/>
      <c r="AA279" s="3135"/>
      <c r="AB279" s="3135"/>
      <c r="AC279" s="3135"/>
      <c r="AD279" s="3136"/>
      <c r="AE279" s="1078"/>
      <c r="AF279" s="944"/>
      <c r="AG279" s="944"/>
      <c r="AH279" s="944"/>
      <c r="AI279" s="944"/>
      <c r="AJ279" s="943"/>
      <c r="AK279" s="1026"/>
      <c r="AL279" s="1026"/>
      <c r="AM279" s="1026"/>
      <c r="AN279" s="110"/>
      <c r="AO279" s="51"/>
      <c r="AP279" s="1079">
        <f>MAX(AP275,AP276,AP277,AP278)</f>
        <v>20</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34"/>
      <c r="G280" s="3135"/>
      <c r="H280" s="3135"/>
      <c r="I280" s="3135"/>
      <c r="J280" s="3135"/>
      <c r="K280" s="3135"/>
      <c r="L280" s="3135"/>
      <c r="M280" s="3135"/>
      <c r="N280" s="3135"/>
      <c r="O280" s="3135"/>
      <c r="P280" s="3135"/>
      <c r="Q280" s="3135"/>
      <c r="R280" s="3135"/>
      <c r="S280" s="3135"/>
      <c r="T280" s="3135"/>
      <c r="U280" s="3135"/>
      <c r="V280" s="3135"/>
      <c r="W280" s="3135"/>
      <c r="X280" s="3135"/>
      <c r="Y280" s="3135"/>
      <c r="Z280" s="3135"/>
      <c r="AA280" s="3135"/>
      <c r="AB280" s="3135"/>
      <c r="AC280" s="3135"/>
      <c r="AD280" s="3136"/>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34" t="s">
        <v>1657</v>
      </c>
      <c r="G281" s="3135"/>
      <c r="H281" s="3135"/>
      <c r="I281" s="3135"/>
      <c r="J281" s="3135"/>
      <c r="K281" s="3135"/>
      <c r="L281" s="3135"/>
      <c r="M281" s="3135"/>
      <c r="N281" s="3135"/>
      <c r="O281" s="3135"/>
      <c r="P281" s="3135"/>
      <c r="Q281" s="3135"/>
      <c r="R281" s="3135"/>
      <c r="S281" s="3135"/>
      <c r="T281" s="3135"/>
      <c r="U281" s="3135"/>
      <c r="V281" s="3135"/>
      <c r="W281" s="3135"/>
      <c r="X281" s="3135"/>
      <c r="Y281" s="3135"/>
      <c r="Z281" s="3135"/>
      <c r="AA281" s="3135"/>
      <c r="AB281" s="3135"/>
      <c r="AC281" s="3135"/>
      <c r="AD281" s="3136"/>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37"/>
      <c r="G282" s="3138"/>
      <c r="H282" s="3138"/>
      <c r="I282" s="3138"/>
      <c r="J282" s="3138"/>
      <c r="K282" s="3138"/>
      <c r="L282" s="3138"/>
      <c r="M282" s="3138"/>
      <c r="N282" s="3138"/>
      <c r="O282" s="3138"/>
      <c r="P282" s="3138"/>
      <c r="Q282" s="3138"/>
      <c r="R282" s="3138"/>
      <c r="S282" s="3138"/>
      <c r="T282" s="3138"/>
      <c r="U282" s="3138"/>
      <c r="V282" s="3138"/>
      <c r="W282" s="3138"/>
      <c r="X282" s="3138"/>
      <c r="Y282" s="3138"/>
      <c r="Z282" s="3138"/>
      <c r="AA282" s="3138"/>
      <c r="AB282" s="3138"/>
      <c r="AC282" s="3138"/>
      <c r="AD282" s="3139"/>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40" t="s">
        <v>1658</v>
      </c>
      <c r="B284" s="3140"/>
      <c r="C284" s="3111" t="s">
        <v>625</v>
      </c>
      <c r="D284" s="3111"/>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34" t="s">
        <v>1661</v>
      </c>
      <c r="G285" s="3135"/>
      <c r="H285" s="3135"/>
      <c r="I285" s="3135"/>
      <c r="J285" s="3135"/>
      <c r="K285" s="3135"/>
      <c r="L285" s="3135"/>
      <c r="M285" s="3135"/>
      <c r="N285" s="3135"/>
      <c r="O285" s="3135"/>
      <c r="P285" s="3135"/>
      <c r="Q285" s="3135"/>
      <c r="R285" s="3135"/>
      <c r="S285" s="3135"/>
      <c r="T285" s="3135"/>
      <c r="U285" s="3135"/>
      <c r="V285" s="3135"/>
      <c r="W285" s="3135"/>
      <c r="X285" s="3135"/>
      <c r="Y285" s="3135"/>
      <c r="Z285" s="3135"/>
      <c r="AA285" s="3135"/>
      <c r="AB285" s="3135"/>
      <c r="AC285" s="3135"/>
      <c r="AD285" s="3136"/>
      <c r="AE285" s="944"/>
      <c r="AF285" s="944"/>
      <c r="AG285" s="944"/>
      <c r="AH285" s="944"/>
      <c r="AI285" s="944"/>
      <c r="AJ285" s="943"/>
      <c r="AK285" s="1026"/>
      <c r="AL285" s="1026"/>
      <c r="AM285" s="1026"/>
      <c r="AR285" s="1086"/>
    </row>
    <row r="286" spans="1:53" ht="15" customHeight="1">
      <c r="A286" s="1060"/>
      <c r="B286" s="944"/>
      <c r="C286" s="943"/>
      <c r="D286" s="944"/>
      <c r="E286" s="943"/>
      <c r="F286" s="3134"/>
      <c r="G286" s="3135"/>
      <c r="H286" s="3135"/>
      <c r="I286" s="3135"/>
      <c r="J286" s="3135"/>
      <c r="K286" s="3135"/>
      <c r="L286" s="3135"/>
      <c r="M286" s="3135"/>
      <c r="N286" s="3135"/>
      <c r="O286" s="3135"/>
      <c r="P286" s="3135"/>
      <c r="Q286" s="3135"/>
      <c r="R286" s="3135"/>
      <c r="S286" s="3135"/>
      <c r="T286" s="3135"/>
      <c r="U286" s="3135"/>
      <c r="V286" s="3135"/>
      <c r="W286" s="3135"/>
      <c r="X286" s="3135"/>
      <c r="Y286" s="3135"/>
      <c r="Z286" s="3135"/>
      <c r="AA286" s="3135"/>
      <c r="AB286" s="3135"/>
      <c r="AC286" s="3135"/>
      <c r="AD286" s="3136"/>
      <c r="AE286" s="944"/>
      <c r="AF286" s="944"/>
      <c r="AG286" s="944"/>
      <c r="AH286" s="944"/>
      <c r="AI286" s="944"/>
      <c r="AJ286" s="943"/>
      <c r="AK286" s="1026"/>
      <c r="AL286" s="1026"/>
      <c r="AM286" s="1026"/>
      <c r="AR286" s="1086"/>
    </row>
    <row r="287" spans="1:53">
      <c r="A287" s="1060"/>
      <c r="B287" s="944"/>
      <c r="C287" s="943"/>
      <c r="D287" s="944"/>
      <c r="E287" s="943"/>
      <c r="F287" s="3134" t="s">
        <v>1656</v>
      </c>
      <c r="G287" s="3135"/>
      <c r="H287" s="3135"/>
      <c r="I287" s="3135"/>
      <c r="J287" s="3135"/>
      <c r="K287" s="3135"/>
      <c r="L287" s="3135"/>
      <c r="M287" s="3135"/>
      <c r="N287" s="3135"/>
      <c r="O287" s="3135"/>
      <c r="P287" s="3135"/>
      <c r="Q287" s="3135"/>
      <c r="R287" s="3135"/>
      <c r="S287" s="3135"/>
      <c r="T287" s="3135"/>
      <c r="U287" s="3135"/>
      <c r="V287" s="3135"/>
      <c r="W287" s="3135"/>
      <c r="X287" s="3135"/>
      <c r="Y287" s="3135"/>
      <c r="Z287" s="3135"/>
      <c r="AA287" s="3135"/>
      <c r="AB287" s="3135"/>
      <c r="AC287" s="3135"/>
      <c r="AD287" s="3136"/>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34"/>
      <c r="G288" s="3135"/>
      <c r="H288" s="3135"/>
      <c r="I288" s="3135"/>
      <c r="J288" s="3135"/>
      <c r="K288" s="3135"/>
      <c r="L288" s="3135"/>
      <c r="M288" s="3135"/>
      <c r="N288" s="3135"/>
      <c r="O288" s="3135"/>
      <c r="P288" s="3135"/>
      <c r="Q288" s="3135"/>
      <c r="R288" s="3135"/>
      <c r="S288" s="3135"/>
      <c r="T288" s="3135"/>
      <c r="U288" s="3135"/>
      <c r="V288" s="3135"/>
      <c r="W288" s="3135"/>
      <c r="X288" s="3135"/>
      <c r="Y288" s="3135"/>
      <c r="Z288" s="3135"/>
      <c r="AA288" s="3135"/>
      <c r="AB288" s="3135"/>
      <c r="AC288" s="3135"/>
      <c r="AD288" s="3136"/>
      <c r="AE288" s="944"/>
      <c r="AF288" s="944"/>
      <c r="AG288" s="944"/>
      <c r="AH288" s="944"/>
      <c r="AI288" s="944"/>
      <c r="AJ288" s="943"/>
      <c r="AK288" s="1026"/>
      <c r="AL288" s="1026"/>
      <c r="AM288" s="1026"/>
      <c r="AP288" s="1079"/>
      <c r="AQ288" s="968"/>
      <c r="AR288" s="1086"/>
    </row>
    <row r="289" spans="1:60">
      <c r="A289" s="1060"/>
      <c r="B289" s="944"/>
      <c r="C289" s="943"/>
      <c r="D289" s="944"/>
      <c r="E289" s="943"/>
      <c r="F289" s="3134" t="s">
        <v>1662</v>
      </c>
      <c r="G289" s="3135"/>
      <c r="H289" s="3135"/>
      <c r="I289" s="3135"/>
      <c r="J289" s="3135"/>
      <c r="K289" s="3135"/>
      <c r="L289" s="3135"/>
      <c r="M289" s="3135"/>
      <c r="N289" s="3135"/>
      <c r="O289" s="3135"/>
      <c r="P289" s="3135"/>
      <c r="Q289" s="3135"/>
      <c r="R289" s="3135"/>
      <c r="S289" s="3135"/>
      <c r="T289" s="3135"/>
      <c r="U289" s="3135"/>
      <c r="V289" s="3135"/>
      <c r="W289" s="3135"/>
      <c r="X289" s="3135"/>
      <c r="Y289" s="3135"/>
      <c r="Z289" s="3135"/>
      <c r="AA289" s="3135"/>
      <c r="AB289" s="3135"/>
      <c r="AC289" s="3135"/>
      <c r="AD289" s="3136"/>
      <c r="AE289" s="944"/>
      <c r="AF289" s="944"/>
      <c r="AG289" s="944"/>
      <c r="AH289" s="944"/>
      <c r="AI289" s="944"/>
      <c r="AJ289" s="943"/>
      <c r="AK289" s="1026"/>
      <c r="AL289" s="1026"/>
      <c r="AM289" s="1026"/>
      <c r="AP289" s="1079"/>
      <c r="AQ289" s="968"/>
      <c r="AR289" s="1086"/>
    </row>
    <row r="290" spans="1:60">
      <c r="A290" s="1060"/>
      <c r="B290" s="944"/>
      <c r="C290" s="943"/>
      <c r="D290" s="944"/>
      <c r="E290" s="943"/>
      <c r="F290" s="3137"/>
      <c r="G290" s="3138"/>
      <c r="H290" s="3138"/>
      <c r="I290" s="3138"/>
      <c r="J290" s="3138"/>
      <c r="K290" s="3138"/>
      <c r="L290" s="3138"/>
      <c r="M290" s="3138"/>
      <c r="N290" s="3138"/>
      <c r="O290" s="3138"/>
      <c r="P290" s="3138"/>
      <c r="Q290" s="3138"/>
      <c r="R290" s="3138"/>
      <c r="S290" s="3138"/>
      <c r="T290" s="3138"/>
      <c r="U290" s="3138"/>
      <c r="V290" s="3138"/>
      <c r="W290" s="3138"/>
      <c r="X290" s="3138"/>
      <c r="Y290" s="3138"/>
      <c r="Z290" s="3138"/>
      <c r="AA290" s="3138"/>
      <c r="AB290" s="3138"/>
      <c r="AC290" s="3138"/>
      <c r="AD290" s="3139"/>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40" t="s">
        <v>1663</v>
      </c>
      <c r="B292" s="3140"/>
      <c r="C292" s="3111" t="s">
        <v>625</v>
      </c>
      <c r="D292" s="3111"/>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5"/>
      <c r="B293" s="1795"/>
      <c r="C293" s="1791"/>
      <c r="D293" s="1791"/>
      <c r="E293" s="940"/>
      <c r="F293" s="3134" t="s">
        <v>1664</v>
      </c>
      <c r="G293" s="3135"/>
      <c r="H293" s="3135"/>
      <c r="I293" s="3135"/>
      <c r="J293" s="3135"/>
      <c r="K293" s="3135"/>
      <c r="L293" s="3135"/>
      <c r="M293" s="3135"/>
      <c r="N293" s="3135"/>
      <c r="O293" s="3135"/>
      <c r="P293" s="3135"/>
      <c r="Q293" s="3135"/>
      <c r="R293" s="3135"/>
      <c r="S293" s="3135"/>
      <c r="T293" s="3135"/>
      <c r="U293" s="3135"/>
      <c r="V293" s="3135"/>
      <c r="W293" s="3135"/>
      <c r="X293" s="3135"/>
      <c r="Y293" s="3135"/>
      <c r="Z293" s="3135"/>
      <c r="AA293" s="3135"/>
      <c r="AB293" s="3135"/>
      <c r="AC293" s="3135"/>
      <c r="AD293" s="3136"/>
      <c r="AE293" s="944"/>
      <c r="AF293" s="944"/>
      <c r="AG293" s="1012"/>
      <c r="AH293" s="944"/>
      <c r="AI293" s="944"/>
      <c r="AJ293" s="943"/>
      <c r="AK293" s="1026"/>
      <c r="AL293" s="1026"/>
      <c r="AM293" s="1026"/>
      <c r="AN293" s="110"/>
      <c r="AO293" s="51"/>
      <c r="AP293" s="950" t="s">
        <v>1383</v>
      </c>
      <c r="AR293" s="21"/>
    </row>
    <row r="294" spans="1:60" s="21" customFormat="1">
      <c r="F294" s="3134"/>
      <c r="G294" s="3135"/>
      <c r="H294" s="3135"/>
      <c r="I294" s="3135"/>
      <c r="J294" s="3135"/>
      <c r="K294" s="3135"/>
      <c r="L294" s="3135"/>
      <c r="M294" s="3135"/>
      <c r="N294" s="3135"/>
      <c r="O294" s="3135"/>
      <c r="P294" s="3135"/>
      <c r="Q294" s="3135"/>
      <c r="R294" s="3135"/>
      <c r="S294" s="3135"/>
      <c r="T294" s="3135"/>
      <c r="U294" s="3135"/>
      <c r="V294" s="3135"/>
      <c r="W294" s="3135"/>
      <c r="X294" s="3135"/>
      <c r="Y294" s="3135"/>
      <c r="Z294" s="3135"/>
      <c r="AA294" s="3135"/>
      <c r="AB294" s="3135"/>
      <c r="AC294" s="3135"/>
      <c r="AD294" s="3136"/>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1"/>
      <c r="D295" s="1791"/>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2"/>
      <c r="AE295" s="944"/>
      <c r="AF295" s="944"/>
      <c r="AG295" s="986"/>
      <c r="AH295" s="944"/>
      <c r="AI295" s="944"/>
      <c r="AJ295" s="943"/>
      <c r="AK295" s="1026"/>
      <c r="AL295" s="1026"/>
      <c r="AM295" s="1026"/>
      <c r="AN295" s="110"/>
      <c r="AO295" s="51"/>
      <c r="AP295" s="1091" t="s">
        <v>2230</v>
      </c>
      <c r="AR295" s="21"/>
    </row>
    <row r="296" spans="1:60">
      <c r="A296" s="1060"/>
      <c r="B296" s="944"/>
      <c r="C296" s="1791"/>
      <c r="D296" s="1791"/>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2"/>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1"/>
      <c r="D297" s="1791"/>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1"/>
      <c r="D298" s="1791"/>
      <c r="E298" s="940"/>
      <c r="F298" s="3144" t="s">
        <v>1383</v>
      </c>
      <c r="G298" s="3145"/>
      <c r="H298" s="3145"/>
      <c r="I298" s="3145"/>
      <c r="J298" s="3145"/>
      <c r="K298" s="3145"/>
      <c r="L298" s="3145"/>
      <c r="M298" s="3145"/>
      <c r="N298" s="3145"/>
      <c r="O298" s="3145"/>
      <c r="P298" s="3145"/>
      <c r="Q298" s="3145"/>
      <c r="R298" s="3145"/>
      <c r="S298" s="3145"/>
      <c r="T298" s="3145"/>
      <c r="U298" s="3145"/>
      <c r="V298" s="3145"/>
      <c r="W298" s="3145"/>
      <c r="X298" s="3145"/>
      <c r="Y298" s="3145"/>
      <c r="Z298" s="3145"/>
      <c r="AA298" s="3145"/>
      <c r="AB298" s="3145"/>
      <c r="AC298" s="3145"/>
      <c r="AD298" s="3146"/>
      <c r="AE298" s="1078"/>
      <c r="AF298" s="1078"/>
      <c r="AG298" s="1078"/>
      <c r="AH298" s="1078"/>
      <c r="AI298" s="1078"/>
      <c r="AJ298" s="1078"/>
      <c r="AK298" s="1078"/>
      <c r="AL298" s="1026"/>
      <c r="AM298" s="1026"/>
      <c r="AN298" s="110"/>
      <c r="AO298" s="51"/>
      <c r="AP298" s="126"/>
      <c r="AR298" s="21"/>
    </row>
    <row r="299" spans="1:60">
      <c r="A299" s="1060"/>
      <c r="B299" s="944"/>
      <c r="C299" s="1791"/>
      <c r="D299" s="1791"/>
      <c r="E299" s="940"/>
      <c r="F299" s="3144"/>
      <c r="G299" s="3145"/>
      <c r="H299" s="3145"/>
      <c r="I299" s="3145"/>
      <c r="J299" s="3145"/>
      <c r="K299" s="3145"/>
      <c r="L299" s="3145"/>
      <c r="M299" s="3145"/>
      <c r="N299" s="3145"/>
      <c r="O299" s="3145"/>
      <c r="P299" s="3145"/>
      <c r="Q299" s="3145"/>
      <c r="R299" s="3145"/>
      <c r="S299" s="3145"/>
      <c r="T299" s="3145"/>
      <c r="U299" s="3145"/>
      <c r="V299" s="3145"/>
      <c r="W299" s="3145"/>
      <c r="X299" s="3145"/>
      <c r="Y299" s="3145"/>
      <c r="Z299" s="3145"/>
      <c r="AA299" s="3145"/>
      <c r="AB299" s="3145"/>
      <c r="AC299" s="3145"/>
      <c r="AD299" s="3146"/>
      <c r="AE299" s="944"/>
      <c r="AF299" s="944"/>
      <c r="AG299" s="986"/>
      <c r="AH299" s="944"/>
      <c r="AI299" s="944"/>
      <c r="AJ299" s="1026"/>
      <c r="AK299" s="1026"/>
      <c r="AL299" s="1026"/>
      <c r="AM299" s="1026"/>
      <c r="AN299" s="110"/>
      <c r="AO299" s="51"/>
      <c r="AP299" s="126"/>
      <c r="AR299" s="21"/>
    </row>
    <row r="300" spans="1:60">
      <c r="A300" s="1060"/>
      <c r="B300" s="944"/>
      <c r="C300" s="1791"/>
      <c r="D300" s="1791"/>
      <c r="E300" s="940"/>
      <c r="F300" s="3144"/>
      <c r="G300" s="3145"/>
      <c r="H300" s="3145"/>
      <c r="I300" s="3145"/>
      <c r="J300" s="3145"/>
      <c r="K300" s="3145"/>
      <c r="L300" s="3145"/>
      <c r="M300" s="3145"/>
      <c r="N300" s="3145"/>
      <c r="O300" s="3145"/>
      <c r="P300" s="3145"/>
      <c r="Q300" s="3145"/>
      <c r="R300" s="3145"/>
      <c r="S300" s="3145"/>
      <c r="T300" s="3145"/>
      <c r="U300" s="3145"/>
      <c r="V300" s="3145"/>
      <c r="W300" s="3145"/>
      <c r="X300" s="3145"/>
      <c r="Y300" s="3145"/>
      <c r="Z300" s="3145"/>
      <c r="AA300" s="3145"/>
      <c r="AB300" s="3145"/>
      <c r="AC300" s="3145"/>
      <c r="AD300" s="3146"/>
      <c r="AE300" s="944"/>
      <c r="AF300" s="944"/>
      <c r="AG300" s="986"/>
      <c r="AH300" s="944"/>
      <c r="AI300" s="944"/>
      <c r="AJ300" s="1026"/>
      <c r="AK300" s="1026"/>
      <c r="AL300" s="1026"/>
      <c r="AM300" s="1026"/>
      <c r="AN300" s="110"/>
      <c r="AO300" s="51"/>
      <c r="AP300" s="126"/>
      <c r="AR300" s="21"/>
    </row>
    <row r="301" spans="1:60">
      <c r="A301" s="1060"/>
      <c r="B301" s="944"/>
      <c r="C301" s="1791"/>
      <c r="D301" s="1791"/>
      <c r="E301" s="940"/>
      <c r="F301" s="3144"/>
      <c r="G301" s="3145"/>
      <c r="H301" s="3145"/>
      <c r="I301" s="3145"/>
      <c r="J301" s="3145"/>
      <c r="K301" s="3145"/>
      <c r="L301" s="3145"/>
      <c r="M301" s="3145"/>
      <c r="N301" s="3145"/>
      <c r="O301" s="3145"/>
      <c r="P301" s="3145"/>
      <c r="Q301" s="3145"/>
      <c r="R301" s="3145"/>
      <c r="S301" s="3145"/>
      <c r="T301" s="3145"/>
      <c r="U301" s="3145"/>
      <c r="V301" s="3145"/>
      <c r="W301" s="3145"/>
      <c r="X301" s="3145"/>
      <c r="Y301" s="3145"/>
      <c r="Z301" s="3145"/>
      <c r="AA301" s="3145"/>
      <c r="AB301" s="3145"/>
      <c r="AC301" s="3145"/>
      <c r="AD301" s="3146"/>
      <c r="AE301" s="944"/>
      <c r="AF301" s="944"/>
      <c r="AG301" s="986"/>
      <c r="AH301" s="944"/>
      <c r="AI301" s="944"/>
      <c r="AJ301" s="1026"/>
      <c r="AK301" s="1026"/>
      <c r="AL301" s="1026"/>
      <c r="AM301" s="1026"/>
      <c r="AN301" s="110"/>
      <c r="AO301" s="51"/>
      <c r="AP301" s="126"/>
      <c r="AR301" s="21"/>
    </row>
    <row r="302" spans="1:60">
      <c r="A302" s="1060"/>
      <c r="B302" s="944"/>
      <c r="C302" s="1791"/>
      <c r="D302" s="1791"/>
      <c r="E302" s="940"/>
      <c r="F302" s="3147"/>
      <c r="G302" s="3148"/>
      <c r="H302" s="3148"/>
      <c r="I302" s="3148"/>
      <c r="J302" s="3148"/>
      <c r="K302" s="3148"/>
      <c r="L302" s="3148"/>
      <c r="M302" s="3148"/>
      <c r="N302" s="3148"/>
      <c r="O302" s="3148"/>
      <c r="P302" s="3148"/>
      <c r="Q302" s="3148"/>
      <c r="R302" s="3148"/>
      <c r="S302" s="3148"/>
      <c r="T302" s="3148"/>
      <c r="U302" s="3148"/>
      <c r="V302" s="3148"/>
      <c r="W302" s="3148"/>
      <c r="X302" s="3148"/>
      <c r="Y302" s="3148"/>
      <c r="Z302" s="3148"/>
      <c r="AA302" s="3148"/>
      <c r="AB302" s="3148"/>
      <c r="AC302" s="3148"/>
      <c r="AD302" s="3149"/>
      <c r="AE302" s="944"/>
      <c r="AF302" s="944"/>
      <c r="AG302" s="986"/>
      <c r="AH302" s="944"/>
      <c r="AI302" s="944"/>
      <c r="AJ302" s="1025"/>
      <c r="AK302" s="1026"/>
      <c r="AL302" s="1026"/>
      <c r="AM302" s="1026"/>
      <c r="AN302" s="110"/>
      <c r="AO302" s="51"/>
      <c r="AP302" s="126"/>
      <c r="AR302" s="21"/>
    </row>
    <row r="303" spans="1:60" s="56" customFormat="1">
      <c r="A303" s="1060"/>
      <c r="B303" s="944"/>
      <c r="C303" s="1791"/>
      <c r="D303" s="1791"/>
      <c r="E303" s="940"/>
      <c r="F303" s="1692"/>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3"/>
      <c r="AP303" s="1694"/>
      <c r="AR303" s="1695"/>
      <c r="BD303" s="55"/>
      <c r="BE303" s="55"/>
      <c r="BF303" s="55"/>
      <c r="BG303" s="55"/>
      <c r="BH303" s="55"/>
    </row>
    <row r="304" spans="1:60">
      <c r="A304" s="1060"/>
      <c r="B304" s="944"/>
      <c r="C304" s="1791"/>
      <c r="D304" s="1791"/>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1"/>
      <c r="D305" s="1791"/>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1"/>
      <c r="D306" s="1791"/>
      <c r="E306" s="940"/>
      <c r="F306" s="1098"/>
      <c r="G306" s="969" t="s">
        <v>724</v>
      </c>
      <c r="H306" s="969"/>
      <c r="I306" s="3150" t="s">
        <v>1383</v>
      </c>
      <c r="J306" s="3150"/>
      <c r="K306" s="3150"/>
      <c r="L306" s="3150"/>
      <c r="M306" s="3150"/>
      <c r="N306" s="3150"/>
      <c r="O306" s="3150"/>
      <c r="P306" s="3150"/>
      <c r="Q306" s="3150"/>
      <c r="R306" s="3150"/>
      <c r="S306" s="3150"/>
      <c r="T306" s="3150"/>
      <c r="U306" s="3150"/>
      <c r="V306" s="3150"/>
      <c r="W306" s="3150"/>
      <c r="X306" s="3150"/>
      <c r="Y306" s="3150"/>
      <c r="Z306" s="3150"/>
      <c r="AA306" s="3150"/>
      <c r="AB306" s="3150"/>
      <c r="AC306" s="3150"/>
      <c r="AD306" s="3151"/>
      <c r="AE306" s="944"/>
      <c r="AF306" s="944"/>
      <c r="AG306" s="986"/>
      <c r="AH306" s="944"/>
      <c r="AI306" s="944"/>
      <c r="AJ306" s="943"/>
      <c r="AK306" s="1026"/>
      <c r="AL306" s="1026"/>
      <c r="AM306" s="1026"/>
      <c r="AN306" s="110"/>
      <c r="AO306" s="51"/>
      <c r="AP306" s="950" t="s">
        <v>1988</v>
      </c>
      <c r="AR306" s="21"/>
    </row>
    <row r="307" spans="1:60">
      <c r="A307" s="1060"/>
      <c r="B307" s="944"/>
      <c r="C307" s="1791"/>
      <c r="D307" s="1791"/>
      <c r="E307" s="940"/>
      <c r="F307" s="1098"/>
      <c r="G307" s="969"/>
      <c r="H307" s="969"/>
      <c r="I307" s="3150"/>
      <c r="J307" s="3150"/>
      <c r="K307" s="3150"/>
      <c r="L307" s="3150"/>
      <c r="M307" s="3150"/>
      <c r="N307" s="3150"/>
      <c r="O307" s="3150"/>
      <c r="P307" s="3150"/>
      <c r="Q307" s="3150"/>
      <c r="R307" s="3150"/>
      <c r="S307" s="3150"/>
      <c r="T307" s="3150"/>
      <c r="U307" s="3150"/>
      <c r="V307" s="3150"/>
      <c r="W307" s="3150"/>
      <c r="X307" s="3150"/>
      <c r="Y307" s="3150"/>
      <c r="Z307" s="3150"/>
      <c r="AA307" s="3150"/>
      <c r="AB307" s="3150"/>
      <c r="AC307" s="3150"/>
      <c r="AD307" s="3151"/>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50"/>
      <c r="J308" s="3150"/>
      <c r="K308" s="3150"/>
      <c r="L308" s="3150"/>
      <c r="M308" s="3150"/>
      <c r="N308" s="3150"/>
      <c r="O308" s="3150"/>
      <c r="P308" s="3150"/>
      <c r="Q308" s="3150"/>
      <c r="R308" s="3150"/>
      <c r="S308" s="3150"/>
      <c r="T308" s="3150"/>
      <c r="U308" s="3150"/>
      <c r="V308" s="3150"/>
      <c r="W308" s="3150"/>
      <c r="X308" s="3150"/>
      <c r="Y308" s="3150"/>
      <c r="Z308" s="3150"/>
      <c r="AA308" s="3150"/>
      <c r="AB308" s="3150"/>
      <c r="AC308" s="3150"/>
      <c r="AD308" s="3151"/>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52"/>
      <c r="J309" s="3152"/>
      <c r="K309" s="3152"/>
      <c r="L309" s="3152"/>
      <c r="M309" s="3152"/>
      <c r="N309" s="3152"/>
      <c r="O309" s="3152"/>
      <c r="P309" s="3152"/>
      <c r="Q309" s="3152"/>
      <c r="R309" s="3152"/>
      <c r="S309" s="3152"/>
      <c r="T309" s="3152"/>
      <c r="U309" s="3152"/>
      <c r="V309" s="3152"/>
      <c r="W309" s="3152"/>
      <c r="X309" s="3152"/>
      <c r="Y309" s="3152"/>
      <c r="Z309" s="3152"/>
      <c r="AA309" s="3152"/>
      <c r="AB309" s="3152"/>
      <c r="AC309" s="3152"/>
      <c r="AD309" s="3153"/>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50" t="s">
        <v>1383</v>
      </c>
      <c r="J311" s="3150"/>
      <c r="K311" s="3150"/>
      <c r="L311" s="3150"/>
      <c r="M311" s="3150"/>
      <c r="N311" s="3150"/>
      <c r="O311" s="3150"/>
      <c r="P311" s="3150"/>
      <c r="Q311" s="3150"/>
      <c r="R311" s="3150"/>
      <c r="S311" s="3150"/>
      <c r="T311" s="3150"/>
      <c r="U311" s="3150"/>
      <c r="V311" s="3150"/>
      <c r="W311" s="3150"/>
      <c r="X311" s="3150"/>
      <c r="Y311" s="3150"/>
      <c r="Z311" s="3150"/>
      <c r="AA311" s="3150"/>
      <c r="AB311" s="3150"/>
      <c r="AC311" s="3150"/>
      <c r="AD311" s="3151"/>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50"/>
      <c r="J312" s="3150"/>
      <c r="K312" s="3150"/>
      <c r="L312" s="3150"/>
      <c r="M312" s="3150"/>
      <c r="N312" s="3150"/>
      <c r="O312" s="3150"/>
      <c r="P312" s="3150"/>
      <c r="Q312" s="3150"/>
      <c r="R312" s="3150"/>
      <c r="S312" s="3150"/>
      <c r="T312" s="3150"/>
      <c r="U312" s="3150"/>
      <c r="V312" s="3150"/>
      <c r="W312" s="3150"/>
      <c r="X312" s="3150"/>
      <c r="Y312" s="3150"/>
      <c r="Z312" s="3150"/>
      <c r="AA312" s="3150"/>
      <c r="AB312" s="3150"/>
      <c r="AC312" s="3150"/>
      <c r="AD312" s="3151"/>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52"/>
      <c r="J313" s="3152"/>
      <c r="K313" s="3152"/>
      <c r="L313" s="3152"/>
      <c r="M313" s="3152"/>
      <c r="N313" s="3152"/>
      <c r="O313" s="3152"/>
      <c r="P313" s="3152"/>
      <c r="Q313" s="3152"/>
      <c r="R313" s="3152"/>
      <c r="S313" s="3152"/>
      <c r="T313" s="3152"/>
      <c r="U313" s="3152"/>
      <c r="V313" s="3152"/>
      <c r="W313" s="3152"/>
      <c r="X313" s="3152"/>
      <c r="Y313" s="3152"/>
      <c r="Z313" s="3152"/>
      <c r="AA313" s="3152"/>
      <c r="AB313" s="3152"/>
      <c r="AC313" s="3152"/>
      <c r="AD313" s="3153"/>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40" t="s">
        <v>1667</v>
      </c>
      <c r="B315" s="3140"/>
      <c r="C315" s="3111" t="s">
        <v>625</v>
      </c>
      <c r="D315" s="3111"/>
      <c r="E315" s="940"/>
      <c r="F315" s="3043" t="s">
        <v>1668</v>
      </c>
      <c r="G315" s="3044"/>
      <c r="H315" s="3044"/>
      <c r="I315" s="3044"/>
      <c r="J315" s="3044"/>
      <c r="K315" s="3044"/>
      <c r="L315" s="3044"/>
      <c r="M315" s="3044"/>
      <c r="N315" s="3044"/>
      <c r="O315" s="3044"/>
      <c r="P315" s="3044"/>
      <c r="Q315" s="3044"/>
      <c r="R315" s="3044"/>
      <c r="S315" s="3044"/>
      <c r="T315" s="3044"/>
      <c r="U315" s="3044"/>
      <c r="V315" s="3044"/>
      <c r="W315" s="3044"/>
      <c r="X315" s="3044"/>
      <c r="Y315" s="3044"/>
      <c r="Z315" s="3044"/>
      <c r="AA315" s="3044"/>
      <c r="AB315" s="3044"/>
      <c r="AC315" s="3044"/>
      <c r="AD315" s="3045"/>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049"/>
      <c r="G316" s="3050"/>
      <c r="H316" s="3050"/>
      <c r="I316" s="3050"/>
      <c r="J316" s="3050"/>
      <c r="K316" s="3050"/>
      <c r="L316" s="3050"/>
      <c r="M316" s="3050"/>
      <c r="N316" s="3050"/>
      <c r="O316" s="3050"/>
      <c r="P316" s="3050"/>
      <c r="Q316" s="3050"/>
      <c r="R316" s="3050"/>
      <c r="S316" s="3050"/>
      <c r="T316" s="3050"/>
      <c r="U316" s="3050"/>
      <c r="V316" s="3050"/>
      <c r="W316" s="3050"/>
      <c r="X316" s="3050"/>
      <c r="Y316" s="3050"/>
      <c r="Z316" s="3050"/>
      <c r="AA316" s="3050"/>
      <c r="AB316" s="3050"/>
      <c r="AC316" s="3050"/>
      <c r="AD316" s="3051"/>
      <c r="AE316" s="944"/>
      <c r="AF316" s="944"/>
      <c r="AG316" s="944"/>
      <c r="AH316" s="944"/>
      <c r="AI316" s="944"/>
      <c r="AJ316" s="943"/>
      <c r="AK316" s="1026"/>
      <c r="AL316" s="1026"/>
      <c r="AM316" s="1026"/>
      <c r="AN316" s="110"/>
      <c r="AO316" s="51"/>
    </row>
    <row r="317" spans="1:60" ht="15" customHeight="1">
      <c r="A317" s="1060"/>
      <c r="B317" s="944"/>
      <c r="C317" s="944"/>
      <c r="D317" s="944"/>
      <c r="E317" s="944"/>
      <c r="F317" s="3049"/>
      <c r="G317" s="3050"/>
      <c r="H317" s="3050"/>
      <c r="I317" s="3050"/>
      <c r="J317" s="3050"/>
      <c r="K317" s="3050"/>
      <c r="L317" s="3050"/>
      <c r="M317" s="3050"/>
      <c r="N317" s="3050"/>
      <c r="O317" s="3050"/>
      <c r="P317" s="3050"/>
      <c r="Q317" s="3050"/>
      <c r="R317" s="3050"/>
      <c r="S317" s="3050"/>
      <c r="T317" s="3050"/>
      <c r="U317" s="3050"/>
      <c r="V317" s="3050"/>
      <c r="W317" s="3050"/>
      <c r="X317" s="3050"/>
      <c r="Y317" s="3050"/>
      <c r="Z317" s="3050"/>
      <c r="AA317" s="3050"/>
      <c r="AB317" s="3050"/>
      <c r="AC317" s="3050"/>
      <c r="AD317" s="3051"/>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114">
        <f>AP279</f>
        <v>20</v>
      </c>
      <c r="AL320" s="3115"/>
      <c r="AM320" s="3116"/>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4" t="s">
        <v>1584</v>
      </c>
      <c r="AF323" s="3104"/>
      <c r="AG323" s="3104"/>
      <c r="AH323" s="3104"/>
      <c r="AI323" s="3104"/>
      <c r="AJ323" s="3104"/>
      <c r="AK323" s="3104"/>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35" t="s">
        <v>2191</v>
      </c>
      <c r="C325" s="3135"/>
      <c r="D325" s="3135"/>
      <c r="E325" s="3135"/>
      <c r="F325" s="3135"/>
      <c r="G325" s="3135"/>
      <c r="H325" s="3135"/>
      <c r="I325" s="3135"/>
      <c r="J325" s="3135"/>
      <c r="K325" s="3135"/>
      <c r="L325" s="3135"/>
      <c r="M325" s="3135"/>
      <c r="N325" s="3135"/>
      <c r="O325" s="3135"/>
      <c r="P325" s="3135"/>
      <c r="Q325" s="3135"/>
      <c r="R325" s="3135"/>
      <c r="S325" s="3135"/>
      <c r="T325" s="3135"/>
      <c r="U325" s="3135"/>
      <c r="V325" s="3135"/>
      <c r="W325" s="3135"/>
      <c r="X325" s="3135"/>
      <c r="Y325" s="3135"/>
      <c r="Z325" s="3135"/>
      <c r="AA325" s="3135"/>
      <c r="AB325" s="3135"/>
      <c r="AC325" s="3135"/>
      <c r="AD325" s="3135"/>
      <c r="AE325" s="3135"/>
      <c r="AF325" s="3135"/>
      <c r="AG325" s="3135"/>
      <c r="AH325" s="3135"/>
      <c r="AI325" s="3135"/>
      <c r="AJ325" s="3135"/>
      <c r="AK325" s="1078"/>
      <c r="AL325" s="967"/>
      <c r="AM325" s="1027"/>
      <c r="AN325" s="1000"/>
    </row>
    <row r="326" spans="1:42" s="943" customFormat="1" ht="12.75" customHeight="1">
      <c r="A326" s="1027"/>
      <c r="B326" s="3135"/>
      <c r="C326" s="3135"/>
      <c r="D326" s="3135"/>
      <c r="E326" s="3135"/>
      <c r="F326" s="3135"/>
      <c r="G326" s="3135"/>
      <c r="H326" s="3135"/>
      <c r="I326" s="3135"/>
      <c r="J326" s="3135"/>
      <c r="K326" s="3135"/>
      <c r="L326" s="3135"/>
      <c r="M326" s="3135"/>
      <c r="N326" s="3135"/>
      <c r="O326" s="3135"/>
      <c r="P326" s="3135"/>
      <c r="Q326" s="3135"/>
      <c r="R326" s="3135"/>
      <c r="S326" s="3135"/>
      <c r="T326" s="3135"/>
      <c r="U326" s="3135"/>
      <c r="V326" s="3135"/>
      <c r="W326" s="3135"/>
      <c r="X326" s="3135"/>
      <c r="Y326" s="3135"/>
      <c r="Z326" s="3135"/>
      <c r="AA326" s="3135"/>
      <c r="AB326" s="3135"/>
      <c r="AC326" s="3135"/>
      <c r="AD326" s="3135"/>
      <c r="AE326" s="3135"/>
      <c r="AF326" s="3135"/>
      <c r="AG326" s="3135"/>
      <c r="AH326" s="3135"/>
      <c r="AI326" s="3135"/>
      <c r="AJ326" s="3135"/>
      <c r="AK326" s="1078"/>
      <c r="AL326" s="967"/>
      <c r="AM326" s="1027"/>
      <c r="AN326" s="1000"/>
    </row>
    <row r="327" spans="1:42" s="943" customFormat="1" ht="12.75" customHeight="1">
      <c r="A327" s="1027"/>
      <c r="B327" s="3135"/>
      <c r="C327" s="3135"/>
      <c r="D327" s="3135"/>
      <c r="E327" s="3135"/>
      <c r="F327" s="3135"/>
      <c r="G327" s="3135"/>
      <c r="H327" s="3135"/>
      <c r="I327" s="3135"/>
      <c r="J327" s="3135"/>
      <c r="K327" s="3135"/>
      <c r="L327" s="3135"/>
      <c r="M327" s="3135"/>
      <c r="N327" s="3135"/>
      <c r="O327" s="3135"/>
      <c r="P327" s="3135"/>
      <c r="Q327" s="3135"/>
      <c r="R327" s="3135"/>
      <c r="S327" s="3135"/>
      <c r="T327" s="3135"/>
      <c r="U327" s="3135"/>
      <c r="V327" s="3135"/>
      <c r="W327" s="3135"/>
      <c r="X327" s="3135"/>
      <c r="Y327" s="3135"/>
      <c r="Z327" s="3135"/>
      <c r="AA327" s="3135"/>
      <c r="AB327" s="3135"/>
      <c r="AC327" s="3135"/>
      <c r="AD327" s="3135"/>
      <c r="AE327" s="3135"/>
      <c r="AF327" s="3135"/>
      <c r="AG327" s="3135"/>
      <c r="AH327" s="3135"/>
      <c r="AI327" s="3135"/>
      <c r="AJ327" s="3135"/>
      <c r="AK327" s="1078"/>
      <c r="AL327" s="967"/>
      <c r="AM327" s="1027"/>
      <c r="AN327" s="1000"/>
    </row>
    <row r="328" spans="1:42" s="943" customFormat="1" ht="12.75" customHeight="1">
      <c r="A328" s="1027"/>
      <c r="B328" s="3135"/>
      <c r="C328" s="3135"/>
      <c r="D328" s="3135"/>
      <c r="E328" s="3135"/>
      <c r="F328" s="3135"/>
      <c r="G328" s="3135"/>
      <c r="H328" s="3135"/>
      <c r="I328" s="3135"/>
      <c r="J328" s="3135"/>
      <c r="K328" s="3135"/>
      <c r="L328" s="3135"/>
      <c r="M328" s="3135"/>
      <c r="N328" s="3135"/>
      <c r="O328" s="3135"/>
      <c r="P328" s="3135"/>
      <c r="Q328" s="3135"/>
      <c r="R328" s="3135"/>
      <c r="S328" s="3135"/>
      <c r="T328" s="3135"/>
      <c r="U328" s="3135"/>
      <c r="V328" s="3135"/>
      <c r="W328" s="3135"/>
      <c r="X328" s="3135"/>
      <c r="Y328" s="3135"/>
      <c r="Z328" s="3135"/>
      <c r="AA328" s="3135"/>
      <c r="AB328" s="3135"/>
      <c r="AC328" s="3135"/>
      <c r="AD328" s="3135"/>
      <c r="AE328" s="3135"/>
      <c r="AF328" s="3135"/>
      <c r="AG328" s="3135"/>
      <c r="AH328" s="3135"/>
      <c r="AI328" s="3135"/>
      <c r="AJ328" s="3135"/>
      <c r="AK328" s="1078"/>
      <c r="AL328" s="967"/>
      <c r="AM328" s="1027"/>
      <c r="AN328" s="1000"/>
    </row>
    <row r="329" spans="1:42" s="943" customFormat="1" ht="12.75" customHeight="1">
      <c r="A329" s="1027"/>
      <c r="B329" s="3135"/>
      <c r="C329" s="3135"/>
      <c r="D329" s="3135"/>
      <c r="E329" s="3135"/>
      <c r="F329" s="3135"/>
      <c r="G329" s="3135"/>
      <c r="H329" s="3135"/>
      <c r="I329" s="3135"/>
      <c r="J329" s="3135"/>
      <c r="K329" s="3135"/>
      <c r="L329" s="3135"/>
      <c r="M329" s="3135"/>
      <c r="N329" s="3135"/>
      <c r="O329" s="3135"/>
      <c r="P329" s="3135"/>
      <c r="Q329" s="3135"/>
      <c r="R329" s="3135"/>
      <c r="S329" s="3135"/>
      <c r="T329" s="3135"/>
      <c r="U329" s="3135"/>
      <c r="V329" s="3135"/>
      <c r="W329" s="3135"/>
      <c r="X329" s="3135"/>
      <c r="Y329" s="3135"/>
      <c r="Z329" s="3135"/>
      <c r="AA329" s="3135"/>
      <c r="AB329" s="3135"/>
      <c r="AC329" s="3135"/>
      <c r="AD329" s="3135"/>
      <c r="AE329" s="3135"/>
      <c r="AF329" s="3135"/>
      <c r="AG329" s="3135"/>
      <c r="AH329" s="3135"/>
      <c r="AI329" s="3135"/>
      <c r="AJ329" s="3135"/>
      <c r="AK329" s="1078"/>
      <c r="AL329" s="967"/>
      <c r="AM329" s="1027"/>
      <c r="AN329" s="1000"/>
    </row>
    <row r="330" spans="1:42" s="943" customFormat="1" ht="12.75" customHeight="1">
      <c r="A330" s="1027"/>
      <c r="B330" s="3135"/>
      <c r="C330" s="3135"/>
      <c r="D330" s="3135"/>
      <c r="E330" s="3135"/>
      <c r="F330" s="3135"/>
      <c r="G330" s="3135"/>
      <c r="H330" s="3135"/>
      <c r="I330" s="3135"/>
      <c r="J330" s="3135"/>
      <c r="K330" s="3135"/>
      <c r="L330" s="3135"/>
      <c r="M330" s="3135"/>
      <c r="N330" s="3135"/>
      <c r="O330" s="3135"/>
      <c r="P330" s="3135"/>
      <c r="Q330" s="3135"/>
      <c r="R330" s="3135"/>
      <c r="S330" s="3135"/>
      <c r="T330" s="3135"/>
      <c r="U330" s="3135"/>
      <c r="V330" s="3135"/>
      <c r="W330" s="3135"/>
      <c r="X330" s="3135"/>
      <c r="Y330" s="3135"/>
      <c r="Z330" s="3135"/>
      <c r="AA330" s="3135"/>
      <c r="AB330" s="3135"/>
      <c r="AC330" s="3135"/>
      <c r="AD330" s="3135"/>
      <c r="AE330" s="3135"/>
      <c r="AF330" s="3135"/>
      <c r="AG330" s="3135"/>
      <c r="AH330" s="3135"/>
      <c r="AI330" s="3135"/>
      <c r="AJ330" s="3135"/>
      <c r="AK330" s="1078"/>
      <c r="AL330" s="967"/>
      <c r="AM330" s="1027"/>
      <c r="AN330" s="1000"/>
    </row>
    <row r="331" spans="1:42" s="943" customFormat="1" ht="12.75" customHeight="1">
      <c r="A331" s="1027"/>
      <c r="B331" s="3135"/>
      <c r="C331" s="3135"/>
      <c r="D331" s="3135"/>
      <c r="E331" s="3135"/>
      <c r="F331" s="3135"/>
      <c r="G331" s="3135"/>
      <c r="H331" s="3135"/>
      <c r="I331" s="3135"/>
      <c r="J331" s="3135"/>
      <c r="K331" s="3135"/>
      <c r="L331" s="3135"/>
      <c r="M331" s="3135"/>
      <c r="N331" s="3135"/>
      <c r="O331" s="3135"/>
      <c r="P331" s="3135"/>
      <c r="Q331" s="3135"/>
      <c r="R331" s="3135"/>
      <c r="S331" s="3135"/>
      <c r="T331" s="3135"/>
      <c r="U331" s="3135"/>
      <c r="V331" s="3135"/>
      <c r="W331" s="3135"/>
      <c r="X331" s="3135"/>
      <c r="Y331" s="3135"/>
      <c r="Z331" s="3135"/>
      <c r="AA331" s="3135"/>
      <c r="AB331" s="3135"/>
      <c r="AC331" s="3135"/>
      <c r="AD331" s="3135"/>
      <c r="AE331" s="3135"/>
      <c r="AF331" s="3135"/>
      <c r="AG331" s="3135"/>
      <c r="AH331" s="3135"/>
      <c r="AI331" s="3135"/>
      <c r="AJ331" s="3135"/>
      <c r="AK331" s="1078"/>
      <c r="AL331" s="967"/>
      <c r="AM331" s="1027"/>
      <c r="AN331" s="1000"/>
    </row>
    <row r="332" spans="1:42" ht="12.75" customHeight="1">
      <c r="A332" s="1027"/>
      <c r="B332" s="3135"/>
      <c r="C332" s="3135"/>
      <c r="D332" s="3135"/>
      <c r="E332" s="3135"/>
      <c r="F332" s="3135"/>
      <c r="G332" s="3135"/>
      <c r="H332" s="3135"/>
      <c r="I332" s="3135"/>
      <c r="J332" s="3135"/>
      <c r="K332" s="3135"/>
      <c r="L332" s="3135"/>
      <c r="M332" s="3135"/>
      <c r="N332" s="3135"/>
      <c r="O332" s="3135"/>
      <c r="P332" s="3135"/>
      <c r="Q332" s="3135"/>
      <c r="R332" s="3135"/>
      <c r="S332" s="3135"/>
      <c r="T332" s="3135"/>
      <c r="U332" s="3135"/>
      <c r="V332" s="3135"/>
      <c r="W332" s="3135"/>
      <c r="X332" s="3135"/>
      <c r="Y332" s="3135"/>
      <c r="Z332" s="3135"/>
      <c r="AA332" s="3135"/>
      <c r="AB332" s="3135"/>
      <c r="AC332" s="3135"/>
      <c r="AD332" s="3135"/>
      <c r="AE332" s="3135"/>
      <c r="AF332" s="3135"/>
      <c r="AG332" s="3135"/>
      <c r="AH332" s="3135"/>
      <c r="AI332" s="3135"/>
      <c r="AJ332" s="3135"/>
      <c r="AK332" s="1078"/>
      <c r="AL332" s="967"/>
      <c r="AM332" s="1027"/>
    </row>
    <row r="333" spans="1:42" s="943" customFormat="1" ht="12.75" customHeight="1">
      <c r="A333" s="1060"/>
      <c r="B333" s="3135"/>
      <c r="C333" s="3135"/>
      <c r="D333" s="3135"/>
      <c r="E333" s="3135"/>
      <c r="F333" s="3135"/>
      <c r="G333" s="3135"/>
      <c r="H333" s="3135"/>
      <c r="I333" s="3135"/>
      <c r="J333" s="3135"/>
      <c r="K333" s="3135"/>
      <c r="L333" s="3135"/>
      <c r="M333" s="3135"/>
      <c r="N333" s="3135"/>
      <c r="O333" s="3135"/>
      <c r="P333" s="3135"/>
      <c r="Q333" s="3135"/>
      <c r="R333" s="3135"/>
      <c r="S333" s="3135"/>
      <c r="T333" s="3135"/>
      <c r="U333" s="3135"/>
      <c r="V333" s="3135"/>
      <c r="W333" s="3135"/>
      <c r="X333" s="3135"/>
      <c r="Y333" s="3135"/>
      <c r="Z333" s="3135"/>
      <c r="AA333" s="3135"/>
      <c r="AB333" s="3135"/>
      <c r="AC333" s="3135"/>
      <c r="AD333" s="3135"/>
      <c r="AE333" s="3135"/>
      <c r="AF333" s="3135"/>
      <c r="AG333" s="3135"/>
      <c r="AH333" s="3135"/>
      <c r="AI333" s="3135"/>
      <c r="AJ333" s="3135"/>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7"/>
      <c r="AG338" s="927"/>
      <c r="AH338" s="927"/>
      <c r="AI338" s="927"/>
      <c r="AJ338" s="927"/>
      <c r="AK338" s="927"/>
      <c r="AL338" s="927"/>
      <c r="AM338" s="1026"/>
      <c r="AN338" s="1000"/>
    </row>
    <row r="339" spans="1:42" s="943" customFormat="1" ht="12.75" customHeight="1">
      <c r="A339" s="1060"/>
      <c r="B339" s="927"/>
      <c r="C339" s="927"/>
      <c r="D339" s="1106" t="s">
        <v>724</v>
      </c>
      <c r="E339" s="1635"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90" t="s">
        <v>1608</v>
      </c>
      <c r="AG339" s="3090"/>
      <c r="AH339" s="3090"/>
      <c r="AI339" s="3090"/>
      <c r="AJ339" s="3090"/>
      <c r="AK339" s="3090"/>
      <c r="AL339" s="3090"/>
      <c r="AM339" s="1026"/>
      <c r="AN339" s="1000"/>
    </row>
    <row r="340" spans="1:42" s="943" customFormat="1" ht="12.75" customHeight="1">
      <c r="A340" s="1026"/>
      <c r="B340" s="1006"/>
      <c r="C340" s="1035"/>
      <c r="D340" s="1106"/>
      <c r="E340" s="1635"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5"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5"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5"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5"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5"/>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6"/>
      <c r="D346" s="1106" t="s">
        <v>541</v>
      </c>
      <c r="E346" s="1635" t="s">
        <v>2202</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7"/>
      <c r="AD346" s="927"/>
      <c r="AE346" s="927"/>
      <c r="AF346" s="3090" t="s">
        <v>1674</v>
      </c>
      <c r="AG346" s="3090"/>
      <c r="AH346" s="3090"/>
      <c r="AI346" s="3090"/>
      <c r="AJ346" s="3090"/>
      <c r="AK346" s="3090"/>
      <c r="AL346" s="3090"/>
      <c r="AM346" s="1026"/>
      <c r="AN346" s="1000"/>
    </row>
    <row r="347" spans="1:42" s="943" customFormat="1" ht="12.75" customHeight="1">
      <c r="A347" s="1060"/>
      <c r="B347" s="1023"/>
      <c r="C347" s="1638"/>
      <c r="D347" s="1106"/>
      <c r="E347" s="1635" t="s">
        <v>2203</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39"/>
      <c r="D348" s="1106"/>
      <c r="E348" s="1635" t="s">
        <v>2204</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39"/>
      <c r="D349" s="1106"/>
      <c r="E349" s="1635" t="s">
        <v>2206</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39"/>
      <c r="D350" s="1106"/>
      <c r="E350" s="1635" t="s">
        <v>2205</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39"/>
      <c r="D351" s="1106"/>
      <c r="E351" s="1640"/>
      <c r="F351" s="1641"/>
      <c r="G351" s="1641"/>
      <c r="H351" s="1641"/>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6"/>
      <c r="D352" s="1106" t="s">
        <v>284</v>
      </c>
      <c r="E352" s="1635" t="s">
        <v>2207</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7"/>
      <c r="AD352" s="927"/>
      <c r="AE352" s="927"/>
      <c r="AF352" s="3090" t="s">
        <v>1648</v>
      </c>
      <c r="AG352" s="3090"/>
      <c r="AH352" s="3090"/>
      <c r="AI352" s="3090"/>
      <c r="AJ352" s="3090"/>
      <c r="AK352" s="3090"/>
      <c r="AL352" s="3090"/>
      <c r="AM352" s="1026"/>
      <c r="AN352" s="1000"/>
      <c r="AO352" s="1118" t="s">
        <v>1676</v>
      </c>
      <c r="AP352" s="943">
        <v>3</v>
      </c>
    </row>
    <row r="353" spans="1:53" s="943" customFormat="1" ht="12.75" customHeight="1">
      <c r="A353" s="1060"/>
      <c r="B353" s="1023"/>
      <c r="C353" s="1638"/>
      <c r="D353" s="1106"/>
      <c r="E353" s="1635" t="s">
        <v>2203</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8"/>
      <c r="D354" s="1106"/>
      <c r="E354" s="1635" t="s">
        <v>2204</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8"/>
      <c r="D355" s="1106"/>
      <c r="E355" s="1635" t="s">
        <v>2206</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8"/>
      <c r="D356" s="1106"/>
      <c r="E356" s="1635" t="s">
        <v>2205</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6"/>
      <c r="D358" s="1106" t="s">
        <v>1675</v>
      </c>
      <c r="E358" s="1635" t="s">
        <v>2208</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7"/>
      <c r="AD358" s="927"/>
      <c r="AE358" s="927"/>
      <c r="AF358" s="3090" t="s">
        <v>1677</v>
      </c>
      <c r="AG358" s="3090"/>
      <c r="AH358" s="3090"/>
      <c r="AI358" s="3090"/>
      <c r="AJ358" s="3090"/>
      <c r="AK358" s="3090"/>
      <c r="AL358" s="3090"/>
      <c r="AM358" s="1026"/>
      <c r="AN358" s="1000"/>
      <c r="AO358" s="943" t="str">
        <f>X395</f>
        <v>N/A</v>
      </c>
    </row>
    <row r="359" spans="1:53" s="943" customFormat="1" ht="12.75" customHeight="1">
      <c r="A359" s="1060"/>
      <c r="B359" s="1023"/>
      <c r="C359" s="1638"/>
      <c r="D359" s="1106"/>
      <c r="E359" s="1635" t="s">
        <v>2209</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39"/>
      <c r="D360" s="1106"/>
      <c r="E360" s="1635" t="s">
        <v>2210</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39"/>
      <c r="D361" s="1106"/>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39"/>
      <c r="D362" s="1106"/>
      <c r="E362" s="927" t="s">
        <v>2395</v>
      </c>
      <c r="O362" s="3157" t="s">
        <v>1383</v>
      </c>
      <c r="P362" s="3157"/>
      <c r="Q362" s="3157"/>
      <c r="R362" s="3157"/>
      <c r="S362" s="3157"/>
      <c r="T362" s="3157"/>
      <c r="U362" s="3157"/>
      <c r="V362" s="3157"/>
      <c r="W362" s="3157"/>
      <c r="X362" s="3157"/>
      <c r="Y362" s="3157"/>
      <c r="Z362" s="3157"/>
      <c r="AA362" s="3157"/>
      <c r="AB362" s="3157"/>
      <c r="AH362" s="1023"/>
      <c r="AI362" s="1023"/>
      <c r="AJ362" s="1023"/>
      <c r="AK362" s="1023"/>
      <c r="AL362" s="1023"/>
      <c r="AM362" s="1026"/>
      <c r="AN362" s="1000"/>
    </row>
    <row r="363" spans="1:53" s="943" customFormat="1" ht="12.75" customHeight="1">
      <c r="A363" s="1060"/>
      <c r="B363" s="1024"/>
      <c r="C363" s="1639"/>
      <c r="D363" s="1106"/>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6"/>
      <c r="D364" s="1106" t="s">
        <v>1676</v>
      </c>
      <c r="E364" s="1635" t="s">
        <v>2212</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7"/>
      <c r="AD364" s="927"/>
      <c r="AE364" s="930"/>
      <c r="AF364" s="3090" t="s">
        <v>1622</v>
      </c>
      <c r="AG364" s="3090"/>
      <c r="AH364" s="3090"/>
      <c r="AI364" s="3090"/>
      <c r="AJ364" s="3090"/>
      <c r="AK364" s="3090"/>
      <c r="AL364" s="3090"/>
      <c r="AM364" s="1026"/>
      <c r="AN364" s="1001"/>
    </row>
    <row r="365" spans="1:53" s="943" customFormat="1" ht="12.75" customHeight="1">
      <c r="A365" s="1060"/>
      <c r="B365" s="1006"/>
      <c r="C365" s="1636"/>
      <c r="D365" s="1106"/>
      <c r="E365" s="1635" t="s">
        <v>2211</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7"/>
      <c r="AD365" s="927"/>
      <c r="AE365" s="1595"/>
      <c r="AF365" s="927"/>
      <c r="AG365" s="927"/>
      <c r="AH365" s="927"/>
      <c r="AI365" s="927"/>
      <c r="AJ365" s="927"/>
      <c r="AK365" s="927"/>
      <c r="AL365" s="927"/>
      <c r="AM365" s="1026"/>
      <c r="AN365" s="1000"/>
    </row>
    <row r="366" spans="1:53" s="943" customFormat="1" ht="12.75" customHeight="1">
      <c r="A366" s="1060"/>
      <c r="B366" s="1023"/>
      <c r="C366" s="1638"/>
      <c r="D366" s="1023"/>
      <c r="E366" s="1035"/>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8"/>
      <c r="D367" s="1023" t="s">
        <v>1678</v>
      </c>
      <c r="E367" s="1642"/>
      <c r="F367" s="1642"/>
      <c r="G367" s="1642"/>
      <c r="H367" s="3154" t="s">
        <v>1675</v>
      </c>
      <c r="I367" s="3154"/>
      <c r="J367" s="1642"/>
      <c r="K367" s="1642"/>
      <c r="L367" s="1642"/>
      <c r="M367" s="1642"/>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8"/>
      <c r="D368" s="1023"/>
      <c r="E368" s="1642"/>
      <c r="F368" s="1642"/>
      <c r="G368" s="1642"/>
      <c r="H368" s="1642"/>
      <c r="I368" s="1642"/>
      <c r="J368" s="1642"/>
      <c r="K368" s="1642"/>
      <c r="L368" s="1642"/>
      <c r="M368" s="1642"/>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8"/>
      <c r="D369" s="1023"/>
      <c r="E369" s="1642"/>
      <c r="F369" s="1642"/>
      <c r="G369" s="1642"/>
      <c r="H369" s="1642"/>
      <c r="I369" s="1642"/>
      <c r="J369" s="1642"/>
      <c r="K369" s="1642"/>
      <c r="L369" s="1642"/>
      <c r="M369" s="1642"/>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8"/>
      <c r="D370" s="1023" t="s">
        <v>2213</v>
      </c>
      <c r="E370" s="1642"/>
      <c r="F370" s="1642"/>
      <c r="G370" s="1642"/>
      <c r="H370" s="1642"/>
      <c r="I370" s="1642"/>
      <c r="J370" s="1642"/>
      <c r="K370" s="1642"/>
      <c r="L370" s="1642"/>
      <c r="M370" s="1642"/>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8"/>
      <c r="D371" s="1023" t="s">
        <v>2214</v>
      </c>
      <c r="E371" s="1642"/>
      <c r="F371" s="1642"/>
      <c r="G371" s="1642"/>
      <c r="H371" s="1642"/>
      <c r="I371" s="1642"/>
      <c r="J371" s="1642"/>
      <c r="K371" s="1642"/>
      <c r="L371" s="1642"/>
      <c r="M371" s="1642"/>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8"/>
      <c r="D372" s="1023" t="s">
        <v>2215</v>
      </c>
      <c r="E372" s="1642"/>
      <c r="F372" s="1642"/>
      <c r="G372" s="1642"/>
      <c r="H372" s="1642"/>
      <c r="I372" s="1642"/>
      <c r="J372" s="1642"/>
      <c r="K372" s="1642"/>
      <c r="L372" s="1642"/>
      <c r="M372" s="1642"/>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8"/>
      <c r="D373" s="1016" t="s">
        <v>2216</v>
      </c>
      <c r="E373" s="1642"/>
      <c r="F373" s="1642"/>
      <c r="G373" s="1642"/>
      <c r="H373" s="1642"/>
      <c r="I373" s="1642"/>
      <c r="J373" s="1642"/>
      <c r="K373" s="1642"/>
      <c r="L373" s="1642"/>
      <c r="M373" s="1642"/>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8"/>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8"/>
      <c r="D375" s="1023"/>
      <c r="E375" s="1023" t="s">
        <v>1678</v>
      </c>
      <c r="F375" s="1642"/>
      <c r="G375" s="1642"/>
      <c r="I375" s="3156" t="s">
        <v>625</v>
      </c>
      <c r="J375" s="3156"/>
      <c r="K375" s="3156"/>
      <c r="L375" s="3156"/>
      <c r="M375" s="3156"/>
      <c r="N375" s="3156"/>
      <c r="O375" s="3156"/>
      <c r="P375" s="3156"/>
      <c r="Q375" s="3156"/>
      <c r="R375" s="3156"/>
      <c r="S375" s="3156"/>
      <c r="T375" s="3156"/>
      <c r="U375" s="3156"/>
      <c r="V375" s="3156"/>
      <c r="W375" s="3156"/>
      <c r="X375" s="3156"/>
      <c r="Y375" s="3156"/>
      <c r="Z375" s="3156"/>
      <c r="AA375" s="3156"/>
      <c r="AB375" s="3156"/>
      <c r="AC375" s="3156"/>
      <c r="AD375" s="3156"/>
      <c r="AE375" s="3156"/>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3"/>
      <c r="AG376" s="1643"/>
      <c r="AH376" s="1643"/>
      <c r="AI376" s="1643"/>
      <c r="AJ376" s="1643"/>
      <c r="AK376" s="1643"/>
      <c r="AL376" s="1643"/>
      <c r="AM376" s="943"/>
      <c r="AN376" s="1001"/>
      <c r="AO376" s="943" t="s">
        <v>1680</v>
      </c>
      <c r="AP376" s="943">
        <v>2</v>
      </c>
    </row>
    <row r="377" spans="1:46" s="943" customFormat="1" ht="12.75" customHeight="1">
      <c r="A377" s="1060"/>
      <c r="B377" s="3108" t="s">
        <v>625</v>
      </c>
      <c r="C377" s="3108"/>
      <c r="D377" s="1643"/>
      <c r="E377" s="3135" t="s">
        <v>1681</v>
      </c>
      <c r="F377" s="3135"/>
      <c r="G377" s="3135"/>
      <c r="H377" s="3135"/>
      <c r="I377" s="3135"/>
      <c r="J377" s="3135"/>
      <c r="K377" s="3135"/>
      <c r="L377" s="3135"/>
      <c r="M377" s="3135"/>
      <c r="N377" s="3135"/>
      <c r="O377" s="3135"/>
      <c r="P377" s="3135"/>
      <c r="Q377" s="3135"/>
      <c r="R377" s="3135"/>
      <c r="S377" s="3135"/>
      <c r="T377" s="3135"/>
      <c r="U377" s="3135"/>
      <c r="V377" s="3135"/>
      <c r="W377" s="3135"/>
      <c r="X377" s="3135"/>
      <c r="Y377" s="3135"/>
      <c r="Z377" s="3135"/>
      <c r="AA377" s="3135"/>
      <c r="AB377" s="3135"/>
      <c r="AC377" s="3135"/>
      <c r="AD377" s="3135"/>
      <c r="AE377" s="3135"/>
      <c r="AF377" s="3135"/>
      <c r="AG377" s="3135"/>
      <c r="AH377" s="1643"/>
      <c r="AI377" s="1643"/>
      <c r="AJ377" s="1643"/>
      <c r="AK377" s="1643"/>
      <c r="AL377" s="1643"/>
      <c r="AN377" s="1000"/>
    </row>
    <row r="378" spans="1:46" s="943" customFormat="1" ht="12.75" customHeight="1">
      <c r="A378" s="1060"/>
      <c r="B378" s="1023"/>
      <c r="C378" s="1638"/>
      <c r="D378" s="1643"/>
      <c r="E378" s="3135"/>
      <c r="F378" s="3135"/>
      <c r="G378" s="3135"/>
      <c r="H378" s="3135"/>
      <c r="I378" s="3135"/>
      <c r="J378" s="3135"/>
      <c r="K378" s="3135"/>
      <c r="L378" s="3135"/>
      <c r="M378" s="3135"/>
      <c r="N378" s="3135"/>
      <c r="O378" s="3135"/>
      <c r="P378" s="3135"/>
      <c r="Q378" s="3135"/>
      <c r="R378" s="3135"/>
      <c r="S378" s="3135"/>
      <c r="T378" s="3135"/>
      <c r="U378" s="3135"/>
      <c r="V378" s="3135"/>
      <c r="W378" s="3135"/>
      <c r="X378" s="3135"/>
      <c r="Y378" s="3135"/>
      <c r="Z378" s="3135"/>
      <c r="AA378" s="3135"/>
      <c r="AB378" s="3135"/>
      <c r="AC378" s="3135"/>
      <c r="AD378" s="3135"/>
      <c r="AE378" s="3135"/>
      <c r="AF378" s="3135"/>
      <c r="AG378" s="3135"/>
      <c r="AH378" s="1643"/>
      <c r="AI378" s="1643"/>
      <c r="AJ378" s="1643"/>
      <c r="AK378" s="1643"/>
      <c r="AL378" s="1643"/>
      <c r="AN378" s="1000"/>
    </row>
    <row r="379" spans="1:46" s="943" customFormat="1" ht="12.75" customHeight="1">
      <c r="A379" s="1060"/>
      <c r="B379" s="1023"/>
      <c r="C379" s="1638"/>
      <c r="D379" s="1643"/>
      <c r="E379" s="3135"/>
      <c r="F379" s="3135"/>
      <c r="G379" s="3135"/>
      <c r="H379" s="3135"/>
      <c r="I379" s="3135"/>
      <c r="J379" s="3135"/>
      <c r="K379" s="3135"/>
      <c r="L379" s="3135"/>
      <c r="M379" s="3135"/>
      <c r="N379" s="3135"/>
      <c r="O379" s="3135"/>
      <c r="P379" s="3135"/>
      <c r="Q379" s="3135"/>
      <c r="R379" s="3135"/>
      <c r="S379" s="3135"/>
      <c r="T379" s="3135"/>
      <c r="U379" s="3135"/>
      <c r="V379" s="3135"/>
      <c r="W379" s="3135"/>
      <c r="X379" s="3135"/>
      <c r="Y379" s="3135"/>
      <c r="Z379" s="3135"/>
      <c r="AA379" s="3135"/>
      <c r="AB379" s="3135"/>
      <c r="AC379" s="3135"/>
      <c r="AD379" s="3135"/>
      <c r="AE379" s="3135"/>
      <c r="AF379" s="3135"/>
      <c r="AG379" s="3135"/>
      <c r="AH379" s="1643"/>
      <c r="AI379" s="1643"/>
      <c r="AJ379" s="1643"/>
      <c r="AK379" s="1643"/>
      <c r="AL379" s="1643"/>
      <c r="AN379" s="1000"/>
    </row>
    <row r="380" spans="1:46" s="943" customFormat="1" ht="12.75" customHeight="1">
      <c r="A380" s="1060"/>
      <c r="B380" s="1023"/>
      <c r="C380" s="1638"/>
      <c r="D380" s="1645"/>
      <c r="E380" s="3135"/>
      <c r="F380" s="3135"/>
      <c r="G380" s="3135"/>
      <c r="H380" s="3135"/>
      <c r="I380" s="3135"/>
      <c r="J380" s="3135"/>
      <c r="K380" s="3135"/>
      <c r="L380" s="3135"/>
      <c r="M380" s="3135"/>
      <c r="N380" s="3135"/>
      <c r="O380" s="3135"/>
      <c r="P380" s="3135"/>
      <c r="Q380" s="3135"/>
      <c r="R380" s="3135"/>
      <c r="S380" s="3135"/>
      <c r="T380" s="3135"/>
      <c r="U380" s="3135"/>
      <c r="V380" s="3135"/>
      <c r="W380" s="3135"/>
      <c r="X380" s="3135"/>
      <c r="Y380" s="3135"/>
      <c r="Z380" s="3135"/>
      <c r="AA380" s="3135"/>
      <c r="AB380" s="3135"/>
      <c r="AC380" s="3135"/>
      <c r="AD380" s="3135"/>
      <c r="AE380" s="3135"/>
      <c r="AF380" s="3135"/>
      <c r="AG380" s="3135"/>
      <c r="AH380" s="1645"/>
      <c r="AI380" s="1645"/>
      <c r="AJ380" s="1645"/>
      <c r="AK380" s="1645"/>
      <c r="AL380" s="1645"/>
      <c r="AN380" s="1000"/>
    </row>
    <row r="381" spans="1:46" s="943" customFormat="1" ht="12.75" customHeight="1">
      <c r="A381" s="1060"/>
      <c r="B381" s="1023"/>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1000"/>
    </row>
    <row r="382" spans="1:46" s="943" customFormat="1" ht="12.75" customHeight="1">
      <c r="A382" s="1071"/>
      <c r="B382" s="1019"/>
      <c r="C382" s="1646"/>
      <c r="D382" s="1019"/>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9"/>
      <c r="AC382" s="1019"/>
      <c r="AD382" s="1019"/>
      <c r="AE382" s="1019"/>
      <c r="AF382" s="1019"/>
      <c r="AG382" s="1019"/>
      <c r="AH382" s="1019"/>
      <c r="AI382" s="959" t="s">
        <v>1682</v>
      </c>
      <c r="AJ382" s="3114">
        <f>VLOOKUP($H$367,$AO$347:$AP$352,2,FALSE)+VLOOKUP($I$375,$AO$374:$AP$376,2,FALSE)</f>
        <v>4</v>
      </c>
      <c r="AK382" s="3116"/>
      <c r="AL382" s="1005"/>
      <c r="AM382" s="1122"/>
      <c r="AN382" s="1000"/>
    </row>
    <row r="383" spans="1:46" s="943" customFormat="1" ht="12.75" customHeight="1">
      <c r="A383" s="1060"/>
      <c r="B383" s="1023"/>
      <c r="C383" s="1638"/>
      <c r="D383" s="1023"/>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3"/>
      <c r="AD383" s="1023"/>
      <c r="AE383" s="1642"/>
      <c r="AF383" s="1642"/>
      <c r="AG383" s="1642"/>
      <c r="AH383" s="1642"/>
      <c r="AI383" s="1642"/>
      <c r="AJ383" s="1642"/>
      <c r="AK383" s="1642"/>
      <c r="AL383" s="1642"/>
      <c r="AM383" s="1122"/>
      <c r="AN383" s="1000"/>
    </row>
    <row r="384" spans="1:46" s="943" customFormat="1" ht="12.75" customHeight="1">
      <c r="A384" s="1060"/>
      <c r="B384" s="1023"/>
      <c r="C384" s="986" t="s">
        <v>1683</v>
      </c>
      <c r="D384" s="1012"/>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55" t="s">
        <v>2192</v>
      </c>
      <c r="F386" s="3155"/>
      <c r="G386" s="3155"/>
      <c r="H386" s="3155"/>
      <c r="I386" s="3155"/>
      <c r="J386" s="3155"/>
      <c r="K386" s="3155"/>
      <c r="L386" s="3155"/>
      <c r="M386" s="3155"/>
      <c r="N386" s="3155"/>
      <c r="O386" s="3155"/>
      <c r="P386" s="3155"/>
      <c r="Q386" s="3155"/>
      <c r="R386" s="3155"/>
      <c r="S386" s="3155"/>
      <c r="T386" s="3155"/>
      <c r="U386" s="3155"/>
      <c r="V386" s="3155"/>
      <c r="W386" s="3155"/>
      <c r="X386" s="3155"/>
      <c r="Y386" s="3155"/>
      <c r="Z386" s="3155"/>
      <c r="AA386" s="3155"/>
      <c r="AB386" s="3155"/>
      <c r="AC386" s="3155"/>
      <c r="AD386" s="3155"/>
      <c r="AE386" s="932"/>
      <c r="AF386" s="3090" t="s">
        <v>1622</v>
      </c>
      <c r="AG386" s="3090"/>
      <c r="AH386" s="3090"/>
      <c r="AI386" s="3090"/>
      <c r="AJ386" s="3090"/>
      <c r="AK386" s="3090"/>
      <c r="AL386" s="3090"/>
      <c r="AM386" s="1026"/>
      <c r="AN386" s="1125"/>
    </row>
    <row r="387" spans="1:42" s="943" customFormat="1" ht="12.75" customHeight="1">
      <c r="A387" s="1126"/>
      <c r="B387" s="1023"/>
      <c r="C387" s="1638"/>
      <c r="D387" s="1106"/>
      <c r="E387" s="3155"/>
      <c r="F387" s="3155"/>
      <c r="G387" s="3155"/>
      <c r="H387" s="3155"/>
      <c r="I387" s="3155"/>
      <c r="J387" s="3155"/>
      <c r="K387" s="3155"/>
      <c r="L387" s="3155"/>
      <c r="M387" s="3155"/>
      <c r="N387" s="3155"/>
      <c r="O387" s="3155"/>
      <c r="P387" s="3155"/>
      <c r="Q387" s="3155"/>
      <c r="R387" s="3155"/>
      <c r="S387" s="3155"/>
      <c r="T387" s="3155"/>
      <c r="U387" s="3155"/>
      <c r="V387" s="3155"/>
      <c r="W387" s="3155"/>
      <c r="X387" s="3155"/>
      <c r="Y387" s="3155"/>
      <c r="Z387" s="3155"/>
      <c r="AA387" s="3155"/>
      <c r="AB387" s="3155"/>
      <c r="AC387" s="3155"/>
      <c r="AD387" s="3155"/>
      <c r="AE387" s="1006"/>
      <c r="AF387" s="1006"/>
      <c r="AG387" s="1006"/>
      <c r="AH387" s="1006"/>
      <c r="AI387" s="1006"/>
      <c r="AJ387" s="1006"/>
      <c r="AK387" s="1006"/>
      <c r="AL387" s="1006"/>
      <c r="AM387" s="1026"/>
      <c r="AN387" s="1000"/>
    </row>
    <row r="388" spans="1:42" s="943" customFormat="1" ht="12.75" customHeight="1">
      <c r="A388" s="1060"/>
      <c r="B388" s="1023"/>
      <c r="C388" s="1639"/>
      <c r="D388" s="1106"/>
      <c r="E388" s="3155"/>
      <c r="F388" s="3155"/>
      <c r="G388" s="3155"/>
      <c r="H388" s="3155"/>
      <c r="I388" s="3155"/>
      <c r="J388" s="3155"/>
      <c r="K388" s="3155"/>
      <c r="L388" s="3155"/>
      <c r="M388" s="3155"/>
      <c r="N388" s="3155"/>
      <c r="O388" s="3155"/>
      <c r="P388" s="3155"/>
      <c r="Q388" s="3155"/>
      <c r="R388" s="3155"/>
      <c r="S388" s="3155"/>
      <c r="T388" s="3155"/>
      <c r="U388" s="3155"/>
      <c r="V388" s="3155"/>
      <c r="W388" s="3155"/>
      <c r="X388" s="3155"/>
      <c r="Y388" s="3155"/>
      <c r="Z388" s="3155"/>
      <c r="AA388" s="3155"/>
      <c r="AB388" s="3155"/>
      <c r="AC388" s="3155"/>
      <c r="AD388" s="3155"/>
      <c r="AE388" s="1006"/>
      <c r="AF388" s="1006"/>
      <c r="AG388" s="1006"/>
      <c r="AH388" s="1006"/>
      <c r="AI388" s="1006"/>
      <c r="AJ388" s="1006"/>
      <c r="AK388" s="1006"/>
      <c r="AL388" s="1006"/>
      <c r="AM388" s="1026"/>
      <c r="AN388" s="1000"/>
    </row>
    <row r="389" spans="1:42" s="943" customFormat="1" ht="12.75" customHeight="1">
      <c r="A389" s="1060"/>
      <c r="B389" s="1023"/>
      <c r="C389" s="1639"/>
      <c r="D389" s="1106"/>
      <c r="E389" s="3155"/>
      <c r="F389" s="3155"/>
      <c r="G389" s="3155"/>
      <c r="H389" s="3155"/>
      <c r="I389" s="3155"/>
      <c r="J389" s="3155"/>
      <c r="K389" s="3155"/>
      <c r="L389" s="3155"/>
      <c r="M389" s="3155"/>
      <c r="N389" s="3155"/>
      <c r="O389" s="3155"/>
      <c r="P389" s="3155"/>
      <c r="Q389" s="3155"/>
      <c r="R389" s="3155"/>
      <c r="S389" s="3155"/>
      <c r="T389" s="3155"/>
      <c r="U389" s="3155"/>
      <c r="V389" s="3155"/>
      <c r="W389" s="3155"/>
      <c r="X389" s="3155"/>
      <c r="Y389" s="3155"/>
      <c r="Z389" s="3155"/>
      <c r="AA389" s="3155"/>
      <c r="AB389" s="3155"/>
      <c r="AC389" s="3155"/>
      <c r="AD389" s="3155"/>
      <c r="AE389" s="1006"/>
      <c r="AF389" s="1006"/>
      <c r="AG389" s="1006"/>
      <c r="AH389" s="1006"/>
      <c r="AI389" s="1006"/>
      <c r="AJ389" s="1006"/>
      <c r="AK389" s="1006"/>
      <c r="AL389" s="1006"/>
      <c r="AM389" s="1026"/>
      <c r="AN389" s="1000"/>
    </row>
    <row r="390" spans="1:42" s="943" customFormat="1" ht="12.75" customHeight="1">
      <c r="A390" s="1060"/>
      <c r="B390" s="1023"/>
      <c r="C390" s="1639"/>
      <c r="D390" s="1106"/>
      <c r="E390" s="3155"/>
      <c r="F390" s="3155"/>
      <c r="G390" s="3155"/>
      <c r="H390" s="3155"/>
      <c r="I390" s="3155"/>
      <c r="J390" s="3155"/>
      <c r="K390" s="3155"/>
      <c r="L390" s="3155"/>
      <c r="M390" s="3155"/>
      <c r="N390" s="3155"/>
      <c r="O390" s="3155"/>
      <c r="P390" s="3155"/>
      <c r="Q390" s="3155"/>
      <c r="R390" s="3155"/>
      <c r="S390" s="3155"/>
      <c r="T390" s="3155"/>
      <c r="U390" s="3155"/>
      <c r="V390" s="3155"/>
      <c r="W390" s="3155"/>
      <c r="X390" s="3155"/>
      <c r="Y390" s="3155"/>
      <c r="Z390" s="3155"/>
      <c r="AA390" s="3155"/>
      <c r="AB390" s="3155"/>
      <c r="AC390" s="3155"/>
      <c r="AD390" s="3155"/>
      <c r="AE390" s="1006"/>
      <c r="AF390" s="1006"/>
      <c r="AG390" s="1006"/>
      <c r="AH390" s="1006"/>
      <c r="AI390" s="1006"/>
      <c r="AJ390" s="1006"/>
      <c r="AK390" s="1006"/>
      <c r="AL390" s="1006"/>
      <c r="AM390" s="1026"/>
      <c r="AN390" s="1000"/>
    </row>
    <row r="391" spans="1:42" s="943" customFormat="1" ht="12.75" customHeight="1">
      <c r="A391" s="1060"/>
      <c r="B391" s="1023"/>
      <c r="C391" s="1639"/>
      <c r="D391" s="1106"/>
      <c r="E391" s="3155"/>
      <c r="F391" s="3155"/>
      <c r="G391" s="3155"/>
      <c r="H391" s="3155"/>
      <c r="I391" s="3155"/>
      <c r="J391" s="3155"/>
      <c r="K391" s="3155"/>
      <c r="L391" s="3155"/>
      <c r="M391" s="3155"/>
      <c r="N391" s="3155"/>
      <c r="O391" s="3155"/>
      <c r="P391" s="3155"/>
      <c r="Q391" s="3155"/>
      <c r="R391" s="3155"/>
      <c r="S391" s="3155"/>
      <c r="T391" s="3155"/>
      <c r="U391" s="3155"/>
      <c r="V391" s="3155"/>
      <c r="W391" s="3155"/>
      <c r="X391" s="3155"/>
      <c r="Y391" s="3155"/>
      <c r="Z391" s="3155"/>
      <c r="AA391" s="3155"/>
      <c r="AB391" s="3155"/>
      <c r="AC391" s="3155"/>
      <c r="AD391" s="3155"/>
      <c r="AE391" s="1006"/>
      <c r="AF391" s="1006"/>
      <c r="AG391" s="1006"/>
      <c r="AH391" s="1006"/>
      <c r="AI391" s="1006"/>
      <c r="AJ391" s="1006"/>
      <c r="AK391" s="1006"/>
      <c r="AL391" s="1006"/>
      <c r="AM391" s="1026"/>
      <c r="AN391" s="1000"/>
    </row>
    <row r="392" spans="1:42" s="943" customFormat="1" ht="12.75" customHeight="1">
      <c r="A392" s="1119"/>
      <c r="B392" s="1035"/>
      <c r="C392" s="1648"/>
      <c r="D392" s="1106"/>
      <c r="E392" s="3155"/>
      <c r="F392" s="3155"/>
      <c r="G392" s="3155"/>
      <c r="H392" s="3155"/>
      <c r="I392" s="3155"/>
      <c r="J392" s="3155"/>
      <c r="K392" s="3155"/>
      <c r="L392" s="3155"/>
      <c r="M392" s="3155"/>
      <c r="N392" s="3155"/>
      <c r="O392" s="3155"/>
      <c r="P392" s="3155"/>
      <c r="Q392" s="3155"/>
      <c r="R392" s="3155"/>
      <c r="S392" s="3155"/>
      <c r="T392" s="3155"/>
      <c r="U392" s="3155"/>
      <c r="V392" s="3155"/>
      <c r="W392" s="3155"/>
      <c r="X392" s="3155"/>
      <c r="Y392" s="3155"/>
      <c r="Z392" s="3155"/>
      <c r="AA392" s="3155"/>
      <c r="AB392" s="3155"/>
      <c r="AC392" s="3155"/>
      <c r="AD392" s="3155"/>
      <c r="AE392" s="1035"/>
      <c r="AF392" s="1035"/>
      <c r="AG392" s="1035"/>
      <c r="AH392" s="1035"/>
      <c r="AI392" s="1035"/>
      <c r="AJ392" s="1035"/>
      <c r="AK392" s="1006"/>
      <c r="AL392" s="1006"/>
      <c r="AM392" s="1026"/>
      <c r="AN392" s="1000"/>
    </row>
    <row r="393" spans="1:42" s="943" customFormat="1" ht="12.75" customHeight="1">
      <c r="A393" s="1060"/>
      <c r="B393" s="1035"/>
      <c r="C393" s="1648"/>
      <c r="D393" s="1106"/>
      <c r="E393" s="3155"/>
      <c r="F393" s="3155"/>
      <c r="G393" s="3155"/>
      <c r="H393" s="3155"/>
      <c r="I393" s="3155"/>
      <c r="J393" s="3155"/>
      <c r="K393" s="3155"/>
      <c r="L393" s="3155"/>
      <c r="M393" s="3155"/>
      <c r="N393" s="3155"/>
      <c r="O393" s="3155"/>
      <c r="P393" s="3155"/>
      <c r="Q393" s="3155"/>
      <c r="R393" s="3155"/>
      <c r="S393" s="3155"/>
      <c r="T393" s="3155"/>
      <c r="U393" s="3155"/>
      <c r="V393" s="3155"/>
      <c r="W393" s="3155"/>
      <c r="X393" s="3155"/>
      <c r="Y393" s="3155"/>
      <c r="Z393" s="3155"/>
      <c r="AA393" s="3155"/>
      <c r="AB393" s="3155"/>
      <c r="AC393" s="3155"/>
      <c r="AD393" s="3155"/>
      <c r="AE393" s="1035"/>
      <c r="AF393" s="1035"/>
      <c r="AG393" s="1035"/>
      <c r="AH393" s="1035"/>
      <c r="AI393" s="1035"/>
      <c r="AJ393" s="1035"/>
      <c r="AK393" s="1006"/>
      <c r="AL393" s="1006"/>
      <c r="AM393" s="1026"/>
      <c r="AN393" s="1000"/>
    </row>
    <row r="394" spans="1:42" s="943" customFormat="1" ht="12" customHeight="1">
      <c r="A394" s="1060"/>
      <c r="B394" s="1035"/>
      <c r="C394" s="1648"/>
      <c r="D394" s="1106"/>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6"/>
      <c r="D395" s="1106"/>
      <c r="E395" s="1035" t="s">
        <v>1684</v>
      </c>
      <c r="F395" s="1649"/>
      <c r="G395" s="1649"/>
      <c r="H395" s="1649"/>
      <c r="I395" s="1649"/>
      <c r="J395" s="1649"/>
      <c r="K395" s="1649"/>
      <c r="L395" s="1649"/>
      <c r="M395" s="1649"/>
      <c r="N395" s="1649"/>
      <c r="O395" s="1649"/>
      <c r="P395" s="1649"/>
      <c r="Q395" s="1649"/>
      <c r="R395" s="1649"/>
      <c r="U395" s="1649"/>
      <c r="V395" s="1649"/>
      <c r="W395" s="1649"/>
      <c r="X395" s="3108" t="s">
        <v>625</v>
      </c>
      <c r="Y395" s="3108"/>
      <c r="Z395" s="1649"/>
      <c r="AA395" s="1649"/>
      <c r="AB395" s="1649"/>
      <c r="AC395" s="1649"/>
      <c r="AD395" s="1649"/>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8"/>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6"/>
      <c r="D397" s="1106" t="s">
        <v>541</v>
      </c>
      <c r="E397" s="948" t="s">
        <v>1685</v>
      </c>
      <c r="F397" s="1650"/>
      <c r="G397" s="1650"/>
      <c r="H397" s="1650"/>
      <c r="I397" s="1650"/>
      <c r="J397" s="1650"/>
      <c r="K397" s="1650"/>
      <c r="L397" s="1650"/>
      <c r="M397" s="1650"/>
      <c r="N397" s="1650"/>
      <c r="O397" s="1650"/>
      <c r="P397" s="1650"/>
      <c r="Q397" s="1650"/>
      <c r="R397" s="1650"/>
      <c r="S397" s="1650"/>
      <c r="T397" s="1650"/>
      <c r="U397" s="927"/>
      <c r="V397" s="927"/>
      <c r="W397" s="1650"/>
      <c r="X397" s="1650"/>
      <c r="Y397" s="1650"/>
      <c r="Z397" s="1650"/>
      <c r="AA397" s="1650"/>
      <c r="AB397" s="1650"/>
      <c r="AC397" s="927"/>
      <c r="AD397" s="927"/>
      <c r="AE397" s="927"/>
      <c r="AF397" s="3090" t="s">
        <v>1686</v>
      </c>
      <c r="AG397" s="3090"/>
      <c r="AH397" s="3090"/>
      <c r="AI397" s="3090"/>
      <c r="AJ397" s="3090"/>
      <c r="AK397" s="3090"/>
      <c r="AL397" s="3090"/>
      <c r="AM397" s="1026"/>
      <c r="AN397" s="1000"/>
      <c r="AO397" s="1118" t="s">
        <v>284</v>
      </c>
      <c r="AP397" s="943">
        <v>3</v>
      </c>
    </row>
    <row r="398" spans="1:42" s="1002" customFormat="1" ht="12.75" customHeight="1">
      <c r="A398" s="1060"/>
      <c r="B398" s="1006"/>
      <c r="C398" s="1636"/>
      <c r="D398" s="1023"/>
      <c r="E398" s="930"/>
      <c r="F398" s="1650"/>
      <c r="G398" s="1650"/>
      <c r="H398" s="1650"/>
      <c r="I398" s="1650"/>
      <c r="J398" s="1650"/>
      <c r="K398" s="1650"/>
      <c r="L398" s="1650"/>
      <c r="M398" s="1650"/>
      <c r="N398" s="1650"/>
      <c r="O398" s="1650"/>
      <c r="P398" s="1650"/>
      <c r="Q398" s="1650"/>
      <c r="R398" s="1650"/>
      <c r="S398" s="1650"/>
      <c r="T398" s="1650"/>
      <c r="U398" s="927"/>
      <c r="V398" s="930"/>
      <c r="W398" s="930"/>
      <c r="X398" s="1650"/>
      <c r="Y398" s="1650"/>
      <c r="Z398" s="1650"/>
      <c r="AA398" s="1650"/>
      <c r="AB398" s="1650"/>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6"/>
      <c r="D399" s="1023" t="s">
        <v>1678</v>
      </c>
      <c r="E399" s="1642"/>
      <c r="F399" s="1642"/>
      <c r="G399" s="1642"/>
      <c r="H399" s="3154" t="s">
        <v>724</v>
      </c>
      <c r="I399" s="3154"/>
      <c r="J399" s="1650"/>
      <c r="K399" s="1650"/>
      <c r="L399" s="1650"/>
      <c r="M399" s="1650"/>
      <c r="N399" s="1650"/>
      <c r="O399" s="1650"/>
      <c r="P399" s="1650"/>
      <c r="Q399" s="1650"/>
      <c r="R399" s="1650"/>
      <c r="S399" s="1650"/>
      <c r="T399" s="1650"/>
      <c r="U399" s="1642"/>
      <c r="V399" s="1642"/>
      <c r="W399" s="1642"/>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6"/>
      <c r="D400" s="927"/>
      <c r="E400" s="1642"/>
      <c r="F400" s="1650"/>
      <c r="G400" s="1650"/>
      <c r="H400" s="1650"/>
      <c r="I400" s="1651"/>
      <c r="J400" s="1650"/>
      <c r="K400" s="1650"/>
      <c r="L400" s="1650"/>
      <c r="M400" s="1650"/>
      <c r="N400" s="1650"/>
      <c r="O400" s="1650"/>
      <c r="P400" s="1650"/>
      <c r="Q400" s="1650"/>
      <c r="R400" s="927"/>
      <c r="S400" s="927"/>
      <c r="T400" s="1650"/>
      <c r="U400" s="1642"/>
      <c r="V400" s="1642"/>
      <c r="W400" s="1642"/>
      <c r="X400" s="1642"/>
      <c r="Y400" s="1642"/>
      <c r="Z400" s="1642"/>
      <c r="AA400" s="1642"/>
      <c r="AB400" s="1642"/>
      <c r="AC400" s="1023"/>
      <c r="AD400" s="1023"/>
      <c r="AE400" s="1023"/>
      <c r="AF400" s="1023"/>
      <c r="AG400" s="1023"/>
      <c r="AH400" s="1023"/>
      <c r="AI400" s="1650"/>
      <c r="AJ400" s="1650"/>
      <c r="AK400" s="1650"/>
      <c r="AL400" s="1650"/>
      <c r="AM400" s="1129"/>
      <c r="AN400" s="1000"/>
      <c r="AO400" s="1118" t="s">
        <v>1687</v>
      </c>
      <c r="AP400" s="943">
        <v>2</v>
      </c>
    </row>
    <row r="401" spans="1:42" s="943" customFormat="1" ht="12.75" customHeight="1">
      <c r="A401" s="1071"/>
      <c r="B401" s="1009"/>
      <c r="C401" s="1652"/>
      <c r="D401" s="1019"/>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9"/>
      <c r="AC401" s="1019"/>
      <c r="AD401" s="1019"/>
      <c r="AE401" s="1019"/>
      <c r="AF401" s="1019"/>
      <c r="AG401" s="1019"/>
      <c r="AH401" s="1019"/>
      <c r="AI401" s="959" t="s">
        <v>1688</v>
      </c>
      <c r="AJ401" s="3114">
        <f>VLOOKUP($H$399,$AO$366:$AP$368,2,FALSE)</f>
        <v>3</v>
      </c>
      <c r="AK401" s="3116"/>
      <c r="AL401" s="1005"/>
      <c r="AM401" s="1002"/>
      <c r="AN401" s="1000"/>
      <c r="AO401" s="1118" t="s">
        <v>1689</v>
      </c>
      <c r="AP401" s="943">
        <v>1</v>
      </c>
    </row>
    <row r="402" spans="1:42" s="943" customFormat="1" ht="12.75" customHeight="1">
      <c r="A402" s="1060"/>
      <c r="B402" s="1006"/>
      <c r="C402" s="1636"/>
      <c r="D402" s="1023"/>
      <c r="E402" s="1642"/>
      <c r="F402" s="1642"/>
      <c r="G402" s="1642"/>
      <c r="H402" s="1023"/>
      <c r="I402" s="1023"/>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3"/>
      <c r="AD402" s="1023"/>
      <c r="AE402" s="1023"/>
      <c r="AF402" s="1023"/>
      <c r="AG402" s="1023"/>
      <c r="AH402" s="1023"/>
      <c r="AI402" s="1023"/>
      <c r="AJ402" s="1593"/>
      <c r="AK402" s="1023"/>
      <c r="AL402" s="1023"/>
      <c r="AM402" s="1060"/>
      <c r="AN402" s="1000"/>
    </row>
    <row r="403" spans="1:42" s="943" customFormat="1" ht="12.75" customHeight="1">
      <c r="A403" s="1060"/>
      <c r="B403" s="1006"/>
      <c r="C403" s="986" t="s">
        <v>1690</v>
      </c>
      <c r="D403" s="1023"/>
      <c r="E403" s="1642"/>
      <c r="F403" s="1650"/>
      <c r="G403" s="1650"/>
      <c r="H403" s="1650"/>
      <c r="I403" s="1650"/>
      <c r="J403" s="1650"/>
      <c r="K403" s="1650"/>
      <c r="L403" s="1650"/>
      <c r="M403" s="1650"/>
      <c r="N403" s="1650"/>
      <c r="O403" s="1650"/>
      <c r="P403" s="1650"/>
      <c r="Q403" s="1650"/>
      <c r="R403" s="1650"/>
      <c r="S403" s="1650"/>
      <c r="T403" s="1650"/>
      <c r="U403" s="991"/>
      <c r="V403" s="991"/>
      <c r="W403" s="1650"/>
      <c r="X403" s="1650"/>
      <c r="Y403" s="1650"/>
      <c r="Z403" s="1650"/>
      <c r="AA403" s="1650"/>
      <c r="AB403" s="1650"/>
      <c r="AC403" s="1595"/>
      <c r="AD403" s="1595"/>
      <c r="AE403" s="1595"/>
      <c r="AF403" s="1595"/>
      <c r="AG403" s="1595"/>
      <c r="AH403" s="1595"/>
      <c r="AI403" s="1595"/>
      <c r="AJ403" s="991"/>
      <c r="AK403" s="1006"/>
      <c r="AL403" s="1006"/>
      <c r="AM403" s="1026"/>
      <c r="AN403" s="1000"/>
    </row>
    <row r="404" spans="1:42" s="943" customFormat="1" ht="12.75" customHeight="1">
      <c r="A404" s="1119"/>
      <c r="B404" s="1023"/>
      <c r="C404" s="1638"/>
      <c r="D404" s="1023"/>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1691</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7"/>
      <c r="AD405" s="927"/>
      <c r="AE405" s="927"/>
      <c r="AF405" s="3090" t="s">
        <v>1622</v>
      </c>
      <c r="AG405" s="3090"/>
      <c r="AH405" s="3090"/>
      <c r="AI405" s="3090"/>
      <c r="AJ405" s="3090"/>
      <c r="AK405" s="3090"/>
      <c r="AL405" s="3090"/>
      <c r="AM405" s="1026"/>
      <c r="AN405" s="1000"/>
    </row>
    <row r="406" spans="1:42" s="943" customFormat="1" ht="12.75" customHeight="1">
      <c r="A406" s="1060"/>
      <c r="B406" s="927"/>
      <c r="C406" s="927"/>
      <c r="D406" s="1106"/>
      <c r="E406" s="1035" t="s">
        <v>1692</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7"/>
      <c r="AD406" s="927"/>
      <c r="AE406" s="1595"/>
      <c r="AF406" s="1595"/>
      <c r="AG406" s="1595"/>
      <c r="AH406" s="1595"/>
      <c r="AI406" s="1595"/>
      <c r="AJ406" s="1595"/>
      <c r="AK406" s="1595"/>
      <c r="AL406" s="1595"/>
      <c r="AM406" s="1026"/>
      <c r="AN406" s="1000"/>
    </row>
    <row r="407" spans="1:42" s="943" customFormat="1" ht="12.75" customHeight="1">
      <c r="A407" s="1060"/>
      <c r="B407" s="1035"/>
      <c r="C407" s="1648"/>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6"/>
      <c r="D408" s="1106" t="s">
        <v>541</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90" t="s">
        <v>1686</v>
      </c>
      <c r="AG408" s="3090"/>
      <c r="AH408" s="3090"/>
      <c r="AI408" s="3090"/>
      <c r="AJ408" s="3090"/>
      <c r="AK408" s="3090"/>
      <c r="AL408" s="3090"/>
      <c r="AM408" s="1026"/>
      <c r="AN408" s="1000"/>
    </row>
    <row r="409" spans="1:42" s="943" customFormat="1" ht="12.75" customHeight="1">
      <c r="A409" s="1060"/>
      <c r="B409" s="1006"/>
      <c r="C409" s="1636"/>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5"/>
      <c r="AF409" s="1595"/>
      <c r="AG409" s="1595"/>
      <c r="AH409" s="1595"/>
      <c r="AI409" s="1595"/>
      <c r="AJ409" s="1595"/>
      <c r="AK409" s="1595"/>
      <c r="AL409" s="1595"/>
      <c r="AM409" s="1026"/>
      <c r="AN409" s="1000"/>
    </row>
    <row r="410" spans="1:42" s="1002" customFormat="1" ht="12.75" customHeight="1">
      <c r="A410" s="1060"/>
      <c r="B410" s="1006"/>
      <c r="C410" s="1636"/>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6"/>
      <c r="D411" s="1023" t="s">
        <v>1678</v>
      </c>
      <c r="E411" s="1642"/>
      <c r="F411" s="1642"/>
      <c r="G411" s="1642"/>
      <c r="H411" s="3154" t="s">
        <v>724</v>
      </c>
      <c r="I411" s="3154"/>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6"/>
      <c r="D412" s="1023"/>
      <c r="E412" s="1642"/>
      <c r="F412" s="1642"/>
      <c r="G412" s="1035"/>
      <c r="H412" s="1035"/>
      <c r="I412" s="1035"/>
      <c r="J412" s="1035"/>
      <c r="K412" s="1035"/>
      <c r="L412" s="1035"/>
      <c r="M412" s="1035"/>
      <c r="N412" s="1035"/>
      <c r="O412" s="1035"/>
      <c r="P412" s="1035"/>
      <c r="Q412" s="1035"/>
      <c r="R412" s="1035"/>
      <c r="S412" s="1035"/>
      <c r="T412" s="1035"/>
      <c r="U412" s="1035"/>
      <c r="V412" s="1035"/>
      <c r="W412" s="1035"/>
      <c r="X412" s="1035"/>
      <c r="Y412" s="1035"/>
      <c r="Z412" s="1642"/>
      <c r="AA412" s="1642"/>
      <c r="AB412" s="1642"/>
      <c r="AC412" s="927"/>
      <c r="AD412" s="927"/>
      <c r="AE412" s="927"/>
      <c r="AF412" s="927"/>
      <c r="AG412" s="927"/>
      <c r="AH412" s="927"/>
      <c r="AI412" s="927"/>
      <c r="AJ412" s="1035"/>
      <c r="AK412" s="1035"/>
      <c r="AL412" s="1035"/>
      <c r="AM412" s="944"/>
      <c r="AN412" s="1000"/>
    </row>
    <row r="413" spans="1:42" s="1002" customFormat="1" ht="12.75" customHeight="1">
      <c r="A413" s="1071"/>
      <c r="B413" s="1009"/>
      <c r="C413" s="1652"/>
      <c r="D413" s="1019"/>
      <c r="E413" s="1647"/>
      <c r="F413" s="1647"/>
      <c r="G413" s="1108"/>
      <c r="H413" s="1108"/>
      <c r="I413" s="1108"/>
      <c r="J413" s="1108"/>
      <c r="K413" s="1108"/>
      <c r="L413" s="1108"/>
      <c r="M413" s="1108"/>
      <c r="N413" s="1108"/>
      <c r="O413" s="1108"/>
      <c r="P413" s="1108"/>
      <c r="Q413" s="1108"/>
      <c r="R413" s="1108"/>
      <c r="S413" s="1108"/>
      <c r="T413" s="1108"/>
      <c r="U413" s="1108"/>
      <c r="V413" s="1108"/>
      <c r="W413" s="1108"/>
      <c r="X413" s="1108"/>
      <c r="Y413" s="1647"/>
      <c r="Z413" s="1647"/>
      <c r="AA413" s="1647"/>
      <c r="AB413" s="1019"/>
      <c r="AC413" s="1019"/>
      <c r="AD413" s="1019"/>
      <c r="AE413" s="1019"/>
      <c r="AF413" s="1019"/>
      <c r="AG413" s="1019"/>
      <c r="AH413" s="1019"/>
      <c r="AI413" s="959" t="s">
        <v>1695</v>
      </c>
      <c r="AJ413" s="3114">
        <f>VLOOKUP(H411,AT366:AU368,2,FALSE)</f>
        <v>3</v>
      </c>
      <c r="AK413" s="3116"/>
      <c r="AL413" s="1005"/>
      <c r="AN413" s="1001"/>
      <c r="AO413" s="1002" t="s">
        <v>625</v>
      </c>
      <c r="AP413" s="1127">
        <v>0</v>
      </c>
    </row>
    <row r="414" spans="1:42" s="943" customFormat="1" ht="12.75" customHeight="1">
      <c r="A414" s="1060"/>
      <c r="B414" s="1006"/>
      <c r="C414" s="1636"/>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135" t="s">
        <v>1698</v>
      </c>
      <c r="F418" s="3135"/>
      <c r="G418" s="3135"/>
      <c r="H418" s="3135"/>
      <c r="I418" s="3135"/>
      <c r="J418" s="3135"/>
      <c r="K418" s="3135"/>
      <c r="L418" s="3135"/>
      <c r="M418" s="3135"/>
      <c r="N418" s="3135"/>
      <c r="O418" s="3135"/>
      <c r="P418" s="3135"/>
      <c r="Q418" s="3135"/>
      <c r="R418" s="3135"/>
      <c r="S418" s="3135"/>
      <c r="T418" s="3135"/>
      <c r="U418" s="3135"/>
      <c r="V418" s="3135"/>
      <c r="W418" s="3135"/>
      <c r="X418" s="3135"/>
      <c r="Y418" s="3135"/>
      <c r="Z418" s="3135"/>
      <c r="AA418" s="3135"/>
      <c r="AB418" s="3135"/>
      <c r="AC418" s="3135"/>
      <c r="AD418" s="927"/>
      <c r="AE418" s="927"/>
      <c r="AF418" s="3090" t="s">
        <v>1648</v>
      </c>
      <c r="AG418" s="3090"/>
      <c r="AH418" s="3090"/>
      <c r="AI418" s="3090"/>
      <c r="AJ418" s="3090"/>
      <c r="AK418" s="3090"/>
      <c r="AL418" s="3090"/>
      <c r="AN418" s="1000"/>
    </row>
    <row r="419" spans="1:42" s="943" customFormat="1" ht="12.75" customHeight="1">
      <c r="B419" s="927"/>
      <c r="C419" s="986"/>
      <c r="D419" s="927"/>
      <c r="E419" s="3135"/>
      <c r="F419" s="3135"/>
      <c r="G419" s="3135"/>
      <c r="H419" s="3135"/>
      <c r="I419" s="3135"/>
      <c r="J419" s="3135"/>
      <c r="K419" s="3135"/>
      <c r="L419" s="3135"/>
      <c r="M419" s="3135"/>
      <c r="N419" s="3135"/>
      <c r="O419" s="3135"/>
      <c r="P419" s="3135"/>
      <c r="Q419" s="3135"/>
      <c r="R419" s="3135"/>
      <c r="S419" s="3135"/>
      <c r="T419" s="3135"/>
      <c r="U419" s="3135"/>
      <c r="V419" s="3135"/>
      <c r="W419" s="3135"/>
      <c r="X419" s="3135"/>
      <c r="Y419" s="3135"/>
      <c r="Z419" s="3135"/>
      <c r="AA419" s="3135"/>
      <c r="AB419" s="3135"/>
      <c r="AC419" s="3135"/>
      <c r="AD419" s="927"/>
      <c r="AE419" s="927"/>
      <c r="AF419" s="927"/>
      <c r="AG419" s="927"/>
      <c r="AH419" s="927"/>
      <c r="AI419" s="927"/>
      <c r="AJ419" s="927"/>
      <c r="AK419" s="927"/>
      <c r="AL419" s="927"/>
      <c r="AN419" s="1000"/>
    </row>
    <row r="420" spans="1:42" s="943" customFormat="1" ht="12.75" customHeight="1">
      <c r="B420" s="927"/>
      <c r="C420" s="986"/>
      <c r="D420" s="1106"/>
      <c r="E420" s="3135"/>
      <c r="F420" s="3135"/>
      <c r="G420" s="3135"/>
      <c r="H420" s="3135"/>
      <c r="I420" s="3135"/>
      <c r="J420" s="3135"/>
      <c r="K420" s="3135"/>
      <c r="L420" s="3135"/>
      <c r="M420" s="3135"/>
      <c r="N420" s="3135"/>
      <c r="O420" s="3135"/>
      <c r="P420" s="3135"/>
      <c r="Q420" s="3135"/>
      <c r="R420" s="3135"/>
      <c r="S420" s="3135"/>
      <c r="T420" s="3135"/>
      <c r="U420" s="3135"/>
      <c r="V420" s="3135"/>
      <c r="W420" s="3135"/>
      <c r="X420" s="3135"/>
      <c r="Y420" s="3135"/>
      <c r="Z420" s="3135"/>
      <c r="AA420" s="3135"/>
      <c r="AB420" s="3135"/>
      <c r="AC420" s="3135"/>
      <c r="AD420" s="927"/>
      <c r="AE420" s="927"/>
      <c r="AF420" s="927"/>
      <c r="AG420" s="927"/>
      <c r="AH420" s="927"/>
      <c r="AI420" s="927"/>
      <c r="AJ420" s="927"/>
      <c r="AK420" s="927"/>
      <c r="AL420" s="927"/>
      <c r="AN420" s="1000"/>
    </row>
    <row r="421" spans="1:42" s="943" customFormat="1" ht="15" customHeight="1">
      <c r="B421" s="927"/>
      <c r="C421" s="986"/>
      <c r="D421" s="927"/>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7"/>
      <c r="AD421" s="927"/>
      <c r="AE421" s="927"/>
      <c r="AF421" s="927"/>
      <c r="AG421" s="927"/>
      <c r="AH421" s="927"/>
      <c r="AI421" s="927"/>
      <c r="AJ421" s="927"/>
      <c r="AK421" s="927"/>
      <c r="AL421" s="927"/>
      <c r="AN421" s="1000"/>
    </row>
    <row r="422" spans="1:42" s="943" customFormat="1" ht="12.75" customHeight="1">
      <c r="B422" s="927"/>
      <c r="C422" s="986"/>
      <c r="D422" s="1106" t="s">
        <v>541</v>
      </c>
      <c r="E422" s="3135" t="s">
        <v>1699</v>
      </c>
      <c r="F422" s="3135"/>
      <c r="G422" s="3135"/>
      <c r="H422" s="3135"/>
      <c r="I422" s="3135"/>
      <c r="J422" s="3135"/>
      <c r="K422" s="3135"/>
      <c r="L422" s="3135"/>
      <c r="M422" s="3135"/>
      <c r="N422" s="3135"/>
      <c r="O422" s="3135"/>
      <c r="P422" s="3135"/>
      <c r="Q422" s="3135"/>
      <c r="R422" s="3135"/>
      <c r="S422" s="3135"/>
      <c r="T422" s="3135"/>
      <c r="U422" s="3135"/>
      <c r="V422" s="3135"/>
      <c r="W422" s="3135"/>
      <c r="X422" s="3135"/>
      <c r="Y422" s="3135"/>
      <c r="Z422" s="3135"/>
      <c r="AA422" s="3135"/>
      <c r="AB422" s="3135"/>
      <c r="AC422" s="3135"/>
      <c r="AD422" s="927"/>
      <c r="AE422" s="927"/>
      <c r="AF422" s="3090" t="s">
        <v>1677</v>
      </c>
      <c r="AG422" s="3090"/>
      <c r="AH422" s="3090"/>
      <c r="AI422" s="3090"/>
      <c r="AJ422" s="3090"/>
      <c r="AK422" s="3090"/>
      <c r="AL422" s="3090"/>
      <c r="AN422" s="1000"/>
    </row>
    <row r="423" spans="1:42" s="943" customFormat="1" ht="12.75" customHeight="1">
      <c r="B423" s="927"/>
      <c r="C423" s="986"/>
      <c r="D423" s="927"/>
      <c r="E423" s="3135"/>
      <c r="F423" s="3135"/>
      <c r="G423" s="3135"/>
      <c r="H423" s="3135"/>
      <c r="I423" s="3135"/>
      <c r="J423" s="3135"/>
      <c r="K423" s="3135"/>
      <c r="L423" s="3135"/>
      <c r="M423" s="3135"/>
      <c r="N423" s="3135"/>
      <c r="O423" s="3135"/>
      <c r="P423" s="3135"/>
      <c r="Q423" s="3135"/>
      <c r="R423" s="3135"/>
      <c r="S423" s="3135"/>
      <c r="T423" s="3135"/>
      <c r="U423" s="3135"/>
      <c r="V423" s="3135"/>
      <c r="W423" s="3135"/>
      <c r="X423" s="3135"/>
      <c r="Y423" s="3135"/>
      <c r="Z423" s="3135"/>
      <c r="AA423" s="3135"/>
      <c r="AB423" s="3135"/>
      <c r="AC423" s="3135"/>
      <c r="AD423" s="927"/>
      <c r="AE423" s="927"/>
      <c r="AF423" s="927"/>
      <c r="AG423" s="927"/>
      <c r="AH423" s="927"/>
      <c r="AI423" s="927"/>
      <c r="AJ423" s="927"/>
      <c r="AK423" s="927"/>
      <c r="AL423" s="927"/>
      <c r="AN423" s="1000"/>
    </row>
    <row r="424" spans="1:42" s="943" customFormat="1" ht="15" customHeight="1">
      <c r="B424" s="927"/>
      <c r="C424" s="986"/>
      <c r="D424" s="1106"/>
      <c r="E424" s="3135"/>
      <c r="F424" s="3135"/>
      <c r="G424" s="3135"/>
      <c r="H424" s="3135"/>
      <c r="I424" s="3135"/>
      <c r="J424" s="3135"/>
      <c r="K424" s="3135"/>
      <c r="L424" s="3135"/>
      <c r="M424" s="3135"/>
      <c r="N424" s="3135"/>
      <c r="O424" s="3135"/>
      <c r="P424" s="3135"/>
      <c r="Q424" s="3135"/>
      <c r="R424" s="3135"/>
      <c r="S424" s="3135"/>
      <c r="T424" s="3135"/>
      <c r="U424" s="3135"/>
      <c r="V424" s="3135"/>
      <c r="W424" s="3135"/>
      <c r="X424" s="3135"/>
      <c r="Y424" s="3135"/>
      <c r="Z424" s="3135"/>
      <c r="AA424" s="3135"/>
      <c r="AB424" s="3135"/>
      <c r="AC424" s="3135"/>
      <c r="AD424" s="927"/>
      <c r="AE424" s="927"/>
      <c r="AF424" s="927"/>
      <c r="AG424" s="927"/>
      <c r="AH424" s="927"/>
      <c r="AI424" s="927"/>
      <c r="AJ424" s="927"/>
      <c r="AK424" s="927"/>
      <c r="AL424" s="927"/>
      <c r="AN424" s="1000"/>
    </row>
    <row r="425" spans="1:42" s="1002" customFormat="1" ht="12.75" customHeight="1">
      <c r="A425" s="943"/>
      <c r="B425" s="927"/>
      <c r="C425" s="986"/>
      <c r="D425" s="927"/>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35" t="s">
        <v>1700</v>
      </c>
      <c r="F426" s="3135"/>
      <c r="G426" s="3135"/>
      <c r="H426" s="3135"/>
      <c r="I426" s="3135"/>
      <c r="J426" s="3135"/>
      <c r="K426" s="3135"/>
      <c r="L426" s="3135"/>
      <c r="M426" s="3135"/>
      <c r="N426" s="3135"/>
      <c r="O426" s="3135"/>
      <c r="P426" s="3135"/>
      <c r="Q426" s="3135"/>
      <c r="R426" s="3135"/>
      <c r="S426" s="3135"/>
      <c r="T426" s="3135"/>
      <c r="U426" s="3135"/>
      <c r="V426" s="3135"/>
      <c r="W426" s="3135"/>
      <c r="X426" s="3135"/>
      <c r="Y426" s="3135"/>
      <c r="Z426" s="3135"/>
      <c r="AA426" s="3135"/>
      <c r="AB426" s="3135"/>
      <c r="AC426" s="3135"/>
      <c r="AD426" s="927"/>
      <c r="AE426" s="927"/>
      <c r="AF426" s="3090" t="s">
        <v>1622</v>
      </c>
      <c r="AG426" s="3090"/>
      <c r="AH426" s="3090"/>
      <c r="AI426" s="3090"/>
      <c r="AJ426" s="3090"/>
      <c r="AK426" s="3090"/>
      <c r="AL426" s="3090"/>
      <c r="AN426" s="1000"/>
    </row>
    <row r="427" spans="1:42" s="943" customFormat="1" ht="12.75" customHeight="1">
      <c r="A427" s="1060"/>
      <c r="B427" s="1023"/>
      <c r="C427" s="1639"/>
      <c r="D427" s="927"/>
      <c r="E427" s="3135"/>
      <c r="F427" s="3135"/>
      <c r="G427" s="3135"/>
      <c r="H427" s="3135"/>
      <c r="I427" s="3135"/>
      <c r="J427" s="3135"/>
      <c r="K427" s="3135"/>
      <c r="L427" s="3135"/>
      <c r="M427" s="3135"/>
      <c r="N427" s="3135"/>
      <c r="O427" s="3135"/>
      <c r="P427" s="3135"/>
      <c r="Q427" s="3135"/>
      <c r="R427" s="3135"/>
      <c r="S427" s="3135"/>
      <c r="T427" s="3135"/>
      <c r="U427" s="3135"/>
      <c r="V427" s="3135"/>
      <c r="W427" s="3135"/>
      <c r="X427" s="3135"/>
      <c r="Y427" s="3135"/>
      <c r="Z427" s="3135"/>
      <c r="AA427" s="3135"/>
      <c r="AB427" s="3135"/>
      <c r="AC427" s="3135"/>
      <c r="AD427" s="927"/>
      <c r="AE427" s="3090"/>
      <c r="AF427" s="3090"/>
      <c r="AG427" s="3090"/>
      <c r="AH427" s="3090"/>
      <c r="AI427" s="3090"/>
      <c r="AJ427" s="3090"/>
      <c r="AK427" s="3090"/>
      <c r="AL427" s="1595"/>
      <c r="AM427" s="1026"/>
      <c r="AN427" s="1000"/>
      <c r="AO427" s="943" t="s">
        <v>625</v>
      </c>
      <c r="AP427" s="1120">
        <v>0</v>
      </c>
    </row>
    <row r="428" spans="1:42" s="943" customFormat="1" ht="12.75" customHeight="1">
      <c r="A428" s="1126"/>
      <c r="B428" s="927"/>
      <c r="C428" s="927"/>
      <c r="D428" s="1106"/>
      <c r="E428" s="3135"/>
      <c r="F428" s="3135"/>
      <c r="G428" s="3135"/>
      <c r="H428" s="3135"/>
      <c r="I428" s="3135"/>
      <c r="J428" s="3135"/>
      <c r="K428" s="3135"/>
      <c r="L428" s="3135"/>
      <c r="M428" s="3135"/>
      <c r="N428" s="3135"/>
      <c r="O428" s="3135"/>
      <c r="P428" s="3135"/>
      <c r="Q428" s="3135"/>
      <c r="R428" s="3135"/>
      <c r="S428" s="3135"/>
      <c r="T428" s="3135"/>
      <c r="U428" s="3135"/>
      <c r="V428" s="3135"/>
      <c r="W428" s="3135"/>
      <c r="X428" s="3135"/>
      <c r="Y428" s="3135"/>
      <c r="Z428" s="3135"/>
      <c r="AA428" s="3135"/>
      <c r="AB428" s="3135"/>
      <c r="AC428" s="3135"/>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39"/>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5"/>
      <c r="D430" s="1106" t="s">
        <v>1675</v>
      </c>
      <c r="E430" s="3135" t="s">
        <v>1701</v>
      </c>
      <c r="F430" s="3135"/>
      <c r="G430" s="3135"/>
      <c r="H430" s="3135"/>
      <c r="I430" s="3135"/>
      <c r="J430" s="3135"/>
      <c r="K430" s="3135"/>
      <c r="L430" s="3135"/>
      <c r="M430" s="3135"/>
      <c r="N430" s="3135"/>
      <c r="O430" s="3135"/>
      <c r="P430" s="3135"/>
      <c r="Q430" s="3135"/>
      <c r="R430" s="3135"/>
      <c r="S430" s="3135"/>
      <c r="T430" s="3135"/>
      <c r="U430" s="3135"/>
      <c r="V430" s="3135"/>
      <c r="W430" s="3135"/>
      <c r="X430" s="3135"/>
      <c r="Y430" s="3135"/>
      <c r="Z430" s="3135"/>
      <c r="AA430" s="3135"/>
      <c r="AB430" s="3135"/>
      <c r="AC430" s="3135"/>
      <c r="AD430" s="927"/>
      <c r="AE430" s="927"/>
      <c r="AF430" s="3090" t="s">
        <v>1677</v>
      </c>
      <c r="AG430" s="3090"/>
      <c r="AH430" s="3090"/>
      <c r="AI430" s="3090"/>
      <c r="AJ430" s="3090"/>
      <c r="AK430" s="3090"/>
      <c r="AL430" s="3090"/>
      <c r="AN430" s="1000"/>
    </row>
    <row r="431" spans="1:42" s="943" customFormat="1" ht="12.75" customHeight="1">
      <c r="A431" s="1115"/>
      <c r="B431" s="1023"/>
      <c r="C431" s="1655"/>
      <c r="D431" s="1106"/>
      <c r="E431" s="3135"/>
      <c r="F431" s="3135"/>
      <c r="G431" s="3135"/>
      <c r="H431" s="3135"/>
      <c r="I431" s="3135"/>
      <c r="J431" s="3135"/>
      <c r="K431" s="3135"/>
      <c r="L431" s="3135"/>
      <c r="M431" s="3135"/>
      <c r="N431" s="3135"/>
      <c r="O431" s="3135"/>
      <c r="P431" s="3135"/>
      <c r="Q431" s="3135"/>
      <c r="R431" s="3135"/>
      <c r="S431" s="3135"/>
      <c r="T431" s="3135"/>
      <c r="U431" s="3135"/>
      <c r="V431" s="3135"/>
      <c r="W431" s="3135"/>
      <c r="X431" s="3135"/>
      <c r="Y431" s="3135"/>
      <c r="Z431" s="3135"/>
      <c r="AA431" s="3135"/>
      <c r="AB431" s="3135"/>
      <c r="AC431" s="3135"/>
      <c r="AD431" s="927"/>
      <c r="AE431" s="1595"/>
      <c r="AF431" s="1595"/>
      <c r="AG431" s="1595"/>
      <c r="AH431" s="1595"/>
      <c r="AI431" s="1595"/>
      <c r="AJ431" s="1595"/>
      <c r="AK431" s="1595"/>
      <c r="AL431" s="1595"/>
      <c r="AM431" s="1065"/>
      <c r="AN431" s="1000"/>
    </row>
    <row r="432" spans="1:42" s="943" customFormat="1" ht="12.75" customHeight="1">
      <c r="A432" s="1115"/>
      <c r="B432" s="1023"/>
      <c r="C432" s="1655"/>
      <c r="D432" s="1106"/>
      <c r="E432" s="3135"/>
      <c r="F432" s="3135"/>
      <c r="G432" s="3135"/>
      <c r="H432" s="3135"/>
      <c r="I432" s="3135"/>
      <c r="J432" s="3135"/>
      <c r="K432" s="3135"/>
      <c r="L432" s="3135"/>
      <c r="M432" s="3135"/>
      <c r="N432" s="3135"/>
      <c r="O432" s="3135"/>
      <c r="P432" s="3135"/>
      <c r="Q432" s="3135"/>
      <c r="R432" s="3135"/>
      <c r="S432" s="3135"/>
      <c r="T432" s="3135"/>
      <c r="U432" s="3135"/>
      <c r="V432" s="3135"/>
      <c r="W432" s="3135"/>
      <c r="X432" s="3135"/>
      <c r="Y432" s="3135"/>
      <c r="Z432" s="3135"/>
      <c r="AA432" s="3135"/>
      <c r="AB432" s="3135"/>
      <c r="AC432" s="3135"/>
      <c r="AD432" s="927"/>
      <c r="AE432" s="1595"/>
      <c r="AF432" s="1595"/>
      <c r="AG432" s="1595"/>
      <c r="AH432" s="1595"/>
      <c r="AI432" s="1595"/>
      <c r="AJ432" s="1595"/>
      <c r="AK432" s="1595"/>
      <c r="AL432" s="1595"/>
      <c r="AM432" s="1065"/>
      <c r="AN432" s="1000"/>
    </row>
    <row r="433" spans="1:42" s="943" customFormat="1" ht="12.75" customHeight="1">
      <c r="A433" s="1060"/>
      <c r="B433" s="1006"/>
      <c r="C433" s="1636"/>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5"/>
      <c r="AM433" s="1065"/>
      <c r="AN433" s="1000"/>
    </row>
    <row r="434" spans="1:42" s="943" customFormat="1" ht="12.75" customHeight="1">
      <c r="A434" s="1060"/>
      <c r="B434" s="1023"/>
      <c r="C434" s="1639"/>
      <c r="D434" s="1106" t="s">
        <v>1676</v>
      </c>
      <c r="E434" s="3135" t="s">
        <v>1702</v>
      </c>
      <c r="F434" s="3135"/>
      <c r="G434" s="3135"/>
      <c r="H434" s="3135"/>
      <c r="I434" s="3135"/>
      <c r="J434" s="3135"/>
      <c r="K434" s="3135"/>
      <c r="L434" s="3135"/>
      <c r="M434" s="3135"/>
      <c r="N434" s="3135"/>
      <c r="O434" s="3135"/>
      <c r="P434" s="3135"/>
      <c r="Q434" s="3135"/>
      <c r="R434" s="3135"/>
      <c r="S434" s="3135"/>
      <c r="T434" s="3135"/>
      <c r="U434" s="3135"/>
      <c r="V434" s="3135"/>
      <c r="W434" s="3135"/>
      <c r="X434" s="3135"/>
      <c r="Y434" s="3135"/>
      <c r="Z434" s="3135"/>
      <c r="AA434" s="3135"/>
      <c r="AB434" s="3135"/>
      <c r="AC434" s="3135"/>
      <c r="AD434" s="927"/>
      <c r="AE434" s="927"/>
      <c r="AF434" s="3090" t="s">
        <v>1622</v>
      </c>
      <c r="AG434" s="3090"/>
      <c r="AH434" s="3090"/>
      <c r="AI434" s="3090"/>
      <c r="AJ434" s="3090"/>
      <c r="AK434" s="3090"/>
      <c r="AL434" s="3090"/>
      <c r="AM434" s="1065"/>
      <c r="AN434" s="1000"/>
    </row>
    <row r="435" spans="1:42" s="943" customFormat="1" ht="12.75" customHeight="1">
      <c r="A435" s="1060"/>
      <c r="B435" s="1023"/>
      <c r="C435" s="1639"/>
      <c r="D435" s="1106"/>
      <c r="E435" s="3135"/>
      <c r="F435" s="3135"/>
      <c r="G435" s="3135"/>
      <c r="H435" s="3135"/>
      <c r="I435" s="3135"/>
      <c r="J435" s="3135"/>
      <c r="K435" s="3135"/>
      <c r="L435" s="3135"/>
      <c r="M435" s="3135"/>
      <c r="N435" s="3135"/>
      <c r="O435" s="3135"/>
      <c r="P435" s="3135"/>
      <c r="Q435" s="3135"/>
      <c r="R435" s="3135"/>
      <c r="S435" s="3135"/>
      <c r="T435" s="3135"/>
      <c r="U435" s="3135"/>
      <c r="V435" s="3135"/>
      <c r="W435" s="3135"/>
      <c r="X435" s="3135"/>
      <c r="Y435" s="3135"/>
      <c r="Z435" s="3135"/>
      <c r="AA435" s="3135"/>
      <c r="AB435" s="3135"/>
      <c r="AC435" s="3135"/>
      <c r="AD435" s="927"/>
      <c r="AE435" s="1006"/>
      <c r="AF435" s="1006"/>
      <c r="AG435" s="927"/>
      <c r="AH435" s="1006"/>
      <c r="AI435" s="1006"/>
      <c r="AJ435" s="1006"/>
      <c r="AK435" s="1006"/>
      <c r="AL435" s="1006"/>
      <c r="AM435" s="1065"/>
      <c r="AN435" s="1000"/>
    </row>
    <row r="436" spans="1:42" s="943" customFormat="1" ht="12.75" customHeight="1">
      <c r="A436" s="1060"/>
      <c r="B436" s="1023"/>
      <c r="C436" s="1639"/>
      <c r="D436" s="1106"/>
      <c r="E436" s="3135"/>
      <c r="F436" s="3135"/>
      <c r="G436" s="3135"/>
      <c r="H436" s="3135"/>
      <c r="I436" s="3135"/>
      <c r="J436" s="3135"/>
      <c r="K436" s="3135"/>
      <c r="L436" s="3135"/>
      <c r="M436" s="3135"/>
      <c r="N436" s="3135"/>
      <c r="O436" s="3135"/>
      <c r="P436" s="3135"/>
      <c r="Q436" s="3135"/>
      <c r="R436" s="3135"/>
      <c r="S436" s="3135"/>
      <c r="T436" s="3135"/>
      <c r="U436" s="3135"/>
      <c r="V436" s="3135"/>
      <c r="W436" s="3135"/>
      <c r="X436" s="3135"/>
      <c r="Y436" s="3135"/>
      <c r="Z436" s="3135"/>
      <c r="AA436" s="3135"/>
      <c r="AB436" s="3135"/>
      <c r="AC436" s="3135"/>
      <c r="AD436" s="927"/>
      <c r="AE436" s="1006"/>
      <c r="AF436" s="1006"/>
      <c r="AG436" s="927"/>
      <c r="AH436" s="1006"/>
      <c r="AI436" s="1006"/>
      <c r="AJ436" s="1006"/>
      <c r="AK436" s="1006"/>
      <c r="AL436" s="1006"/>
      <c r="AM436" s="1065"/>
      <c r="AN436" s="1000"/>
    </row>
    <row r="437" spans="1:42" s="1002" customFormat="1" ht="12.75" customHeight="1">
      <c r="A437" s="1060"/>
      <c r="B437" s="927"/>
      <c r="C437" s="1656"/>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6"/>
      <c r="D438" s="1106" t="s">
        <v>1687</v>
      </c>
      <c r="E438" s="3135" t="s">
        <v>1703</v>
      </c>
      <c r="F438" s="3135"/>
      <c r="G438" s="3135"/>
      <c r="H438" s="3135"/>
      <c r="I438" s="3135"/>
      <c r="J438" s="3135"/>
      <c r="K438" s="3135"/>
      <c r="L438" s="3135"/>
      <c r="M438" s="3135"/>
      <c r="N438" s="3135"/>
      <c r="O438" s="3135"/>
      <c r="P438" s="3135"/>
      <c r="Q438" s="3135"/>
      <c r="R438" s="3135"/>
      <c r="S438" s="3135"/>
      <c r="T438" s="3135"/>
      <c r="U438" s="3135"/>
      <c r="V438" s="3135"/>
      <c r="W438" s="3135"/>
      <c r="X438" s="3135"/>
      <c r="Y438" s="3135"/>
      <c r="Z438" s="3135"/>
      <c r="AA438" s="3135"/>
      <c r="AB438" s="3135"/>
      <c r="AC438" s="3135"/>
      <c r="AD438" s="927"/>
      <c r="AE438" s="927"/>
      <c r="AF438" s="3090" t="s">
        <v>1686</v>
      </c>
      <c r="AG438" s="3090"/>
      <c r="AH438" s="3090"/>
      <c r="AI438" s="3090"/>
      <c r="AJ438" s="3090"/>
      <c r="AK438" s="3090"/>
      <c r="AL438" s="3090"/>
      <c r="AM438" s="1065"/>
      <c r="AN438" s="1000"/>
    </row>
    <row r="439" spans="1:42" s="943" customFormat="1" ht="12.75" customHeight="1">
      <c r="A439" s="1598"/>
      <c r="B439" s="1006"/>
      <c r="C439" s="1636"/>
      <c r="D439" s="1106"/>
      <c r="E439" s="3135"/>
      <c r="F439" s="3135"/>
      <c r="G439" s="3135"/>
      <c r="H439" s="3135"/>
      <c r="I439" s="3135"/>
      <c r="J439" s="3135"/>
      <c r="K439" s="3135"/>
      <c r="L439" s="3135"/>
      <c r="M439" s="3135"/>
      <c r="N439" s="3135"/>
      <c r="O439" s="3135"/>
      <c r="P439" s="3135"/>
      <c r="Q439" s="3135"/>
      <c r="R439" s="3135"/>
      <c r="S439" s="3135"/>
      <c r="T439" s="3135"/>
      <c r="U439" s="3135"/>
      <c r="V439" s="3135"/>
      <c r="W439" s="3135"/>
      <c r="X439" s="3135"/>
      <c r="Y439" s="3135"/>
      <c r="Z439" s="3135"/>
      <c r="AA439" s="3135"/>
      <c r="AB439" s="3135"/>
      <c r="AC439" s="3135"/>
      <c r="AD439" s="927"/>
      <c r="AE439" s="927"/>
      <c r="AF439" s="1595"/>
      <c r="AG439" s="1595"/>
      <c r="AH439" s="1595"/>
      <c r="AI439" s="1595"/>
      <c r="AJ439" s="1595"/>
      <c r="AK439" s="1595"/>
      <c r="AL439" s="1595"/>
      <c r="AM439" s="1065"/>
      <c r="AN439" s="1000"/>
    </row>
    <row r="440" spans="1:42" s="943" customFormat="1" ht="12.75" customHeight="1">
      <c r="A440" s="1126"/>
      <c r="B440" s="1006"/>
      <c r="C440" s="1636"/>
      <c r="D440" s="1106"/>
      <c r="E440" s="3135"/>
      <c r="F440" s="3135"/>
      <c r="G440" s="3135"/>
      <c r="H440" s="3135"/>
      <c r="I440" s="3135"/>
      <c r="J440" s="3135"/>
      <c r="K440" s="3135"/>
      <c r="L440" s="3135"/>
      <c r="M440" s="3135"/>
      <c r="N440" s="3135"/>
      <c r="O440" s="3135"/>
      <c r="P440" s="3135"/>
      <c r="Q440" s="3135"/>
      <c r="R440" s="3135"/>
      <c r="S440" s="3135"/>
      <c r="T440" s="3135"/>
      <c r="U440" s="3135"/>
      <c r="V440" s="3135"/>
      <c r="W440" s="3135"/>
      <c r="X440" s="3135"/>
      <c r="Y440" s="3135"/>
      <c r="Z440" s="3135"/>
      <c r="AA440" s="3135"/>
      <c r="AB440" s="3135"/>
      <c r="AC440" s="3135"/>
      <c r="AD440" s="927"/>
      <c r="AE440" s="1595"/>
      <c r="AF440" s="1595"/>
      <c r="AG440" s="1595"/>
      <c r="AH440" s="1595"/>
      <c r="AI440" s="1595"/>
      <c r="AJ440" s="1595"/>
      <c r="AK440" s="1595"/>
      <c r="AL440" s="1595"/>
      <c r="AM440" s="1065"/>
      <c r="AN440" s="1000"/>
    </row>
    <row r="441" spans="1:42" s="943" customFormat="1" ht="12.75" customHeight="1">
      <c r="A441" s="1126"/>
      <c r="B441" s="1006"/>
      <c r="C441" s="1636"/>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5"/>
      <c r="AF441" s="927"/>
      <c r="AG441" s="927"/>
      <c r="AH441" s="927"/>
      <c r="AI441" s="927"/>
      <c r="AJ441" s="927"/>
      <c r="AK441" s="927"/>
      <c r="AL441" s="927"/>
      <c r="AM441" s="1065"/>
      <c r="AN441" s="1000"/>
      <c r="AO441" s="943" t="s">
        <v>625</v>
      </c>
      <c r="AP441" s="1131">
        <v>0</v>
      </c>
    </row>
    <row r="442" spans="1:42" s="943" customFormat="1" ht="12.75" customHeight="1">
      <c r="A442" s="1126"/>
      <c r="B442" s="1006"/>
      <c r="C442" s="1636"/>
      <c r="D442" s="1106" t="s">
        <v>1689</v>
      </c>
      <c r="E442" s="3135" t="s">
        <v>1704</v>
      </c>
      <c r="F442" s="3135"/>
      <c r="G442" s="3135"/>
      <c r="H442" s="3135"/>
      <c r="I442" s="3135"/>
      <c r="J442" s="3135"/>
      <c r="K442" s="3135"/>
      <c r="L442" s="3135"/>
      <c r="M442" s="3135"/>
      <c r="N442" s="3135"/>
      <c r="O442" s="3135"/>
      <c r="P442" s="3135"/>
      <c r="Q442" s="3135"/>
      <c r="R442" s="3135"/>
      <c r="S442" s="3135"/>
      <c r="T442" s="3135"/>
      <c r="U442" s="3135"/>
      <c r="V442" s="3135"/>
      <c r="W442" s="3135"/>
      <c r="X442" s="3135"/>
      <c r="Y442" s="3135"/>
      <c r="Z442" s="3135"/>
      <c r="AA442" s="3135"/>
      <c r="AB442" s="3135"/>
      <c r="AC442" s="3135"/>
      <c r="AD442" s="927"/>
      <c r="AE442" s="927"/>
      <c r="AF442" s="3090" t="s">
        <v>1705</v>
      </c>
      <c r="AG442" s="3090"/>
      <c r="AH442" s="3090"/>
      <c r="AI442" s="3090"/>
      <c r="AJ442" s="3090"/>
      <c r="AK442" s="3090"/>
      <c r="AL442" s="3090"/>
      <c r="AM442" s="1065"/>
      <c r="AN442" s="1000"/>
      <c r="AO442" s="1118" t="s">
        <v>724</v>
      </c>
      <c r="AP442" s="943">
        <v>3</v>
      </c>
    </row>
    <row r="443" spans="1:42" s="943" customFormat="1" ht="12.75" customHeight="1">
      <c r="A443" s="1598"/>
      <c r="B443" s="1006"/>
      <c r="C443" s="1636"/>
      <c r="D443" s="1106"/>
      <c r="E443" s="3135"/>
      <c r="F443" s="3135"/>
      <c r="G443" s="3135"/>
      <c r="H443" s="3135"/>
      <c r="I443" s="3135"/>
      <c r="J443" s="3135"/>
      <c r="K443" s="3135"/>
      <c r="L443" s="3135"/>
      <c r="M443" s="3135"/>
      <c r="N443" s="3135"/>
      <c r="O443" s="3135"/>
      <c r="P443" s="3135"/>
      <c r="Q443" s="3135"/>
      <c r="R443" s="3135"/>
      <c r="S443" s="3135"/>
      <c r="T443" s="3135"/>
      <c r="U443" s="3135"/>
      <c r="V443" s="3135"/>
      <c r="W443" s="3135"/>
      <c r="X443" s="3135"/>
      <c r="Y443" s="3135"/>
      <c r="Z443" s="3135"/>
      <c r="AA443" s="3135"/>
      <c r="AB443" s="3135"/>
      <c r="AC443" s="3135"/>
      <c r="AD443" s="927"/>
      <c r="AE443" s="927"/>
      <c r="AF443" s="1595"/>
      <c r="AG443" s="1595"/>
      <c r="AH443" s="1595"/>
      <c r="AI443" s="1595"/>
      <c r="AJ443" s="1595"/>
      <c r="AK443" s="1595"/>
      <c r="AL443" s="1595"/>
      <c r="AM443" s="1065"/>
      <c r="AN443" s="1000"/>
      <c r="AO443" s="1118" t="s">
        <v>541</v>
      </c>
      <c r="AP443" s="943">
        <v>2</v>
      </c>
    </row>
    <row r="444" spans="1:42" s="943" customFormat="1" ht="12.75" customHeight="1">
      <c r="A444" s="1126"/>
      <c r="B444" s="1006"/>
      <c r="C444" s="1636"/>
      <c r="D444" s="1106"/>
      <c r="E444" s="3135"/>
      <c r="F444" s="3135"/>
      <c r="G444" s="3135"/>
      <c r="H444" s="3135"/>
      <c r="I444" s="3135"/>
      <c r="J444" s="3135"/>
      <c r="K444" s="3135"/>
      <c r="L444" s="3135"/>
      <c r="M444" s="3135"/>
      <c r="N444" s="3135"/>
      <c r="O444" s="3135"/>
      <c r="P444" s="3135"/>
      <c r="Q444" s="3135"/>
      <c r="R444" s="3135"/>
      <c r="S444" s="3135"/>
      <c r="T444" s="3135"/>
      <c r="U444" s="3135"/>
      <c r="V444" s="3135"/>
      <c r="W444" s="3135"/>
      <c r="X444" s="3135"/>
      <c r="Y444" s="3135"/>
      <c r="Z444" s="3135"/>
      <c r="AA444" s="3135"/>
      <c r="AB444" s="3135"/>
      <c r="AC444" s="3135"/>
      <c r="AD444" s="927"/>
      <c r="AE444" s="1595"/>
      <c r="AF444" s="1595"/>
      <c r="AG444" s="1595"/>
      <c r="AH444" s="1595"/>
      <c r="AI444" s="1595"/>
      <c r="AJ444" s="1595"/>
      <c r="AK444" s="1595"/>
      <c r="AL444" s="1595"/>
      <c r="AM444" s="1065"/>
      <c r="AN444" s="1000"/>
    </row>
    <row r="445" spans="1:42" s="943" customFormat="1" ht="12.75" customHeight="1">
      <c r="A445" s="1115"/>
      <c r="B445" s="1023"/>
      <c r="C445" s="1655"/>
      <c r="D445" s="1106"/>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7"/>
      <c r="AE445" s="1595"/>
      <c r="AF445" s="1595"/>
      <c r="AG445" s="1595"/>
      <c r="AH445" s="1595"/>
      <c r="AI445" s="1595"/>
      <c r="AJ445" s="1595"/>
      <c r="AK445" s="1595"/>
      <c r="AL445" s="1595"/>
      <c r="AM445" s="1065"/>
      <c r="AN445" s="1000"/>
    </row>
    <row r="446" spans="1:42" s="943" customFormat="1" ht="12.75" customHeight="1">
      <c r="A446" s="1126"/>
      <c r="B446" s="1006"/>
      <c r="C446" s="1636"/>
      <c r="D446" s="1023" t="s">
        <v>1678</v>
      </c>
      <c r="E446" s="1642"/>
      <c r="F446" s="1642"/>
      <c r="G446" s="1642"/>
      <c r="H446" s="3154" t="s">
        <v>1676</v>
      </c>
      <c r="I446" s="3154"/>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6"/>
      <c r="D447" s="1023"/>
      <c r="E447" s="1642"/>
      <c r="F447" s="1642"/>
      <c r="G447" s="1035"/>
      <c r="H447" s="1035"/>
      <c r="I447" s="1035"/>
      <c r="J447" s="1035"/>
      <c r="K447" s="1035"/>
      <c r="L447" s="1035"/>
      <c r="M447" s="1035"/>
      <c r="N447" s="1035"/>
      <c r="O447" s="1035"/>
      <c r="P447" s="1035"/>
      <c r="Q447" s="1035"/>
      <c r="R447" s="1035"/>
      <c r="S447" s="1035"/>
      <c r="T447" s="1035"/>
      <c r="U447" s="1035"/>
      <c r="V447" s="1035"/>
      <c r="W447" s="1035"/>
      <c r="X447" s="1035"/>
      <c r="Y447" s="1035"/>
      <c r="Z447" s="1642"/>
      <c r="AA447" s="1642"/>
      <c r="AB447" s="1642"/>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2"/>
      <c r="D448" s="1019"/>
      <c r="E448" s="1647"/>
      <c r="F448" s="1108"/>
      <c r="G448" s="1108"/>
      <c r="H448" s="1108"/>
      <c r="I448" s="1108"/>
      <c r="J448" s="1108"/>
      <c r="K448" s="1108"/>
      <c r="L448" s="1108"/>
      <c r="M448" s="1108"/>
      <c r="N448" s="1108"/>
      <c r="O448" s="1108"/>
      <c r="P448" s="1108"/>
      <c r="Q448" s="1108"/>
      <c r="R448" s="1108"/>
      <c r="S448" s="1108"/>
      <c r="T448" s="1108"/>
      <c r="U448" s="1108"/>
      <c r="V448" s="1108"/>
      <c r="W448" s="1108"/>
      <c r="X448" s="1108"/>
      <c r="Y448" s="1647"/>
      <c r="Z448" s="1647"/>
      <c r="AA448" s="1647"/>
      <c r="AB448" s="1019"/>
      <c r="AC448" s="1019"/>
      <c r="AD448" s="1019"/>
      <c r="AE448" s="1019"/>
      <c r="AF448" s="1019"/>
      <c r="AG448" s="1019"/>
      <c r="AH448" s="1019"/>
      <c r="AI448" s="959" t="s">
        <v>1706</v>
      </c>
      <c r="AJ448" s="3114">
        <f>VLOOKUP($H$446,$AO$394:$AP$401,2,FALSE)</f>
        <v>3</v>
      </c>
      <c r="AK448" s="3116"/>
      <c r="AL448" s="1005"/>
      <c r="AM448" s="1002"/>
      <c r="AN448" s="1000"/>
    </row>
    <row r="449" spans="1:42" s="943" customFormat="1" ht="12.75" customHeight="1">
      <c r="A449" s="1126"/>
      <c r="B449" s="1006"/>
      <c r="C449" s="1636"/>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7"/>
      <c r="AE449" s="1006"/>
      <c r="AF449" s="1006"/>
      <c r="AG449" s="1006"/>
      <c r="AH449" s="1006"/>
      <c r="AI449" s="1006"/>
      <c r="AJ449" s="991"/>
      <c r="AK449" s="1023"/>
      <c r="AL449" s="1023"/>
      <c r="AM449" s="1060"/>
      <c r="AN449" s="1000"/>
    </row>
    <row r="450" spans="1:42" s="943" customFormat="1" ht="12.75" customHeight="1">
      <c r="A450" s="1126"/>
      <c r="B450" s="927"/>
      <c r="C450" s="986" t="s">
        <v>1707</v>
      </c>
      <c r="D450" s="1657"/>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7"/>
      <c r="AE450" s="1006"/>
      <c r="AF450" s="1006"/>
      <c r="AG450" s="1006"/>
      <c r="AH450" s="1006"/>
      <c r="AI450" s="1006"/>
      <c r="AJ450" s="991"/>
      <c r="AK450" s="1023"/>
      <c r="AL450" s="1023"/>
      <c r="AM450" s="1060"/>
      <c r="AN450" s="1000"/>
    </row>
    <row r="451" spans="1:42" s="943" customFormat="1" ht="12.75" customHeight="1">
      <c r="A451" s="1126"/>
      <c r="B451" s="991"/>
      <c r="C451" s="1658"/>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6"/>
      <c r="D452" s="1106" t="s">
        <v>724</v>
      </c>
      <c r="E452" s="3135" t="s">
        <v>2188</v>
      </c>
      <c r="F452" s="3135"/>
      <c r="G452" s="3135"/>
      <c r="H452" s="3135"/>
      <c r="I452" s="3135"/>
      <c r="J452" s="3135"/>
      <c r="K452" s="3135"/>
      <c r="L452" s="3135"/>
      <c r="M452" s="3135"/>
      <c r="N452" s="3135"/>
      <c r="O452" s="3135"/>
      <c r="P452" s="3135"/>
      <c r="Q452" s="3135"/>
      <c r="R452" s="3135"/>
      <c r="S452" s="3135"/>
      <c r="T452" s="3135"/>
      <c r="U452" s="3135"/>
      <c r="V452" s="3135"/>
      <c r="W452" s="3135"/>
      <c r="X452" s="3135"/>
      <c r="Y452" s="3135"/>
      <c r="Z452" s="3135"/>
      <c r="AA452" s="3135"/>
      <c r="AB452" s="3135"/>
      <c r="AC452" s="927"/>
      <c r="AD452" s="927"/>
      <c r="AE452" s="930"/>
      <c r="AF452" s="3090" t="s">
        <v>1622</v>
      </c>
      <c r="AG452" s="3090"/>
      <c r="AH452" s="3090"/>
      <c r="AI452" s="3090"/>
      <c r="AJ452" s="3090"/>
      <c r="AK452" s="3090"/>
      <c r="AL452" s="3090"/>
      <c r="AM452" s="1026"/>
      <c r="AN452" s="1001"/>
    </row>
    <row r="453" spans="1:42" s="1002" customFormat="1" ht="12.75" customHeight="1">
      <c r="A453" s="1060"/>
      <c r="B453" s="1023"/>
      <c r="C453" s="1648"/>
      <c r="D453" s="1106"/>
      <c r="E453" s="3135"/>
      <c r="F453" s="3135"/>
      <c r="G453" s="3135"/>
      <c r="H453" s="3135"/>
      <c r="I453" s="3135"/>
      <c r="J453" s="3135"/>
      <c r="K453" s="3135"/>
      <c r="L453" s="3135"/>
      <c r="M453" s="3135"/>
      <c r="N453" s="3135"/>
      <c r="O453" s="3135"/>
      <c r="P453" s="3135"/>
      <c r="Q453" s="3135"/>
      <c r="R453" s="3135"/>
      <c r="S453" s="3135"/>
      <c r="T453" s="3135"/>
      <c r="U453" s="3135"/>
      <c r="V453" s="3135"/>
      <c r="W453" s="3135"/>
      <c r="X453" s="3135"/>
      <c r="Y453" s="3135"/>
      <c r="Z453" s="3135"/>
      <c r="AA453" s="3135"/>
      <c r="AB453" s="3135"/>
      <c r="AC453" s="927"/>
      <c r="AD453" s="927"/>
      <c r="AE453" s="1035"/>
      <c r="AF453" s="930"/>
      <c r="AG453" s="930"/>
      <c r="AH453" s="930"/>
      <c r="AI453" s="930"/>
      <c r="AJ453" s="930"/>
      <c r="AK453" s="930"/>
      <c r="AL453" s="930"/>
      <c r="AM453" s="1026"/>
      <c r="AN453" s="1001"/>
      <c r="AO453" s="3158"/>
      <c r="AP453" s="3158"/>
    </row>
    <row r="454" spans="1:42" s="1002" customFormat="1" ht="12.75" customHeight="1">
      <c r="A454" s="1060"/>
      <c r="B454" s="1023"/>
      <c r="C454" s="1648"/>
      <c r="D454" s="1106"/>
      <c r="E454" s="3135"/>
      <c r="F454" s="3135"/>
      <c r="G454" s="3135"/>
      <c r="H454" s="3135"/>
      <c r="I454" s="3135"/>
      <c r="J454" s="3135"/>
      <c r="K454" s="3135"/>
      <c r="L454" s="3135"/>
      <c r="M454" s="3135"/>
      <c r="N454" s="3135"/>
      <c r="O454" s="3135"/>
      <c r="P454" s="3135"/>
      <c r="Q454" s="3135"/>
      <c r="R454" s="3135"/>
      <c r="S454" s="3135"/>
      <c r="T454" s="3135"/>
      <c r="U454" s="3135"/>
      <c r="V454" s="3135"/>
      <c r="W454" s="3135"/>
      <c r="X454" s="3135"/>
      <c r="Y454" s="3135"/>
      <c r="Z454" s="3135"/>
      <c r="AA454" s="3135"/>
      <c r="AB454" s="3135"/>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8"/>
      <c r="D455" s="1106"/>
      <c r="E455" s="3135"/>
      <c r="F455" s="3135"/>
      <c r="G455" s="3135"/>
      <c r="H455" s="3135"/>
      <c r="I455" s="3135"/>
      <c r="J455" s="3135"/>
      <c r="K455" s="3135"/>
      <c r="L455" s="3135"/>
      <c r="M455" s="3135"/>
      <c r="N455" s="3135"/>
      <c r="O455" s="3135"/>
      <c r="P455" s="3135"/>
      <c r="Q455" s="3135"/>
      <c r="R455" s="3135"/>
      <c r="S455" s="3135"/>
      <c r="T455" s="3135"/>
      <c r="U455" s="3135"/>
      <c r="V455" s="3135"/>
      <c r="W455" s="3135"/>
      <c r="X455" s="3135"/>
      <c r="Y455" s="3135"/>
      <c r="Z455" s="3135"/>
      <c r="AA455" s="3135"/>
      <c r="AB455" s="3135"/>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8"/>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6"/>
      <c r="D457" s="1106" t="s">
        <v>541</v>
      </c>
      <c r="E457" s="3135" t="s">
        <v>2190</v>
      </c>
      <c r="F457" s="3135"/>
      <c r="G457" s="3135"/>
      <c r="H457" s="3135"/>
      <c r="I457" s="3135"/>
      <c r="J457" s="3135"/>
      <c r="K457" s="3135"/>
      <c r="L457" s="3135"/>
      <c r="M457" s="3135"/>
      <c r="N457" s="3135"/>
      <c r="O457" s="3135"/>
      <c r="P457" s="3135"/>
      <c r="Q457" s="3135"/>
      <c r="R457" s="3135"/>
      <c r="S457" s="3135"/>
      <c r="T457" s="3135"/>
      <c r="U457" s="3135"/>
      <c r="V457" s="3135"/>
      <c r="W457" s="3135"/>
      <c r="X457" s="3135"/>
      <c r="Y457" s="3135"/>
      <c r="Z457" s="3135"/>
      <c r="AA457" s="3135"/>
      <c r="AB457" s="3135"/>
      <c r="AC457" s="927"/>
      <c r="AD457" s="927"/>
      <c r="AE457" s="927"/>
      <c r="AF457" s="3090" t="s">
        <v>1686</v>
      </c>
      <c r="AG457" s="3090"/>
      <c r="AH457" s="3090"/>
      <c r="AI457" s="3090"/>
      <c r="AJ457" s="3090"/>
      <c r="AK457" s="3090"/>
      <c r="AL457" s="3090"/>
      <c r="AM457" s="1026"/>
      <c r="AN457" s="1000"/>
      <c r="AO457" s="1118" t="s">
        <v>541</v>
      </c>
      <c r="AP457" s="943">
        <v>1</v>
      </c>
    </row>
    <row r="458" spans="1:42" s="943" customFormat="1" ht="12" customHeight="1">
      <c r="A458" s="1026"/>
      <c r="B458" s="927"/>
      <c r="C458" s="1656"/>
      <c r="D458" s="927"/>
      <c r="E458" s="3135"/>
      <c r="F458" s="3135"/>
      <c r="G458" s="3135"/>
      <c r="H458" s="3135"/>
      <c r="I458" s="3135"/>
      <c r="J458" s="3135"/>
      <c r="K458" s="3135"/>
      <c r="L458" s="3135"/>
      <c r="M458" s="3135"/>
      <c r="N458" s="3135"/>
      <c r="O458" s="3135"/>
      <c r="P458" s="3135"/>
      <c r="Q458" s="3135"/>
      <c r="R458" s="3135"/>
      <c r="S458" s="3135"/>
      <c r="T458" s="3135"/>
      <c r="U458" s="3135"/>
      <c r="V458" s="3135"/>
      <c r="W458" s="3135"/>
      <c r="X458" s="3135"/>
      <c r="Y458" s="3135"/>
      <c r="Z458" s="3135"/>
      <c r="AA458" s="3135"/>
      <c r="AB458" s="3135"/>
      <c r="AC458" s="927"/>
      <c r="AD458" s="927"/>
      <c r="AE458" s="1035"/>
      <c r="AF458" s="927"/>
      <c r="AG458" s="927"/>
      <c r="AH458" s="927"/>
      <c r="AI458" s="927"/>
      <c r="AJ458" s="927"/>
      <c r="AK458" s="927"/>
      <c r="AL458" s="927"/>
      <c r="AM458" s="1026"/>
      <c r="AN458" s="1000"/>
    </row>
    <row r="459" spans="1:42" s="943" customFormat="1" ht="12" customHeight="1">
      <c r="A459" s="1026"/>
      <c r="B459" s="927"/>
      <c r="C459" s="1656"/>
      <c r="D459" s="927"/>
      <c r="E459" s="3135"/>
      <c r="F459" s="3135"/>
      <c r="G459" s="3135"/>
      <c r="H459" s="3135"/>
      <c r="I459" s="3135"/>
      <c r="J459" s="3135"/>
      <c r="K459" s="3135"/>
      <c r="L459" s="3135"/>
      <c r="M459" s="3135"/>
      <c r="N459" s="3135"/>
      <c r="O459" s="3135"/>
      <c r="P459" s="3135"/>
      <c r="Q459" s="3135"/>
      <c r="R459" s="3135"/>
      <c r="S459" s="3135"/>
      <c r="T459" s="3135"/>
      <c r="U459" s="3135"/>
      <c r="V459" s="3135"/>
      <c r="W459" s="3135"/>
      <c r="X459" s="3135"/>
      <c r="Y459" s="3135"/>
      <c r="Z459" s="3135"/>
      <c r="AA459" s="3135"/>
      <c r="AB459" s="3135"/>
      <c r="AC459" s="927"/>
      <c r="AD459" s="927"/>
      <c r="AE459" s="1035"/>
      <c r="AF459" s="927"/>
      <c r="AG459" s="927"/>
      <c r="AH459" s="927"/>
      <c r="AI459" s="927"/>
      <c r="AJ459" s="927"/>
      <c r="AK459" s="927"/>
      <c r="AL459" s="927"/>
      <c r="AM459" s="1026"/>
      <c r="AN459" s="1000"/>
    </row>
    <row r="460" spans="1:42" s="1134" customFormat="1" ht="12" customHeight="1">
      <c r="A460" s="1026"/>
      <c r="B460" s="927"/>
      <c r="C460" s="1656"/>
      <c r="D460" s="927"/>
      <c r="E460" s="3135"/>
      <c r="F460" s="3135"/>
      <c r="G460" s="3135"/>
      <c r="H460" s="3135"/>
      <c r="I460" s="3135"/>
      <c r="J460" s="3135"/>
      <c r="K460" s="3135"/>
      <c r="L460" s="3135"/>
      <c r="M460" s="3135"/>
      <c r="N460" s="3135"/>
      <c r="O460" s="3135"/>
      <c r="P460" s="3135"/>
      <c r="Q460" s="3135"/>
      <c r="R460" s="3135"/>
      <c r="S460" s="3135"/>
      <c r="T460" s="3135"/>
      <c r="U460" s="3135"/>
      <c r="V460" s="3135"/>
      <c r="W460" s="3135"/>
      <c r="X460" s="3135"/>
      <c r="Y460" s="3135"/>
      <c r="Z460" s="3135"/>
      <c r="AA460" s="3135"/>
      <c r="AB460" s="3135"/>
      <c r="AC460" s="927"/>
      <c r="AD460" s="927"/>
      <c r="AE460" s="1035"/>
      <c r="AF460" s="1035"/>
      <c r="AG460" s="1035"/>
      <c r="AH460" s="1035"/>
      <c r="AI460" s="1035"/>
      <c r="AJ460" s="927"/>
      <c r="AK460" s="1006"/>
      <c r="AL460" s="1006"/>
      <c r="AM460" s="1026"/>
      <c r="AN460" s="1133"/>
    </row>
    <row r="461" spans="1:42" s="1134" customFormat="1" ht="12" customHeight="1">
      <c r="A461" s="1026"/>
      <c r="B461" s="927"/>
      <c r="C461" s="1656"/>
      <c r="D461" s="927"/>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6"/>
      <c r="D462" s="927"/>
      <c r="E462" s="3135" t="s">
        <v>2189</v>
      </c>
      <c r="F462" s="3135"/>
      <c r="G462" s="3135"/>
      <c r="H462" s="3135"/>
      <c r="I462" s="3135"/>
      <c r="J462" s="3135"/>
      <c r="K462" s="3135"/>
      <c r="L462" s="3135"/>
      <c r="M462" s="3135"/>
      <c r="N462" s="3135"/>
      <c r="O462" s="3135"/>
      <c r="P462" s="3135"/>
      <c r="Q462" s="3135"/>
      <c r="R462" s="3135"/>
      <c r="S462" s="3135"/>
      <c r="T462" s="3135"/>
      <c r="U462" s="3135"/>
      <c r="V462" s="3135"/>
      <c r="W462" s="3135"/>
      <c r="X462" s="3135"/>
      <c r="Y462" s="3135"/>
      <c r="Z462" s="3135"/>
      <c r="AA462" s="3135"/>
      <c r="AB462" s="3135"/>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6"/>
      <c r="D463" s="927"/>
      <c r="E463" s="3135"/>
      <c r="F463" s="3135"/>
      <c r="G463" s="3135"/>
      <c r="H463" s="3135"/>
      <c r="I463" s="3135"/>
      <c r="J463" s="3135"/>
      <c r="K463" s="3135"/>
      <c r="L463" s="3135"/>
      <c r="M463" s="3135"/>
      <c r="N463" s="3135"/>
      <c r="O463" s="3135"/>
      <c r="P463" s="3135"/>
      <c r="Q463" s="3135"/>
      <c r="R463" s="3135"/>
      <c r="S463" s="3135"/>
      <c r="T463" s="3135"/>
      <c r="U463" s="3135"/>
      <c r="V463" s="3135"/>
      <c r="W463" s="3135"/>
      <c r="X463" s="3135"/>
      <c r="Y463" s="3135"/>
      <c r="Z463" s="3135"/>
      <c r="AA463" s="3135"/>
      <c r="AB463" s="3135"/>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6"/>
      <c r="D464" s="927"/>
      <c r="E464" s="3135"/>
      <c r="F464" s="3135"/>
      <c r="G464" s="3135"/>
      <c r="H464" s="3135"/>
      <c r="I464" s="3135"/>
      <c r="J464" s="3135"/>
      <c r="K464" s="3135"/>
      <c r="L464" s="3135"/>
      <c r="M464" s="3135"/>
      <c r="N464" s="3135"/>
      <c r="O464" s="3135"/>
      <c r="P464" s="3135"/>
      <c r="Q464" s="3135"/>
      <c r="R464" s="3135"/>
      <c r="S464" s="3135"/>
      <c r="T464" s="3135"/>
      <c r="U464" s="3135"/>
      <c r="V464" s="3135"/>
      <c r="W464" s="3135"/>
      <c r="X464" s="3135"/>
      <c r="Y464" s="3135"/>
      <c r="Z464" s="3135"/>
      <c r="AA464" s="3135"/>
      <c r="AB464" s="3135"/>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6"/>
      <c r="D465" s="927"/>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6"/>
      <c r="D466" s="1023" t="s">
        <v>1678</v>
      </c>
      <c r="E466" s="1642"/>
      <c r="F466" s="1642"/>
      <c r="G466" s="1642"/>
      <c r="H466" s="3154" t="s">
        <v>724</v>
      </c>
      <c r="I466" s="3154"/>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6"/>
      <c r="D467" s="927"/>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2"/>
      <c r="D468" s="1009"/>
      <c r="E468" s="1009"/>
      <c r="F468" s="1009"/>
      <c r="G468" s="1009"/>
      <c r="H468" s="1009"/>
      <c r="I468" s="1009"/>
      <c r="J468" s="1659"/>
      <c r="K468" s="1659"/>
      <c r="L468" s="1108"/>
      <c r="M468" s="1108"/>
      <c r="N468" s="1108"/>
      <c r="O468" s="1108"/>
      <c r="P468" s="1108"/>
      <c r="Q468" s="1108"/>
      <c r="R468" s="1108"/>
      <c r="S468" s="1108"/>
      <c r="T468" s="1108"/>
      <c r="U468" s="1108"/>
      <c r="V468" s="1108"/>
      <c r="W468" s="1108"/>
      <c r="X468" s="1108"/>
      <c r="Y468" s="1647"/>
      <c r="Z468" s="1647"/>
      <c r="AA468" s="1647"/>
      <c r="AB468" s="1019"/>
      <c r="AC468" s="1019"/>
      <c r="AD468" s="1019"/>
      <c r="AE468" s="1019"/>
      <c r="AF468" s="1019"/>
      <c r="AG468" s="1019"/>
      <c r="AH468" s="1019"/>
      <c r="AI468" s="959" t="s">
        <v>1709</v>
      </c>
      <c r="AJ468" s="3114">
        <f>VLOOKUP($H$466,$AO$413:$AP$415,2,FALSE)</f>
        <v>3</v>
      </c>
      <c r="AK468" s="3116"/>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6"/>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6"/>
      <c r="D472" s="1106" t="s">
        <v>724</v>
      </c>
      <c r="E472" s="3159" t="s">
        <v>2193</v>
      </c>
      <c r="F472" s="3159"/>
      <c r="G472" s="3159"/>
      <c r="H472" s="3159"/>
      <c r="I472" s="3159"/>
      <c r="J472" s="3159"/>
      <c r="K472" s="3159"/>
      <c r="L472" s="3159"/>
      <c r="M472" s="3159"/>
      <c r="N472" s="3159"/>
      <c r="O472" s="3159"/>
      <c r="P472" s="3159"/>
      <c r="Q472" s="3159"/>
      <c r="R472" s="3159"/>
      <c r="S472" s="3159"/>
      <c r="T472" s="3159"/>
      <c r="U472" s="3159"/>
      <c r="V472" s="3159"/>
      <c r="W472" s="3159"/>
      <c r="X472" s="3159"/>
      <c r="Y472" s="3159"/>
      <c r="Z472" s="3159"/>
      <c r="AA472" s="3159"/>
      <c r="AB472" s="3159"/>
      <c r="AC472" s="927"/>
      <c r="AD472" s="927"/>
      <c r="AE472" s="927"/>
      <c r="AF472" s="3090" t="s">
        <v>1622</v>
      </c>
      <c r="AG472" s="3090"/>
      <c r="AH472" s="3090"/>
      <c r="AI472" s="3090"/>
      <c r="AJ472" s="3090"/>
      <c r="AK472" s="3090"/>
      <c r="AL472" s="3090"/>
      <c r="AM472" s="1026"/>
      <c r="AN472" s="1133"/>
      <c r="AP472" s="1135" t="s">
        <v>1714</v>
      </c>
    </row>
    <row r="473" spans="1:43" s="1134" customFormat="1" ht="11.85" customHeight="1">
      <c r="A473" s="1060"/>
      <c r="B473" s="1023"/>
      <c r="C473" s="1638"/>
      <c r="D473" s="1106"/>
      <c r="E473" s="3159"/>
      <c r="F473" s="3159"/>
      <c r="G473" s="3159"/>
      <c r="H473" s="3159"/>
      <c r="I473" s="3159"/>
      <c r="J473" s="3159"/>
      <c r="K473" s="3159"/>
      <c r="L473" s="3159"/>
      <c r="M473" s="3159"/>
      <c r="N473" s="3159"/>
      <c r="O473" s="3159"/>
      <c r="P473" s="3159"/>
      <c r="Q473" s="3159"/>
      <c r="R473" s="3159"/>
      <c r="S473" s="3159"/>
      <c r="T473" s="3159"/>
      <c r="U473" s="3159"/>
      <c r="V473" s="3159"/>
      <c r="W473" s="3159"/>
      <c r="X473" s="3159"/>
      <c r="Y473" s="3159"/>
      <c r="Z473" s="3159"/>
      <c r="AA473" s="3159"/>
      <c r="AB473" s="3159"/>
      <c r="AC473" s="927"/>
      <c r="AD473" s="927"/>
      <c r="AE473" s="1023"/>
      <c r="AF473" s="927"/>
      <c r="AG473" s="927"/>
      <c r="AH473" s="927"/>
      <c r="AI473" s="927"/>
      <c r="AJ473" s="927"/>
      <c r="AK473" s="927"/>
      <c r="AL473" s="927"/>
      <c r="AM473" s="1026"/>
      <c r="AN473" s="1133"/>
      <c r="AP473" s="1135" t="s">
        <v>1715</v>
      </c>
    </row>
    <row r="474" spans="1:43" s="1134" customFormat="1" ht="13.9" customHeight="1">
      <c r="A474" s="1060"/>
      <c r="B474" s="1024"/>
      <c r="C474" s="1639"/>
      <c r="D474" s="1106"/>
      <c r="E474" s="3159"/>
      <c r="F474" s="3159"/>
      <c r="G474" s="3159"/>
      <c r="H474" s="3159"/>
      <c r="I474" s="3159"/>
      <c r="J474" s="3159"/>
      <c r="K474" s="3159"/>
      <c r="L474" s="3159"/>
      <c r="M474" s="3159"/>
      <c r="N474" s="3159"/>
      <c r="O474" s="3159"/>
      <c r="P474" s="3159"/>
      <c r="Q474" s="3159"/>
      <c r="R474" s="3159"/>
      <c r="S474" s="3159"/>
      <c r="T474" s="3159"/>
      <c r="U474" s="3159"/>
      <c r="V474" s="3159"/>
      <c r="W474" s="3159"/>
      <c r="X474" s="3159"/>
      <c r="Y474" s="3159"/>
      <c r="Z474" s="3159"/>
      <c r="AA474" s="3159"/>
      <c r="AB474" s="3159"/>
      <c r="AC474" s="927"/>
      <c r="AD474" s="927"/>
      <c r="AE474" s="1035"/>
      <c r="AF474" s="927"/>
      <c r="AG474" s="927"/>
      <c r="AH474" s="927"/>
      <c r="AI474" s="927"/>
      <c r="AJ474" s="927"/>
      <c r="AK474" s="927"/>
      <c r="AL474" s="927"/>
      <c r="AM474" s="1026"/>
      <c r="AN474" s="1133"/>
      <c r="AP474" s="1135" t="s">
        <v>1716</v>
      </c>
    </row>
    <row r="475" spans="1:43" s="1134" customFormat="1" ht="13.9" customHeight="1">
      <c r="A475" s="1060"/>
      <c r="B475" s="1024"/>
      <c r="C475" s="1639"/>
      <c r="D475" s="1106"/>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7"/>
      <c r="AD475" s="927"/>
      <c r="AE475" s="1035"/>
      <c r="AF475" s="927"/>
      <c r="AG475" s="927"/>
      <c r="AH475" s="927"/>
      <c r="AI475" s="927"/>
      <c r="AJ475" s="927"/>
      <c r="AK475" s="927"/>
      <c r="AL475" s="927"/>
      <c r="AM475" s="1026"/>
      <c r="AN475" s="1133"/>
      <c r="AP475" s="1137" t="s">
        <v>1718</v>
      </c>
    </row>
    <row r="476" spans="1:43" s="1134" customFormat="1" ht="13.9" customHeight="1">
      <c r="A476" s="1060"/>
      <c r="B476" s="1006"/>
      <c r="C476" s="1636"/>
      <c r="D476" s="1106" t="s">
        <v>541</v>
      </c>
      <c r="E476" s="3160" t="s">
        <v>1717</v>
      </c>
      <c r="F476" s="3160"/>
      <c r="G476" s="3160"/>
      <c r="H476" s="3160"/>
      <c r="I476" s="3160"/>
      <c r="J476" s="3160"/>
      <c r="K476" s="3160"/>
      <c r="L476" s="3160"/>
      <c r="M476" s="3160"/>
      <c r="N476" s="3160"/>
      <c r="O476" s="3160"/>
      <c r="P476" s="3160"/>
      <c r="Q476" s="3160"/>
      <c r="R476" s="3160"/>
      <c r="S476" s="3160"/>
      <c r="T476" s="3160"/>
      <c r="U476" s="3160"/>
      <c r="V476" s="3160"/>
      <c r="W476" s="3160"/>
      <c r="X476" s="3160"/>
      <c r="Y476" s="3160"/>
      <c r="Z476" s="3160"/>
      <c r="AA476" s="3160"/>
      <c r="AB476" s="3160"/>
      <c r="AC476" s="927"/>
      <c r="AD476" s="927"/>
      <c r="AE476" s="927"/>
      <c r="AF476" s="3090" t="s">
        <v>1686</v>
      </c>
      <c r="AG476" s="3090"/>
      <c r="AH476" s="3090"/>
      <c r="AI476" s="3090"/>
      <c r="AJ476" s="3090"/>
      <c r="AK476" s="3090"/>
      <c r="AL476" s="3090"/>
      <c r="AM476" s="1026"/>
      <c r="AN476" s="1136"/>
    </row>
    <row r="477" spans="1:43" s="1134" customFormat="1" ht="12.75" customHeight="1">
      <c r="A477" s="1060"/>
      <c r="B477" s="1023"/>
      <c r="C477" s="1638"/>
      <c r="D477" s="1023"/>
      <c r="E477" s="3160"/>
      <c r="F477" s="3160"/>
      <c r="G477" s="3160"/>
      <c r="H477" s="3160"/>
      <c r="I477" s="3160"/>
      <c r="J477" s="3160"/>
      <c r="K477" s="3160"/>
      <c r="L477" s="3160"/>
      <c r="M477" s="3160"/>
      <c r="N477" s="3160"/>
      <c r="O477" s="3160"/>
      <c r="P477" s="3160"/>
      <c r="Q477" s="3160"/>
      <c r="R477" s="3160"/>
      <c r="S477" s="3160"/>
      <c r="T477" s="3160"/>
      <c r="U477" s="3160"/>
      <c r="V477" s="3160"/>
      <c r="W477" s="3160"/>
      <c r="X477" s="3160"/>
      <c r="Y477" s="3160"/>
      <c r="Z477" s="3160"/>
      <c r="AA477" s="3160"/>
      <c r="AB477" s="3160"/>
      <c r="AC477" s="1023"/>
      <c r="AD477" s="1023"/>
      <c r="AE477" s="1023"/>
      <c r="AF477" s="1023"/>
      <c r="AG477" s="1023"/>
      <c r="AH477" s="1023"/>
      <c r="AI477" s="1023"/>
      <c r="AJ477" s="927"/>
      <c r="AK477" s="1006"/>
      <c r="AL477" s="1006"/>
      <c r="AM477" s="1026"/>
      <c r="AN477" s="1133"/>
      <c r="AP477" s="943" t="s">
        <v>625</v>
      </c>
      <c r="AQ477" s="1120">
        <v>0</v>
      </c>
    </row>
    <row r="478" spans="1:43" s="1134" customFormat="1" ht="13.9" customHeight="1">
      <c r="A478" s="1060"/>
      <c r="B478" s="1023"/>
      <c r="C478" s="1638"/>
      <c r="D478" s="1023"/>
      <c r="E478" s="3160"/>
      <c r="F478" s="3160"/>
      <c r="G478" s="3160"/>
      <c r="H478" s="3160"/>
      <c r="I478" s="3160"/>
      <c r="J478" s="3160"/>
      <c r="K478" s="3160"/>
      <c r="L478" s="3160"/>
      <c r="M478" s="3160"/>
      <c r="N478" s="3160"/>
      <c r="O478" s="3160"/>
      <c r="P478" s="3160"/>
      <c r="Q478" s="3160"/>
      <c r="R478" s="3160"/>
      <c r="S478" s="3160"/>
      <c r="T478" s="3160"/>
      <c r="U478" s="3160"/>
      <c r="V478" s="3160"/>
      <c r="W478" s="3160"/>
      <c r="X478" s="3160"/>
      <c r="Y478" s="3160"/>
      <c r="Z478" s="3160"/>
      <c r="AA478" s="3160"/>
      <c r="AB478" s="3160"/>
      <c r="AC478" s="1023"/>
      <c r="AD478" s="1023"/>
      <c r="AE478" s="1023"/>
      <c r="AF478" s="1023"/>
      <c r="AG478" s="1023"/>
      <c r="AH478" s="1023"/>
      <c r="AI478" s="1023"/>
      <c r="AJ478" s="927"/>
      <c r="AK478" s="1006"/>
      <c r="AL478" s="1006"/>
      <c r="AM478" s="1026"/>
      <c r="AN478" s="1133"/>
      <c r="AP478" s="1118" t="s">
        <v>724</v>
      </c>
      <c r="AQ478" s="943">
        <v>2</v>
      </c>
    </row>
    <row r="479" spans="1:43" s="1134" customFormat="1" ht="13.9" customHeight="1">
      <c r="A479" s="1060"/>
      <c r="B479" s="1023"/>
      <c r="C479" s="1638"/>
      <c r="D479" s="1023"/>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3"/>
      <c r="AD479" s="1023"/>
      <c r="AE479" s="1023"/>
      <c r="AF479" s="1023"/>
      <c r="AG479" s="1023"/>
      <c r="AH479" s="1023"/>
      <c r="AI479" s="1023"/>
      <c r="AJ479" s="927"/>
      <c r="AK479" s="1006"/>
      <c r="AL479" s="1006"/>
      <c r="AM479" s="1026"/>
      <c r="AN479" s="1133"/>
      <c r="AP479" s="1118" t="s">
        <v>541</v>
      </c>
      <c r="AQ479" s="943">
        <v>3</v>
      </c>
    </row>
    <row r="480" spans="1:43" s="1134" customFormat="1" ht="13.9" customHeight="1">
      <c r="A480" s="1060"/>
      <c r="B480" s="1023"/>
      <c r="C480" s="1638"/>
      <c r="D480" s="1023" t="s">
        <v>1678</v>
      </c>
      <c r="E480" s="1642"/>
      <c r="F480" s="1642"/>
      <c r="G480" s="1642"/>
      <c r="H480" s="3154" t="s">
        <v>724</v>
      </c>
      <c r="I480" s="3154"/>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8"/>
      <c r="D481" s="1023"/>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6"/>
      <c r="D482" s="1009"/>
      <c r="E482" s="1009"/>
      <c r="F482" s="1009"/>
      <c r="G482" s="1009"/>
      <c r="H482" s="1009"/>
      <c r="I482" s="1009"/>
      <c r="J482" s="1661"/>
      <c r="K482" s="1661"/>
      <c r="L482" s="1661"/>
      <c r="M482" s="1661"/>
      <c r="N482" s="1661"/>
      <c r="O482" s="1661"/>
      <c r="P482" s="1661"/>
      <c r="Q482" s="1661"/>
      <c r="R482" s="1661"/>
      <c r="S482" s="1661"/>
      <c r="T482" s="1661"/>
      <c r="U482" s="1108"/>
      <c r="V482" s="1108"/>
      <c r="W482" s="1108"/>
      <c r="X482" s="1108"/>
      <c r="Y482" s="1647"/>
      <c r="Z482" s="1647"/>
      <c r="AA482" s="1647"/>
      <c r="AB482" s="1019"/>
      <c r="AC482" s="1019"/>
      <c r="AD482" s="1019"/>
      <c r="AE482" s="1019"/>
      <c r="AF482" s="1019"/>
      <c r="AG482" s="1019"/>
      <c r="AH482" s="1019"/>
      <c r="AI482" s="959" t="s">
        <v>1719</v>
      </c>
      <c r="AJ482" s="3114">
        <f>VLOOKUP($H$480,$AO$413:$AP$415,2,FALSE)</f>
        <v>3</v>
      </c>
      <c r="AK482" s="3116"/>
      <c r="AL482" s="1005"/>
      <c r="AM482" s="1002"/>
      <c r="AN482" s="1138"/>
      <c r="AP482" s="3114"/>
      <c r="AQ482" s="3116"/>
    </row>
    <row r="483" spans="1:81" s="1134" customFormat="1">
      <c r="A483" s="1060"/>
      <c r="B483" s="1024"/>
      <c r="C483" s="1639"/>
      <c r="D483" s="1641"/>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2"/>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39"/>
      <c r="D485" s="1641"/>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6"/>
      <c r="D486" s="1106" t="s">
        <v>724</v>
      </c>
      <c r="E486" s="3135" t="s">
        <v>2194</v>
      </c>
      <c r="F486" s="3135"/>
      <c r="G486" s="3135"/>
      <c r="H486" s="3135"/>
      <c r="I486" s="3135"/>
      <c r="J486" s="3135"/>
      <c r="K486" s="3135"/>
      <c r="L486" s="3135"/>
      <c r="M486" s="3135"/>
      <c r="N486" s="3135"/>
      <c r="O486" s="3135"/>
      <c r="P486" s="3135"/>
      <c r="Q486" s="3135"/>
      <c r="R486" s="3135"/>
      <c r="S486" s="3135"/>
      <c r="T486" s="3135"/>
      <c r="U486" s="3135"/>
      <c r="V486" s="3135"/>
      <c r="W486" s="3135"/>
      <c r="X486" s="3135"/>
      <c r="Y486" s="3135"/>
      <c r="Z486" s="3135"/>
      <c r="AA486" s="3135"/>
      <c r="AB486" s="3135"/>
      <c r="AC486" s="927"/>
      <c r="AD486" s="927"/>
      <c r="AE486" s="927"/>
      <c r="AF486" s="3090" t="s">
        <v>1622</v>
      </c>
      <c r="AG486" s="3090"/>
      <c r="AH486" s="3090"/>
      <c r="AI486" s="3090"/>
      <c r="AJ486" s="3090"/>
      <c r="AK486" s="3090"/>
      <c r="AL486" s="3090"/>
      <c r="AM486" s="1026"/>
      <c r="AN486" s="1133"/>
      <c r="AT486" s="51"/>
      <c r="AU486" s="51"/>
      <c r="AV486" s="51"/>
      <c r="AW486" s="51"/>
      <c r="AX486" s="51"/>
      <c r="AY486" s="51"/>
      <c r="AZ486" s="51"/>
    </row>
    <row r="487" spans="1:81" s="1134" customFormat="1">
      <c r="A487" s="1060"/>
      <c r="B487" s="1023"/>
      <c r="C487" s="1638"/>
      <c r="D487" s="1106"/>
      <c r="E487" s="3135"/>
      <c r="F487" s="3135"/>
      <c r="G487" s="3135"/>
      <c r="H487" s="3135"/>
      <c r="I487" s="3135"/>
      <c r="J487" s="3135"/>
      <c r="K487" s="3135"/>
      <c r="L487" s="3135"/>
      <c r="M487" s="3135"/>
      <c r="N487" s="3135"/>
      <c r="O487" s="3135"/>
      <c r="P487" s="3135"/>
      <c r="Q487" s="3135"/>
      <c r="R487" s="3135"/>
      <c r="S487" s="3135"/>
      <c r="T487" s="3135"/>
      <c r="U487" s="3135"/>
      <c r="V487" s="3135"/>
      <c r="W487" s="3135"/>
      <c r="X487" s="3135"/>
      <c r="Y487" s="3135"/>
      <c r="Z487" s="3135"/>
      <c r="AA487" s="3135"/>
      <c r="AB487" s="3135"/>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39"/>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6"/>
      <c r="D489" s="1106" t="s">
        <v>541</v>
      </c>
      <c r="E489" s="3135" t="s">
        <v>1721</v>
      </c>
      <c r="F489" s="3135"/>
      <c r="G489" s="3135"/>
      <c r="H489" s="3135"/>
      <c r="I489" s="3135"/>
      <c r="J489" s="3135"/>
      <c r="K489" s="3135"/>
      <c r="L489" s="3135"/>
      <c r="M489" s="3135"/>
      <c r="N489" s="3135"/>
      <c r="O489" s="3135"/>
      <c r="P489" s="3135"/>
      <c r="Q489" s="3135"/>
      <c r="R489" s="3135"/>
      <c r="S489" s="3135"/>
      <c r="T489" s="3135"/>
      <c r="U489" s="3135"/>
      <c r="V489" s="3135"/>
      <c r="W489" s="3135"/>
      <c r="X489" s="3135"/>
      <c r="Y489" s="3135"/>
      <c r="Z489" s="3135"/>
      <c r="AA489" s="3135"/>
      <c r="AB489" s="3135"/>
      <c r="AC489" s="927"/>
      <c r="AD489" s="927"/>
      <c r="AE489" s="927"/>
      <c r="AF489" s="3090" t="s">
        <v>1686</v>
      </c>
      <c r="AG489" s="3090"/>
      <c r="AH489" s="3090"/>
      <c r="AI489" s="3090"/>
      <c r="AJ489" s="3090"/>
      <c r="AK489" s="3090"/>
      <c r="AL489" s="3090"/>
      <c r="AM489" s="1026"/>
      <c r="AN489" s="1133"/>
      <c r="AT489" s="51"/>
      <c r="AU489" s="51"/>
      <c r="AV489" s="51"/>
      <c r="AW489" s="51"/>
      <c r="AX489" s="51"/>
      <c r="AY489" s="51"/>
      <c r="AZ489" s="51"/>
    </row>
    <row r="490" spans="1:81" s="1134" customFormat="1">
      <c r="A490" s="1060"/>
      <c r="B490" s="1023"/>
      <c r="C490" s="1638"/>
      <c r="D490" s="1023"/>
      <c r="E490" s="3135"/>
      <c r="F490" s="3135"/>
      <c r="G490" s="3135"/>
      <c r="H490" s="3135"/>
      <c r="I490" s="3135"/>
      <c r="J490" s="3135"/>
      <c r="K490" s="3135"/>
      <c r="L490" s="3135"/>
      <c r="M490" s="3135"/>
      <c r="N490" s="3135"/>
      <c r="O490" s="3135"/>
      <c r="P490" s="3135"/>
      <c r="Q490" s="3135"/>
      <c r="R490" s="3135"/>
      <c r="S490" s="3135"/>
      <c r="T490" s="3135"/>
      <c r="U490" s="3135"/>
      <c r="V490" s="3135"/>
      <c r="W490" s="3135"/>
      <c r="X490" s="3135"/>
      <c r="Y490" s="3135"/>
      <c r="Z490" s="3135"/>
      <c r="AA490" s="3135"/>
      <c r="AB490" s="3135"/>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8"/>
      <c r="D491" s="1023"/>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8"/>
      <c r="D492" s="1023" t="s">
        <v>1678</v>
      </c>
      <c r="E492" s="1642"/>
      <c r="F492" s="1642"/>
      <c r="G492" s="1642"/>
      <c r="H492" s="3154" t="s">
        <v>625</v>
      </c>
      <c r="I492" s="3154"/>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8"/>
      <c r="D493" s="1023"/>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6"/>
      <c r="D494" s="1019"/>
      <c r="E494" s="1659"/>
      <c r="F494" s="1659"/>
      <c r="G494" s="1659"/>
      <c r="H494" s="1659"/>
      <c r="I494" s="1659"/>
      <c r="J494" s="1659"/>
      <c r="K494" s="1659"/>
      <c r="L494" s="1659"/>
      <c r="M494" s="1659"/>
      <c r="N494" s="1659"/>
      <c r="O494" s="1659"/>
      <c r="P494" s="1659"/>
      <c r="Q494" s="1659"/>
      <c r="R494" s="1659"/>
      <c r="S494" s="1659"/>
      <c r="T494" s="1659"/>
      <c r="U494" s="1659"/>
      <c r="V494" s="1108"/>
      <c r="W494" s="1108"/>
      <c r="X494" s="1108"/>
      <c r="Y494" s="1647"/>
      <c r="Z494" s="1647"/>
      <c r="AA494" s="1647"/>
      <c r="AB494" s="1019"/>
      <c r="AC494" s="1019"/>
      <c r="AD494" s="1019"/>
      <c r="AE494" s="1019"/>
      <c r="AF494" s="1019"/>
      <c r="AG494" s="1019"/>
      <c r="AH494" s="1019"/>
      <c r="AI494" s="959" t="s">
        <v>1722</v>
      </c>
      <c r="AJ494" s="3114">
        <f>VLOOKUP($H$492,$AO$427:$AP$429,2,FALSE)</f>
        <v>0</v>
      </c>
      <c r="AK494" s="3116"/>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8"/>
      <c r="D495" s="927"/>
      <c r="E495" s="927"/>
      <c r="F495" s="927"/>
      <c r="G495" s="927"/>
      <c r="H495" s="927"/>
      <c r="I495" s="927"/>
      <c r="J495" s="1596"/>
      <c r="K495" s="1596"/>
      <c r="L495" s="1596"/>
      <c r="M495" s="1596"/>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3"/>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6"/>
      <c r="D498" s="1106" t="s">
        <v>724</v>
      </c>
      <c r="E498" s="3135" t="s">
        <v>1724</v>
      </c>
      <c r="F498" s="3135"/>
      <c r="G498" s="3135"/>
      <c r="H498" s="3135"/>
      <c r="I498" s="3135"/>
      <c r="J498" s="3135"/>
      <c r="K498" s="3135"/>
      <c r="L498" s="3135"/>
      <c r="M498" s="3135"/>
      <c r="N498" s="3135"/>
      <c r="O498" s="3135"/>
      <c r="P498" s="3135"/>
      <c r="Q498" s="3135"/>
      <c r="R498" s="3135"/>
      <c r="S498" s="3135"/>
      <c r="T498" s="3135"/>
      <c r="U498" s="3135"/>
      <c r="V498" s="3135"/>
      <c r="W498" s="3135"/>
      <c r="X498" s="3135"/>
      <c r="Y498" s="3135"/>
      <c r="Z498" s="3135"/>
      <c r="AA498" s="3135"/>
      <c r="AB498" s="3135"/>
      <c r="AC498" s="927"/>
      <c r="AD498" s="927"/>
      <c r="AE498" s="927"/>
      <c r="AF498" s="3090" t="s">
        <v>1622</v>
      </c>
      <c r="AG498" s="3090"/>
      <c r="AH498" s="3090"/>
      <c r="AI498" s="3090"/>
      <c r="AJ498" s="3090"/>
      <c r="AK498" s="3090"/>
      <c r="AL498" s="3090"/>
      <c r="AM498" s="1026"/>
      <c r="AN498" s="1133"/>
      <c r="AT498" s="51"/>
      <c r="AU498" s="51"/>
      <c r="AV498" s="51"/>
      <c r="AW498" s="51"/>
      <c r="AX498" s="51"/>
      <c r="AY498" s="51"/>
      <c r="AZ498" s="51"/>
    </row>
    <row r="499" spans="1:81" s="1134" customFormat="1">
      <c r="A499" s="1060"/>
      <c r="B499" s="927"/>
      <c r="C499" s="1636"/>
      <c r="D499" s="1106"/>
      <c r="E499" s="3135"/>
      <c r="F499" s="3135"/>
      <c r="G499" s="3135"/>
      <c r="H499" s="3135"/>
      <c r="I499" s="3135"/>
      <c r="J499" s="3135"/>
      <c r="K499" s="3135"/>
      <c r="L499" s="3135"/>
      <c r="M499" s="3135"/>
      <c r="N499" s="3135"/>
      <c r="O499" s="3135"/>
      <c r="P499" s="3135"/>
      <c r="Q499" s="3135"/>
      <c r="R499" s="3135"/>
      <c r="S499" s="3135"/>
      <c r="T499" s="3135"/>
      <c r="U499" s="3135"/>
      <c r="V499" s="3135"/>
      <c r="W499" s="3135"/>
      <c r="X499" s="3135"/>
      <c r="Y499" s="3135"/>
      <c r="Z499" s="3135"/>
      <c r="AA499" s="3135"/>
      <c r="AB499" s="3135"/>
      <c r="AC499" s="927"/>
      <c r="AD499" s="927"/>
      <c r="AE499" s="927"/>
      <c r="AF499" s="1595"/>
      <c r="AG499" s="1595"/>
      <c r="AH499" s="1595"/>
      <c r="AI499" s="1595"/>
      <c r="AJ499" s="1595"/>
      <c r="AK499" s="1595"/>
      <c r="AL499" s="1595"/>
      <c r="AM499" s="1026"/>
      <c r="AN499" s="1133"/>
      <c r="AT499" s="51"/>
      <c r="AU499" s="51"/>
      <c r="AV499" s="51"/>
      <c r="AW499" s="51"/>
      <c r="AX499" s="51"/>
      <c r="AY499" s="51"/>
      <c r="AZ499" s="51"/>
    </row>
    <row r="500" spans="1:81" s="1134" customFormat="1">
      <c r="A500" s="1060"/>
      <c r="B500" s="1023"/>
      <c r="C500" s="1638"/>
      <c r="D500" s="1106"/>
      <c r="E500" s="3135"/>
      <c r="F500" s="3135"/>
      <c r="G500" s="3135"/>
      <c r="H500" s="3135"/>
      <c r="I500" s="3135"/>
      <c r="J500" s="3135"/>
      <c r="K500" s="3135"/>
      <c r="L500" s="3135"/>
      <c r="M500" s="3135"/>
      <c r="N500" s="3135"/>
      <c r="O500" s="3135"/>
      <c r="P500" s="3135"/>
      <c r="Q500" s="3135"/>
      <c r="R500" s="3135"/>
      <c r="S500" s="3135"/>
      <c r="T500" s="3135"/>
      <c r="U500" s="3135"/>
      <c r="V500" s="3135"/>
      <c r="W500" s="3135"/>
      <c r="X500" s="3135"/>
      <c r="Y500" s="3135"/>
      <c r="Z500" s="3135"/>
      <c r="AA500" s="3135"/>
      <c r="AB500" s="3135"/>
      <c r="AC500" s="927"/>
      <c r="AD500" s="927"/>
      <c r="AE500" s="927"/>
      <c r="AF500" s="927"/>
      <c r="AG500" s="927"/>
      <c r="AH500" s="927"/>
      <c r="AI500" s="927"/>
      <c r="AJ500" s="927"/>
      <c r="AK500" s="927"/>
      <c r="AL500" s="1006"/>
      <c r="AM500" s="1026"/>
      <c r="AN500" s="1133"/>
    </row>
    <row r="501" spans="1:81" s="1135" customFormat="1" ht="12.75" customHeight="1">
      <c r="A501" s="1060"/>
      <c r="B501" s="1023"/>
      <c r="C501" s="1638"/>
      <c r="D501" s="1106"/>
      <c r="E501" s="3135"/>
      <c r="F501" s="3135"/>
      <c r="G501" s="3135"/>
      <c r="H501" s="3135"/>
      <c r="I501" s="3135"/>
      <c r="J501" s="3135"/>
      <c r="K501" s="3135"/>
      <c r="L501" s="3135"/>
      <c r="M501" s="3135"/>
      <c r="N501" s="3135"/>
      <c r="O501" s="3135"/>
      <c r="P501" s="3135"/>
      <c r="Q501" s="3135"/>
      <c r="R501" s="3135"/>
      <c r="S501" s="3135"/>
      <c r="T501" s="3135"/>
      <c r="U501" s="3135"/>
      <c r="V501" s="3135"/>
      <c r="W501" s="3135"/>
      <c r="X501" s="3135"/>
      <c r="Y501" s="3135"/>
      <c r="Z501" s="3135"/>
      <c r="AA501" s="3135"/>
      <c r="AB501" s="3135"/>
      <c r="AC501" s="927"/>
      <c r="AD501" s="927"/>
      <c r="AE501" s="1023"/>
      <c r="AF501" s="1023"/>
      <c r="AG501" s="1006"/>
      <c r="AH501" s="1006"/>
      <c r="AI501" s="1006"/>
      <c r="AJ501" s="1006"/>
      <c r="AK501" s="1006"/>
      <c r="AL501" s="1006"/>
      <c r="AM501" s="1026"/>
      <c r="AN501" s="1139"/>
      <c r="AO501" s="56"/>
    </row>
    <row r="502" spans="1:81" s="1134" customFormat="1">
      <c r="A502" s="1126"/>
      <c r="B502" s="1005"/>
      <c r="C502" s="1639"/>
      <c r="D502" s="1106"/>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6"/>
      <c r="D503" s="1106" t="s">
        <v>541</v>
      </c>
      <c r="E503" s="3135" t="s">
        <v>1725</v>
      </c>
      <c r="F503" s="3135"/>
      <c r="G503" s="3135"/>
      <c r="H503" s="3135"/>
      <c r="I503" s="3135"/>
      <c r="J503" s="3135"/>
      <c r="K503" s="3135"/>
      <c r="L503" s="3135"/>
      <c r="M503" s="3135"/>
      <c r="N503" s="3135"/>
      <c r="O503" s="3135"/>
      <c r="P503" s="3135"/>
      <c r="Q503" s="3135"/>
      <c r="R503" s="3135"/>
      <c r="S503" s="3135"/>
      <c r="T503" s="3135"/>
      <c r="U503" s="3135"/>
      <c r="V503" s="3135"/>
      <c r="W503" s="3135"/>
      <c r="X503" s="3135"/>
      <c r="Y503" s="3135"/>
      <c r="Z503" s="3135"/>
      <c r="AA503" s="3135"/>
      <c r="AB503" s="969"/>
      <c r="AC503" s="927"/>
      <c r="AD503" s="927"/>
      <c r="AE503" s="927"/>
      <c r="AF503" s="3090" t="s">
        <v>1686</v>
      </c>
      <c r="AG503" s="3090"/>
      <c r="AH503" s="3090"/>
      <c r="AI503" s="3090"/>
      <c r="AJ503" s="3090"/>
      <c r="AK503" s="3090"/>
      <c r="AL503" s="3090"/>
      <c r="AM503" s="1026"/>
      <c r="AN503" s="1133"/>
      <c r="AO503" s="126"/>
      <c r="AP503" s="51"/>
    </row>
    <row r="504" spans="1:81" s="1134" customFormat="1">
      <c r="A504" s="1060"/>
      <c r="B504" s="1006"/>
      <c r="C504" s="1636"/>
      <c r="D504" s="1106"/>
      <c r="E504" s="3135"/>
      <c r="F504" s="3135"/>
      <c r="G504" s="3135"/>
      <c r="H504" s="3135"/>
      <c r="I504" s="3135"/>
      <c r="J504" s="3135"/>
      <c r="K504" s="3135"/>
      <c r="L504" s="3135"/>
      <c r="M504" s="3135"/>
      <c r="N504" s="3135"/>
      <c r="O504" s="3135"/>
      <c r="P504" s="3135"/>
      <c r="Q504" s="3135"/>
      <c r="R504" s="3135"/>
      <c r="S504" s="3135"/>
      <c r="T504" s="3135"/>
      <c r="U504" s="3135"/>
      <c r="V504" s="3135"/>
      <c r="W504" s="3135"/>
      <c r="X504" s="3135"/>
      <c r="Y504" s="3135"/>
      <c r="Z504" s="3135"/>
      <c r="AA504" s="3135"/>
      <c r="AB504" s="969"/>
      <c r="AC504" s="927"/>
      <c r="AD504" s="927"/>
      <c r="AE504" s="927"/>
      <c r="AF504" s="1595"/>
      <c r="AG504" s="1595"/>
      <c r="AH504" s="1595"/>
      <c r="AI504" s="1595"/>
      <c r="AJ504" s="1595"/>
      <c r="AK504" s="1595"/>
      <c r="AL504" s="1595"/>
      <c r="AM504" s="1026"/>
      <c r="AN504" s="1133"/>
      <c r="AO504" s="126"/>
      <c r="AP504" s="51"/>
    </row>
    <row r="505" spans="1:81" s="1134" customFormat="1">
      <c r="A505" s="1060"/>
      <c r="B505" s="1006"/>
      <c r="C505" s="1636"/>
      <c r="D505" s="1023"/>
      <c r="E505" s="3135"/>
      <c r="F505" s="3135"/>
      <c r="G505" s="3135"/>
      <c r="H505" s="3135"/>
      <c r="I505" s="3135"/>
      <c r="J505" s="3135"/>
      <c r="K505" s="3135"/>
      <c r="L505" s="3135"/>
      <c r="M505" s="3135"/>
      <c r="N505" s="3135"/>
      <c r="O505" s="3135"/>
      <c r="P505" s="3135"/>
      <c r="Q505" s="3135"/>
      <c r="R505" s="3135"/>
      <c r="S505" s="3135"/>
      <c r="T505" s="3135"/>
      <c r="U505" s="3135"/>
      <c r="V505" s="3135"/>
      <c r="W505" s="3135"/>
      <c r="X505" s="3135"/>
      <c r="Y505" s="3135"/>
      <c r="Z505" s="3135"/>
      <c r="AA505" s="3135"/>
      <c r="AB505" s="969"/>
      <c r="AC505" s="1595"/>
      <c r="AD505" s="1595"/>
      <c r="AE505" s="1595"/>
      <c r="AF505" s="1595"/>
      <c r="AG505" s="1595"/>
      <c r="AH505" s="1595"/>
      <c r="AI505" s="1595"/>
      <c r="AJ505" s="927"/>
      <c r="AK505" s="1006"/>
      <c r="AL505" s="1006"/>
      <c r="AM505" s="1026"/>
      <c r="AN505" s="1133"/>
      <c r="AO505" s="126"/>
      <c r="AP505" s="51"/>
    </row>
    <row r="506" spans="1:81" s="1134" customFormat="1">
      <c r="A506" s="1060"/>
      <c r="B506" s="1006"/>
      <c r="C506" s="1636"/>
      <c r="D506" s="1023"/>
      <c r="E506" s="3135"/>
      <c r="F506" s="3135"/>
      <c r="G506" s="3135"/>
      <c r="H506" s="3135"/>
      <c r="I506" s="3135"/>
      <c r="J506" s="3135"/>
      <c r="K506" s="3135"/>
      <c r="L506" s="3135"/>
      <c r="M506" s="3135"/>
      <c r="N506" s="3135"/>
      <c r="O506" s="3135"/>
      <c r="P506" s="3135"/>
      <c r="Q506" s="3135"/>
      <c r="R506" s="3135"/>
      <c r="S506" s="3135"/>
      <c r="T506" s="3135"/>
      <c r="U506" s="3135"/>
      <c r="V506" s="3135"/>
      <c r="W506" s="3135"/>
      <c r="X506" s="3135"/>
      <c r="Y506" s="3135"/>
      <c r="Z506" s="3135"/>
      <c r="AA506" s="3135"/>
      <c r="AB506" s="969"/>
      <c r="AC506" s="1595"/>
      <c r="AD506" s="1595"/>
      <c r="AE506" s="1595"/>
      <c r="AF506" s="1595"/>
      <c r="AG506" s="1595"/>
      <c r="AH506" s="1595"/>
      <c r="AI506" s="1595"/>
      <c r="AJ506" s="927"/>
      <c r="AK506" s="1006"/>
      <c r="AL506" s="1006"/>
      <c r="AM506" s="1026"/>
      <c r="AN506" s="1133"/>
      <c r="AO506" s="126"/>
      <c r="AP506" s="51"/>
    </row>
    <row r="507" spans="1:81" s="1134" customFormat="1">
      <c r="A507" s="1060"/>
      <c r="B507" s="1006"/>
      <c r="C507" s="1636"/>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5"/>
      <c r="AD507" s="1595"/>
      <c r="AE507" s="1595"/>
      <c r="AF507" s="1595"/>
      <c r="AG507" s="1595"/>
      <c r="AH507" s="1595"/>
      <c r="AI507" s="1595"/>
      <c r="AJ507" s="927"/>
      <c r="AK507" s="1006"/>
      <c r="AL507" s="1006"/>
      <c r="AM507" s="1026"/>
      <c r="AN507" s="1133"/>
    </row>
    <row r="508" spans="1:81" s="1134" customFormat="1" ht="12.75" customHeight="1">
      <c r="A508" s="1060"/>
      <c r="B508" s="1006"/>
      <c r="C508" s="1636"/>
      <c r="D508" s="1023" t="s">
        <v>1678</v>
      </c>
      <c r="E508" s="1642"/>
      <c r="F508" s="1642"/>
      <c r="G508" s="1642"/>
      <c r="H508" s="3154" t="s">
        <v>625</v>
      </c>
      <c r="I508" s="3154"/>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5"/>
      <c r="AD508" s="1595"/>
      <c r="AE508" s="1595"/>
      <c r="AF508" s="1595"/>
      <c r="AG508" s="1595"/>
      <c r="AH508" s="1595"/>
      <c r="AI508" s="1595"/>
      <c r="AJ508" s="927"/>
      <c r="AK508" s="1006"/>
      <c r="AL508" s="1006"/>
      <c r="AM508" s="1026"/>
      <c r="AN508" s="1133"/>
    </row>
    <row r="509" spans="1:81" s="1134" customFormat="1" ht="12.75" customHeight="1">
      <c r="A509" s="1060"/>
      <c r="B509" s="1006"/>
      <c r="C509" s="1636"/>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5"/>
      <c r="AD509" s="1595"/>
      <c r="AE509" s="1595"/>
      <c r="AF509" s="1595"/>
      <c r="AG509" s="1595"/>
      <c r="AH509" s="1595"/>
      <c r="AI509" s="1595"/>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2"/>
      <c r="D510" s="1019"/>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40"/>
      <c r="AC510" s="1140"/>
      <c r="AD510" s="1140"/>
      <c r="AE510" s="1140"/>
      <c r="AF510" s="1140"/>
      <c r="AG510" s="1140"/>
      <c r="AH510" s="1019"/>
      <c r="AI510" s="959" t="s">
        <v>1726</v>
      </c>
      <c r="AJ510" s="3114">
        <f>VLOOKUP($H$508,$AO$441:$AP$443,2,FALSE)</f>
        <v>0</v>
      </c>
      <c r="AK510" s="3116"/>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8"/>
      <c r="D511" s="927"/>
      <c r="E511" s="927"/>
      <c r="F511" s="927"/>
      <c r="G511" s="927"/>
      <c r="H511" s="927"/>
      <c r="I511" s="927"/>
      <c r="J511" s="1078"/>
      <c r="K511" s="1078"/>
      <c r="L511" s="1596"/>
      <c r="M511" s="1596"/>
      <c r="N511" s="1596"/>
      <c r="O511" s="1596"/>
      <c r="P511" s="1596"/>
      <c r="Q511" s="1596"/>
      <c r="R511" s="1596"/>
      <c r="S511" s="1596"/>
      <c r="T511" s="1596"/>
      <c r="U511" s="1596"/>
      <c r="V511" s="1035"/>
      <c r="W511" s="1035"/>
      <c r="X511" s="1035"/>
      <c r="Y511" s="1035"/>
      <c r="Z511" s="1642"/>
      <c r="AA511" s="1642"/>
      <c r="AB511" s="1642"/>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6"/>
      <c r="D514" s="1106" t="s">
        <v>724</v>
      </c>
      <c r="E514" s="3135" t="s">
        <v>1727</v>
      </c>
      <c r="F514" s="3135"/>
      <c r="G514" s="3135"/>
      <c r="H514" s="3135"/>
      <c r="I514" s="3135"/>
      <c r="J514" s="3135"/>
      <c r="K514" s="3135"/>
      <c r="L514" s="3135"/>
      <c r="M514" s="3135"/>
      <c r="N514" s="3135"/>
      <c r="O514" s="3135"/>
      <c r="P514" s="3135"/>
      <c r="Q514" s="3135"/>
      <c r="R514" s="3135"/>
      <c r="S514" s="3135"/>
      <c r="T514" s="3135"/>
      <c r="U514" s="3135"/>
      <c r="V514" s="3135"/>
      <c r="W514" s="3135"/>
      <c r="X514" s="3135"/>
      <c r="Y514" s="3135"/>
      <c r="Z514" s="3135"/>
      <c r="AA514" s="3135"/>
      <c r="AB514" s="3135"/>
      <c r="AC514" s="927"/>
      <c r="AD514" s="927"/>
      <c r="AE514" s="927"/>
      <c r="AF514" s="3090" t="s">
        <v>1686</v>
      </c>
      <c r="AG514" s="3090"/>
      <c r="AH514" s="3090"/>
      <c r="AI514" s="3090"/>
      <c r="AJ514" s="3090"/>
      <c r="AK514" s="3090"/>
      <c r="AL514" s="3090"/>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8"/>
      <c r="D515" s="1106"/>
      <c r="E515" s="3135"/>
      <c r="F515" s="3135"/>
      <c r="G515" s="3135"/>
      <c r="H515" s="3135"/>
      <c r="I515" s="3135"/>
      <c r="J515" s="3135"/>
      <c r="K515" s="3135"/>
      <c r="L515" s="3135"/>
      <c r="M515" s="3135"/>
      <c r="N515" s="3135"/>
      <c r="O515" s="3135"/>
      <c r="P515" s="3135"/>
      <c r="Q515" s="3135"/>
      <c r="R515" s="3135"/>
      <c r="S515" s="3135"/>
      <c r="T515" s="3135"/>
      <c r="U515" s="3135"/>
      <c r="V515" s="3135"/>
      <c r="W515" s="3135"/>
      <c r="X515" s="3135"/>
      <c r="Y515" s="3135"/>
      <c r="Z515" s="3135"/>
      <c r="AA515" s="3135"/>
      <c r="AB515" s="3135"/>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8"/>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6"/>
      <c r="D517" s="1106" t="s">
        <v>541</v>
      </c>
      <c r="E517" s="3135" t="s">
        <v>1728</v>
      </c>
      <c r="F517" s="3135"/>
      <c r="G517" s="3135"/>
      <c r="H517" s="3135"/>
      <c r="I517" s="3135"/>
      <c r="J517" s="3135"/>
      <c r="K517" s="3135"/>
      <c r="L517" s="3135"/>
      <c r="M517" s="3135"/>
      <c r="N517" s="3135"/>
      <c r="O517" s="3135"/>
      <c r="P517" s="3135"/>
      <c r="Q517" s="3135"/>
      <c r="R517" s="3135"/>
      <c r="S517" s="3135"/>
      <c r="T517" s="3135"/>
      <c r="U517" s="3135"/>
      <c r="V517" s="3135"/>
      <c r="W517" s="3135"/>
      <c r="X517" s="3135"/>
      <c r="Y517" s="3135"/>
      <c r="Z517" s="3135"/>
      <c r="AA517" s="3135"/>
      <c r="AB517" s="3135"/>
      <c r="AC517" s="927"/>
      <c r="AD517" s="927"/>
      <c r="AE517" s="927"/>
      <c r="AF517" s="3090" t="s">
        <v>1705</v>
      </c>
      <c r="AG517" s="3090"/>
      <c r="AH517" s="3090"/>
      <c r="AI517" s="3090"/>
      <c r="AJ517" s="3090"/>
      <c r="AK517" s="3090"/>
      <c r="AL517" s="3090"/>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6"/>
      <c r="D518" s="1106"/>
      <c r="E518" s="3135"/>
      <c r="F518" s="3135"/>
      <c r="G518" s="3135"/>
      <c r="H518" s="3135"/>
      <c r="I518" s="3135"/>
      <c r="J518" s="3135"/>
      <c r="K518" s="3135"/>
      <c r="L518" s="3135"/>
      <c r="M518" s="3135"/>
      <c r="N518" s="3135"/>
      <c r="O518" s="3135"/>
      <c r="P518" s="3135"/>
      <c r="Q518" s="3135"/>
      <c r="R518" s="3135"/>
      <c r="S518" s="3135"/>
      <c r="T518" s="3135"/>
      <c r="U518" s="3135"/>
      <c r="V518" s="3135"/>
      <c r="W518" s="3135"/>
      <c r="X518" s="3135"/>
      <c r="Y518" s="3135"/>
      <c r="Z518" s="3135"/>
      <c r="AA518" s="3135"/>
      <c r="AB518" s="3135"/>
      <c r="AC518" s="927"/>
      <c r="AD518" s="927"/>
      <c r="AE518" s="1595"/>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8"/>
      <c r="D519" s="1023"/>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2"/>
      <c r="F520" s="1642"/>
      <c r="G520" s="1642"/>
      <c r="H520" s="3154" t="s">
        <v>625</v>
      </c>
      <c r="I520" s="3154"/>
      <c r="J520" s="1596"/>
      <c r="K520" s="1596"/>
      <c r="L520" s="1596"/>
      <c r="M520" s="1596"/>
      <c r="N520" s="1596"/>
      <c r="O520" s="1596"/>
      <c r="P520" s="1596"/>
      <c r="Q520" s="927"/>
      <c r="R520" s="927"/>
      <c r="S520" s="927"/>
      <c r="T520" s="927"/>
      <c r="U520" s="927"/>
      <c r="V520" s="927"/>
      <c r="W520" s="1596"/>
      <c r="X520" s="1596"/>
      <c r="Y520" s="1596"/>
      <c r="Z520" s="1596"/>
      <c r="AA520" s="1596"/>
      <c r="AB520" s="1596"/>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8"/>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6"/>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114">
        <f>VLOOKUP($H$520,$AO$455:$AP$457,2,FALSE)</f>
        <v>0</v>
      </c>
      <c r="AK522" s="3116"/>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8"/>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4"/>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4"/>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8"/>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4"/>
      <c r="AJ525" s="1005"/>
      <c r="AK525" s="1005"/>
      <c r="AL525" s="1005"/>
      <c r="AM525" s="1002"/>
      <c r="AN525" s="1133"/>
    </row>
    <row r="526" spans="1:74" s="1134" customFormat="1" ht="13.7" customHeight="1">
      <c r="A526" s="1060"/>
      <c r="B526" s="1035"/>
      <c r="C526" s="1648"/>
      <c r="D526" s="1106" t="s">
        <v>724</v>
      </c>
      <c r="E526" s="3135" t="s">
        <v>2187</v>
      </c>
      <c r="F526" s="3135"/>
      <c r="G526" s="3135"/>
      <c r="H526" s="3135"/>
      <c r="I526" s="3135"/>
      <c r="J526" s="3135"/>
      <c r="K526" s="3135"/>
      <c r="L526" s="3135"/>
      <c r="M526" s="3135"/>
      <c r="N526" s="3135"/>
      <c r="O526" s="3135"/>
      <c r="P526" s="3135"/>
      <c r="Q526" s="3135"/>
      <c r="R526" s="3135"/>
      <c r="S526" s="3135"/>
      <c r="T526" s="3135"/>
      <c r="U526" s="3135"/>
      <c r="V526" s="3135"/>
      <c r="W526" s="3135"/>
      <c r="X526" s="3135"/>
      <c r="Y526" s="3135"/>
      <c r="Z526" s="3135"/>
      <c r="AA526" s="3135"/>
      <c r="AB526" s="3135"/>
      <c r="AC526" s="3135"/>
      <c r="AD526" s="3135"/>
      <c r="AE526" s="927"/>
      <c r="AF526" s="3090" t="s">
        <v>1686</v>
      </c>
      <c r="AG526" s="3090"/>
      <c r="AH526" s="3090"/>
      <c r="AI526" s="3090"/>
      <c r="AJ526" s="3090"/>
      <c r="AK526" s="3090"/>
      <c r="AL526" s="3090"/>
      <c r="AM526" s="1031"/>
      <c r="AN526" s="1133"/>
    </row>
    <row r="527" spans="1:74" s="1134" customFormat="1" ht="13.7" customHeight="1">
      <c r="A527" s="1060"/>
      <c r="B527" s="1035"/>
      <c r="C527" s="1648"/>
      <c r="D527" s="1106"/>
      <c r="E527" s="3135"/>
      <c r="F527" s="3135"/>
      <c r="G527" s="3135"/>
      <c r="H527" s="3135"/>
      <c r="I527" s="3135"/>
      <c r="J527" s="3135"/>
      <c r="K527" s="3135"/>
      <c r="L527" s="3135"/>
      <c r="M527" s="3135"/>
      <c r="N527" s="3135"/>
      <c r="O527" s="3135"/>
      <c r="P527" s="3135"/>
      <c r="Q527" s="3135"/>
      <c r="R527" s="3135"/>
      <c r="S527" s="3135"/>
      <c r="T527" s="3135"/>
      <c r="U527" s="3135"/>
      <c r="V527" s="3135"/>
      <c r="W527" s="3135"/>
      <c r="X527" s="3135"/>
      <c r="Y527" s="3135"/>
      <c r="Z527" s="3135"/>
      <c r="AA527" s="3135"/>
      <c r="AB527" s="3135"/>
      <c r="AC527" s="3135"/>
      <c r="AD527" s="3135"/>
      <c r="AE527" s="927"/>
      <c r="AF527" s="1595"/>
      <c r="AG527" s="1595"/>
      <c r="AH527" s="1595"/>
      <c r="AI527" s="1595"/>
      <c r="AJ527" s="1595"/>
      <c r="AK527" s="1595"/>
      <c r="AL527" s="1595"/>
      <c r="AM527" s="1031"/>
      <c r="AN527" s="1133"/>
    </row>
    <row r="528" spans="1:74" s="1134" customFormat="1">
      <c r="A528" s="1060"/>
      <c r="B528" s="1035"/>
      <c r="C528" s="1648"/>
      <c r="D528" s="1106"/>
      <c r="E528" s="3135"/>
      <c r="F528" s="3135"/>
      <c r="G528" s="3135"/>
      <c r="H528" s="3135"/>
      <c r="I528" s="3135"/>
      <c r="J528" s="3135"/>
      <c r="K528" s="3135"/>
      <c r="L528" s="3135"/>
      <c r="M528" s="3135"/>
      <c r="N528" s="3135"/>
      <c r="O528" s="3135"/>
      <c r="P528" s="3135"/>
      <c r="Q528" s="3135"/>
      <c r="R528" s="3135"/>
      <c r="S528" s="3135"/>
      <c r="T528" s="3135"/>
      <c r="U528" s="3135"/>
      <c r="V528" s="3135"/>
      <c r="W528" s="3135"/>
      <c r="X528" s="3135"/>
      <c r="Y528" s="3135"/>
      <c r="Z528" s="3135"/>
      <c r="AA528" s="3135"/>
      <c r="AB528" s="3135"/>
      <c r="AC528" s="3135"/>
      <c r="AD528" s="3135"/>
      <c r="AE528" s="927"/>
      <c r="AF528" s="927"/>
      <c r="AG528" s="927"/>
      <c r="AH528" s="927"/>
      <c r="AI528" s="927"/>
      <c r="AJ528" s="927"/>
      <c r="AK528" s="927"/>
      <c r="AL528" s="1595"/>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8"/>
      <c r="D529" s="1106"/>
      <c r="E529" s="3135"/>
      <c r="F529" s="3135"/>
      <c r="G529" s="3135"/>
      <c r="H529" s="3135"/>
      <c r="I529" s="3135"/>
      <c r="J529" s="3135"/>
      <c r="K529" s="3135"/>
      <c r="L529" s="3135"/>
      <c r="M529" s="3135"/>
      <c r="N529" s="3135"/>
      <c r="O529" s="3135"/>
      <c r="P529" s="3135"/>
      <c r="Q529" s="3135"/>
      <c r="R529" s="3135"/>
      <c r="S529" s="3135"/>
      <c r="T529" s="3135"/>
      <c r="U529" s="3135"/>
      <c r="V529" s="3135"/>
      <c r="W529" s="3135"/>
      <c r="X529" s="3135"/>
      <c r="Y529" s="3135"/>
      <c r="Z529" s="3135"/>
      <c r="AA529" s="3135"/>
      <c r="AB529" s="3135"/>
      <c r="AC529" s="3135"/>
      <c r="AD529" s="3135"/>
      <c r="AE529" s="1595"/>
      <c r="AF529" s="1595"/>
      <c r="AG529" s="1595"/>
      <c r="AH529" s="1595"/>
      <c r="AI529" s="1595"/>
      <c r="AJ529" s="1595"/>
      <c r="AK529" s="1595"/>
      <c r="AL529" s="1595"/>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8"/>
      <c r="D530" s="1106"/>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7"/>
      <c r="AG530" s="927"/>
      <c r="AH530" s="927"/>
      <c r="AI530" s="927"/>
      <c r="AJ530" s="927"/>
      <c r="AK530" s="927"/>
      <c r="AL530" s="927"/>
      <c r="AM530" s="1031"/>
      <c r="AN530" s="1000"/>
    </row>
    <row r="531" spans="1:81" s="943" customFormat="1" ht="12.75" customHeight="1">
      <c r="A531" s="1060"/>
      <c r="B531" s="1035"/>
      <c r="C531" s="1648"/>
      <c r="D531" s="1106" t="s">
        <v>541</v>
      </c>
      <c r="E531" s="3162" t="s">
        <v>2195</v>
      </c>
      <c r="F531" s="3162"/>
      <c r="G531" s="3162"/>
      <c r="H531" s="3162"/>
      <c r="I531" s="3162"/>
      <c r="J531" s="3162"/>
      <c r="K531" s="3162"/>
      <c r="L531" s="3162"/>
      <c r="M531" s="3162"/>
      <c r="N531" s="3162"/>
      <c r="O531" s="3162"/>
      <c r="P531" s="3162"/>
      <c r="Q531" s="3162"/>
      <c r="R531" s="3162"/>
      <c r="S531" s="3162"/>
      <c r="T531" s="3162"/>
      <c r="U531" s="3162"/>
      <c r="V531" s="3162"/>
      <c r="W531" s="3162"/>
      <c r="X531" s="3162"/>
      <c r="Y531" s="3162"/>
      <c r="Z531" s="3162"/>
      <c r="AA531" s="3162"/>
      <c r="AB531" s="3162"/>
      <c r="AC531" s="3162"/>
      <c r="AD531" s="3162"/>
      <c r="AE531" s="927"/>
      <c r="AF531" s="3090" t="s">
        <v>1622</v>
      </c>
      <c r="AG531" s="3090"/>
      <c r="AH531" s="3090"/>
      <c r="AI531" s="3090"/>
      <c r="AJ531" s="3090"/>
      <c r="AK531" s="3090"/>
      <c r="AL531" s="3090"/>
      <c r="AM531" s="1031"/>
      <c r="AN531" s="1000"/>
    </row>
    <row r="532" spans="1:81" s="943" customFormat="1" ht="12.75" customHeight="1">
      <c r="A532" s="1060"/>
      <c r="B532" s="1035"/>
      <c r="C532" s="1648"/>
      <c r="D532" s="1106"/>
      <c r="E532" s="3162"/>
      <c r="F532" s="3162"/>
      <c r="G532" s="3162"/>
      <c r="H532" s="3162"/>
      <c r="I532" s="3162"/>
      <c r="J532" s="3162"/>
      <c r="K532" s="3162"/>
      <c r="L532" s="3162"/>
      <c r="M532" s="3162"/>
      <c r="N532" s="3162"/>
      <c r="O532" s="3162"/>
      <c r="P532" s="3162"/>
      <c r="Q532" s="3162"/>
      <c r="R532" s="3162"/>
      <c r="S532" s="3162"/>
      <c r="T532" s="3162"/>
      <c r="U532" s="3162"/>
      <c r="V532" s="3162"/>
      <c r="W532" s="3162"/>
      <c r="X532" s="3162"/>
      <c r="Y532" s="3162"/>
      <c r="Z532" s="3162"/>
      <c r="AA532" s="3162"/>
      <c r="AB532" s="3162"/>
      <c r="AC532" s="3162"/>
      <c r="AD532" s="3162"/>
      <c r="AE532" s="1595"/>
      <c r="AF532" s="1595"/>
      <c r="AG532" s="1595"/>
      <c r="AH532" s="1595"/>
      <c r="AI532" s="1595"/>
      <c r="AJ532" s="1595"/>
      <c r="AK532" s="1595"/>
      <c r="AL532" s="1595"/>
      <c r="AM532" s="1031"/>
      <c r="AN532" s="1000"/>
    </row>
    <row r="533" spans="1:81" s="943" customFormat="1" ht="12.75" customHeight="1">
      <c r="A533" s="1060"/>
      <c r="B533" s="1035"/>
      <c r="C533" s="1648"/>
      <c r="D533" s="1106"/>
      <c r="E533" s="3162"/>
      <c r="F533" s="3162"/>
      <c r="G533" s="3162"/>
      <c r="H533" s="3162"/>
      <c r="I533" s="3162"/>
      <c r="J533" s="3162"/>
      <c r="K533" s="3162"/>
      <c r="L533" s="3162"/>
      <c r="M533" s="3162"/>
      <c r="N533" s="3162"/>
      <c r="O533" s="3162"/>
      <c r="P533" s="3162"/>
      <c r="Q533" s="3162"/>
      <c r="R533" s="3162"/>
      <c r="S533" s="3162"/>
      <c r="T533" s="3162"/>
      <c r="U533" s="3162"/>
      <c r="V533" s="3162"/>
      <c r="W533" s="3162"/>
      <c r="X533" s="3162"/>
      <c r="Y533" s="3162"/>
      <c r="Z533" s="3162"/>
      <c r="AA533" s="3162"/>
      <c r="AB533" s="3162"/>
      <c r="AC533" s="3162"/>
      <c r="AD533" s="3162"/>
      <c r="AE533" s="1595"/>
      <c r="AF533" s="1595"/>
      <c r="AG533" s="1595"/>
      <c r="AH533" s="1595"/>
      <c r="AI533" s="1595"/>
      <c r="AJ533" s="1595"/>
      <c r="AK533" s="1595"/>
      <c r="AL533" s="1595"/>
      <c r="AM533" s="1031"/>
      <c r="AN533" s="1000"/>
    </row>
    <row r="534" spans="1:81" s="943" customFormat="1" ht="12.75" customHeight="1">
      <c r="A534" s="1060"/>
      <c r="B534" s="1035"/>
      <c r="C534" s="1648"/>
      <c r="D534" s="1106"/>
      <c r="E534" s="3162"/>
      <c r="F534" s="3162"/>
      <c r="G534" s="3162"/>
      <c r="H534" s="3162"/>
      <c r="I534" s="3162"/>
      <c r="J534" s="3162"/>
      <c r="K534" s="3162"/>
      <c r="L534" s="3162"/>
      <c r="M534" s="3162"/>
      <c r="N534" s="3162"/>
      <c r="O534" s="3162"/>
      <c r="P534" s="3162"/>
      <c r="Q534" s="3162"/>
      <c r="R534" s="3162"/>
      <c r="S534" s="3162"/>
      <c r="T534" s="3162"/>
      <c r="U534" s="3162"/>
      <c r="V534" s="3162"/>
      <c r="W534" s="3162"/>
      <c r="X534" s="3162"/>
      <c r="Y534" s="3162"/>
      <c r="Z534" s="3162"/>
      <c r="AA534" s="3162"/>
      <c r="AB534" s="3162"/>
      <c r="AC534" s="3162"/>
      <c r="AD534" s="3162"/>
      <c r="AE534" s="1595"/>
      <c r="AF534" s="1595"/>
      <c r="AG534" s="1595"/>
      <c r="AH534" s="1595"/>
      <c r="AI534" s="1595"/>
      <c r="AJ534" s="1595"/>
      <c r="AK534" s="1595"/>
      <c r="AL534" s="1595"/>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8"/>
      <c r="D536" s="1023" t="s">
        <v>1678</v>
      </c>
      <c r="E536" s="1642"/>
      <c r="F536" s="1642"/>
      <c r="G536" s="1642"/>
      <c r="H536" s="3154" t="s">
        <v>625</v>
      </c>
      <c r="I536" s="3154"/>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5"/>
      <c r="AH536" s="1023"/>
      <c r="AI536" s="1594"/>
      <c r="AJ536" s="1005"/>
      <c r="AK536" s="1005"/>
      <c r="AL536" s="1005"/>
      <c r="AM536" s="1002"/>
      <c r="AN536" s="1000"/>
    </row>
    <row r="537" spans="1:81" s="943" customFormat="1" ht="12.75" customHeight="1">
      <c r="A537" s="1060"/>
      <c r="B537" s="1035"/>
      <c r="C537" s="1648"/>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4"/>
      <c r="AJ537" s="1005"/>
      <c r="AK537" s="1005"/>
      <c r="AL537" s="1005"/>
      <c r="AM537" s="1002"/>
      <c r="AN537" s="1000"/>
    </row>
    <row r="538" spans="1:81" s="943" customFormat="1" ht="12.75" customHeight="1">
      <c r="A538" s="1071"/>
      <c r="B538" s="1108"/>
      <c r="C538" s="1666"/>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114">
        <f>VLOOKUP($H$536,$AP$477:$AQ$479,2,FALSE)</f>
        <v>0</v>
      </c>
      <c r="AK538" s="3116"/>
      <c r="AL538" s="1005"/>
      <c r="AM538" s="1002"/>
      <c r="AN538" s="1000"/>
    </row>
    <row r="539" spans="1:81" s="1134" customFormat="1">
      <c r="A539" s="1060"/>
      <c r="B539" s="1035"/>
      <c r="C539" s="1648"/>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4"/>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4"/>
      <c r="AJ540" s="1005"/>
      <c r="AK540" s="1005"/>
      <c r="AL540" s="1005"/>
      <c r="AM540" s="1002"/>
      <c r="AN540" s="1133"/>
      <c r="AO540" s="1135"/>
      <c r="AT540" s="1143"/>
      <c r="AU540" s="1143"/>
      <c r="AV540" s="1143"/>
      <c r="AW540" s="1143"/>
      <c r="AX540" s="1143"/>
      <c r="AY540" s="1143"/>
      <c r="AZ540" s="1143"/>
    </row>
    <row r="541" spans="1:81" s="1134" customFormat="1">
      <c r="A541" s="1060"/>
      <c r="B541" s="1035"/>
      <c r="C541" s="1648"/>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8"/>
      <c r="D542" s="1106" t="s">
        <v>724</v>
      </c>
      <c r="E542" s="3135" t="s">
        <v>2186</v>
      </c>
      <c r="F542" s="3135"/>
      <c r="G542" s="3135"/>
      <c r="H542" s="3135"/>
      <c r="I542" s="3135"/>
      <c r="J542" s="3135"/>
      <c r="K542" s="3135"/>
      <c r="L542" s="3135"/>
      <c r="M542" s="3135"/>
      <c r="N542" s="3135"/>
      <c r="O542" s="3135"/>
      <c r="P542" s="3135"/>
      <c r="Q542" s="3135"/>
      <c r="R542" s="3135"/>
      <c r="S542" s="3135"/>
      <c r="T542" s="3135"/>
      <c r="U542" s="3135"/>
      <c r="V542" s="3135"/>
      <c r="W542" s="3135"/>
      <c r="X542" s="3135"/>
      <c r="Y542" s="3135"/>
      <c r="Z542" s="3135"/>
      <c r="AA542" s="3135"/>
      <c r="AB542" s="3135"/>
      <c r="AC542" s="3135"/>
      <c r="AD542" s="3135"/>
      <c r="AE542" s="927"/>
      <c r="AF542" s="3090" t="s">
        <v>1732</v>
      </c>
      <c r="AG542" s="3090"/>
      <c r="AH542" s="3090"/>
      <c r="AI542" s="3090"/>
      <c r="AJ542" s="3090"/>
      <c r="AK542" s="3090"/>
      <c r="AL542" s="3090"/>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8"/>
      <c r="D543" s="1106"/>
      <c r="E543" s="3135"/>
      <c r="F543" s="3135"/>
      <c r="G543" s="3135"/>
      <c r="H543" s="3135"/>
      <c r="I543" s="3135"/>
      <c r="J543" s="3135"/>
      <c r="K543" s="3135"/>
      <c r="L543" s="3135"/>
      <c r="M543" s="3135"/>
      <c r="N543" s="3135"/>
      <c r="O543" s="3135"/>
      <c r="P543" s="3135"/>
      <c r="Q543" s="3135"/>
      <c r="R543" s="3135"/>
      <c r="S543" s="3135"/>
      <c r="T543" s="3135"/>
      <c r="U543" s="3135"/>
      <c r="V543" s="3135"/>
      <c r="W543" s="3135"/>
      <c r="X543" s="3135"/>
      <c r="Y543" s="3135"/>
      <c r="Z543" s="3135"/>
      <c r="AA543" s="3135"/>
      <c r="AB543" s="3135"/>
      <c r="AC543" s="3135"/>
      <c r="AD543" s="3135"/>
      <c r="AE543" s="927"/>
      <c r="AF543" s="1595"/>
      <c r="AG543" s="1595"/>
      <c r="AH543" s="1595"/>
      <c r="AI543" s="1595"/>
      <c r="AJ543" s="1595"/>
      <c r="AK543" s="1595"/>
      <c r="AL543" s="1595"/>
      <c r="AM543" s="1031"/>
      <c r="AN543" s="1133"/>
      <c r="AO543" s="1118"/>
      <c r="AP543" s="943"/>
      <c r="AT543" s="1143"/>
      <c r="AU543" s="1143"/>
      <c r="AV543" s="1143"/>
      <c r="AW543" s="1143"/>
      <c r="AX543" s="1143"/>
      <c r="AY543" s="1143"/>
      <c r="AZ543" s="1143"/>
    </row>
    <row r="544" spans="1:81" s="1134" customFormat="1">
      <c r="A544" s="1060"/>
      <c r="B544" s="1035"/>
      <c r="C544" s="1648"/>
      <c r="D544" s="1106"/>
      <c r="E544" s="3135"/>
      <c r="F544" s="3135"/>
      <c r="G544" s="3135"/>
      <c r="H544" s="3135"/>
      <c r="I544" s="3135"/>
      <c r="J544" s="3135"/>
      <c r="K544" s="3135"/>
      <c r="L544" s="3135"/>
      <c r="M544" s="3135"/>
      <c r="N544" s="3135"/>
      <c r="O544" s="3135"/>
      <c r="P544" s="3135"/>
      <c r="Q544" s="3135"/>
      <c r="R544" s="3135"/>
      <c r="S544" s="3135"/>
      <c r="T544" s="3135"/>
      <c r="U544" s="3135"/>
      <c r="V544" s="3135"/>
      <c r="W544" s="3135"/>
      <c r="X544" s="3135"/>
      <c r="Y544" s="3135"/>
      <c r="Z544" s="3135"/>
      <c r="AA544" s="3135"/>
      <c r="AB544" s="3135"/>
      <c r="AC544" s="3135"/>
      <c r="AD544" s="3135"/>
      <c r="AE544" s="1595"/>
      <c r="AF544" s="1595"/>
      <c r="AG544" s="1595"/>
      <c r="AH544" s="1595"/>
      <c r="AI544" s="1595"/>
      <c r="AJ544" s="1595"/>
      <c r="AK544" s="1595"/>
      <c r="AL544" s="1595"/>
      <c r="AM544" s="1031"/>
      <c r="AN544" s="1133"/>
      <c r="AO544" s="1118"/>
      <c r="AP544" s="943"/>
      <c r="AT544" s="1143"/>
      <c r="AU544" s="1143"/>
      <c r="AV544" s="1143"/>
      <c r="AW544" s="1143"/>
      <c r="AX544" s="1143"/>
      <c r="AY544" s="1143"/>
      <c r="AZ544" s="1143"/>
    </row>
    <row r="545" spans="1:81" s="1134" customFormat="1">
      <c r="A545" s="1060"/>
      <c r="B545" s="1035"/>
      <c r="C545" s="1648"/>
      <c r="D545" s="1106"/>
      <c r="E545" s="3135"/>
      <c r="F545" s="3135"/>
      <c r="G545" s="3135"/>
      <c r="H545" s="3135"/>
      <c r="I545" s="3135"/>
      <c r="J545" s="3135"/>
      <c r="K545" s="3135"/>
      <c r="L545" s="3135"/>
      <c r="M545" s="3135"/>
      <c r="N545" s="3135"/>
      <c r="O545" s="3135"/>
      <c r="P545" s="3135"/>
      <c r="Q545" s="3135"/>
      <c r="R545" s="3135"/>
      <c r="S545" s="3135"/>
      <c r="T545" s="3135"/>
      <c r="U545" s="3135"/>
      <c r="V545" s="3135"/>
      <c r="W545" s="3135"/>
      <c r="X545" s="3135"/>
      <c r="Y545" s="3135"/>
      <c r="Z545" s="3135"/>
      <c r="AA545" s="3135"/>
      <c r="AB545" s="3135"/>
      <c r="AC545" s="3135"/>
      <c r="AD545" s="3135"/>
      <c r="AE545" s="1595"/>
      <c r="AF545" s="1595"/>
      <c r="AG545" s="1595"/>
      <c r="AH545" s="1595"/>
      <c r="AI545" s="1595"/>
      <c r="AJ545" s="1595"/>
      <c r="AK545" s="1595"/>
      <c r="AL545" s="1595"/>
      <c r="AM545" s="1031"/>
      <c r="AN545" s="1133"/>
      <c r="AO545" s="1146"/>
      <c r="AT545" s="1143"/>
      <c r="AU545" s="1143"/>
      <c r="AV545" s="1143"/>
      <c r="AW545" s="1143"/>
      <c r="AX545" s="1143"/>
      <c r="AY545" s="1143"/>
      <c r="AZ545" s="1143"/>
    </row>
    <row r="546" spans="1:81" s="1134" customFormat="1">
      <c r="A546" s="1060"/>
      <c r="B546" s="1035"/>
      <c r="C546" s="1648"/>
      <c r="D546" s="1106"/>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1"/>
      <c r="AN546" s="1133"/>
      <c r="AO546" s="1146"/>
      <c r="AT546" s="1143"/>
      <c r="AU546" s="1143"/>
      <c r="AV546" s="1143"/>
      <c r="AW546" s="1143"/>
      <c r="AX546" s="1143"/>
      <c r="AY546" s="1143"/>
      <c r="AZ546" s="1143"/>
    </row>
    <row r="547" spans="1:81" s="1134" customFormat="1">
      <c r="A547" s="1060"/>
      <c r="B547" s="1035"/>
      <c r="C547" s="1648"/>
      <c r="D547" s="1023" t="s">
        <v>1678</v>
      </c>
      <c r="E547" s="1642"/>
      <c r="F547" s="1642"/>
      <c r="G547" s="1642"/>
      <c r="H547" s="3154" t="s">
        <v>577</v>
      </c>
      <c r="I547" s="3154"/>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4"/>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114">
        <f>VLOOKUP($H$547,$AO$541:$AP$542,2,FALSE)</f>
        <v>8</v>
      </c>
      <c r="AK549" s="3116"/>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114">
        <f>IF(($AJ$382+$AJ$401+$AJ$413+$AJ$448+$AJ$468+$AJ$482+$AJ$494+$AJ$510+$AJ$522+$AJ$538+AJ549)&gt;10,10,($AJ$382+$AJ$401+$AJ$413+$AJ$448+$AJ$468+$AJ$482+$AJ$494+$AJ$510+$AJ$522+$AJ$538+AJ549))</f>
        <v>10</v>
      </c>
      <c r="AL551" s="3115"/>
      <c r="AM551" s="3116"/>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114">
        <f>IF((AK320+AK551)&gt;20,20,(AK320+AK551))</f>
        <v>20</v>
      </c>
      <c r="AL553" s="3115"/>
      <c r="AM553" s="3116"/>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4" t="s">
        <v>1584</v>
      </c>
      <c r="AF556" s="3104"/>
      <c r="AG556" s="3104"/>
      <c r="AH556" s="3104"/>
      <c r="AI556" s="3104"/>
      <c r="AJ556" s="3104"/>
      <c r="AK556" s="3104"/>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61" t="s">
        <v>1737</v>
      </c>
      <c r="D558" s="3161"/>
      <c r="E558" s="3161"/>
      <c r="F558" s="3161"/>
      <c r="G558" s="3161"/>
      <c r="H558" s="3161"/>
      <c r="I558" s="3161"/>
      <c r="J558" s="3161"/>
      <c r="K558" s="3161"/>
      <c r="L558" s="3161"/>
      <c r="M558" s="3161"/>
      <c r="N558" s="3161"/>
      <c r="O558" s="3161"/>
      <c r="P558" s="3161"/>
      <c r="Q558" s="3161"/>
      <c r="R558" s="3161"/>
      <c r="S558" s="3161"/>
      <c r="T558" s="3161"/>
      <c r="U558" s="3161"/>
      <c r="V558" s="3161"/>
      <c r="W558" s="3161"/>
      <c r="X558" s="3161"/>
      <c r="Y558" s="3161"/>
      <c r="Z558" s="3161"/>
      <c r="AA558" s="3161"/>
      <c r="AB558" s="3161"/>
      <c r="AC558" s="3161"/>
      <c r="AD558" s="3161"/>
      <c r="AE558" s="3161"/>
      <c r="AF558" s="3161"/>
      <c r="AG558" s="3161"/>
      <c r="AH558" s="3161"/>
      <c r="AI558" s="3161"/>
      <c r="AJ558" s="3161"/>
      <c r="AK558" s="1027"/>
      <c r="AL558" s="1027"/>
      <c r="AM558" s="1027"/>
      <c r="AN558" s="1000"/>
    </row>
    <row r="559" spans="1:81" s="943" customFormat="1" ht="12.75" customHeight="1">
      <c r="A559" s="1027"/>
      <c r="B559" s="1028"/>
      <c r="C559" s="3161"/>
      <c r="D559" s="3161"/>
      <c r="E559" s="3161"/>
      <c r="F559" s="3161"/>
      <c r="G559" s="3161"/>
      <c r="H559" s="3161"/>
      <c r="I559" s="3161"/>
      <c r="J559" s="3161"/>
      <c r="K559" s="3161"/>
      <c r="L559" s="3161"/>
      <c r="M559" s="3161"/>
      <c r="N559" s="3161"/>
      <c r="O559" s="3161"/>
      <c r="P559" s="3161"/>
      <c r="Q559" s="3161"/>
      <c r="R559" s="3161"/>
      <c r="S559" s="3161"/>
      <c r="T559" s="3161"/>
      <c r="U559" s="3161"/>
      <c r="V559" s="3161"/>
      <c r="W559" s="3161"/>
      <c r="X559" s="3161"/>
      <c r="Y559" s="3161"/>
      <c r="Z559" s="3161"/>
      <c r="AA559" s="3161"/>
      <c r="AB559" s="3161"/>
      <c r="AC559" s="3161"/>
      <c r="AD559" s="3161"/>
      <c r="AE559" s="3161"/>
      <c r="AF559" s="3161"/>
      <c r="AG559" s="3161"/>
      <c r="AH559" s="3161"/>
      <c r="AI559" s="3161"/>
      <c r="AJ559" s="3161"/>
      <c r="AK559" s="1027"/>
      <c r="AL559" s="1027"/>
      <c r="AM559" s="1027"/>
      <c r="AN559" s="1000"/>
    </row>
    <row r="560" spans="1:81" s="943" customFormat="1" ht="12.75" customHeight="1">
      <c r="A560" s="1027"/>
      <c r="B560" s="1028"/>
      <c r="C560" s="3161"/>
      <c r="D560" s="3161"/>
      <c r="E560" s="3161"/>
      <c r="F560" s="3161"/>
      <c r="G560" s="3161"/>
      <c r="H560" s="3161"/>
      <c r="I560" s="3161"/>
      <c r="J560" s="3161"/>
      <c r="K560" s="3161"/>
      <c r="L560" s="3161"/>
      <c r="M560" s="3161"/>
      <c r="N560" s="3161"/>
      <c r="O560" s="3161"/>
      <c r="P560" s="3161"/>
      <c r="Q560" s="3161"/>
      <c r="R560" s="3161"/>
      <c r="S560" s="3161"/>
      <c r="T560" s="3161"/>
      <c r="U560" s="3161"/>
      <c r="V560" s="3161"/>
      <c r="W560" s="3161"/>
      <c r="X560" s="3161"/>
      <c r="Y560" s="3161"/>
      <c r="Z560" s="3161"/>
      <c r="AA560" s="3161"/>
      <c r="AB560" s="3161"/>
      <c r="AC560" s="3161"/>
      <c r="AD560" s="3161"/>
      <c r="AE560" s="3161"/>
      <c r="AF560" s="3161"/>
      <c r="AG560" s="3161"/>
      <c r="AH560" s="3161"/>
      <c r="AI560" s="3161"/>
      <c r="AJ560" s="3161"/>
      <c r="AK560" s="1027"/>
      <c r="AL560" s="1027"/>
      <c r="AM560" s="1027"/>
      <c r="AN560" s="1000"/>
      <c r="AQ560" s="1135"/>
      <c r="AR560" s="1002"/>
    </row>
    <row r="561" spans="1:46" s="943" customFormat="1" ht="12.75" customHeight="1">
      <c r="A561" s="1027"/>
      <c r="B561" s="1118"/>
      <c r="C561" s="3161"/>
      <c r="D561" s="3161"/>
      <c r="E561" s="3161"/>
      <c r="F561" s="3161"/>
      <c r="G561" s="3161"/>
      <c r="H561" s="3161"/>
      <c r="I561" s="3161"/>
      <c r="J561" s="3161"/>
      <c r="K561" s="3161"/>
      <c r="L561" s="3161"/>
      <c r="M561" s="3161"/>
      <c r="N561" s="3161"/>
      <c r="O561" s="3161"/>
      <c r="P561" s="3161"/>
      <c r="Q561" s="3161"/>
      <c r="R561" s="3161"/>
      <c r="S561" s="3161"/>
      <c r="T561" s="3161"/>
      <c r="U561" s="3161"/>
      <c r="V561" s="3161"/>
      <c r="W561" s="3161"/>
      <c r="X561" s="3161"/>
      <c r="Y561" s="3161"/>
      <c r="Z561" s="3161"/>
      <c r="AA561" s="3161"/>
      <c r="AB561" s="3161"/>
      <c r="AC561" s="3161"/>
      <c r="AD561" s="3161"/>
      <c r="AE561" s="3161"/>
      <c r="AF561" s="3161"/>
      <c r="AG561" s="3161"/>
      <c r="AH561" s="3161"/>
      <c r="AI561" s="3161"/>
      <c r="AJ561" s="3161"/>
      <c r="AK561" s="1027"/>
      <c r="AL561" s="1027"/>
      <c r="AM561" s="1027"/>
      <c r="AN561" s="1000"/>
      <c r="AQ561" s="1135"/>
      <c r="AR561" s="1002"/>
    </row>
    <row r="562" spans="1:46" s="943" customFormat="1" ht="12.4" customHeight="1">
      <c r="A562" s="1027"/>
      <c r="B562" s="1118"/>
      <c r="C562" s="3161"/>
      <c r="D562" s="3161"/>
      <c r="E562" s="3161"/>
      <c r="F562" s="3161"/>
      <c r="G562" s="3161"/>
      <c r="H562" s="3161"/>
      <c r="I562" s="3161"/>
      <c r="J562" s="3161"/>
      <c r="K562" s="3161"/>
      <c r="L562" s="3161"/>
      <c r="M562" s="3161"/>
      <c r="N562" s="3161"/>
      <c r="O562" s="3161"/>
      <c r="P562" s="3161"/>
      <c r="Q562" s="3161"/>
      <c r="R562" s="3161"/>
      <c r="S562" s="3161"/>
      <c r="T562" s="3161"/>
      <c r="U562" s="3161"/>
      <c r="V562" s="3161"/>
      <c r="W562" s="3161"/>
      <c r="X562" s="3161"/>
      <c r="Y562" s="3161"/>
      <c r="Z562" s="3161"/>
      <c r="AA562" s="3161"/>
      <c r="AB562" s="3161"/>
      <c r="AC562" s="3161"/>
      <c r="AD562" s="3161"/>
      <c r="AE562" s="3161"/>
      <c r="AF562" s="3161"/>
      <c r="AG562" s="3161"/>
      <c r="AH562" s="3161"/>
      <c r="AI562" s="3161"/>
      <c r="AJ562" s="3161"/>
      <c r="AK562" s="1027"/>
      <c r="AL562" s="1027"/>
      <c r="AM562" s="1027"/>
      <c r="AN562" s="1000"/>
      <c r="AQ562" s="1135"/>
      <c r="AR562" s="1135"/>
    </row>
    <row r="563" spans="1:46" s="943" customFormat="1" ht="24.95" customHeight="1">
      <c r="A563" s="1027"/>
      <c r="B563" s="1118"/>
      <c r="C563" s="3161" t="s">
        <v>1738</v>
      </c>
      <c r="D563" s="3161"/>
      <c r="E563" s="3161"/>
      <c r="F563" s="3161"/>
      <c r="G563" s="3161"/>
      <c r="H563" s="3161"/>
      <c r="I563" s="3161"/>
      <c r="J563" s="3161"/>
      <c r="K563" s="3161"/>
      <c r="L563" s="3161"/>
      <c r="M563" s="3161"/>
      <c r="N563" s="3161"/>
      <c r="O563" s="3161"/>
      <c r="P563" s="3161"/>
      <c r="Q563" s="3161"/>
      <c r="R563" s="3161"/>
      <c r="S563" s="3161"/>
      <c r="T563" s="3161"/>
      <c r="U563" s="3161"/>
      <c r="V563" s="3161"/>
      <c r="W563" s="3161"/>
      <c r="X563" s="3161"/>
      <c r="Y563" s="3161"/>
      <c r="Z563" s="3161"/>
      <c r="AA563" s="3161"/>
      <c r="AB563" s="3161"/>
      <c r="AC563" s="3161"/>
      <c r="AD563" s="3161"/>
      <c r="AE563" s="3161"/>
      <c r="AF563" s="3161"/>
      <c r="AG563" s="3161"/>
      <c r="AH563" s="3161"/>
      <c r="AI563" s="3161"/>
      <c r="AJ563" s="3161"/>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61" t="s">
        <v>2392</v>
      </c>
      <c r="D565" s="3161"/>
      <c r="E565" s="3161"/>
      <c r="F565" s="3161"/>
      <c r="G565" s="3161"/>
      <c r="H565" s="3161"/>
      <c r="I565" s="3161"/>
      <c r="J565" s="3161"/>
      <c r="K565" s="3161"/>
      <c r="L565" s="3161"/>
      <c r="M565" s="3161"/>
      <c r="N565" s="3161"/>
      <c r="O565" s="3161"/>
      <c r="P565" s="3161"/>
      <c r="Q565" s="3161"/>
      <c r="R565" s="3161"/>
      <c r="S565" s="3161"/>
      <c r="T565" s="3161"/>
      <c r="U565" s="3161"/>
      <c r="V565" s="3161"/>
      <c r="W565" s="3161"/>
      <c r="X565" s="3161"/>
      <c r="Y565" s="3161"/>
      <c r="Z565" s="3161"/>
      <c r="AA565" s="3161"/>
      <c r="AB565" s="3161"/>
      <c r="AC565" s="3161"/>
      <c r="AD565" s="3161"/>
      <c r="AE565" s="3161"/>
      <c r="AF565" s="3161"/>
      <c r="AG565" s="3161"/>
      <c r="AH565" s="3161"/>
      <c r="AI565" s="3161"/>
      <c r="AJ565" s="3161"/>
      <c r="AK565" s="1027"/>
      <c r="AL565" s="1027"/>
      <c r="AM565" s="1027"/>
      <c r="AN565" s="1000"/>
      <c r="AQ565" s="1135"/>
      <c r="AR565" s="1135"/>
    </row>
    <row r="566" spans="1:46" s="943" customFormat="1" ht="30" customHeight="1">
      <c r="A566" s="1027"/>
      <c r="B566" s="1118"/>
      <c r="C566" s="3161"/>
      <c r="D566" s="3161"/>
      <c r="E566" s="3161"/>
      <c r="F566" s="3161"/>
      <c r="G566" s="3161"/>
      <c r="H566" s="3161"/>
      <c r="I566" s="3161"/>
      <c r="J566" s="3161"/>
      <c r="K566" s="3161"/>
      <c r="L566" s="3161"/>
      <c r="M566" s="3161"/>
      <c r="N566" s="3161"/>
      <c r="O566" s="3161"/>
      <c r="P566" s="3161"/>
      <c r="Q566" s="3161"/>
      <c r="R566" s="3161"/>
      <c r="S566" s="3161"/>
      <c r="T566" s="3161"/>
      <c r="U566" s="3161"/>
      <c r="V566" s="3161"/>
      <c r="W566" s="3161"/>
      <c r="X566" s="3161"/>
      <c r="Y566" s="3161"/>
      <c r="Z566" s="3161"/>
      <c r="AA566" s="3161"/>
      <c r="AB566" s="3161"/>
      <c r="AC566" s="3161"/>
      <c r="AD566" s="3161"/>
      <c r="AE566" s="3161"/>
      <c r="AF566" s="3161"/>
      <c r="AG566" s="3161"/>
      <c r="AH566" s="3161"/>
      <c r="AI566" s="3161"/>
      <c r="AJ566" s="3161"/>
      <c r="AK566" s="1027"/>
      <c r="AL566" s="1027"/>
      <c r="AM566" s="1027"/>
      <c r="AN566" s="1000"/>
      <c r="AQ566" s="1002"/>
      <c r="AR566" s="1135"/>
    </row>
    <row r="567" spans="1:46" s="943" customFormat="1" ht="12.75" customHeight="1">
      <c r="A567" s="1027"/>
      <c r="B567" s="1118"/>
      <c r="C567" s="3161"/>
      <c r="D567" s="3161"/>
      <c r="E567" s="3161"/>
      <c r="F567" s="3161"/>
      <c r="G567" s="3161"/>
      <c r="H567" s="3161"/>
      <c r="I567" s="3161"/>
      <c r="J567" s="3161"/>
      <c r="K567" s="3161"/>
      <c r="L567" s="3161"/>
      <c r="M567" s="3161"/>
      <c r="N567" s="3161"/>
      <c r="O567" s="3161"/>
      <c r="P567" s="3161"/>
      <c r="Q567" s="3161"/>
      <c r="R567" s="3161"/>
      <c r="S567" s="3161"/>
      <c r="T567" s="3161"/>
      <c r="U567" s="3161"/>
      <c r="V567" s="3161"/>
      <c r="W567" s="3161"/>
      <c r="X567" s="3161"/>
      <c r="Y567" s="3161"/>
      <c r="Z567" s="3161"/>
      <c r="AA567" s="3161"/>
      <c r="AB567" s="3161"/>
      <c r="AC567" s="3161"/>
      <c r="AD567" s="3161"/>
      <c r="AE567" s="3161"/>
      <c r="AF567" s="3161"/>
      <c r="AG567" s="3161"/>
      <c r="AH567" s="3161"/>
      <c r="AI567" s="3161"/>
      <c r="AJ567" s="3161"/>
      <c r="AK567" s="1027"/>
      <c r="AL567" s="1027"/>
      <c r="AM567" s="1027"/>
      <c r="AN567" s="1000"/>
      <c r="AQ567" s="1002"/>
      <c r="AR567" s="1135"/>
    </row>
    <row r="568" spans="1:46" s="943" customFormat="1" ht="12.75" customHeight="1">
      <c r="A568" s="1027"/>
      <c r="B568" s="1118"/>
      <c r="C568" s="3161" t="s">
        <v>1739</v>
      </c>
      <c r="D568" s="3161"/>
      <c r="E568" s="3161"/>
      <c r="F568" s="3161"/>
      <c r="G568" s="3161"/>
      <c r="H568" s="3161"/>
      <c r="I568" s="3161"/>
      <c r="J568" s="3161"/>
      <c r="K568" s="3161"/>
      <c r="L568" s="3161"/>
      <c r="M568" s="3161"/>
      <c r="N568" s="3161"/>
      <c r="O568" s="3161"/>
      <c r="P568" s="3161"/>
      <c r="Q568" s="3161"/>
      <c r="R568" s="3161"/>
      <c r="S568" s="3161"/>
      <c r="T568" s="3161"/>
      <c r="U568" s="3161"/>
      <c r="V568" s="3161"/>
      <c r="W568" s="3161"/>
      <c r="X568" s="3161"/>
      <c r="Y568" s="3161"/>
      <c r="Z568" s="3161"/>
      <c r="AA568" s="3161"/>
      <c r="AB568" s="3161"/>
      <c r="AC568" s="3161"/>
      <c r="AD568" s="3161"/>
      <c r="AE568" s="3161"/>
      <c r="AF568" s="3161"/>
      <c r="AG568" s="3161"/>
      <c r="AH568" s="3161"/>
      <c r="AI568" s="3161"/>
      <c r="AJ568" s="3161"/>
      <c r="AK568" s="1027"/>
      <c r="AL568" s="1027"/>
      <c r="AM568" s="1027"/>
      <c r="AN568" s="1000"/>
      <c r="AQ568" s="1135"/>
      <c r="AR568" s="1135"/>
    </row>
    <row r="569" spans="1:46" s="943" customFormat="1" ht="12.75" customHeight="1">
      <c r="A569" s="1027"/>
      <c r="B569" s="1118"/>
      <c r="C569" s="3161"/>
      <c r="D569" s="3161"/>
      <c r="E569" s="3161"/>
      <c r="F569" s="3161"/>
      <c r="G569" s="3161"/>
      <c r="H569" s="3161"/>
      <c r="I569" s="3161"/>
      <c r="J569" s="3161"/>
      <c r="K569" s="3161"/>
      <c r="L569" s="3161"/>
      <c r="M569" s="3161"/>
      <c r="N569" s="3161"/>
      <c r="O569" s="3161"/>
      <c r="P569" s="3161"/>
      <c r="Q569" s="3161"/>
      <c r="R569" s="3161"/>
      <c r="S569" s="3161"/>
      <c r="T569" s="3161"/>
      <c r="U569" s="3161"/>
      <c r="V569" s="3161"/>
      <c r="W569" s="3161"/>
      <c r="X569" s="3161"/>
      <c r="Y569" s="3161"/>
      <c r="Z569" s="3161"/>
      <c r="AA569" s="3161"/>
      <c r="AB569" s="3161"/>
      <c r="AC569" s="3161"/>
      <c r="AD569" s="3161"/>
      <c r="AE569" s="3161"/>
      <c r="AF569" s="3161"/>
      <c r="AG569" s="3161"/>
      <c r="AH569" s="3161"/>
      <c r="AI569" s="3161"/>
      <c r="AJ569" s="3161"/>
      <c r="AK569" s="1027"/>
      <c r="AL569" s="1027"/>
      <c r="AM569" s="1027"/>
      <c r="AN569" s="1000"/>
      <c r="AQ569" s="1135"/>
      <c r="AR569" s="1135"/>
    </row>
    <row r="570" spans="1:46" s="943" customFormat="1" ht="13.15" customHeight="1">
      <c r="A570" s="1027"/>
      <c r="B570" s="1118"/>
      <c r="C570" s="3161"/>
      <c r="D570" s="3161"/>
      <c r="E570" s="3161"/>
      <c r="F570" s="3161"/>
      <c r="G570" s="3161"/>
      <c r="H570" s="3161"/>
      <c r="I570" s="3161"/>
      <c r="J570" s="3161"/>
      <c r="K570" s="3161"/>
      <c r="L570" s="3161"/>
      <c r="M570" s="3161"/>
      <c r="N570" s="3161"/>
      <c r="O570" s="3161"/>
      <c r="P570" s="3161"/>
      <c r="Q570" s="3161"/>
      <c r="R570" s="3161"/>
      <c r="S570" s="3161"/>
      <c r="T570" s="3161"/>
      <c r="U570" s="3161"/>
      <c r="V570" s="3161"/>
      <c r="W570" s="3161"/>
      <c r="X570" s="3161"/>
      <c r="Y570" s="3161"/>
      <c r="Z570" s="3161"/>
      <c r="AA570" s="3161"/>
      <c r="AB570" s="3161"/>
      <c r="AC570" s="3161"/>
      <c r="AD570" s="3161"/>
      <c r="AE570" s="3161"/>
      <c r="AF570" s="3161"/>
      <c r="AG570" s="3161"/>
      <c r="AH570" s="3161"/>
      <c r="AI570" s="3161"/>
      <c r="AJ570" s="3161"/>
      <c r="AK570" s="1027"/>
      <c r="AL570" s="1027"/>
      <c r="AM570" s="1027"/>
      <c r="AN570" s="1000"/>
      <c r="AQ570" s="1135"/>
      <c r="AR570" s="1135"/>
    </row>
    <row r="571" spans="1:46" s="943" customFormat="1" ht="12.75" customHeight="1">
      <c r="A571" s="1027"/>
      <c r="B571" s="1118"/>
      <c r="C571" s="3161"/>
      <c r="D571" s="3161"/>
      <c r="E571" s="3161"/>
      <c r="F571" s="3161"/>
      <c r="G571" s="3161"/>
      <c r="H571" s="3161"/>
      <c r="I571" s="3161"/>
      <c r="J571" s="3161"/>
      <c r="K571" s="3161"/>
      <c r="L571" s="3161"/>
      <c r="M571" s="3161"/>
      <c r="N571" s="3161"/>
      <c r="O571" s="3161"/>
      <c r="P571" s="3161"/>
      <c r="Q571" s="3161"/>
      <c r="R571" s="3161"/>
      <c r="S571" s="3161"/>
      <c r="T571" s="3161"/>
      <c r="U571" s="3161"/>
      <c r="V571" s="3161"/>
      <c r="W571" s="3161"/>
      <c r="X571" s="3161"/>
      <c r="Y571" s="3161"/>
      <c r="Z571" s="3161"/>
      <c r="AA571" s="3161"/>
      <c r="AB571" s="3161"/>
      <c r="AC571" s="3161"/>
      <c r="AD571" s="3161"/>
      <c r="AE571" s="3161"/>
      <c r="AF571" s="3161"/>
      <c r="AG571" s="3161"/>
      <c r="AH571" s="3161"/>
      <c r="AI571" s="3161"/>
      <c r="AJ571" s="3161"/>
      <c r="AK571" s="1027"/>
      <c r="AL571" s="1027"/>
      <c r="AM571" s="1027"/>
      <c r="AN571" s="1000"/>
      <c r="AO571" s="1150"/>
      <c r="AP571" s="1150"/>
      <c r="AQ571" s="1135"/>
      <c r="AR571" s="1002"/>
    </row>
    <row r="572" spans="1:46" s="943" customFormat="1" ht="11.85" customHeight="1">
      <c r="A572" s="1027"/>
      <c r="B572" s="1118"/>
      <c r="C572" s="3161"/>
      <c r="D572" s="3161"/>
      <c r="E572" s="3161"/>
      <c r="F572" s="3161"/>
      <c r="G572" s="3161"/>
      <c r="H572" s="3161"/>
      <c r="I572" s="3161"/>
      <c r="J572" s="3161"/>
      <c r="K572" s="3161"/>
      <c r="L572" s="3161"/>
      <c r="M572" s="3161"/>
      <c r="N572" s="3161"/>
      <c r="O572" s="3161"/>
      <c r="P572" s="3161"/>
      <c r="Q572" s="3161"/>
      <c r="R572" s="3161"/>
      <c r="S572" s="3161"/>
      <c r="T572" s="3161"/>
      <c r="U572" s="3161"/>
      <c r="V572" s="3161"/>
      <c r="W572" s="3161"/>
      <c r="X572" s="3161"/>
      <c r="Y572" s="3161"/>
      <c r="Z572" s="3161"/>
      <c r="AA572" s="3161"/>
      <c r="AB572" s="3161"/>
      <c r="AC572" s="3161"/>
      <c r="AD572" s="3161"/>
      <c r="AE572" s="3161"/>
      <c r="AF572" s="3161"/>
      <c r="AG572" s="3161"/>
      <c r="AH572" s="3161"/>
      <c r="AI572" s="3161"/>
      <c r="AJ572" s="3161"/>
      <c r="AK572" s="1027"/>
      <c r="AL572" s="1027"/>
      <c r="AM572" s="1027"/>
      <c r="AN572" s="1000"/>
      <c r="AO572" s="1151" t="s">
        <v>117</v>
      </c>
      <c r="AP572" s="1152">
        <f>IF(C596="Yes",5,0)</f>
        <v>0</v>
      </c>
      <c r="AQ572" s="1002"/>
      <c r="AR572" s="1002"/>
      <c r="AS572" s="932" t="s">
        <v>1740</v>
      </c>
    </row>
    <row r="573" spans="1:46" s="943" customFormat="1" ht="12.75" customHeight="1">
      <c r="A573" s="1027"/>
      <c r="B573" s="1118"/>
      <c r="C573" s="3161"/>
      <c r="D573" s="3161"/>
      <c r="E573" s="3161"/>
      <c r="F573" s="3161"/>
      <c r="G573" s="3161"/>
      <c r="H573" s="3161"/>
      <c r="I573" s="3161"/>
      <c r="J573" s="3161"/>
      <c r="K573" s="3161"/>
      <c r="L573" s="3161"/>
      <c r="M573" s="3161"/>
      <c r="N573" s="3161"/>
      <c r="O573" s="3161"/>
      <c r="P573" s="3161"/>
      <c r="Q573" s="3161"/>
      <c r="R573" s="3161"/>
      <c r="S573" s="3161"/>
      <c r="T573" s="3161"/>
      <c r="U573" s="3161"/>
      <c r="V573" s="3161"/>
      <c r="W573" s="3161"/>
      <c r="X573" s="3161"/>
      <c r="Y573" s="3161"/>
      <c r="Z573" s="3161"/>
      <c r="AA573" s="3161"/>
      <c r="AB573" s="3161"/>
      <c r="AC573" s="3161"/>
      <c r="AD573" s="3161"/>
      <c r="AE573" s="3161"/>
      <c r="AF573" s="3161"/>
      <c r="AG573" s="3161"/>
      <c r="AH573" s="3161"/>
      <c r="AI573" s="3161"/>
      <c r="AJ573" s="3161"/>
      <c r="AK573" s="1027"/>
      <c r="AL573" s="1027"/>
      <c r="AM573" s="1027"/>
      <c r="AN573" s="1000"/>
      <c r="AO573" s="1151" t="s">
        <v>118</v>
      </c>
      <c r="AP573" s="1152">
        <f>IF(C604="Yes",5,0)</f>
        <v>0</v>
      </c>
      <c r="AQ573" s="1002"/>
      <c r="AR573" s="1002"/>
      <c r="AS573" s="3168">
        <f>IF(Application!D210="Non-Targeted",(SUM(AQ581+AQ590)),AS577)</f>
        <v>10</v>
      </c>
      <c r="AT573" s="3168"/>
    </row>
    <row r="574" spans="1:46" s="943" customFormat="1" ht="12.75" customHeight="1">
      <c r="A574" s="1027"/>
      <c r="B574" s="1118"/>
      <c r="C574" s="3161"/>
      <c r="D574" s="3161"/>
      <c r="E574" s="3161"/>
      <c r="F574" s="3161"/>
      <c r="G574" s="3161"/>
      <c r="H574" s="3161"/>
      <c r="I574" s="3161"/>
      <c r="J574" s="3161"/>
      <c r="K574" s="3161"/>
      <c r="L574" s="3161"/>
      <c r="M574" s="3161"/>
      <c r="N574" s="3161"/>
      <c r="O574" s="3161"/>
      <c r="P574" s="3161"/>
      <c r="Q574" s="3161"/>
      <c r="R574" s="3161"/>
      <c r="S574" s="3161"/>
      <c r="T574" s="3161"/>
      <c r="U574" s="3161"/>
      <c r="V574" s="3161"/>
      <c r="W574" s="3161"/>
      <c r="X574" s="3161"/>
      <c r="Y574" s="3161"/>
      <c r="Z574" s="3161"/>
      <c r="AA574" s="3161"/>
      <c r="AB574" s="3161"/>
      <c r="AC574" s="3161"/>
      <c r="AD574" s="3161"/>
      <c r="AE574" s="3161"/>
      <c r="AF574" s="3161"/>
      <c r="AG574" s="3161"/>
      <c r="AH574" s="3161"/>
      <c r="AI574" s="3161"/>
      <c r="AJ574" s="3161"/>
      <c r="AK574" s="1027"/>
      <c r="AL574" s="1027"/>
      <c r="AM574" s="1027"/>
      <c r="AN574" s="1000"/>
      <c r="AO574" s="1151" t="s">
        <v>124</v>
      </c>
      <c r="AP574" s="1152">
        <f>IF(C612="Yes",7,0)</f>
        <v>7</v>
      </c>
      <c r="AS574" s="932" t="s">
        <v>1741</v>
      </c>
    </row>
    <row r="575" spans="1:46" s="943" customFormat="1" ht="12.75" customHeight="1">
      <c r="A575" s="1027"/>
      <c r="B575" s="1118"/>
      <c r="C575" s="3161"/>
      <c r="D575" s="3161"/>
      <c r="E575" s="3161"/>
      <c r="F575" s="3161"/>
      <c r="G575" s="3161"/>
      <c r="H575" s="3161"/>
      <c r="I575" s="3161"/>
      <c r="J575" s="3161"/>
      <c r="K575" s="3161"/>
      <c r="L575" s="3161"/>
      <c r="M575" s="3161"/>
      <c r="N575" s="3161"/>
      <c r="O575" s="3161"/>
      <c r="P575" s="3161"/>
      <c r="Q575" s="3161"/>
      <c r="R575" s="3161"/>
      <c r="S575" s="3161"/>
      <c r="T575" s="3161"/>
      <c r="U575" s="3161"/>
      <c r="V575" s="3161"/>
      <c r="W575" s="3161"/>
      <c r="X575" s="3161"/>
      <c r="Y575" s="3161"/>
      <c r="Z575" s="3161"/>
      <c r="AA575" s="3161"/>
      <c r="AB575" s="3161"/>
      <c r="AC575" s="3161"/>
      <c r="AD575" s="3161"/>
      <c r="AE575" s="3161"/>
      <c r="AF575" s="3161"/>
      <c r="AG575" s="3161"/>
      <c r="AH575" s="3161"/>
      <c r="AI575" s="3161"/>
      <c r="AJ575" s="3161"/>
      <c r="AK575" s="1027"/>
      <c r="AL575" s="1027"/>
      <c r="AM575" s="1027"/>
      <c r="AN575" s="1000"/>
      <c r="AO575" s="1000"/>
      <c r="AP575" s="1152">
        <f>IF(C614="Yes",5,0)</f>
        <v>0</v>
      </c>
      <c r="AS575" s="3168">
        <f>IF(AND(AQ581&gt;0,AQ590&gt;0),(AQ581+AQ590)/2,0)</f>
        <v>0</v>
      </c>
      <c r="AT575" s="3168"/>
    </row>
    <row r="576" spans="1:46" s="943" customFormat="1" ht="12.75" customHeight="1">
      <c r="A576" s="1027"/>
      <c r="B576" s="1118"/>
      <c r="C576" s="3161"/>
      <c r="D576" s="3161"/>
      <c r="E576" s="3161"/>
      <c r="F576" s="3161"/>
      <c r="G576" s="3161"/>
      <c r="H576" s="3161"/>
      <c r="I576" s="3161"/>
      <c r="J576" s="3161"/>
      <c r="K576" s="3161"/>
      <c r="L576" s="3161"/>
      <c r="M576" s="3161"/>
      <c r="N576" s="3161"/>
      <c r="O576" s="3161"/>
      <c r="P576" s="3161"/>
      <c r="Q576" s="3161"/>
      <c r="R576" s="3161"/>
      <c r="S576" s="3161"/>
      <c r="T576" s="3161"/>
      <c r="U576" s="3161"/>
      <c r="V576" s="3161"/>
      <c r="W576" s="3161"/>
      <c r="X576" s="3161"/>
      <c r="Y576" s="3161"/>
      <c r="Z576" s="3161"/>
      <c r="AA576" s="3161"/>
      <c r="AB576" s="3161"/>
      <c r="AC576" s="3161"/>
      <c r="AD576" s="3161"/>
      <c r="AE576" s="3161"/>
      <c r="AF576" s="3161"/>
      <c r="AG576" s="3161"/>
      <c r="AH576" s="3161"/>
      <c r="AI576" s="3161"/>
      <c r="AJ576" s="3161"/>
      <c r="AK576" s="1027"/>
      <c r="AL576" s="1027"/>
      <c r="AM576" s="1027"/>
      <c r="AN576" s="1000"/>
      <c r="AO576" s="1151" t="s">
        <v>615</v>
      </c>
      <c r="AP576" s="1152">
        <f>IF(C622="Yes",5,0)</f>
        <v>0</v>
      </c>
      <c r="AQ576" s="1002"/>
      <c r="AR576" s="1002"/>
      <c r="AS576" s="932" t="s">
        <v>2415</v>
      </c>
    </row>
    <row r="577" spans="1:81" s="943" customFormat="1" ht="12.75" customHeight="1">
      <c r="A577" s="1027"/>
      <c r="B577" s="1118"/>
      <c r="C577" s="3169" t="s">
        <v>1742</v>
      </c>
      <c r="D577" s="3169"/>
      <c r="E577" s="3169"/>
      <c r="F577" s="3169"/>
      <c r="G577" s="3169"/>
      <c r="H577" s="3169"/>
      <c r="I577" s="3169"/>
      <c r="J577" s="3169"/>
      <c r="K577" s="3169"/>
      <c r="L577" s="3169"/>
      <c r="M577" s="3169"/>
      <c r="N577" s="3169"/>
      <c r="O577" s="3169"/>
      <c r="P577" s="3169"/>
      <c r="Q577" s="3169"/>
      <c r="R577" s="3169"/>
      <c r="S577" s="3169"/>
      <c r="T577" s="3169"/>
      <c r="U577" s="3169"/>
      <c r="V577" s="3169"/>
      <c r="W577" s="3169"/>
      <c r="X577" s="3169"/>
      <c r="Y577" s="3169"/>
      <c r="Z577" s="3169"/>
      <c r="AA577" s="3169"/>
      <c r="AB577" s="3169"/>
      <c r="AC577" s="3169"/>
      <c r="AD577" s="3169"/>
      <c r="AE577" s="3169"/>
      <c r="AF577" s="3169"/>
      <c r="AG577" s="3169"/>
      <c r="AH577" s="3169"/>
      <c r="AI577" s="3169"/>
      <c r="AJ577" s="3169"/>
      <c r="AK577" s="1027"/>
      <c r="AL577" s="1027"/>
      <c r="AM577" s="1027"/>
      <c r="AN577" s="1000"/>
      <c r="AO577" s="1000"/>
      <c r="AP577" s="1152">
        <f>IF(C624="Yes",3,0)</f>
        <v>0</v>
      </c>
      <c r="AS577" s="3168">
        <f>IF(AQ581=0,AQ590,AQ581)</f>
        <v>10</v>
      </c>
      <c r="AT577" s="3168"/>
    </row>
    <row r="578" spans="1:81" s="943" customFormat="1" ht="12.75" customHeight="1">
      <c r="A578" s="1027"/>
      <c r="B578" s="1118"/>
      <c r="C578" s="3169"/>
      <c r="D578" s="3169"/>
      <c r="E578" s="3169"/>
      <c r="F578" s="3169"/>
      <c r="G578" s="3169"/>
      <c r="H578" s="3169"/>
      <c r="I578" s="3169"/>
      <c r="J578" s="3169"/>
      <c r="K578" s="3169"/>
      <c r="L578" s="3169"/>
      <c r="M578" s="3169"/>
      <c r="N578" s="3169"/>
      <c r="O578" s="3169"/>
      <c r="P578" s="3169"/>
      <c r="Q578" s="3169"/>
      <c r="R578" s="3169"/>
      <c r="S578" s="3169"/>
      <c r="T578" s="3169"/>
      <c r="U578" s="3169"/>
      <c r="V578" s="3169"/>
      <c r="W578" s="3169"/>
      <c r="X578" s="3169"/>
      <c r="Y578" s="3169"/>
      <c r="Z578" s="3169"/>
      <c r="AA578" s="3169"/>
      <c r="AB578" s="3169"/>
      <c r="AC578" s="3169"/>
      <c r="AD578" s="3169"/>
      <c r="AE578" s="3169"/>
      <c r="AF578" s="3169"/>
      <c r="AG578" s="3169"/>
      <c r="AH578" s="3169"/>
      <c r="AI578" s="3169"/>
      <c r="AJ578" s="3169"/>
      <c r="AK578" s="1027"/>
      <c r="AL578" s="1027"/>
      <c r="AM578" s="1027"/>
      <c r="AN578" s="1000"/>
      <c r="AO578" s="1151" t="s">
        <v>820</v>
      </c>
      <c r="AP578" s="1152">
        <f>IF(C627="Yes",5,0)</f>
        <v>0</v>
      </c>
    </row>
    <row r="579" spans="1:81" s="943" customFormat="1" ht="12.75" customHeight="1">
      <c r="A579" s="1027"/>
      <c r="B579" s="1118"/>
      <c r="C579" s="3169"/>
      <c r="D579" s="3169"/>
      <c r="E579" s="3169"/>
      <c r="F579" s="3169"/>
      <c r="G579" s="3169"/>
      <c r="H579" s="3169"/>
      <c r="I579" s="3169"/>
      <c r="J579" s="3169"/>
      <c r="K579" s="3169"/>
      <c r="L579" s="3169"/>
      <c r="M579" s="3169"/>
      <c r="N579" s="3169"/>
      <c r="O579" s="3169"/>
      <c r="P579" s="3169"/>
      <c r="Q579" s="3169"/>
      <c r="R579" s="3169"/>
      <c r="S579" s="3169"/>
      <c r="T579" s="3169"/>
      <c r="U579" s="3169"/>
      <c r="V579" s="3169"/>
      <c r="W579" s="3169"/>
      <c r="X579" s="3169"/>
      <c r="Y579" s="3169"/>
      <c r="Z579" s="3169"/>
      <c r="AA579" s="3169"/>
      <c r="AB579" s="3169"/>
      <c r="AC579" s="3169"/>
      <c r="AD579" s="3169"/>
      <c r="AE579" s="3169"/>
      <c r="AF579" s="3169"/>
      <c r="AG579" s="3169"/>
      <c r="AH579" s="3169"/>
      <c r="AI579" s="3169"/>
      <c r="AJ579" s="3169"/>
      <c r="AK579" s="1027"/>
      <c r="AL579" s="1027"/>
      <c r="AM579" s="1027"/>
      <c r="AN579" s="1000"/>
      <c r="AO579" s="1151" t="s">
        <v>618</v>
      </c>
      <c r="AP579" s="1152">
        <f>IF(C636="Yes",5,0)</f>
        <v>0</v>
      </c>
    </row>
    <row r="580" spans="1:81" s="943" customFormat="1" ht="11.85" customHeight="1">
      <c r="A580" s="1027"/>
      <c r="B580" s="1118"/>
      <c r="C580" s="3169"/>
      <c r="D580" s="3169"/>
      <c r="E580" s="3169"/>
      <c r="F580" s="3169"/>
      <c r="G580" s="3169"/>
      <c r="H580" s="3169"/>
      <c r="I580" s="3169"/>
      <c r="J580" s="3169"/>
      <c r="K580" s="3169"/>
      <c r="L580" s="3169"/>
      <c r="M580" s="3169"/>
      <c r="N580" s="3169"/>
      <c r="O580" s="3169"/>
      <c r="P580" s="3169"/>
      <c r="Q580" s="3169"/>
      <c r="R580" s="3169"/>
      <c r="S580" s="3169"/>
      <c r="T580" s="3169"/>
      <c r="U580" s="3169"/>
      <c r="V580" s="3169"/>
      <c r="W580" s="3169"/>
      <c r="X580" s="3169"/>
      <c r="Y580" s="3169"/>
      <c r="Z580" s="3169"/>
      <c r="AA580" s="3169"/>
      <c r="AB580" s="3169"/>
      <c r="AC580" s="3169"/>
      <c r="AD580" s="3169"/>
      <c r="AE580" s="3169"/>
      <c r="AF580" s="3169"/>
      <c r="AG580" s="3169"/>
      <c r="AH580" s="3169"/>
      <c r="AI580" s="3169"/>
      <c r="AJ580" s="3169"/>
      <c r="AK580" s="1027"/>
      <c r="AL580" s="1027"/>
      <c r="AM580" s="1027"/>
      <c r="AN580" s="1000"/>
      <c r="AO580" s="1153"/>
      <c r="AP580" s="1154">
        <f>IF(C638="Yes",3,0)</f>
        <v>3</v>
      </c>
    </row>
    <row r="581" spans="1:81" s="943" customFormat="1" ht="12.4" customHeight="1">
      <c r="A581" s="1027"/>
      <c r="B581" s="1118"/>
      <c r="C581" s="3169"/>
      <c r="D581" s="3169"/>
      <c r="E581" s="3169"/>
      <c r="F581" s="3169"/>
      <c r="G581" s="3169"/>
      <c r="H581" s="3169"/>
      <c r="I581" s="3169"/>
      <c r="J581" s="3169"/>
      <c r="K581" s="3169"/>
      <c r="L581" s="3169"/>
      <c r="M581" s="3169"/>
      <c r="N581" s="3169"/>
      <c r="O581" s="3169"/>
      <c r="P581" s="3169"/>
      <c r="Q581" s="3169"/>
      <c r="R581" s="3169"/>
      <c r="S581" s="3169"/>
      <c r="T581" s="3169"/>
      <c r="U581" s="3169"/>
      <c r="V581" s="3169"/>
      <c r="W581" s="3169"/>
      <c r="X581" s="3169"/>
      <c r="Y581" s="3169"/>
      <c r="Z581" s="3169"/>
      <c r="AA581" s="3169"/>
      <c r="AB581" s="3169"/>
      <c r="AC581" s="3169"/>
      <c r="AD581" s="3169"/>
      <c r="AE581" s="3169"/>
      <c r="AF581" s="3169"/>
      <c r="AG581" s="3169"/>
      <c r="AH581" s="3169"/>
      <c r="AI581" s="3169"/>
      <c r="AJ581" s="3169"/>
      <c r="AK581" s="1027"/>
      <c r="AL581" s="1027"/>
      <c r="AM581" s="1027"/>
      <c r="AN581" s="1000"/>
      <c r="AO581" s="1155" t="s">
        <v>233</v>
      </c>
      <c r="AP581" s="1156">
        <f>SUM(AP572:AP580)</f>
        <v>10</v>
      </c>
      <c r="AQ581" s="3170">
        <f>IF(AP581&gt;0,AP581,0)</f>
        <v>10</v>
      </c>
      <c r="AR581" s="3170"/>
    </row>
    <row r="582" spans="1:81" s="943" customFormat="1" ht="12.75" customHeight="1">
      <c r="A582" s="1027"/>
      <c r="B582" s="1118"/>
      <c r="C582" s="3169"/>
      <c r="D582" s="3169"/>
      <c r="E582" s="3169"/>
      <c r="F582" s="3169"/>
      <c r="G582" s="3169"/>
      <c r="H582" s="3169"/>
      <c r="I582" s="3169"/>
      <c r="J582" s="3169"/>
      <c r="K582" s="3169"/>
      <c r="L582" s="3169"/>
      <c r="M582" s="3169"/>
      <c r="N582" s="3169"/>
      <c r="O582" s="3169"/>
      <c r="P582" s="3169"/>
      <c r="Q582" s="3169"/>
      <c r="R582" s="3169"/>
      <c r="S582" s="3169"/>
      <c r="T582" s="3169"/>
      <c r="U582" s="3169"/>
      <c r="V582" s="3169"/>
      <c r="W582" s="3169"/>
      <c r="X582" s="3169"/>
      <c r="Y582" s="3169"/>
      <c r="Z582" s="3169"/>
      <c r="AA582" s="3169"/>
      <c r="AB582" s="3169"/>
      <c r="AC582" s="3169"/>
      <c r="AD582" s="3169"/>
      <c r="AE582" s="3169"/>
      <c r="AF582" s="3169"/>
      <c r="AG582" s="3169"/>
      <c r="AH582" s="3169"/>
      <c r="AI582" s="3169"/>
      <c r="AJ582" s="3169"/>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161" t="s">
        <v>1743</v>
      </c>
      <c r="D584" s="3161"/>
      <c r="E584" s="3161"/>
      <c r="F584" s="3161"/>
      <c r="G584" s="3161"/>
      <c r="H584" s="3161"/>
      <c r="I584" s="3161"/>
      <c r="J584" s="3161"/>
      <c r="K584" s="3161"/>
      <c r="L584" s="3161"/>
      <c r="M584" s="3161"/>
      <c r="N584" s="3161"/>
      <c r="O584" s="3161"/>
      <c r="P584" s="3161"/>
      <c r="Q584" s="3161"/>
      <c r="R584" s="3161"/>
      <c r="S584" s="3161"/>
      <c r="T584" s="3161"/>
      <c r="U584" s="3161"/>
      <c r="V584" s="3161"/>
      <c r="W584" s="3161"/>
      <c r="X584" s="3161"/>
      <c r="Y584" s="3161"/>
      <c r="Z584" s="3161"/>
      <c r="AA584" s="3161"/>
      <c r="AB584" s="3161"/>
      <c r="AC584" s="3161"/>
      <c r="AD584" s="3161"/>
      <c r="AE584" s="3161"/>
      <c r="AF584" s="3161"/>
      <c r="AG584" s="3161"/>
      <c r="AH584" s="3161"/>
      <c r="AI584" s="3161"/>
      <c r="AJ584" s="3161"/>
      <c r="AK584" s="1027"/>
      <c r="AL584" s="1027"/>
      <c r="AM584" s="1027"/>
      <c r="AN584" s="1000"/>
      <c r="AO584" s="1151" t="s">
        <v>487</v>
      </c>
      <c r="AP584" s="1152">
        <f>IF(C657="Yes",5,0)</f>
        <v>0</v>
      </c>
    </row>
    <row r="585" spans="1:81" s="943" customFormat="1" ht="12.75" customHeight="1">
      <c r="A585" s="1027"/>
      <c r="B585" s="1118"/>
      <c r="C585" s="3161"/>
      <c r="D585" s="3161"/>
      <c r="E585" s="3161"/>
      <c r="F585" s="3161"/>
      <c r="G585" s="3161"/>
      <c r="H585" s="3161"/>
      <c r="I585" s="3161"/>
      <c r="J585" s="3161"/>
      <c r="K585" s="3161"/>
      <c r="L585" s="3161"/>
      <c r="M585" s="3161"/>
      <c r="N585" s="3161"/>
      <c r="O585" s="3161"/>
      <c r="P585" s="3161"/>
      <c r="Q585" s="3161"/>
      <c r="R585" s="3161"/>
      <c r="S585" s="3161"/>
      <c r="T585" s="3161"/>
      <c r="U585" s="3161"/>
      <c r="V585" s="3161"/>
      <c r="W585" s="3161"/>
      <c r="X585" s="3161"/>
      <c r="Y585" s="3161"/>
      <c r="Z585" s="3161"/>
      <c r="AA585" s="3161"/>
      <c r="AB585" s="3161"/>
      <c r="AC585" s="3161"/>
      <c r="AD585" s="3161"/>
      <c r="AE585" s="3161"/>
      <c r="AF585" s="3161"/>
      <c r="AG585" s="3161"/>
      <c r="AH585" s="3161"/>
      <c r="AI585" s="3161"/>
      <c r="AJ585" s="3161"/>
      <c r="AK585" s="1027"/>
      <c r="AL585" s="1027"/>
      <c r="AM585" s="1027"/>
      <c r="AN585" s="1000"/>
      <c r="AO585" s="1151" t="s">
        <v>493</v>
      </c>
      <c r="AP585" s="1152">
        <f>IF(C664="Yes",5,0)</f>
        <v>0</v>
      </c>
    </row>
    <row r="586" spans="1:81" s="943" customFormat="1" ht="68.099999999999994" customHeight="1">
      <c r="A586" s="1027"/>
      <c r="B586" s="1118"/>
      <c r="C586" s="3161"/>
      <c r="D586" s="3161"/>
      <c r="E586" s="3161"/>
      <c r="F586" s="3161"/>
      <c r="G586" s="3161"/>
      <c r="H586" s="3161"/>
      <c r="I586" s="3161"/>
      <c r="J586" s="3161"/>
      <c r="K586" s="3161"/>
      <c r="L586" s="3161"/>
      <c r="M586" s="3161"/>
      <c r="N586" s="3161"/>
      <c r="O586" s="3161"/>
      <c r="P586" s="3161"/>
      <c r="Q586" s="3161"/>
      <c r="R586" s="3161"/>
      <c r="S586" s="3161"/>
      <c r="T586" s="3161"/>
      <c r="U586" s="3161"/>
      <c r="V586" s="3161"/>
      <c r="W586" s="3161"/>
      <c r="X586" s="3161"/>
      <c r="Y586" s="3161"/>
      <c r="Z586" s="3161"/>
      <c r="AA586" s="3161"/>
      <c r="AB586" s="3161"/>
      <c r="AC586" s="3161"/>
      <c r="AD586" s="3161"/>
      <c r="AE586" s="3161"/>
      <c r="AF586" s="3161"/>
      <c r="AG586" s="3161"/>
      <c r="AH586" s="3161"/>
      <c r="AI586" s="3161"/>
      <c r="AJ586" s="3161"/>
      <c r="AK586" s="1027"/>
      <c r="AL586" s="1027"/>
      <c r="AM586" s="1027"/>
      <c r="AN586" s="1000"/>
      <c r="AO586" s="1151" t="s">
        <v>680</v>
      </c>
      <c r="AP586" s="1158">
        <f>IF(C668="Yes",5,0)</f>
        <v>0</v>
      </c>
      <c r="AQ586" s="1002"/>
      <c r="AR586" s="1002"/>
    </row>
    <row r="587" spans="1:81" s="943" customFormat="1" ht="12.4" customHeight="1">
      <c r="A587" s="1027"/>
      <c r="B587" s="1118"/>
      <c r="C587" s="1159" t="s">
        <v>1744</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270">
        <f>'Service Amenities Budget'!J10</f>
        <v>200</v>
      </c>
      <c r="V588" s="3270"/>
      <c r="W588" s="3270"/>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271">
        <f>'Service Amenities Budget'!J9</f>
        <v>0</v>
      </c>
      <c r="V589" s="3271"/>
      <c r="W589" s="3271"/>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69"/>
      <c r="E590" s="1669"/>
      <c r="F590" s="1669"/>
      <c r="G590" s="1669"/>
      <c r="H590" s="1669"/>
      <c r="I590" s="1669"/>
      <c r="J590" s="1669"/>
      <c r="K590" s="1669"/>
      <c r="L590" s="1669"/>
      <c r="M590" s="1025"/>
      <c r="N590" s="1025"/>
      <c r="O590" s="1669"/>
      <c r="P590" s="1669"/>
      <c r="Q590" s="1669"/>
      <c r="R590" s="1669"/>
      <c r="S590" s="1669"/>
      <c r="T590" s="1669"/>
      <c r="U590" s="1670"/>
      <c r="V590" s="1670"/>
      <c r="W590" s="1670"/>
      <c r="X590" s="1669"/>
      <c r="Y590" s="1669"/>
      <c r="Z590" s="1669"/>
      <c r="AA590" s="1669"/>
      <c r="AB590" s="1159"/>
      <c r="AC590" s="1168"/>
      <c r="AD590" s="1168"/>
      <c r="AE590" s="1027"/>
      <c r="AF590" s="1027"/>
      <c r="AG590" s="1027"/>
      <c r="AH590" s="1027"/>
      <c r="AI590" s="1027"/>
      <c r="AJ590" s="1027"/>
      <c r="AK590" s="1027"/>
      <c r="AL590" s="1027"/>
      <c r="AM590" s="1027"/>
      <c r="AN590" s="1000"/>
      <c r="AO590" s="1169" t="s">
        <v>233</v>
      </c>
      <c r="AP590" s="1170">
        <f>SUM(AP583:AP588)</f>
        <v>0</v>
      </c>
      <c r="AQ590" s="3170">
        <f>IF(AP590&gt;0,AP590,0)</f>
        <v>0</v>
      </c>
      <c r="AR590" s="3170"/>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166" t="s">
        <v>1748</v>
      </c>
      <c r="G592" s="3166"/>
      <c r="H592" s="3166"/>
      <c r="I592" s="3166"/>
      <c r="J592" s="3166"/>
      <c r="K592" s="3166"/>
      <c r="L592" s="3166"/>
      <c r="M592" s="3166"/>
      <c r="N592" s="3166"/>
      <c r="O592" s="3166"/>
      <c r="P592" s="3166"/>
      <c r="Q592" s="3166"/>
      <c r="R592" s="3166"/>
      <c r="S592" s="3166"/>
      <c r="T592" s="3166"/>
      <c r="U592" s="3166"/>
      <c r="V592" s="3166"/>
      <c r="W592" s="3166"/>
      <c r="X592" s="3166"/>
      <c r="Y592" s="3166"/>
      <c r="Z592" s="3166"/>
      <c r="AA592" s="3166"/>
      <c r="AB592" s="3166"/>
      <c r="AC592" s="3166"/>
      <c r="AD592" s="3166"/>
      <c r="AE592" s="3166"/>
      <c r="AF592" s="3166"/>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67"/>
      <c r="G593" s="3167"/>
      <c r="H593" s="3167"/>
      <c r="I593" s="3167"/>
      <c r="J593" s="3167"/>
      <c r="K593" s="3167"/>
      <c r="L593" s="3167"/>
      <c r="M593" s="3167"/>
      <c r="N593" s="3167"/>
      <c r="O593" s="3167"/>
      <c r="P593" s="3167"/>
      <c r="Q593" s="3167"/>
      <c r="R593" s="3167"/>
      <c r="S593" s="3167"/>
      <c r="T593" s="3167"/>
      <c r="U593" s="3167"/>
      <c r="V593" s="3167"/>
      <c r="W593" s="3167"/>
      <c r="X593" s="3167"/>
      <c r="Y593" s="3167"/>
      <c r="Z593" s="3167"/>
      <c r="AA593" s="3167"/>
      <c r="AB593" s="3167"/>
      <c r="AC593" s="3167"/>
      <c r="AD593" s="3167"/>
      <c r="AE593" s="3167"/>
      <c r="AF593" s="3167"/>
      <c r="AG593" s="1179"/>
      <c r="AH593" s="1179"/>
      <c r="AI593" s="1179"/>
      <c r="AJ593" s="1179"/>
      <c r="AK593" s="1179"/>
      <c r="AL593" s="1599"/>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67"/>
      <c r="G594" s="3167"/>
      <c r="H594" s="3167"/>
      <c r="I594" s="3167"/>
      <c r="J594" s="3167"/>
      <c r="K594" s="3167"/>
      <c r="L594" s="3167"/>
      <c r="M594" s="3167"/>
      <c r="N594" s="3167"/>
      <c r="O594" s="3167"/>
      <c r="P594" s="3167"/>
      <c r="Q594" s="3167"/>
      <c r="R594" s="3167"/>
      <c r="S594" s="3167"/>
      <c r="T594" s="3167"/>
      <c r="U594" s="3167"/>
      <c r="V594" s="3167"/>
      <c r="W594" s="3167"/>
      <c r="X594" s="3167"/>
      <c r="Y594" s="3167"/>
      <c r="Z594" s="3167"/>
      <c r="AA594" s="3167"/>
      <c r="AB594" s="3167"/>
      <c r="AC594" s="3167"/>
      <c r="AD594" s="3167"/>
      <c r="AE594" s="3167"/>
      <c r="AF594" s="3167"/>
      <c r="AG594" s="1179"/>
      <c r="AH594" s="1179"/>
      <c r="AI594" s="1179"/>
      <c r="AJ594" s="1179"/>
      <c r="AK594" s="1179"/>
      <c r="AL594" s="1599"/>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67"/>
      <c r="G595" s="3167"/>
      <c r="H595" s="3167"/>
      <c r="I595" s="3167"/>
      <c r="J595" s="3167"/>
      <c r="K595" s="3167"/>
      <c r="L595" s="3167"/>
      <c r="M595" s="3167"/>
      <c r="N595" s="3167"/>
      <c r="O595" s="3167"/>
      <c r="P595" s="3167"/>
      <c r="Q595" s="3167"/>
      <c r="R595" s="3167"/>
      <c r="S595" s="3167"/>
      <c r="T595" s="3167"/>
      <c r="U595" s="3167"/>
      <c r="V595" s="3167"/>
      <c r="W595" s="3167"/>
      <c r="X595" s="3167"/>
      <c r="Y595" s="3167"/>
      <c r="Z595" s="3167"/>
      <c r="AA595" s="3167"/>
      <c r="AB595" s="3167"/>
      <c r="AC595" s="3167"/>
      <c r="AD595" s="3167"/>
      <c r="AE595" s="3167"/>
      <c r="AF595" s="3167"/>
      <c r="AG595" s="1179"/>
      <c r="AH595" s="1179"/>
      <c r="AI595" s="1179"/>
      <c r="AJ595" s="1179"/>
      <c r="AK595" s="1179"/>
      <c r="AL595" s="1599"/>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63" t="s">
        <v>625</v>
      </c>
      <c r="D596" s="3111"/>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64" t="s">
        <v>1750</v>
      </c>
      <c r="AG596" s="3164"/>
      <c r="AH596" s="3164"/>
      <c r="AI596" s="3164"/>
      <c r="AJ596" s="3164"/>
      <c r="AK596" s="3164"/>
      <c r="AL596" s="3165"/>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166" t="s">
        <v>1751</v>
      </c>
      <c r="G599" s="3166"/>
      <c r="H599" s="3166"/>
      <c r="I599" s="3166"/>
      <c r="J599" s="3166"/>
      <c r="K599" s="3166"/>
      <c r="L599" s="3166"/>
      <c r="M599" s="3166"/>
      <c r="N599" s="3166"/>
      <c r="O599" s="3166"/>
      <c r="P599" s="3166"/>
      <c r="Q599" s="3166"/>
      <c r="R599" s="3166"/>
      <c r="S599" s="3166"/>
      <c r="T599" s="3166"/>
      <c r="U599" s="3166"/>
      <c r="V599" s="3166"/>
      <c r="W599" s="3166"/>
      <c r="X599" s="3166"/>
      <c r="Y599" s="3166"/>
      <c r="Z599" s="3166"/>
      <c r="AA599" s="3166"/>
      <c r="AB599" s="3166"/>
      <c r="AC599" s="3166"/>
      <c r="AD599" s="3166"/>
      <c r="AE599" s="3166"/>
      <c r="AF599" s="3166"/>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67"/>
      <c r="G600" s="3167"/>
      <c r="H600" s="3167"/>
      <c r="I600" s="3167"/>
      <c r="J600" s="3167"/>
      <c r="K600" s="3167"/>
      <c r="L600" s="3167"/>
      <c r="M600" s="3167"/>
      <c r="N600" s="3167"/>
      <c r="O600" s="3167"/>
      <c r="P600" s="3167"/>
      <c r="Q600" s="3167"/>
      <c r="R600" s="3167"/>
      <c r="S600" s="3167"/>
      <c r="T600" s="3167"/>
      <c r="U600" s="3167"/>
      <c r="V600" s="3167"/>
      <c r="W600" s="3167"/>
      <c r="X600" s="3167"/>
      <c r="Y600" s="3167"/>
      <c r="Z600" s="3167"/>
      <c r="AA600" s="3167"/>
      <c r="AB600" s="3167"/>
      <c r="AC600" s="3167"/>
      <c r="AD600" s="3167"/>
      <c r="AE600" s="3167"/>
      <c r="AF600" s="3167"/>
      <c r="AG600" s="1179"/>
      <c r="AH600" s="1179"/>
      <c r="AI600" s="1179"/>
      <c r="AJ600" s="1179"/>
      <c r="AK600" s="1179"/>
      <c r="AL600" s="1599"/>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67"/>
      <c r="G601" s="3167"/>
      <c r="H601" s="3167"/>
      <c r="I601" s="3167"/>
      <c r="J601" s="3167"/>
      <c r="K601" s="3167"/>
      <c r="L601" s="3167"/>
      <c r="M601" s="3167"/>
      <c r="N601" s="3167"/>
      <c r="O601" s="3167"/>
      <c r="P601" s="3167"/>
      <c r="Q601" s="3167"/>
      <c r="R601" s="3167"/>
      <c r="S601" s="3167"/>
      <c r="T601" s="3167"/>
      <c r="U601" s="3167"/>
      <c r="V601" s="3167"/>
      <c r="W601" s="3167"/>
      <c r="X601" s="3167"/>
      <c r="Y601" s="3167"/>
      <c r="Z601" s="3167"/>
      <c r="AA601" s="3167"/>
      <c r="AB601" s="3167"/>
      <c r="AC601" s="3167"/>
      <c r="AD601" s="3167"/>
      <c r="AE601" s="3167"/>
      <c r="AF601" s="3167"/>
      <c r="AG601" s="1179"/>
      <c r="AH601" s="1179"/>
      <c r="AI601" s="1179"/>
      <c r="AJ601" s="1179"/>
      <c r="AK601" s="1179"/>
      <c r="AL601" s="1599"/>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67"/>
      <c r="G602" s="3167"/>
      <c r="H602" s="3167"/>
      <c r="I602" s="3167"/>
      <c r="J602" s="3167"/>
      <c r="K602" s="3167"/>
      <c r="L602" s="3167"/>
      <c r="M602" s="3167"/>
      <c r="N602" s="3167"/>
      <c r="O602" s="3167"/>
      <c r="P602" s="3167"/>
      <c r="Q602" s="3167"/>
      <c r="R602" s="3167"/>
      <c r="S602" s="3167"/>
      <c r="T602" s="3167"/>
      <c r="U602" s="3167"/>
      <c r="V602" s="3167"/>
      <c r="W602" s="3167"/>
      <c r="X602" s="3167"/>
      <c r="Y602" s="3167"/>
      <c r="Z602" s="3167"/>
      <c r="AA602" s="3167"/>
      <c r="AB602" s="3167"/>
      <c r="AC602" s="3167"/>
      <c r="AD602" s="3167"/>
      <c r="AE602" s="3167"/>
      <c r="AF602" s="3167"/>
      <c r="AG602" s="1179"/>
      <c r="AH602" s="1179"/>
      <c r="AI602" s="1179"/>
      <c r="AJ602" s="1179"/>
      <c r="AK602" s="1179"/>
      <c r="AL602" s="1599"/>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67"/>
      <c r="G603" s="3167"/>
      <c r="H603" s="3167"/>
      <c r="I603" s="3167"/>
      <c r="J603" s="3167"/>
      <c r="K603" s="3167"/>
      <c r="L603" s="3167"/>
      <c r="M603" s="3167"/>
      <c r="N603" s="3167"/>
      <c r="O603" s="3167"/>
      <c r="P603" s="3167"/>
      <c r="Q603" s="3167"/>
      <c r="R603" s="3167"/>
      <c r="S603" s="3167"/>
      <c r="T603" s="3167"/>
      <c r="U603" s="3167"/>
      <c r="V603" s="3167"/>
      <c r="W603" s="3167"/>
      <c r="X603" s="3167"/>
      <c r="Y603" s="3167"/>
      <c r="Z603" s="3167"/>
      <c r="AA603" s="3167"/>
      <c r="AB603" s="3167"/>
      <c r="AC603" s="3167"/>
      <c r="AD603" s="3167"/>
      <c r="AE603" s="3167"/>
      <c r="AF603" s="3167"/>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63" t="s">
        <v>625</v>
      </c>
      <c r="D604" s="3111"/>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64" t="s">
        <v>1750</v>
      </c>
      <c r="AG604" s="3164"/>
      <c r="AH604" s="3164"/>
      <c r="AI604" s="3164"/>
      <c r="AJ604" s="3164"/>
      <c r="AK604" s="3164"/>
      <c r="AL604" s="3165"/>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166" t="s">
        <v>1753</v>
      </c>
      <c r="G607" s="3166"/>
      <c r="H607" s="3166"/>
      <c r="I607" s="3166"/>
      <c r="J607" s="3166"/>
      <c r="K607" s="3166"/>
      <c r="L607" s="3166"/>
      <c r="M607" s="3166"/>
      <c r="N607" s="3166"/>
      <c r="O607" s="3166"/>
      <c r="P607" s="3166"/>
      <c r="Q607" s="3166"/>
      <c r="R607" s="3166"/>
      <c r="S607" s="3166"/>
      <c r="T607" s="3166"/>
      <c r="U607" s="3166"/>
      <c r="V607" s="3166"/>
      <c r="W607" s="3166"/>
      <c r="X607" s="3166"/>
      <c r="Y607" s="3166"/>
      <c r="Z607" s="3166"/>
      <c r="AA607" s="3166"/>
      <c r="AB607" s="3166"/>
      <c r="AC607" s="3166"/>
      <c r="AD607" s="3166"/>
      <c r="AE607" s="3166"/>
      <c r="AF607" s="3166"/>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67"/>
      <c r="G608" s="3167"/>
      <c r="H608" s="3167"/>
      <c r="I608" s="3167"/>
      <c r="J608" s="3167"/>
      <c r="K608" s="3167"/>
      <c r="L608" s="3167"/>
      <c r="M608" s="3167"/>
      <c r="N608" s="3167"/>
      <c r="O608" s="3167"/>
      <c r="P608" s="3167"/>
      <c r="Q608" s="3167"/>
      <c r="R608" s="3167"/>
      <c r="S608" s="3167"/>
      <c r="T608" s="3167"/>
      <c r="U608" s="3167"/>
      <c r="V608" s="3167"/>
      <c r="W608" s="3167"/>
      <c r="X608" s="3167"/>
      <c r="Y608" s="3167"/>
      <c r="Z608" s="3167"/>
      <c r="AA608" s="3167"/>
      <c r="AB608" s="3167"/>
      <c r="AC608" s="3167"/>
      <c r="AD608" s="3167"/>
      <c r="AE608" s="3167"/>
      <c r="AF608" s="3167"/>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67"/>
      <c r="G609" s="3167"/>
      <c r="H609" s="3167"/>
      <c r="I609" s="3167"/>
      <c r="J609" s="3167"/>
      <c r="K609" s="3167"/>
      <c r="L609" s="3167"/>
      <c r="M609" s="3167"/>
      <c r="N609" s="3167"/>
      <c r="O609" s="3167"/>
      <c r="P609" s="3167"/>
      <c r="Q609" s="3167"/>
      <c r="R609" s="3167"/>
      <c r="S609" s="3167"/>
      <c r="T609" s="3167"/>
      <c r="U609" s="3167"/>
      <c r="V609" s="3167"/>
      <c r="W609" s="3167"/>
      <c r="X609" s="3167"/>
      <c r="Y609" s="3167"/>
      <c r="Z609" s="3167"/>
      <c r="AA609" s="3167"/>
      <c r="AB609" s="3167"/>
      <c r="AC609" s="3167"/>
      <c r="AD609" s="3167"/>
      <c r="AE609" s="3167"/>
      <c r="AF609" s="3167"/>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67"/>
      <c r="G610" s="3167"/>
      <c r="H610" s="3167"/>
      <c r="I610" s="3167"/>
      <c r="J610" s="3167"/>
      <c r="K610" s="3167"/>
      <c r="L610" s="3167"/>
      <c r="M610" s="3167"/>
      <c r="N610" s="3167"/>
      <c r="O610" s="3167"/>
      <c r="P610" s="3167"/>
      <c r="Q610" s="3167"/>
      <c r="R610" s="3167"/>
      <c r="S610" s="3167"/>
      <c r="T610" s="3167"/>
      <c r="U610" s="3167"/>
      <c r="V610" s="3167"/>
      <c r="W610" s="3167"/>
      <c r="X610" s="3167"/>
      <c r="Y610" s="3167"/>
      <c r="Z610" s="3167"/>
      <c r="AA610" s="3167"/>
      <c r="AB610" s="3167"/>
      <c r="AC610" s="3167"/>
      <c r="AD610" s="3167"/>
      <c r="AE610" s="3167"/>
      <c r="AF610" s="3167"/>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67"/>
      <c r="G611" s="3167"/>
      <c r="H611" s="3167"/>
      <c r="I611" s="3167"/>
      <c r="J611" s="3167"/>
      <c r="K611" s="3167"/>
      <c r="L611" s="3167"/>
      <c r="M611" s="3167"/>
      <c r="N611" s="3167"/>
      <c r="O611" s="3167"/>
      <c r="P611" s="3167"/>
      <c r="Q611" s="3167"/>
      <c r="R611" s="3167"/>
      <c r="S611" s="3167"/>
      <c r="T611" s="3167"/>
      <c r="U611" s="3167"/>
      <c r="V611" s="3167"/>
      <c r="W611" s="3167"/>
      <c r="X611" s="3167"/>
      <c r="Y611" s="3167"/>
      <c r="Z611" s="3167"/>
      <c r="AA611" s="3167"/>
      <c r="AB611" s="3167"/>
      <c r="AC611" s="3167"/>
      <c r="AD611" s="3167"/>
      <c r="AE611" s="3167"/>
      <c r="AF611" s="3167"/>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63" t="s">
        <v>577</v>
      </c>
      <c r="D612" s="3111"/>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64" t="s">
        <v>1755</v>
      </c>
      <c r="AG612" s="3164"/>
      <c r="AH612" s="3164"/>
      <c r="AI612" s="3164"/>
      <c r="AJ612" s="3164"/>
      <c r="AK612" s="3164"/>
      <c r="AL612" s="3165"/>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63" t="s">
        <v>625</v>
      </c>
      <c r="D614" s="3111"/>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64" t="s">
        <v>1750</v>
      </c>
      <c r="AG614" s="3164"/>
      <c r="AH614" s="3164"/>
      <c r="AI614" s="3164"/>
      <c r="AJ614" s="3164"/>
      <c r="AK614" s="3164"/>
      <c r="AL614" s="3165"/>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166" t="s">
        <v>1759</v>
      </c>
      <c r="G618" s="3166"/>
      <c r="H618" s="3166"/>
      <c r="I618" s="3166"/>
      <c r="J618" s="3166"/>
      <c r="K618" s="3166"/>
      <c r="L618" s="3166"/>
      <c r="M618" s="3166"/>
      <c r="N618" s="3166"/>
      <c r="O618" s="3166"/>
      <c r="P618" s="3166"/>
      <c r="Q618" s="3166"/>
      <c r="R618" s="3166"/>
      <c r="S618" s="3166"/>
      <c r="T618" s="3166"/>
      <c r="U618" s="3166"/>
      <c r="V618" s="3166"/>
      <c r="W618" s="3166"/>
      <c r="X618" s="3166"/>
      <c r="Y618" s="3166"/>
      <c r="Z618" s="3166"/>
      <c r="AA618" s="3166"/>
      <c r="AB618" s="3166"/>
      <c r="AC618" s="3166"/>
      <c r="AD618" s="3166"/>
      <c r="AE618" s="3166"/>
      <c r="AF618" s="3166"/>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67"/>
      <c r="G619" s="3167"/>
      <c r="H619" s="3167"/>
      <c r="I619" s="3167"/>
      <c r="J619" s="3167"/>
      <c r="K619" s="3167"/>
      <c r="L619" s="3167"/>
      <c r="M619" s="3167"/>
      <c r="N619" s="3167"/>
      <c r="O619" s="3167"/>
      <c r="P619" s="3167"/>
      <c r="Q619" s="3167"/>
      <c r="R619" s="3167"/>
      <c r="S619" s="3167"/>
      <c r="T619" s="3167"/>
      <c r="U619" s="3167"/>
      <c r="V619" s="3167"/>
      <c r="W619" s="3167"/>
      <c r="X619" s="3167"/>
      <c r="Y619" s="3167"/>
      <c r="Z619" s="3167"/>
      <c r="AA619" s="3167"/>
      <c r="AB619" s="3167"/>
      <c r="AC619" s="3167"/>
      <c r="AD619" s="3167"/>
      <c r="AE619" s="3167"/>
      <c r="AF619" s="3167"/>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67"/>
      <c r="G620" s="3167"/>
      <c r="H620" s="3167"/>
      <c r="I620" s="3167"/>
      <c r="J620" s="3167"/>
      <c r="K620" s="3167"/>
      <c r="L620" s="3167"/>
      <c r="M620" s="3167"/>
      <c r="N620" s="3167"/>
      <c r="O620" s="3167"/>
      <c r="P620" s="3167"/>
      <c r="Q620" s="3167"/>
      <c r="R620" s="3167"/>
      <c r="S620" s="3167"/>
      <c r="T620" s="3167"/>
      <c r="U620" s="3167"/>
      <c r="V620" s="3167"/>
      <c r="W620" s="3167"/>
      <c r="X620" s="3167"/>
      <c r="Y620" s="3167"/>
      <c r="Z620" s="3167"/>
      <c r="AA620" s="3167"/>
      <c r="AB620" s="3167"/>
      <c r="AC620" s="3167"/>
      <c r="AD620" s="3167"/>
      <c r="AE620" s="3167"/>
      <c r="AF620" s="3167"/>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67"/>
      <c r="G621" s="3167"/>
      <c r="H621" s="3167"/>
      <c r="I621" s="3167"/>
      <c r="J621" s="3167"/>
      <c r="K621" s="3167"/>
      <c r="L621" s="3167"/>
      <c r="M621" s="3167"/>
      <c r="N621" s="3167"/>
      <c r="O621" s="3167"/>
      <c r="P621" s="3167"/>
      <c r="Q621" s="3167"/>
      <c r="R621" s="3167"/>
      <c r="S621" s="3167"/>
      <c r="T621" s="3167"/>
      <c r="U621" s="3167"/>
      <c r="V621" s="3167"/>
      <c r="W621" s="3167"/>
      <c r="X621" s="3167"/>
      <c r="Y621" s="3167"/>
      <c r="Z621" s="3167"/>
      <c r="AA621" s="3167"/>
      <c r="AB621" s="3167"/>
      <c r="AC621" s="3167"/>
      <c r="AD621" s="3167"/>
      <c r="AE621" s="3167"/>
      <c r="AF621" s="3167"/>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63" t="s">
        <v>625</v>
      </c>
      <c r="D622" s="3111"/>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64" t="s">
        <v>1750</v>
      </c>
      <c r="AG622" s="3164"/>
      <c r="AH622" s="3164"/>
      <c r="AI622" s="3164"/>
      <c r="AJ622" s="3164"/>
      <c r="AK622" s="3164"/>
      <c r="AL622" s="3165"/>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63" t="s">
        <v>625</v>
      </c>
      <c r="D624" s="3111"/>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64" t="s">
        <v>1762</v>
      </c>
      <c r="AG624" s="3164"/>
      <c r="AH624" s="3164"/>
      <c r="AI624" s="3164"/>
      <c r="AJ624" s="3164"/>
      <c r="AK624" s="3164"/>
      <c r="AL624" s="3165"/>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63" t="s">
        <v>625</v>
      </c>
      <c r="D627" s="3111"/>
      <c r="E627" s="1174" t="s">
        <v>1763</v>
      </c>
      <c r="F627" s="3166" t="s">
        <v>1764</v>
      </c>
      <c r="G627" s="3166"/>
      <c r="H627" s="3166"/>
      <c r="I627" s="3166"/>
      <c r="J627" s="3166"/>
      <c r="K627" s="3166"/>
      <c r="L627" s="3166"/>
      <c r="M627" s="3166"/>
      <c r="N627" s="3166"/>
      <c r="O627" s="3166"/>
      <c r="P627" s="3166"/>
      <c r="Q627" s="3166"/>
      <c r="R627" s="3166"/>
      <c r="S627" s="3166"/>
      <c r="T627" s="3166"/>
      <c r="U627" s="3166"/>
      <c r="V627" s="3166"/>
      <c r="W627" s="3166"/>
      <c r="X627" s="3166"/>
      <c r="Y627" s="3166"/>
      <c r="Z627" s="3166"/>
      <c r="AA627" s="3166"/>
      <c r="AB627" s="3166"/>
      <c r="AC627" s="3166"/>
      <c r="AD627" s="3166"/>
      <c r="AE627" s="3166"/>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67"/>
      <c r="G628" s="3167"/>
      <c r="H628" s="3167"/>
      <c r="I628" s="3167"/>
      <c r="J628" s="3167"/>
      <c r="K628" s="3167"/>
      <c r="L628" s="3167"/>
      <c r="M628" s="3167"/>
      <c r="N628" s="3167"/>
      <c r="O628" s="3167"/>
      <c r="P628" s="3167"/>
      <c r="Q628" s="3167"/>
      <c r="R628" s="3167"/>
      <c r="S628" s="3167"/>
      <c r="T628" s="3167"/>
      <c r="U628" s="3167"/>
      <c r="V628" s="3167"/>
      <c r="W628" s="3167"/>
      <c r="X628" s="3167"/>
      <c r="Y628" s="3167"/>
      <c r="Z628" s="3167"/>
      <c r="AA628" s="3167"/>
      <c r="AB628" s="3167"/>
      <c r="AC628" s="3167"/>
      <c r="AD628" s="3167"/>
      <c r="AE628" s="3167"/>
      <c r="AF628" s="3172" t="s">
        <v>1750</v>
      </c>
      <c r="AG628" s="3172"/>
      <c r="AH628" s="3172"/>
      <c r="AI628" s="3172"/>
      <c r="AJ628" s="3172"/>
      <c r="AK628" s="3172"/>
      <c r="AL628" s="3173"/>
      <c r="AM628" s="1134"/>
      <c r="AN628" s="1000"/>
      <c r="BS628" s="1134"/>
      <c r="BT628" s="1134"/>
      <c r="BY628" s="1134"/>
      <c r="BZ628" s="1134"/>
      <c r="CA628" s="1134"/>
      <c r="CB628" s="1134"/>
      <c r="CC628" s="1134"/>
    </row>
    <row r="629" spans="1:81" s="943" customFormat="1" ht="12.75" customHeight="1">
      <c r="A629" s="927"/>
      <c r="B629" s="51"/>
      <c r="C629" s="1192"/>
      <c r="D629" s="112"/>
      <c r="E629" s="1146"/>
      <c r="F629" s="3167"/>
      <c r="G629" s="3167"/>
      <c r="H629" s="3167"/>
      <c r="I629" s="3167"/>
      <c r="J629" s="3167"/>
      <c r="K629" s="3167"/>
      <c r="L629" s="3167"/>
      <c r="M629" s="3167"/>
      <c r="N629" s="3167"/>
      <c r="O629" s="3167"/>
      <c r="P629" s="3167"/>
      <c r="Q629" s="3167"/>
      <c r="R629" s="3167"/>
      <c r="S629" s="3167"/>
      <c r="T629" s="3167"/>
      <c r="U629" s="3167"/>
      <c r="V629" s="3167"/>
      <c r="W629" s="3167"/>
      <c r="X629" s="3167"/>
      <c r="Y629" s="3167"/>
      <c r="Z629" s="3167"/>
      <c r="AA629" s="3167"/>
      <c r="AB629" s="3167"/>
      <c r="AC629" s="3167"/>
      <c r="AD629" s="3167"/>
      <c r="AE629" s="3167"/>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71"/>
      <c r="G630" s="3171"/>
      <c r="H630" s="3171"/>
      <c r="I630" s="3171"/>
      <c r="J630" s="3171"/>
      <c r="K630" s="3171"/>
      <c r="L630" s="3171"/>
      <c r="M630" s="3171"/>
      <c r="N630" s="3171"/>
      <c r="O630" s="3171"/>
      <c r="P630" s="3171"/>
      <c r="Q630" s="3171"/>
      <c r="R630" s="3171"/>
      <c r="S630" s="3171"/>
      <c r="T630" s="3171"/>
      <c r="U630" s="3171"/>
      <c r="V630" s="3171"/>
      <c r="W630" s="3171"/>
      <c r="X630" s="3171"/>
      <c r="Y630" s="3171"/>
      <c r="Z630" s="3171"/>
      <c r="AA630" s="3171"/>
      <c r="AB630" s="3171"/>
      <c r="AC630" s="3171"/>
      <c r="AD630" s="3171"/>
      <c r="AE630" s="3171"/>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74" t="s">
        <v>1766</v>
      </c>
      <c r="G632" s="3174"/>
      <c r="H632" s="3174"/>
      <c r="I632" s="3174"/>
      <c r="J632" s="3174"/>
      <c r="K632" s="3174"/>
      <c r="L632" s="3174"/>
      <c r="M632" s="3174"/>
      <c r="N632" s="3174"/>
      <c r="O632" s="3174"/>
      <c r="P632" s="3174"/>
      <c r="Q632" s="3174"/>
      <c r="R632" s="3174"/>
      <c r="S632" s="3174"/>
      <c r="T632" s="3174"/>
      <c r="U632" s="3174"/>
      <c r="V632" s="3174"/>
      <c r="W632" s="3174"/>
      <c r="X632" s="3174"/>
      <c r="Y632" s="3174"/>
      <c r="Z632" s="3174"/>
      <c r="AA632" s="3174"/>
      <c r="AB632" s="3174"/>
      <c r="AC632" s="3174"/>
      <c r="AD632" s="3174"/>
      <c r="AE632" s="3174"/>
      <c r="AF632" s="1211"/>
      <c r="AG632" s="1211"/>
      <c r="AH632" s="1211"/>
      <c r="AI632" s="1211"/>
      <c r="AJ632" s="1211"/>
      <c r="AK632" s="1211"/>
      <c r="AL632" s="1212"/>
      <c r="AM632" s="1134"/>
    </row>
    <row r="633" spans="1:81">
      <c r="A633" s="927"/>
      <c r="C633" s="1192"/>
      <c r="D633" s="112"/>
      <c r="E633" s="1146"/>
      <c r="F633" s="3175"/>
      <c r="G633" s="3175"/>
      <c r="H633" s="3175"/>
      <c r="I633" s="3175"/>
      <c r="J633" s="3175"/>
      <c r="K633" s="3175"/>
      <c r="L633" s="3175"/>
      <c r="M633" s="3175"/>
      <c r="N633" s="3175"/>
      <c r="O633" s="3175"/>
      <c r="P633" s="3175"/>
      <c r="Q633" s="3175"/>
      <c r="R633" s="3175"/>
      <c r="S633" s="3175"/>
      <c r="T633" s="3175"/>
      <c r="U633" s="3175"/>
      <c r="V633" s="3175"/>
      <c r="W633" s="3175"/>
      <c r="X633" s="3175"/>
      <c r="Y633" s="3175"/>
      <c r="Z633" s="3175"/>
      <c r="AA633" s="3175"/>
      <c r="AB633" s="3175"/>
      <c r="AC633" s="3175"/>
      <c r="AD633" s="3175"/>
      <c r="AE633" s="3175"/>
      <c r="AF633" s="1213"/>
      <c r="AG633" s="991"/>
      <c r="AH633" s="1025"/>
      <c r="AI633" s="1025"/>
      <c r="AJ633" s="1025"/>
      <c r="AK633" s="1025"/>
      <c r="AL633" s="1193"/>
      <c r="AM633" s="1134"/>
    </row>
    <row r="634" spans="1:81" s="943" customFormat="1" ht="12.75" customHeight="1">
      <c r="A634" s="927"/>
      <c r="B634" s="51"/>
      <c r="C634" s="1192"/>
      <c r="D634" s="112"/>
      <c r="E634" s="1146"/>
      <c r="F634" s="3175"/>
      <c r="G634" s="3175"/>
      <c r="H634" s="3175"/>
      <c r="I634" s="3175"/>
      <c r="J634" s="3175"/>
      <c r="K634" s="3175"/>
      <c r="L634" s="3175"/>
      <c r="M634" s="3175"/>
      <c r="N634" s="3175"/>
      <c r="O634" s="3175"/>
      <c r="P634" s="3175"/>
      <c r="Q634" s="3175"/>
      <c r="R634" s="3175"/>
      <c r="S634" s="3175"/>
      <c r="T634" s="3175"/>
      <c r="U634" s="3175"/>
      <c r="V634" s="3175"/>
      <c r="W634" s="3175"/>
      <c r="X634" s="3175"/>
      <c r="Y634" s="3175"/>
      <c r="Z634" s="3175"/>
      <c r="AA634" s="3175"/>
      <c r="AB634" s="3175"/>
      <c r="AC634" s="3175"/>
      <c r="AD634" s="3175"/>
      <c r="AE634" s="3175"/>
      <c r="AF634" s="1025"/>
      <c r="AG634" s="1025"/>
      <c r="AH634" s="1025"/>
      <c r="AI634" s="1025"/>
      <c r="AJ634" s="1025"/>
      <c r="AK634" s="1025"/>
      <c r="AL634" s="1193"/>
      <c r="AM634" s="1134"/>
      <c r="AN634" s="1000"/>
    </row>
    <row r="635" spans="1:81" s="943" customFormat="1" ht="12.75" customHeight="1">
      <c r="A635" s="927"/>
      <c r="B635" s="51"/>
      <c r="C635" s="1201"/>
      <c r="D635" s="1025"/>
      <c r="E635" s="1025"/>
      <c r="F635" s="3175"/>
      <c r="G635" s="3175"/>
      <c r="H635" s="3175"/>
      <c r="I635" s="3175"/>
      <c r="J635" s="3175"/>
      <c r="K635" s="3175"/>
      <c r="L635" s="3175"/>
      <c r="M635" s="3175"/>
      <c r="N635" s="3175"/>
      <c r="O635" s="3175"/>
      <c r="P635" s="3175"/>
      <c r="Q635" s="3175"/>
      <c r="R635" s="3175"/>
      <c r="S635" s="3175"/>
      <c r="T635" s="3175"/>
      <c r="U635" s="3175"/>
      <c r="V635" s="3175"/>
      <c r="W635" s="3175"/>
      <c r="X635" s="3175"/>
      <c r="Y635" s="3175"/>
      <c r="Z635" s="3175"/>
      <c r="AA635" s="3175"/>
      <c r="AB635" s="3175"/>
      <c r="AC635" s="3175"/>
      <c r="AD635" s="3175"/>
      <c r="AE635" s="3175"/>
      <c r="AF635" s="1025"/>
      <c r="AG635" s="1025"/>
      <c r="AH635" s="1025"/>
      <c r="AI635" s="1025"/>
      <c r="AJ635" s="1025"/>
      <c r="AK635" s="1025"/>
      <c r="AL635" s="1193"/>
      <c r="AM635" s="1134"/>
      <c r="AN635" s="1000"/>
    </row>
    <row r="636" spans="1:81" s="943" customFormat="1" ht="12.75" customHeight="1">
      <c r="A636" s="927"/>
      <c r="B636" s="51"/>
      <c r="C636" s="3163" t="s">
        <v>625</v>
      </c>
      <c r="D636" s="3111"/>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72" t="s">
        <v>1750</v>
      </c>
      <c r="AG636" s="3172"/>
      <c r="AH636" s="3172"/>
      <c r="AI636" s="3172"/>
      <c r="AJ636" s="3172"/>
      <c r="AK636" s="3172"/>
      <c r="AL636" s="3173"/>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63" t="s">
        <v>577</v>
      </c>
      <c r="D638" s="3111"/>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72" t="s">
        <v>1762</v>
      </c>
      <c r="AG638" s="3172"/>
      <c r="AH638" s="3172"/>
      <c r="AI638" s="3172"/>
      <c r="AJ638" s="3172"/>
      <c r="AK638" s="3172"/>
      <c r="AL638" s="3173"/>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166" t="s">
        <v>1771</v>
      </c>
      <c r="G642" s="3166"/>
      <c r="H642" s="3166"/>
      <c r="I642" s="3166"/>
      <c r="J642" s="3166"/>
      <c r="K642" s="3166"/>
      <c r="L642" s="3166"/>
      <c r="M642" s="3166"/>
      <c r="N642" s="3166"/>
      <c r="O642" s="3166"/>
      <c r="P642" s="3166"/>
      <c r="Q642" s="3166"/>
      <c r="R642" s="3166"/>
      <c r="S642" s="3166"/>
      <c r="T642" s="3166"/>
      <c r="U642" s="3166"/>
      <c r="V642" s="3166"/>
      <c r="W642" s="3166"/>
      <c r="X642" s="3166"/>
      <c r="Y642" s="3166"/>
      <c r="Z642" s="3166"/>
      <c r="AA642" s="3166"/>
      <c r="AB642" s="3166"/>
      <c r="AC642" s="3166"/>
      <c r="AD642" s="3166"/>
      <c r="AE642" s="3166"/>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67"/>
      <c r="G643" s="3167"/>
      <c r="H643" s="3167"/>
      <c r="I643" s="3167"/>
      <c r="J643" s="3167"/>
      <c r="K643" s="3167"/>
      <c r="L643" s="3167"/>
      <c r="M643" s="3167"/>
      <c r="N643" s="3167"/>
      <c r="O643" s="3167"/>
      <c r="P643" s="3167"/>
      <c r="Q643" s="3167"/>
      <c r="R643" s="3167"/>
      <c r="S643" s="3167"/>
      <c r="T643" s="3167"/>
      <c r="U643" s="3167"/>
      <c r="V643" s="3167"/>
      <c r="W643" s="3167"/>
      <c r="X643" s="3167"/>
      <c r="Y643" s="3167"/>
      <c r="Z643" s="3167"/>
      <c r="AA643" s="3167"/>
      <c r="AB643" s="3167"/>
      <c r="AC643" s="3167"/>
      <c r="AD643" s="3167"/>
      <c r="AE643" s="3167"/>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67"/>
      <c r="G644" s="3167"/>
      <c r="H644" s="3167"/>
      <c r="I644" s="3167"/>
      <c r="J644" s="3167"/>
      <c r="K644" s="3167"/>
      <c r="L644" s="3167"/>
      <c r="M644" s="3167"/>
      <c r="N644" s="3167"/>
      <c r="O644" s="3167"/>
      <c r="P644" s="3167"/>
      <c r="Q644" s="3167"/>
      <c r="R644" s="3167"/>
      <c r="S644" s="3167"/>
      <c r="T644" s="3167"/>
      <c r="U644" s="3167"/>
      <c r="V644" s="3167"/>
      <c r="W644" s="3167"/>
      <c r="X644" s="3167"/>
      <c r="Y644" s="3167"/>
      <c r="Z644" s="3167"/>
      <c r="AA644" s="3167"/>
      <c r="AB644" s="3167"/>
      <c r="AC644" s="3167"/>
      <c r="AD644" s="3167"/>
      <c r="AE644" s="3167"/>
      <c r="AF644" s="1025"/>
      <c r="AG644" s="1025"/>
      <c r="AH644" s="1025"/>
      <c r="AI644" s="1025"/>
      <c r="AJ644" s="1025"/>
      <c r="AK644" s="1025"/>
      <c r="AL644" s="1193"/>
      <c r="AM644" s="1134"/>
      <c r="AN644" s="1000"/>
      <c r="AO644" s="1025"/>
      <c r="AP644" s="1025"/>
    </row>
    <row r="645" spans="1:60" s="943" customFormat="1" ht="12.75" customHeight="1">
      <c r="A645" s="927"/>
      <c r="B645" s="51"/>
      <c r="C645" s="3163" t="s">
        <v>625</v>
      </c>
      <c r="D645" s="3111"/>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72" t="s">
        <v>1750</v>
      </c>
      <c r="AG645" s="3172"/>
      <c r="AH645" s="3172"/>
      <c r="AI645" s="3172"/>
      <c r="AJ645" s="3172"/>
      <c r="AK645" s="3172"/>
      <c r="AL645" s="3173"/>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1773</v>
      </c>
      <c r="F648" s="3166" t="s">
        <v>1774</v>
      </c>
      <c r="G648" s="3166"/>
      <c r="H648" s="3166"/>
      <c r="I648" s="3166"/>
      <c r="J648" s="3166"/>
      <c r="K648" s="3166"/>
      <c r="L648" s="3166"/>
      <c r="M648" s="3166"/>
      <c r="N648" s="3166"/>
      <c r="O648" s="3166"/>
      <c r="P648" s="3166"/>
      <c r="Q648" s="3166"/>
      <c r="R648" s="3166"/>
      <c r="S648" s="3166"/>
      <c r="T648" s="3166"/>
      <c r="U648" s="3166"/>
      <c r="V648" s="3166"/>
      <c r="W648" s="3166"/>
      <c r="X648" s="3166"/>
      <c r="Y648" s="3166"/>
      <c r="Z648" s="3166"/>
      <c r="AA648" s="3166"/>
      <c r="AB648" s="3166"/>
      <c r="AC648" s="3166"/>
      <c r="AD648" s="3166"/>
      <c r="AE648" s="3166"/>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67"/>
      <c r="G649" s="3167"/>
      <c r="H649" s="3167"/>
      <c r="I649" s="3167"/>
      <c r="J649" s="3167"/>
      <c r="K649" s="3167"/>
      <c r="L649" s="3167"/>
      <c r="M649" s="3167"/>
      <c r="N649" s="3167"/>
      <c r="O649" s="3167"/>
      <c r="P649" s="3167"/>
      <c r="Q649" s="3167"/>
      <c r="R649" s="3167"/>
      <c r="S649" s="3167"/>
      <c r="T649" s="3167"/>
      <c r="U649" s="3167"/>
      <c r="V649" s="3167"/>
      <c r="W649" s="3167"/>
      <c r="X649" s="3167"/>
      <c r="Y649" s="3167"/>
      <c r="Z649" s="3167"/>
      <c r="AA649" s="3167"/>
      <c r="AB649" s="3167"/>
      <c r="AC649" s="3167"/>
      <c r="AD649" s="3167"/>
      <c r="AE649" s="3167"/>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67"/>
      <c r="G650" s="3167"/>
      <c r="H650" s="3167"/>
      <c r="I650" s="3167"/>
      <c r="J650" s="3167"/>
      <c r="K650" s="3167"/>
      <c r="L650" s="3167"/>
      <c r="M650" s="3167"/>
      <c r="N650" s="3167"/>
      <c r="O650" s="3167"/>
      <c r="P650" s="3167"/>
      <c r="Q650" s="3167"/>
      <c r="R650" s="3167"/>
      <c r="S650" s="3167"/>
      <c r="T650" s="3167"/>
      <c r="U650" s="3167"/>
      <c r="V650" s="3167"/>
      <c r="W650" s="3167"/>
      <c r="X650" s="3167"/>
      <c r="Y650" s="3167"/>
      <c r="Z650" s="3167"/>
      <c r="AA650" s="3167"/>
      <c r="AB650" s="3167"/>
      <c r="AC650" s="3167"/>
      <c r="AD650" s="3167"/>
      <c r="AE650" s="3167"/>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67"/>
      <c r="G651" s="3167"/>
      <c r="H651" s="3167"/>
      <c r="I651" s="3167"/>
      <c r="J651" s="3167"/>
      <c r="K651" s="3167"/>
      <c r="L651" s="3167"/>
      <c r="M651" s="3167"/>
      <c r="N651" s="3167"/>
      <c r="O651" s="3167"/>
      <c r="P651" s="3167"/>
      <c r="Q651" s="3167"/>
      <c r="R651" s="3167"/>
      <c r="S651" s="3167"/>
      <c r="T651" s="3167"/>
      <c r="U651" s="3167"/>
      <c r="V651" s="3167"/>
      <c r="W651" s="3167"/>
      <c r="X651" s="3167"/>
      <c r="Y651" s="3167"/>
      <c r="Z651" s="3167"/>
      <c r="AA651" s="3167"/>
      <c r="AB651" s="3167"/>
      <c r="AC651" s="3167"/>
      <c r="AD651" s="3167"/>
      <c r="AE651" s="3167"/>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67"/>
      <c r="G652" s="3167"/>
      <c r="H652" s="3167"/>
      <c r="I652" s="3167"/>
      <c r="J652" s="3167"/>
      <c r="K652" s="3167"/>
      <c r="L652" s="3167"/>
      <c r="M652" s="3167"/>
      <c r="N652" s="3167"/>
      <c r="O652" s="3167"/>
      <c r="P652" s="3167"/>
      <c r="Q652" s="3167"/>
      <c r="R652" s="3167"/>
      <c r="S652" s="3167"/>
      <c r="T652" s="3167"/>
      <c r="U652" s="3167"/>
      <c r="V652" s="3167"/>
      <c r="W652" s="3167"/>
      <c r="X652" s="3167"/>
      <c r="Y652" s="3167"/>
      <c r="Z652" s="3167"/>
      <c r="AA652" s="3167"/>
      <c r="AB652" s="3167"/>
      <c r="AC652" s="3167"/>
      <c r="AD652" s="3167"/>
      <c r="AE652" s="3167"/>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67"/>
      <c r="G653" s="3167"/>
      <c r="H653" s="3167"/>
      <c r="I653" s="3167"/>
      <c r="J653" s="3167"/>
      <c r="K653" s="3167"/>
      <c r="L653" s="3167"/>
      <c r="M653" s="3167"/>
      <c r="N653" s="3167"/>
      <c r="O653" s="3167"/>
      <c r="P653" s="3167"/>
      <c r="Q653" s="3167"/>
      <c r="R653" s="3167"/>
      <c r="S653" s="3167"/>
      <c r="T653" s="3167"/>
      <c r="U653" s="3167"/>
      <c r="V653" s="3167"/>
      <c r="W653" s="3167"/>
      <c r="X653" s="3167"/>
      <c r="Y653" s="3167"/>
      <c r="Z653" s="3167"/>
      <c r="AA653" s="3167"/>
      <c r="AB653" s="3167"/>
      <c r="AC653" s="3167"/>
      <c r="AD653" s="3167"/>
      <c r="AE653" s="3167"/>
      <c r="AF653" s="1224"/>
      <c r="AG653" s="1224"/>
      <c r="AH653" s="1224"/>
      <c r="AI653" s="1224"/>
      <c r="AJ653" s="1224"/>
      <c r="AK653" s="1224"/>
      <c r="AL653" s="1225"/>
      <c r="AM653" s="1134"/>
      <c r="AN653" s="1000"/>
    </row>
    <row r="654" spans="1:60" s="943" customFormat="1" ht="12.75" customHeight="1">
      <c r="A654" s="927"/>
      <c r="B654" s="51"/>
      <c r="C654" s="1226"/>
      <c r="D654" s="1191"/>
      <c r="E654" s="1178"/>
      <c r="F654" s="3167"/>
      <c r="G654" s="3167"/>
      <c r="H654" s="3167"/>
      <c r="I654" s="3167"/>
      <c r="J654" s="3167"/>
      <c r="K654" s="3167"/>
      <c r="L654" s="3167"/>
      <c r="M654" s="3167"/>
      <c r="N654" s="3167"/>
      <c r="O654" s="3167"/>
      <c r="P654" s="3167"/>
      <c r="Q654" s="3167"/>
      <c r="R654" s="3167"/>
      <c r="S654" s="3167"/>
      <c r="T654" s="3167"/>
      <c r="U654" s="3167"/>
      <c r="V654" s="3167"/>
      <c r="W654" s="3167"/>
      <c r="X654" s="3167"/>
      <c r="Y654" s="3167"/>
      <c r="Z654" s="3167"/>
      <c r="AA654" s="3167"/>
      <c r="AB654" s="3167"/>
      <c r="AC654" s="3167"/>
      <c r="AD654" s="3167"/>
      <c r="AE654" s="3167"/>
      <c r="AF654" s="1224"/>
      <c r="AG654" s="1224"/>
      <c r="AH654" s="1224"/>
      <c r="AI654" s="1224"/>
      <c r="AJ654" s="1224"/>
      <c r="AK654" s="1224"/>
      <c r="AL654" s="1225"/>
      <c r="AM654" s="1134"/>
      <c r="AN654" s="1000"/>
    </row>
    <row r="655" spans="1:60" s="943" customFormat="1" ht="12.75" customHeight="1">
      <c r="A655" s="927"/>
      <c r="B655" s="51"/>
      <c r="C655" s="1226"/>
      <c r="D655" s="1191"/>
      <c r="E655" s="1178"/>
      <c r="F655" s="3167"/>
      <c r="G655" s="3167"/>
      <c r="H655" s="3167"/>
      <c r="I655" s="3167"/>
      <c r="J655" s="3167"/>
      <c r="K655" s="3167"/>
      <c r="L655" s="3167"/>
      <c r="M655" s="3167"/>
      <c r="N655" s="3167"/>
      <c r="O655" s="3167"/>
      <c r="P655" s="3167"/>
      <c r="Q655" s="3167"/>
      <c r="R655" s="3167"/>
      <c r="S655" s="3167"/>
      <c r="T655" s="3167"/>
      <c r="U655" s="3167"/>
      <c r="V655" s="3167"/>
      <c r="W655" s="3167"/>
      <c r="X655" s="3167"/>
      <c r="Y655" s="3167"/>
      <c r="Z655" s="3167"/>
      <c r="AA655" s="3167"/>
      <c r="AB655" s="3167"/>
      <c r="AC655" s="3167"/>
      <c r="AD655" s="3167"/>
      <c r="AE655" s="3167"/>
      <c r="AF655" s="1224"/>
      <c r="AG655" s="1224"/>
      <c r="AH655" s="1224"/>
      <c r="AI655" s="1224"/>
      <c r="AJ655" s="1224"/>
      <c r="AK655" s="1224"/>
      <c r="AL655" s="1225"/>
      <c r="AM655" s="1134"/>
      <c r="AN655" s="1000"/>
    </row>
    <row r="656" spans="1:60" s="943" customFormat="1" ht="17.25" customHeight="1">
      <c r="A656" s="927"/>
      <c r="B656" s="51"/>
      <c r="C656" s="1226"/>
      <c r="D656" s="1191"/>
      <c r="E656" s="1178"/>
      <c r="F656" s="3167"/>
      <c r="G656" s="3167"/>
      <c r="H656" s="3167"/>
      <c r="I656" s="3167"/>
      <c r="J656" s="3167"/>
      <c r="K656" s="3167"/>
      <c r="L656" s="3167"/>
      <c r="M656" s="3167"/>
      <c r="N656" s="3167"/>
      <c r="O656" s="3167"/>
      <c r="P656" s="3167"/>
      <c r="Q656" s="3167"/>
      <c r="R656" s="3167"/>
      <c r="S656" s="3167"/>
      <c r="T656" s="3167"/>
      <c r="U656" s="3167"/>
      <c r="V656" s="3167"/>
      <c r="W656" s="3167"/>
      <c r="X656" s="3167"/>
      <c r="Y656" s="3167"/>
      <c r="Z656" s="3167"/>
      <c r="AA656" s="3167"/>
      <c r="AB656" s="3167"/>
      <c r="AC656" s="3167"/>
      <c r="AD656" s="3167"/>
      <c r="AE656" s="3167"/>
      <c r="AF656" s="1025"/>
      <c r="AG656" s="1025"/>
      <c r="AH656" s="1025"/>
      <c r="AI656" s="1025"/>
      <c r="AJ656" s="1025"/>
      <c r="AK656" s="1025"/>
      <c r="AL656" s="1193"/>
      <c r="AM656" s="1134"/>
      <c r="AN656" s="1000"/>
    </row>
    <row r="657" spans="1:54" s="943" customFormat="1" ht="12.75" customHeight="1">
      <c r="A657" s="927"/>
      <c r="B657" s="51"/>
      <c r="C657" s="3163" t="s">
        <v>625</v>
      </c>
      <c r="D657" s="3111"/>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72" t="s">
        <v>1750</v>
      </c>
      <c r="AG657" s="3172"/>
      <c r="AH657" s="3172"/>
      <c r="AI657" s="3172"/>
      <c r="AJ657" s="3172"/>
      <c r="AK657" s="3172"/>
      <c r="AL657" s="3173"/>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166" t="s">
        <v>1777</v>
      </c>
      <c r="G660" s="3166"/>
      <c r="H660" s="3166"/>
      <c r="I660" s="3166"/>
      <c r="J660" s="3166"/>
      <c r="K660" s="3166"/>
      <c r="L660" s="3166"/>
      <c r="M660" s="3166"/>
      <c r="N660" s="3166"/>
      <c r="O660" s="3166"/>
      <c r="P660" s="3166"/>
      <c r="Q660" s="3166"/>
      <c r="R660" s="3166"/>
      <c r="S660" s="3166"/>
      <c r="T660" s="3166"/>
      <c r="U660" s="3166"/>
      <c r="V660" s="3166"/>
      <c r="W660" s="3166"/>
      <c r="X660" s="3166"/>
      <c r="Y660" s="3166"/>
      <c r="Z660" s="3166"/>
      <c r="AA660" s="3166"/>
      <c r="AB660" s="3166"/>
      <c r="AC660" s="3166"/>
      <c r="AD660" s="3166"/>
      <c r="AE660" s="3166"/>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67"/>
      <c r="G661" s="3167"/>
      <c r="H661" s="3167"/>
      <c r="I661" s="3167"/>
      <c r="J661" s="3167"/>
      <c r="K661" s="3167"/>
      <c r="L661" s="3167"/>
      <c r="M661" s="3167"/>
      <c r="N661" s="3167"/>
      <c r="O661" s="3167"/>
      <c r="P661" s="3167"/>
      <c r="Q661" s="3167"/>
      <c r="R661" s="3167"/>
      <c r="S661" s="3167"/>
      <c r="T661" s="3167"/>
      <c r="U661" s="3167"/>
      <c r="V661" s="3167"/>
      <c r="W661" s="3167"/>
      <c r="X661" s="3167"/>
      <c r="Y661" s="3167"/>
      <c r="Z661" s="3167"/>
      <c r="AA661" s="3167"/>
      <c r="AB661" s="3167"/>
      <c r="AC661" s="3167"/>
      <c r="AD661" s="3167"/>
      <c r="AE661" s="3167"/>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167"/>
      <c r="G662" s="3167"/>
      <c r="H662" s="3167"/>
      <c r="I662" s="3167"/>
      <c r="J662" s="3167"/>
      <c r="K662" s="3167"/>
      <c r="L662" s="3167"/>
      <c r="M662" s="3167"/>
      <c r="N662" s="3167"/>
      <c r="O662" s="3167"/>
      <c r="P662" s="3167"/>
      <c r="Q662" s="3167"/>
      <c r="R662" s="3167"/>
      <c r="S662" s="3167"/>
      <c r="T662" s="3167"/>
      <c r="U662" s="3167"/>
      <c r="V662" s="3167"/>
      <c r="W662" s="3167"/>
      <c r="X662" s="3167"/>
      <c r="Y662" s="3167"/>
      <c r="Z662" s="3167"/>
      <c r="AA662" s="3167"/>
      <c r="AB662" s="3167"/>
      <c r="AC662" s="3167"/>
      <c r="AD662" s="3167"/>
      <c r="AE662" s="3167"/>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167"/>
      <c r="G663" s="3167"/>
      <c r="H663" s="3167"/>
      <c r="I663" s="3167"/>
      <c r="J663" s="3167"/>
      <c r="K663" s="3167"/>
      <c r="L663" s="3167"/>
      <c r="M663" s="3167"/>
      <c r="N663" s="3167"/>
      <c r="O663" s="3167"/>
      <c r="P663" s="3167"/>
      <c r="Q663" s="3167"/>
      <c r="R663" s="3167"/>
      <c r="S663" s="3167"/>
      <c r="T663" s="3167"/>
      <c r="U663" s="3167"/>
      <c r="V663" s="3167"/>
      <c r="W663" s="3167"/>
      <c r="X663" s="3167"/>
      <c r="Y663" s="3167"/>
      <c r="Z663" s="3167"/>
      <c r="AA663" s="3167"/>
      <c r="AB663" s="3167"/>
      <c r="AC663" s="3167"/>
      <c r="AD663" s="3167"/>
      <c r="AE663" s="3167"/>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163" t="s">
        <v>625</v>
      </c>
      <c r="D664" s="3111"/>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72" t="s">
        <v>1750</v>
      </c>
      <c r="AG664" s="3172"/>
      <c r="AH664" s="3172"/>
      <c r="AI664" s="3172"/>
      <c r="AJ664" s="3172"/>
      <c r="AK664" s="3172"/>
      <c r="AL664" s="3173"/>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76" t="s">
        <v>625</v>
      </c>
      <c r="D668" s="3177"/>
      <c r="E668" s="1174" t="s">
        <v>1786</v>
      </c>
      <c r="F668" s="3166" t="s">
        <v>1787</v>
      </c>
      <c r="G668" s="3166"/>
      <c r="H668" s="3166"/>
      <c r="I668" s="3166"/>
      <c r="J668" s="3166"/>
      <c r="K668" s="3166"/>
      <c r="L668" s="3166"/>
      <c r="M668" s="3166"/>
      <c r="N668" s="3166"/>
      <c r="O668" s="3166"/>
      <c r="P668" s="3166"/>
      <c r="Q668" s="3166"/>
      <c r="R668" s="3166"/>
      <c r="S668" s="3166"/>
      <c r="T668" s="3166"/>
      <c r="U668" s="3166"/>
      <c r="V668" s="3166"/>
      <c r="W668" s="3166"/>
      <c r="X668" s="3166"/>
      <c r="Y668" s="3166"/>
      <c r="Z668" s="3166"/>
      <c r="AA668" s="3166"/>
      <c r="AB668" s="3166"/>
      <c r="AC668" s="3166"/>
      <c r="AD668" s="3166"/>
      <c r="AE668" s="3166"/>
      <c r="AF668" s="3178" t="s">
        <v>1750</v>
      </c>
      <c r="AG668" s="3178"/>
      <c r="AH668" s="3178"/>
      <c r="AI668" s="3178"/>
      <c r="AJ668" s="3178"/>
      <c r="AK668" s="3178"/>
      <c r="AL668" s="3179"/>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67"/>
      <c r="G669" s="3167"/>
      <c r="H669" s="3167"/>
      <c r="I669" s="3167"/>
      <c r="J669" s="3167"/>
      <c r="K669" s="3167"/>
      <c r="L669" s="3167"/>
      <c r="M669" s="3167"/>
      <c r="N669" s="3167"/>
      <c r="O669" s="3167"/>
      <c r="P669" s="3167"/>
      <c r="Q669" s="3167"/>
      <c r="R669" s="3167"/>
      <c r="S669" s="3167"/>
      <c r="T669" s="3167"/>
      <c r="U669" s="3167"/>
      <c r="V669" s="3167"/>
      <c r="W669" s="3167"/>
      <c r="X669" s="3167"/>
      <c r="Y669" s="3167"/>
      <c r="Z669" s="3167"/>
      <c r="AA669" s="3167"/>
      <c r="AB669" s="3167"/>
      <c r="AC669" s="3167"/>
      <c r="AD669" s="3167"/>
      <c r="AE669" s="3167"/>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649999999999999" customHeight="1">
      <c r="A670" s="927"/>
      <c r="B670" s="51"/>
      <c r="C670" s="1236"/>
      <c r="D670" s="1184"/>
      <c r="E670" s="1185"/>
      <c r="F670" s="3171"/>
      <c r="G670" s="3171"/>
      <c r="H670" s="3171"/>
      <c r="I670" s="3171"/>
      <c r="J670" s="3171"/>
      <c r="K670" s="3171"/>
      <c r="L670" s="3171"/>
      <c r="M670" s="3171"/>
      <c r="N670" s="3171"/>
      <c r="O670" s="3171"/>
      <c r="P670" s="3171"/>
      <c r="Q670" s="3171"/>
      <c r="R670" s="3171"/>
      <c r="S670" s="3171"/>
      <c r="T670" s="3171"/>
      <c r="U670" s="3171"/>
      <c r="V670" s="3171"/>
      <c r="W670" s="3171"/>
      <c r="X670" s="3171"/>
      <c r="Y670" s="3171"/>
      <c r="Z670" s="3171"/>
      <c r="AA670" s="3171"/>
      <c r="AB670" s="3171"/>
      <c r="AC670" s="3171"/>
      <c r="AD670" s="3171"/>
      <c r="AE670" s="3171"/>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163" t="s">
        <v>625</v>
      </c>
      <c r="D672" s="3111"/>
      <c r="E672" s="1174" t="s">
        <v>1792</v>
      </c>
      <c r="F672" s="3166" t="s">
        <v>1793</v>
      </c>
      <c r="G672" s="3166"/>
      <c r="H672" s="3166"/>
      <c r="I672" s="3166"/>
      <c r="J672" s="3166"/>
      <c r="K672" s="3166"/>
      <c r="L672" s="3166"/>
      <c r="M672" s="3166"/>
      <c r="N672" s="3166"/>
      <c r="O672" s="3166"/>
      <c r="P672" s="3166"/>
      <c r="Q672" s="3166"/>
      <c r="R672" s="3166"/>
      <c r="S672" s="3166"/>
      <c r="T672" s="3166"/>
      <c r="U672" s="3166"/>
      <c r="V672" s="3166"/>
      <c r="W672" s="3166"/>
      <c r="X672" s="3166"/>
      <c r="Y672" s="3166"/>
      <c r="Z672" s="3166"/>
      <c r="AA672" s="3166"/>
      <c r="AB672" s="3166"/>
      <c r="AC672" s="3166"/>
      <c r="AD672" s="3166"/>
      <c r="AE672" s="3166"/>
      <c r="AF672" s="3178" t="s">
        <v>1750</v>
      </c>
      <c r="AG672" s="3178"/>
      <c r="AH672" s="3178"/>
      <c r="AI672" s="3178"/>
      <c r="AJ672" s="3178"/>
      <c r="AK672" s="3178"/>
      <c r="AL672" s="3179"/>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167"/>
      <c r="G673" s="3167"/>
      <c r="H673" s="3167"/>
      <c r="I673" s="3167"/>
      <c r="J673" s="3167"/>
      <c r="K673" s="3167"/>
      <c r="L673" s="3167"/>
      <c r="M673" s="3167"/>
      <c r="N673" s="3167"/>
      <c r="O673" s="3167"/>
      <c r="P673" s="3167"/>
      <c r="Q673" s="3167"/>
      <c r="R673" s="3167"/>
      <c r="S673" s="3167"/>
      <c r="T673" s="3167"/>
      <c r="U673" s="3167"/>
      <c r="V673" s="3167"/>
      <c r="W673" s="3167"/>
      <c r="X673" s="3167"/>
      <c r="Y673" s="3167"/>
      <c r="Z673" s="3167"/>
      <c r="AA673" s="3167"/>
      <c r="AB673" s="3167"/>
      <c r="AC673" s="3167"/>
      <c r="AD673" s="3167"/>
      <c r="AE673" s="3167"/>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67"/>
      <c r="G674" s="3167"/>
      <c r="H674" s="3167"/>
      <c r="I674" s="3167"/>
      <c r="J674" s="3167"/>
      <c r="K674" s="3167"/>
      <c r="L674" s="3167"/>
      <c r="M674" s="3167"/>
      <c r="N674" s="3167"/>
      <c r="O674" s="3167"/>
      <c r="P674" s="3167"/>
      <c r="Q674" s="3167"/>
      <c r="R674" s="3167"/>
      <c r="S674" s="3167"/>
      <c r="T674" s="3167"/>
      <c r="U674" s="3167"/>
      <c r="V674" s="3167"/>
      <c r="W674" s="3167"/>
      <c r="X674" s="3167"/>
      <c r="Y674" s="3167"/>
      <c r="Z674" s="3167"/>
      <c r="AA674" s="3167"/>
      <c r="AB674" s="3167"/>
      <c r="AC674" s="3167"/>
      <c r="AD674" s="3167"/>
      <c r="AE674" s="3167"/>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71"/>
      <c r="G675" s="3171"/>
      <c r="H675" s="3171"/>
      <c r="I675" s="3171"/>
      <c r="J675" s="3171"/>
      <c r="K675" s="3171"/>
      <c r="L675" s="3171"/>
      <c r="M675" s="3171"/>
      <c r="N675" s="3171"/>
      <c r="O675" s="3171"/>
      <c r="P675" s="3171"/>
      <c r="Q675" s="3171"/>
      <c r="R675" s="3171"/>
      <c r="S675" s="3171"/>
      <c r="T675" s="3171"/>
      <c r="U675" s="3171"/>
      <c r="V675" s="3171"/>
      <c r="W675" s="3171"/>
      <c r="X675" s="3171"/>
      <c r="Y675" s="3171"/>
      <c r="Z675" s="3171"/>
      <c r="AA675" s="3171"/>
      <c r="AB675" s="3171"/>
      <c r="AC675" s="3171"/>
      <c r="AD675" s="3171"/>
      <c r="AE675" s="3171"/>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74" t="s">
        <v>1796</v>
      </c>
      <c r="G677" s="3174"/>
      <c r="H677" s="3174"/>
      <c r="I677" s="3174"/>
      <c r="J677" s="3174"/>
      <c r="K677" s="3174"/>
      <c r="L677" s="3174"/>
      <c r="M677" s="3174"/>
      <c r="N677" s="3174"/>
      <c r="O677" s="3174"/>
      <c r="P677" s="3174"/>
      <c r="Q677" s="3174"/>
      <c r="R677" s="3174"/>
      <c r="S677" s="3174"/>
      <c r="T677" s="3174"/>
      <c r="U677" s="3174"/>
      <c r="V677" s="3174"/>
      <c r="W677" s="3174"/>
      <c r="X677" s="3174"/>
      <c r="Y677" s="3174"/>
      <c r="Z677" s="3174"/>
      <c r="AA677" s="3174"/>
      <c r="AB677" s="3174"/>
      <c r="AC677" s="3174"/>
      <c r="AD677" s="3174"/>
      <c r="AE677" s="3174"/>
      <c r="AF677" s="3174"/>
      <c r="AG677" s="1208"/>
      <c r="AH677" s="1173"/>
      <c r="AI677" s="1173"/>
      <c r="AJ677" s="1173"/>
      <c r="AK677" s="1173"/>
      <c r="AL677" s="1209"/>
      <c r="AM677" s="1134"/>
      <c r="AN677" s="1000"/>
    </row>
    <row r="678" spans="1:54" s="943" customFormat="1" ht="12.75" customHeight="1">
      <c r="A678" s="927"/>
      <c r="B678" s="51"/>
      <c r="C678" s="1192"/>
      <c r="D678" s="112"/>
      <c r="E678" s="1146"/>
      <c r="F678" s="3175"/>
      <c r="G678" s="3175"/>
      <c r="H678" s="3175"/>
      <c r="I678" s="3175"/>
      <c r="J678" s="3175"/>
      <c r="K678" s="3175"/>
      <c r="L678" s="3175"/>
      <c r="M678" s="3175"/>
      <c r="N678" s="3175"/>
      <c r="O678" s="3175"/>
      <c r="P678" s="3175"/>
      <c r="Q678" s="3175"/>
      <c r="R678" s="3175"/>
      <c r="S678" s="3175"/>
      <c r="T678" s="3175"/>
      <c r="U678" s="3175"/>
      <c r="V678" s="3175"/>
      <c r="W678" s="3175"/>
      <c r="X678" s="3175"/>
      <c r="Y678" s="3175"/>
      <c r="Z678" s="3175"/>
      <c r="AA678" s="3175"/>
      <c r="AB678" s="3175"/>
      <c r="AC678" s="3175"/>
      <c r="AD678" s="3175"/>
      <c r="AE678" s="3175"/>
      <c r="AF678" s="3175"/>
      <c r="AG678" s="1025"/>
      <c r="AH678" s="1025"/>
      <c r="AI678" s="1025"/>
      <c r="AJ678" s="1025"/>
      <c r="AK678" s="1025"/>
      <c r="AL678" s="1193"/>
      <c r="AM678" s="1134"/>
      <c r="AN678" s="1000"/>
    </row>
    <row r="679" spans="1:54" s="943" customFormat="1" ht="12.75" customHeight="1">
      <c r="A679" s="927"/>
      <c r="B679" s="51"/>
      <c r="C679" s="1201"/>
      <c r="D679" s="1025"/>
      <c r="E679" s="1025"/>
      <c r="F679" s="3175"/>
      <c r="G679" s="3175"/>
      <c r="H679" s="3175"/>
      <c r="I679" s="3175"/>
      <c r="J679" s="3175"/>
      <c r="K679" s="3175"/>
      <c r="L679" s="3175"/>
      <c r="M679" s="3175"/>
      <c r="N679" s="3175"/>
      <c r="O679" s="3175"/>
      <c r="P679" s="3175"/>
      <c r="Q679" s="3175"/>
      <c r="R679" s="3175"/>
      <c r="S679" s="3175"/>
      <c r="T679" s="3175"/>
      <c r="U679" s="3175"/>
      <c r="V679" s="3175"/>
      <c r="W679" s="3175"/>
      <c r="X679" s="3175"/>
      <c r="Y679" s="3175"/>
      <c r="Z679" s="3175"/>
      <c r="AA679" s="3175"/>
      <c r="AB679" s="3175"/>
      <c r="AC679" s="3175"/>
      <c r="AD679" s="3175"/>
      <c r="AE679" s="3175"/>
      <c r="AF679" s="3175"/>
      <c r="AG679" s="1025"/>
      <c r="AH679" s="1025"/>
      <c r="AI679" s="1025"/>
      <c r="AJ679" s="1025"/>
      <c r="AK679" s="1025"/>
      <c r="AL679" s="1193"/>
      <c r="AM679" s="1134"/>
      <c r="AN679" s="1000"/>
    </row>
    <row r="680" spans="1:54" s="943" customFormat="1" ht="12.75" customHeight="1">
      <c r="A680" s="927"/>
      <c r="B680" s="51"/>
      <c r="C680" s="1201"/>
      <c r="D680" s="1025"/>
      <c r="E680" s="1025"/>
      <c r="F680" s="3175"/>
      <c r="G680" s="3175"/>
      <c r="H680" s="3175"/>
      <c r="I680" s="3175"/>
      <c r="J680" s="3175"/>
      <c r="K680" s="3175"/>
      <c r="L680" s="3175"/>
      <c r="M680" s="3175"/>
      <c r="N680" s="3175"/>
      <c r="O680" s="3175"/>
      <c r="P680" s="3175"/>
      <c r="Q680" s="3175"/>
      <c r="R680" s="3175"/>
      <c r="S680" s="3175"/>
      <c r="T680" s="3175"/>
      <c r="U680" s="3175"/>
      <c r="V680" s="3175"/>
      <c r="W680" s="3175"/>
      <c r="X680" s="3175"/>
      <c r="Y680" s="3175"/>
      <c r="Z680" s="3175"/>
      <c r="AA680" s="3175"/>
      <c r="AB680" s="3175"/>
      <c r="AC680" s="3175"/>
      <c r="AD680" s="3175"/>
      <c r="AE680" s="3175"/>
      <c r="AF680" s="3175"/>
      <c r="AG680" s="1025"/>
      <c r="AH680" s="1025"/>
      <c r="AI680" s="1025"/>
      <c r="AJ680" s="1025"/>
      <c r="AK680" s="1025"/>
      <c r="AL680" s="1193"/>
      <c r="AM680" s="1134"/>
      <c r="AN680" s="1000"/>
    </row>
    <row r="681" spans="1:54" s="943" customFormat="1" ht="12.75" customHeight="1">
      <c r="A681" s="927"/>
      <c r="B681" s="51"/>
      <c r="C681" s="3163" t="s">
        <v>625</v>
      </c>
      <c r="D681" s="3111"/>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64" t="s">
        <v>1750</v>
      </c>
      <c r="AG681" s="3164"/>
      <c r="AH681" s="3164"/>
      <c r="AI681" s="3164"/>
      <c r="AJ681" s="3164"/>
      <c r="AK681" s="3164"/>
      <c r="AL681" s="3165"/>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1"/>
      <c r="D683" s="1256"/>
      <c r="E683" s="1026"/>
      <c r="F683" s="1812"/>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114">
        <f>IF(Application!D213="N/A",AS573,AS575)</f>
        <v>10</v>
      </c>
      <c r="AL684" s="3115"/>
      <c r="AM684" s="3116"/>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2"/>
      <c r="J686" s="1792"/>
      <c r="K686" s="1792"/>
      <c r="L686" s="1792"/>
      <c r="M686" s="1792"/>
      <c r="N686" s="1792"/>
      <c r="O686" s="1792"/>
      <c r="P686" s="1792"/>
      <c r="Q686" s="1792"/>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30" t="s">
        <v>1800</v>
      </c>
      <c r="AF687" s="3230"/>
      <c r="AG687" s="3230"/>
      <c r="AH687" s="3230"/>
      <c r="AI687" s="3230"/>
      <c r="AJ687" s="3230"/>
      <c r="AK687" s="3230"/>
      <c r="AL687" s="1788"/>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8"/>
      <c r="AF688" s="1788"/>
      <c r="AG688" s="1788"/>
      <c r="AH688" s="1788"/>
      <c r="AI688" s="1788"/>
      <c r="AJ688" s="1788"/>
      <c r="AK688" s="1788"/>
      <c r="AL688" s="1788"/>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8"/>
      <c r="AF689" s="1788"/>
      <c r="AG689" s="1788"/>
      <c r="AH689" s="1788"/>
      <c r="AI689" s="1788"/>
      <c r="AJ689" s="1788"/>
      <c r="AK689" s="1788"/>
      <c r="AL689" s="1788"/>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8"/>
      <c r="AF690" s="1788"/>
      <c r="AG690" s="1788"/>
      <c r="AH690" s="1788"/>
      <c r="AI690" s="1788"/>
      <c r="AJ690" s="1788"/>
      <c r="AK690" s="1788"/>
      <c r="AL690" s="1788"/>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8"/>
      <c r="AF691" s="1788"/>
      <c r="AG691" s="1788"/>
      <c r="AH691" s="1788"/>
      <c r="AI691" s="1788"/>
      <c r="AJ691" s="1788"/>
      <c r="AK691" s="1788"/>
      <c r="AL691" s="1788"/>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8"/>
      <c r="AF692" s="1788"/>
      <c r="AG692" s="999"/>
      <c r="AH692" s="999"/>
      <c r="AI692" s="999"/>
      <c r="AJ692" s="999"/>
      <c r="AK692" s="999"/>
      <c r="AL692" s="999"/>
      <c r="AM692" s="1026"/>
      <c r="AN692" s="1000"/>
      <c r="AO692" s="943" t="s">
        <v>1784</v>
      </c>
      <c r="AP692" s="943">
        <v>5</v>
      </c>
      <c r="AW692" s="1246"/>
    </row>
    <row r="693" spans="1:50" s="943" customFormat="1" ht="12.75" hidden="1" customHeight="1">
      <c r="A693" s="1012"/>
      <c r="C693" s="3180" t="s">
        <v>625</v>
      </c>
      <c r="D693" s="3181"/>
      <c r="E693" s="1248" t="s">
        <v>539</v>
      </c>
      <c r="F693" s="3182" t="s">
        <v>1806</v>
      </c>
      <c r="G693" s="3182"/>
      <c r="H693" s="3182"/>
      <c r="I693" s="3182"/>
      <c r="J693" s="3182"/>
      <c r="K693" s="3182"/>
      <c r="L693" s="3182"/>
      <c r="M693" s="3182"/>
      <c r="N693" s="3182"/>
      <c r="O693" s="3182"/>
      <c r="P693" s="3182"/>
      <c r="Q693" s="3182"/>
      <c r="R693" s="3182"/>
      <c r="S693" s="3182"/>
      <c r="T693" s="3182"/>
      <c r="U693" s="3182"/>
      <c r="V693" s="3182"/>
      <c r="W693" s="3182"/>
      <c r="X693" s="3182"/>
      <c r="Y693" s="3182"/>
      <c r="Z693" s="3182"/>
      <c r="AA693" s="3182"/>
      <c r="AB693" s="3182"/>
      <c r="AC693" s="3182"/>
      <c r="AD693" s="3182"/>
      <c r="AE693" s="3182"/>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83"/>
      <c r="G694" s="3183"/>
      <c r="H694" s="3183"/>
      <c r="I694" s="3183"/>
      <c r="J694" s="3183"/>
      <c r="K694" s="3183"/>
      <c r="L694" s="3183"/>
      <c r="M694" s="3183"/>
      <c r="N694" s="3183"/>
      <c r="O694" s="3183"/>
      <c r="P694" s="3183"/>
      <c r="Q694" s="3183"/>
      <c r="R694" s="3183"/>
      <c r="S694" s="3183"/>
      <c r="T694" s="3183"/>
      <c r="U694" s="3183"/>
      <c r="V694" s="3183"/>
      <c r="W694" s="3183"/>
      <c r="X694" s="3183"/>
      <c r="Y694" s="3183"/>
      <c r="Z694" s="3183"/>
      <c r="AA694" s="3183"/>
      <c r="AB694" s="3183"/>
      <c r="AC694" s="3183"/>
      <c r="AD694" s="3183"/>
      <c r="AE694" s="3183"/>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84" t="s">
        <v>625</v>
      </c>
      <c r="G695" s="3184"/>
      <c r="H695" s="3184"/>
      <c r="I695" s="3184"/>
      <c r="J695" s="3184"/>
      <c r="K695" s="3184"/>
      <c r="L695" s="3184"/>
      <c r="M695" s="3184"/>
      <c r="N695" s="3184"/>
      <c r="O695" s="3184"/>
      <c r="P695" s="3184"/>
      <c r="Q695" s="3184"/>
      <c r="R695" s="3184"/>
      <c r="S695" s="3184"/>
      <c r="T695" s="3184"/>
      <c r="U695" s="3184"/>
      <c r="V695" s="3184"/>
      <c r="W695" s="3184"/>
      <c r="X695" s="3184"/>
      <c r="Y695" s="3184"/>
      <c r="Z695" s="3184"/>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85" t="s">
        <v>577</v>
      </c>
      <c r="D697" s="3186"/>
      <c r="E697" s="1248" t="s">
        <v>797</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8"/>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0"/>
      <c r="D699" s="1791"/>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192" t="s">
        <v>625</v>
      </c>
      <c r="W700" s="3192"/>
      <c r="X700" s="3192"/>
      <c r="Y700" s="1259"/>
      <c r="Z700" s="1259"/>
      <c r="AA700" s="1259"/>
      <c r="AB700" s="1259"/>
      <c r="AC700" s="1259"/>
      <c r="AD700" s="1262"/>
      <c r="AE700" s="1262"/>
      <c r="AF700" s="1262"/>
      <c r="AG700" s="1031">
        <f>IF(AND($C$697="Yes",$V$702="N/A",$V$707="N/A",$V$711="N/A",$V$713="N/A"),(VLOOKUP(V700,$AR$670:$AS$672,2,FALSE)),0)</f>
        <v>0</v>
      </c>
      <c r="AH700" s="1796"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6"/>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192" t="s">
        <v>625</v>
      </c>
      <c r="W702" s="3192"/>
      <c r="X702" s="3192"/>
      <c r="Y702" s="1259"/>
      <c r="Z702" s="1259"/>
      <c r="AA702" s="1259"/>
      <c r="AB702" s="1259"/>
      <c r="AC702" s="1259"/>
      <c r="AD702" s="1262"/>
      <c r="AE702" s="1262"/>
      <c r="AF702" s="1262"/>
      <c r="AG702" s="1031">
        <f>IF(AND($C$697="Yes",$V$700="N/A", $V$707="N/A",$V$711="N/A",$V$713="N/A"),(VLOOKUP(V702,$AO$670:$AP$672,2,FALSE)),0)</f>
        <v>0</v>
      </c>
      <c r="AH702" s="1796"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6"/>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6"/>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192" t="s">
        <v>625</v>
      </c>
      <c r="W707" s="3192"/>
      <c r="X707" s="3192"/>
      <c r="Y707" s="944"/>
      <c r="Z707" s="944"/>
      <c r="AA707" s="944"/>
      <c r="AB707" s="944"/>
      <c r="AC707" s="944"/>
      <c r="AD707" s="1025"/>
      <c r="AE707" s="1025"/>
      <c r="AF707" s="1025"/>
      <c r="AG707" s="1031">
        <f>IF(AND($C$697="Yes",$V$700="N/A",$V$702="N/A", $V$711="N/A",$V$713="N/A"),(VLOOKUP($V$707,$AO$674:$AP$676,2,FALSE)),0)</f>
        <v>0</v>
      </c>
      <c r="AH707" s="1796"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91"/>
      <c r="E710" s="3191"/>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4"/>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192" t="s">
        <v>625</v>
      </c>
      <c r="W711" s="3192"/>
      <c r="X711" s="3192"/>
      <c r="Y711" s="1025"/>
      <c r="Z711" s="1025"/>
      <c r="AA711" s="1025"/>
      <c r="AB711" s="1025"/>
      <c r="AC711" s="1025"/>
      <c r="AD711" s="1025"/>
      <c r="AE711" s="1025"/>
      <c r="AF711" s="1025"/>
      <c r="AG711" s="1031">
        <f>IF(AND($C$697="Yes",$V$700="N/A",V702="N/A",$V$707="N/A",$V$713="N/A"),(VLOOKUP($V$711,$AW$670:$AX$673,2,FALSE)),0)</f>
        <v>0</v>
      </c>
      <c r="AH711" s="1796"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4"/>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4"/>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192" t="s">
        <v>625</v>
      </c>
      <c r="W713" s="3192"/>
      <c r="X713" s="3192"/>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4"/>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4"/>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4"/>
      <c r="B716" s="943"/>
      <c r="C716" s="3180" t="s">
        <v>625</v>
      </c>
      <c r="D716" s="3181"/>
      <c r="E716" s="1248" t="s">
        <v>539</v>
      </c>
      <c r="F716" s="3182" t="s">
        <v>1806</v>
      </c>
      <c r="G716" s="3182"/>
      <c r="H716" s="3182"/>
      <c r="I716" s="3182"/>
      <c r="J716" s="3182"/>
      <c r="K716" s="3182"/>
      <c r="L716" s="3182"/>
      <c r="M716" s="3182"/>
      <c r="N716" s="3182"/>
      <c r="O716" s="3182"/>
      <c r="P716" s="3182"/>
      <c r="Q716" s="3182"/>
      <c r="R716" s="3182"/>
      <c r="S716" s="3182"/>
      <c r="T716" s="3182"/>
      <c r="U716" s="3182"/>
      <c r="V716" s="3182"/>
      <c r="W716" s="3182"/>
      <c r="X716" s="3182"/>
      <c r="Y716" s="3182"/>
      <c r="Z716" s="3182"/>
      <c r="AA716" s="3182"/>
      <c r="AB716" s="3182"/>
      <c r="AC716" s="3182"/>
      <c r="AD716" s="3182"/>
      <c r="AE716" s="3182"/>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4"/>
      <c r="B717" s="943"/>
      <c r="C717" s="1249"/>
      <c r="D717" s="1025"/>
      <c r="E717" s="1250"/>
      <c r="F717" s="3183"/>
      <c r="G717" s="3183"/>
      <c r="H717" s="3183"/>
      <c r="I717" s="3183"/>
      <c r="J717" s="3183"/>
      <c r="K717" s="3183"/>
      <c r="L717" s="3183"/>
      <c r="M717" s="3183"/>
      <c r="N717" s="3183"/>
      <c r="O717" s="3183"/>
      <c r="P717" s="3183"/>
      <c r="Q717" s="3183"/>
      <c r="R717" s="3183"/>
      <c r="S717" s="3183"/>
      <c r="T717" s="3183"/>
      <c r="U717" s="3183"/>
      <c r="V717" s="3183"/>
      <c r="W717" s="3183"/>
      <c r="X717" s="3183"/>
      <c r="Y717" s="3183"/>
      <c r="Z717" s="3183"/>
      <c r="AA717" s="3183"/>
      <c r="AB717" s="3183"/>
      <c r="AC717" s="3183"/>
      <c r="AD717" s="3183"/>
      <c r="AE717" s="3183"/>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4"/>
      <c r="B718" s="943"/>
      <c r="C718" s="1251"/>
      <c r="D718" s="1188"/>
      <c r="E718" s="1252"/>
      <c r="F718" s="3187" t="s">
        <v>625</v>
      </c>
      <c r="G718" s="3187"/>
      <c r="H718" s="3187"/>
      <c r="I718" s="3187"/>
      <c r="J718" s="3187"/>
      <c r="K718" s="3187"/>
      <c r="L718" s="3187"/>
      <c r="M718" s="3187"/>
      <c r="N718" s="3187"/>
      <c r="O718" s="3187"/>
      <c r="P718" s="3187"/>
      <c r="Q718" s="3187"/>
      <c r="R718" s="3187"/>
      <c r="S718" s="3187"/>
      <c r="T718" s="3187"/>
      <c r="U718" s="3187"/>
      <c r="V718" s="3187"/>
      <c r="W718" s="3187"/>
      <c r="X718" s="3187"/>
      <c r="Y718" s="3187"/>
      <c r="Z718" s="3187"/>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4"/>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80" t="s">
        <v>625</v>
      </c>
      <c r="D720" s="3181"/>
      <c r="E720" s="1248" t="s">
        <v>797</v>
      </c>
      <c r="F720" s="3188" t="s">
        <v>1828</v>
      </c>
      <c r="G720" s="3188"/>
      <c r="H720" s="3188"/>
      <c r="I720" s="3188"/>
      <c r="J720" s="3188"/>
      <c r="K720" s="3188"/>
      <c r="L720" s="3188"/>
      <c r="M720" s="3188"/>
      <c r="N720" s="3188"/>
      <c r="O720" s="3188"/>
      <c r="P720" s="3188"/>
      <c r="Q720" s="3188"/>
      <c r="R720" s="3188"/>
      <c r="S720" s="3188"/>
      <c r="T720" s="3188"/>
      <c r="U720" s="3188"/>
      <c r="V720" s="3188"/>
      <c r="W720" s="3188"/>
      <c r="X720" s="3188"/>
      <c r="Y720" s="3188"/>
      <c r="Z720" s="3188"/>
      <c r="AA720" s="3188"/>
      <c r="AB720" s="3188"/>
      <c r="AC720" s="3188"/>
      <c r="AD720" s="3188"/>
      <c r="AE720" s="3188"/>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89"/>
      <c r="G721" s="3189"/>
      <c r="H721" s="3189"/>
      <c r="I721" s="3189"/>
      <c r="J721" s="3189"/>
      <c r="K721" s="3189"/>
      <c r="L721" s="3189"/>
      <c r="M721" s="3189"/>
      <c r="N721" s="3189"/>
      <c r="O721" s="3189"/>
      <c r="P721" s="3189"/>
      <c r="Q721" s="3189"/>
      <c r="R721" s="3189"/>
      <c r="S721" s="3189"/>
      <c r="T721" s="3189"/>
      <c r="U721" s="3189"/>
      <c r="V721" s="3189"/>
      <c r="W721" s="3189"/>
      <c r="X721" s="3189"/>
      <c r="Y721" s="3189"/>
      <c r="Z721" s="3189"/>
      <c r="AA721" s="3189"/>
      <c r="AB721" s="3189"/>
      <c r="AC721" s="3189"/>
      <c r="AD721" s="3189"/>
      <c r="AE721" s="3189"/>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8"/>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90" t="s">
        <v>625</v>
      </c>
      <c r="G723" s="3190"/>
      <c r="H723" s="3190"/>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6"/>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80" t="s">
        <v>625</v>
      </c>
      <c r="D725" s="3181"/>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203"/>
      <c r="D727" s="3191"/>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8"/>
      <c r="AD727" s="1025"/>
      <c r="AE727" s="1025"/>
      <c r="AF727" s="1025"/>
      <c r="AG727" s="1031">
        <f>IF($C$725="Yes",(VLOOKUP($G$728,$AO$703:$AP$706,2,FALSE)),0)</f>
        <v>0</v>
      </c>
      <c r="AH727" s="1796"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204" t="s">
        <v>625</v>
      </c>
      <c r="H728" s="3204"/>
      <c r="I728" s="3204"/>
      <c r="J728" s="3204"/>
      <c r="K728" s="3204"/>
      <c r="L728" s="3204"/>
      <c r="M728" s="3204"/>
      <c r="N728" s="3204"/>
      <c r="O728" s="3204"/>
      <c r="P728" s="3204"/>
      <c r="Q728" s="3204"/>
      <c r="R728" s="3204"/>
      <c r="S728" s="3204"/>
      <c r="T728" s="3204"/>
      <c r="U728" s="3204"/>
      <c r="V728" s="3204"/>
      <c r="W728" s="3204"/>
      <c r="X728" s="3204"/>
      <c r="Y728" s="3204"/>
      <c r="Z728" s="3204"/>
      <c r="AA728" s="3204"/>
      <c r="AB728" s="3204"/>
      <c r="AC728" s="3204"/>
      <c r="AD728" s="3204"/>
      <c r="AE728" s="3204"/>
      <c r="AF728" s="3204"/>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205" t="s">
        <v>625</v>
      </c>
      <c r="D730" s="3206"/>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8"/>
      <c r="AD730" s="1025"/>
      <c r="AE730" s="1025"/>
      <c r="AF730" s="1025"/>
      <c r="AG730" s="1031">
        <f>IF(AND($C$730="Yes",$C$725="Yes"),2,0)</f>
        <v>0</v>
      </c>
      <c r="AH730" s="1796" t="s">
        <v>1598</v>
      </c>
      <c r="AI730" s="944"/>
      <c r="AJ730" s="1793"/>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1"/>
      <c r="E731" s="1791"/>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8"/>
      <c r="AD731" s="1025"/>
      <c r="AE731" s="1025"/>
      <c r="AF731" s="1025"/>
      <c r="AG731" s="1793"/>
      <c r="AH731" s="1793"/>
      <c r="AI731" s="1793"/>
      <c r="AJ731" s="1793"/>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1"/>
      <c r="E732" s="1791"/>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8"/>
      <c r="AD732" s="1026"/>
      <c r="AE732" s="1026"/>
      <c r="AF732" s="1026"/>
      <c r="AG732" s="1793"/>
      <c r="AH732" s="1793"/>
      <c r="AI732" s="1793"/>
      <c r="AJ732" s="1793"/>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8"/>
      <c r="AH733" s="1788"/>
      <c r="AI733" s="1788"/>
      <c r="AJ733" s="1788"/>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205" t="s">
        <v>625</v>
      </c>
      <c r="D734" s="3206"/>
      <c r="E734" s="1025"/>
      <c r="F734" s="1290" t="s">
        <v>1836</v>
      </c>
      <c r="G734" s="3207" t="s">
        <v>1837</v>
      </c>
      <c r="H734" s="3207"/>
      <c r="I734" s="3207"/>
      <c r="J734" s="3207"/>
      <c r="K734" s="3207"/>
      <c r="L734" s="3207"/>
      <c r="M734" s="3207"/>
      <c r="N734" s="3207"/>
      <c r="O734" s="3207"/>
      <c r="P734" s="3207"/>
      <c r="Q734" s="3207"/>
      <c r="R734" s="3207"/>
      <c r="S734" s="3207"/>
      <c r="T734" s="3207"/>
      <c r="U734" s="3207"/>
      <c r="V734" s="3207"/>
      <c r="W734" s="3207"/>
      <c r="X734" s="3207"/>
      <c r="Y734" s="3207"/>
      <c r="Z734" s="3207"/>
      <c r="AA734" s="3207"/>
      <c r="AB734" s="3207"/>
      <c r="AC734" s="3207"/>
      <c r="AD734" s="3207"/>
      <c r="AE734" s="3207"/>
      <c r="AF734" s="3207"/>
      <c r="AG734" s="1031">
        <f>IF(AND($C$734="Yes",$C$725="Yes"),2,0)</f>
        <v>0</v>
      </c>
      <c r="AH734" s="1796" t="s">
        <v>1598</v>
      </c>
      <c r="AI734" s="944"/>
      <c r="AJ734" s="1793"/>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208"/>
      <c r="H735" s="3208"/>
      <c r="I735" s="3208"/>
      <c r="J735" s="3208"/>
      <c r="K735" s="3208"/>
      <c r="L735" s="3208"/>
      <c r="M735" s="3208"/>
      <c r="N735" s="3208"/>
      <c r="O735" s="3208"/>
      <c r="P735" s="3208"/>
      <c r="Q735" s="3208"/>
      <c r="R735" s="3208"/>
      <c r="S735" s="3208"/>
      <c r="T735" s="3208"/>
      <c r="U735" s="3208"/>
      <c r="V735" s="3208"/>
      <c r="W735" s="3208"/>
      <c r="X735" s="3208"/>
      <c r="Y735" s="3208"/>
      <c r="Z735" s="3208"/>
      <c r="AA735" s="3208"/>
      <c r="AB735" s="3208"/>
      <c r="AC735" s="3208"/>
      <c r="AD735" s="3208"/>
      <c r="AE735" s="3208"/>
      <c r="AF735" s="3208"/>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93" t="s">
        <v>625</v>
      </c>
      <c r="D738" s="3194"/>
      <c r="E738" s="1299" t="s">
        <v>1839</v>
      </c>
      <c r="F738" s="1259" t="s">
        <v>1840</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1">
        <f>IF(C$738="Yes",(VLOOKUP(F$739,$AO$709:$AP$712,2,FALSE)),0)</f>
        <v>0</v>
      </c>
      <c r="AH738" s="1796"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95" t="s">
        <v>625</v>
      </c>
      <c r="G739" s="3195"/>
      <c r="H739" s="3195"/>
      <c r="I739" s="3195"/>
      <c r="J739" s="3195"/>
      <c r="K739" s="3195"/>
      <c r="L739" s="3195"/>
      <c r="M739" s="3195"/>
      <c r="N739" s="3195"/>
      <c r="O739" s="3195"/>
      <c r="P739" s="3195"/>
      <c r="Q739" s="3195"/>
      <c r="R739" s="3195"/>
      <c r="S739" s="3195"/>
      <c r="T739" s="3195"/>
      <c r="U739" s="3195"/>
      <c r="V739" s="3195"/>
      <c r="W739" s="3195"/>
      <c r="X739" s="3195"/>
      <c r="Y739" s="3195"/>
      <c r="Z739" s="3195"/>
      <c r="AA739" s="3195"/>
      <c r="AB739" s="3195"/>
      <c r="AC739" s="3195"/>
      <c r="AD739" s="3195"/>
      <c r="AE739" s="3195"/>
      <c r="AF739" s="3195"/>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96"/>
      <c r="G740" s="3196"/>
      <c r="H740" s="3196"/>
      <c r="I740" s="3196"/>
      <c r="J740" s="3196"/>
      <c r="K740" s="3196"/>
      <c r="L740" s="3196"/>
      <c r="M740" s="3196"/>
      <c r="N740" s="3196"/>
      <c r="O740" s="3196"/>
      <c r="P740" s="3196"/>
      <c r="Q740" s="3196"/>
      <c r="R740" s="3196"/>
      <c r="S740" s="3196"/>
      <c r="T740" s="3196"/>
      <c r="U740" s="3196"/>
      <c r="V740" s="3196"/>
      <c r="W740" s="3196"/>
      <c r="X740" s="3196"/>
      <c r="Y740" s="3196"/>
      <c r="Z740" s="3196"/>
      <c r="AA740" s="3196"/>
      <c r="AB740" s="3196"/>
      <c r="AC740" s="3196"/>
      <c r="AD740" s="3196"/>
      <c r="AE740" s="3196"/>
      <c r="AF740" s="3196"/>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114">
        <f>SUM(AG694:AG739)</f>
        <v>0</v>
      </c>
      <c r="AL750" s="3115"/>
      <c r="AM750" s="3116"/>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89"/>
      <c r="AJ751" s="1789"/>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4" t="s">
        <v>1851</v>
      </c>
      <c r="AF753" s="3104"/>
      <c r="AG753" s="3104"/>
      <c r="AH753" s="3104"/>
      <c r="AI753" s="3104"/>
      <c r="AJ753" s="3104"/>
      <c r="AK753" s="3104"/>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89"/>
      <c r="AF754" s="1789"/>
      <c r="AG754" s="1789"/>
      <c r="AH754" s="1789"/>
      <c r="AI754" s="1789"/>
      <c r="AJ754" s="1789"/>
      <c r="AK754" s="1789"/>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111" t="s">
        <v>625</v>
      </c>
      <c r="D756" s="3111"/>
      <c r="E756" s="944"/>
      <c r="F756" s="3197" t="s">
        <v>1852</v>
      </c>
      <c r="G756" s="3198"/>
      <c r="H756" s="3198"/>
      <c r="I756" s="3198"/>
      <c r="J756" s="3198"/>
      <c r="K756" s="3198"/>
      <c r="L756" s="3198"/>
      <c r="M756" s="3198"/>
      <c r="N756" s="3198"/>
      <c r="O756" s="3198"/>
      <c r="P756" s="3198"/>
      <c r="Q756" s="3198"/>
      <c r="R756" s="3198"/>
      <c r="S756" s="3198"/>
      <c r="T756" s="3198"/>
      <c r="U756" s="3198"/>
      <c r="V756" s="3198"/>
      <c r="W756" s="3198"/>
      <c r="X756" s="3198"/>
      <c r="Y756" s="3198"/>
      <c r="Z756" s="3198"/>
      <c r="AA756" s="3198"/>
      <c r="AB756" s="3198"/>
      <c r="AC756" s="3198"/>
      <c r="AD756" s="3198"/>
      <c r="AE756" s="3198"/>
      <c r="AF756" s="3198"/>
      <c r="AG756" s="3198"/>
      <c r="AH756" s="3198"/>
      <c r="AI756" s="3198"/>
      <c r="AJ756" s="3198"/>
      <c r="AK756" s="3198"/>
      <c r="AL756" s="3199"/>
      <c r="AM756" s="1005"/>
      <c r="AN756" s="1000"/>
    </row>
    <row r="757" spans="1:49" s="943" customFormat="1" ht="12.75" customHeight="1">
      <c r="A757" s="1012"/>
      <c r="B757" s="1012"/>
      <c r="C757" s="944"/>
      <c r="D757" s="944"/>
      <c r="E757" s="944"/>
      <c r="F757" s="3200"/>
      <c r="G757" s="3201"/>
      <c r="H757" s="3201"/>
      <c r="I757" s="3201"/>
      <c r="J757" s="3201"/>
      <c r="K757" s="3201"/>
      <c r="L757" s="3201"/>
      <c r="M757" s="3201"/>
      <c r="N757" s="3201"/>
      <c r="O757" s="3201"/>
      <c r="P757" s="3201"/>
      <c r="Q757" s="3201"/>
      <c r="R757" s="3201"/>
      <c r="S757" s="3201"/>
      <c r="T757" s="3201"/>
      <c r="U757" s="3201"/>
      <c r="V757" s="3201"/>
      <c r="W757" s="3201"/>
      <c r="X757" s="3201"/>
      <c r="Y757" s="3201"/>
      <c r="Z757" s="3201"/>
      <c r="AA757" s="3201"/>
      <c r="AB757" s="3201"/>
      <c r="AC757" s="3201"/>
      <c r="AD757" s="3201"/>
      <c r="AE757" s="3201"/>
      <c r="AF757" s="3201"/>
      <c r="AG757" s="3201"/>
      <c r="AH757" s="3201"/>
      <c r="AI757" s="3201"/>
      <c r="AJ757" s="3201"/>
      <c r="AK757" s="3201"/>
      <c r="AL757" s="3202"/>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111" t="s">
        <v>577</v>
      </c>
      <c r="D759" s="3111"/>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75" t="s">
        <v>1854</v>
      </c>
      <c r="G760" s="3276"/>
      <c r="H760" s="3276"/>
      <c r="I760" s="3276"/>
      <c r="J760" s="3276"/>
      <c r="K760" s="3276"/>
      <c r="L760" s="3276"/>
      <c r="M760" s="3276"/>
      <c r="N760" s="3276"/>
      <c r="O760" s="3276"/>
      <c r="P760" s="3276"/>
      <c r="Q760" s="3276"/>
      <c r="R760" s="3276"/>
      <c r="S760" s="3276"/>
      <c r="T760" s="3276"/>
      <c r="U760" s="3276"/>
      <c r="V760" s="3276"/>
      <c r="W760" s="3276"/>
      <c r="X760" s="3276"/>
      <c r="Y760" s="3276"/>
      <c r="Z760" s="3276"/>
      <c r="AA760" s="3276"/>
      <c r="AB760" s="3276"/>
      <c r="AC760" s="3276"/>
      <c r="AD760" s="3276"/>
      <c r="AE760" s="3276"/>
      <c r="AF760" s="3276"/>
      <c r="AG760" s="3276"/>
      <c r="AH760" s="3276"/>
      <c r="AI760" s="3276"/>
      <c r="AJ760" s="3276"/>
      <c r="AK760" s="3276"/>
      <c r="AL760" s="3277"/>
      <c r="AM760" s="1005"/>
      <c r="AN760" s="1000"/>
      <c r="AS760" s="1482"/>
      <c r="AT760" s="1482"/>
      <c r="AU760" s="1482"/>
      <c r="AV760" s="1482"/>
      <c r="AW760" s="1482"/>
    </row>
    <row r="761" spans="1:49" s="943" customFormat="1" ht="12.75" customHeight="1">
      <c r="A761" s="1026"/>
      <c r="B761" s="1305"/>
      <c r="C761" s="1305"/>
      <c r="D761" s="1305"/>
      <c r="E761" s="1305"/>
      <c r="F761" s="3275"/>
      <c r="G761" s="3276"/>
      <c r="H761" s="3276"/>
      <c r="I761" s="3276"/>
      <c r="J761" s="3276"/>
      <c r="K761" s="3276"/>
      <c r="L761" s="3276"/>
      <c r="M761" s="3276"/>
      <c r="N761" s="3276"/>
      <c r="O761" s="3276"/>
      <c r="P761" s="3276"/>
      <c r="Q761" s="3276"/>
      <c r="R761" s="3276"/>
      <c r="S761" s="3276"/>
      <c r="T761" s="3276"/>
      <c r="U761" s="3276"/>
      <c r="V761" s="3276"/>
      <c r="W761" s="3276"/>
      <c r="X761" s="3276"/>
      <c r="Y761" s="3276"/>
      <c r="Z761" s="3276"/>
      <c r="AA761" s="3276"/>
      <c r="AB761" s="3276"/>
      <c r="AC761" s="3276"/>
      <c r="AD761" s="3276"/>
      <c r="AE761" s="3276"/>
      <c r="AF761" s="3276"/>
      <c r="AG761" s="3276"/>
      <c r="AH761" s="3276"/>
      <c r="AI761" s="3276"/>
      <c r="AJ761" s="3276"/>
      <c r="AK761" s="3276"/>
      <c r="AL761" s="3277"/>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75" t="s">
        <v>1856</v>
      </c>
      <c r="G763" s="3276"/>
      <c r="H763" s="3276"/>
      <c r="I763" s="3276"/>
      <c r="J763" s="3276"/>
      <c r="K763" s="3276"/>
      <c r="L763" s="3276"/>
      <c r="M763" s="3276"/>
      <c r="N763" s="3276"/>
      <c r="O763" s="3276"/>
      <c r="P763" s="3276"/>
      <c r="Q763" s="3276"/>
      <c r="R763" s="3276"/>
      <c r="S763" s="3276"/>
      <c r="T763" s="3276"/>
      <c r="U763" s="3276"/>
      <c r="V763" s="3276"/>
      <c r="W763" s="3276"/>
      <c r="X763" s="3276"/>
      <c r="Y763" s="3276"/>
      <c r="Z763" s="3276"/>
      <c r="AA763" s="3276"/>
      <c r="AB763" s="3276"/>
      <c r="AC763" s="3276"/>
      <c r="AD763" s="3276"/>
      <c r="AE763" s="3276"/>
      <c r="AF763" s="3276"/>
      <c r="AG763" s="3276"/>
      <c r="AH763" s="3276"/>
      <c r="AI763" s="3276"/>
      <c r="AJ763" s="3276"/>
      <c r="AK763" s="3276"/>
      <c r="AL763" s="1314"/>
      <c r="AM763" s="1005"/>
      <c r="AN763" s="1000"/>
      <c r="AT763" s="1089"/>
      <c r="AU763" s="1089"/>
      <c r="AV763" s="1089"/>
    </row>
    <row r="764" spans="1:49" s="943" customFormat="1" ht="12.75" customHeight="1">
      <c r="A764" s="1026"/>
      <c r="B764" s="1305"/>
      <c r="C764" s="1305"/>
      <c r="D764" s="1305"/>
      <c r="E764" s="1305"/>
      <c r="F764" s="3278"/>
      <c r="G764" s="3279"/>
      <c r="H764" s="3279"/>
      <c r="I764" s="3279"/>
      <c r="J764" s="3279"/>
      <c r="K764" s="3279"/>
      <c r="L764" s="3279"/>
      <c r="M764" s="3279"/>
      <c r="N764" s="3279"/>
      <c r="O764" s="3279"/>
      <c r="P764" s="3279"/>
      <c r="Q764" s="3279"/>
      <c r="R764" s="3279"/>
      <c r="S764" s="3279"/>
      <c r="T764" s="3279"/>
      <c r="U764" s="3279"/>
      <c r="V764" s="3279"/>
      <c r="W764" s="3279"/>
      <c r="X764" s="3279"/>
      <c r="Y764" s="3279"/>
      <c r="Z764" s="3279"/>
      <c r="AA764" s="3279"/>
      <c r="AB764" s="3279"/>
      <c r="AC764" s="3279"/>
      <c r="AD764" s="3279"/>
      <c r="AE764" s="3279"/>
      <c r="AF764" s="3279"/>
      <c r="AG764" s="3279"/>
      <c r="AH764" s="3279"/>
      <c r="AI764" s="3279"/>
      <c r="AJ764" s="3279"/>
      <c r="AK764" s="3279"/>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68">
        <f>Application!AJ975</f>
        <v>35698946</v>
      </c>
      <c r="AQ765" s="3268"/>
      <c r="AR765" s="3268"/>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117">
        <f>'Sources and Uses Budget'!S107+'Sources and Uses Budget'!T107</f>
        <v>40832293</v>
      </c>
      <c r="AG766" s="3117"/>
      <c r="AH766" s="3117"/>
      <c r="AI766" s="3117"/>
      <c r="AJ766" s="3117"/>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80">
        <f>AP774</f>
        <v>57118313.600000001</v>
      </c>
      <c r="AG767" s="3280"/>
      <c r="AH767" s="3280"/>
      <c r="AI767" s="3280"/>
      <c r="AJ767" s="3280"/>
      <c r="AK767" s="1005"/>
      <c r="AL767" s="1005"/>
      <c r="AM767" s="1005"/>
      <c r="AN767" s="1000"/>
      <c r="AP767" s="3268">
        <f>Application!AJ1024</f>
        <v>14279578.4</v>
      </c>
      <c r="AQ767" s="3268"/>
      <c r="AR767" s="3268"/>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81">
        <f>ROUNDDOWN(IF(C759="YES",((1-(AF766/AF767))*2),(1-(AF766/AF767))),2)</f>
        <v>0.56999999999999995</v>
      </c>
      <c r="AG768" s="3281"/>
      <c r="AH768" s="3281"/>
      <c r="AI768" s="3281"/>
      <c r="AJ768" s="3281"/>
      <c r="AK768" s="1005"/>
      <c r="AL768" s="1005"/>
      <c r="AM768" s="1005"/>
      <c r="AN768" s="1000"/>
      <c r="AP768" s="3272">
        <f>Application!AJ1028</f>
        <v>7139789.2000000002</v>
      </c>
      <c r="AQ768" s="3272"/>
      <c r="AR768" s="3272"/>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67">
        <f>IF(((AP767+AP768)/AP765)&gt;0.8,0.8,((AP767+AP768)/AP765))</f>
        <v>0.60000000000000009</v>
      </c>
      <c r="AQ769" s="3267"/>
      <c r="AR769" s="3267"/>
    </row>
    <row r="770" spans="1:44" s="943" customFormat="1" ht="12.75" customHeight="1">
      <c r="A770" s="1048"/>
      <c r="B770" s="3216" t="s">
        <v>1859</v>
      </c>
      <c r="C770" s="3217"/>
      <c r="D770" s="3217"/>
      <c r="E770" s="3217"/>
      <c r="F770" s="3217"/>
      <c r="G770" s="3217"/>
      <c r="H770" s="3217"/>
      <c r="I770" s="3217"/>
      <c r="J770" s="3217"/>
      <c r="K770" s="3217"/>
      <c r="L770" s="3217"/>
      <c r="M770" s="3217"/>
      <c r="N770" s="3217"/>
      <c r="O770" s="3217"/>
      <c r="P770" s="3217"/>
      <c r="Q770" s="3217"/>
      <c r="R770" s="3217"/>
      <c r="S770" s="3217"/>
      <c r="T770" s="3217"/>
      <c r="U770" s="3217"/>
      <c r="V770" s="3217"/>
      <c r="W770" s="3217"/>
      <c r="X770" s="3217"/>
      <c r="Y770" s="3217"/>
      <c r="Z770" s="3217"/>
      <c r="AA770" s="3217"/>
      <c r="AB770" s="3217"/>
      <c r="AC770" s="3217"/>
      <c r="AD770" s="3217"/>
      <c r="AE770" s="3217"/>
      <c r="AF770" s="3217"/>
      <c r="AG770" s="3217"/>
      <c r="AH770" s="3217"/>
      <c r="AI770" s="3217"/>
      <c r="AJ770" s="3218"/>
      <c r="AK770" s="1005"/>
      <c r="AL770" s="1005"/>
      <c r="AM770" s="1005"/>
      <c r="AN770" s="1000"/>
    </row>
    <row r="771" spans="1:44" s="943" customFormat="1" ht="12.75" customHeight="1">
      <c r="A771" s="1048"/>
      <c r="B771" s="3219"/>
      <c r="C771" s="3220"/>
      <c r="D771" s="3220"/>
      <c r="E771" s="3220"/>
      <c r="F771" s="3220"/>
      <c r="G771" s="3220"/>
      <c r="H771" s="3220"/>
      <c r="I771" s="3220"/>
      <c r="J771" s="3220"/>
      <c r="K771" s="3220"/>
      <c r="L771" s="3220"/>
      <c r="M771" s="3220"/>
      <c r="N771" s="3220"/>
      <c r="O771" s="3220"/>
      <c r="P771" s="3220"/>
      <c r="Q771" s="3220"/>
      <c r="R771" s="3220"/>
      <c r="S771" s="3220"/>
      <c r="T771" s="3220"/>
      <c r="U771" s="3220"/>
      <c r="V771" s="3220"/>
      <c r="W771" s="3220"/>
      <c r="X771" s="3220"/>
      <c r="Y771" s="3220"/>
      <c r="Z771" s="3220"/>
      <c r="AA771" s="3220"/>
      <c r="AB771" s="3220"/>
      <c r="AC771" s="3220"/>
      <c r="AD771" s="3220"/>
      <c r="AE771" s="3220"/>
      <c r="AF771" s="3220"/>
      <c r="AG771" s="3220"/>
      <c r="AH771" s="3220"/>
      <c r="AI771" s="3220"/>
      <c r="AJ771" s="3221"/>
      <c r="AK771" s="1005"/>
      <c r="AL771" s="1005"/>
      <c r="AM771" s="1005"/>
      <c r="AN771" s="1000"/>
      <c r="AP771" s="3268">
        <f>AP772-AP767-AP768</f>
        <v>35698946</v>
      </c>
      <c r="AQ771" s="3269"/>
      <c r="AR771" s="3269"/>
    </row>
    <row r="772" spans="1:44" s="943" customFormat="1" ht="12.75" customHeight="1">
      <c r="A772" s="1048"/>
      <c r="B772" s="3222"/>
      <c r="C772" s="3223"/>
      <c r="D772" s="3223"/>
      <c r="E772" s="3223"/>
      <c r="F772" s="3223"/>
      <c r="G772" s="3223"/>
      <c r="H772" s="3223"/>
      <c r="I772" s="3223"/>
      <c r="J772" s="3223"/>
      <c r="K772" s="3223"/>
      <c r="L772" s="3223"/>
      <c r="M772" s="3223"/>
      <c r="N772" s="3223"/>
      <c r="O772" s="3223"/>
      <c r="P772" s="3223"/>
      <c r="Q772" s="3223"/>
      <c r="R772" s="3223"/>
      <c r="S772" s="3223"/>
      <c r="T772" s="3223"/>
      <c r="U772" s="3223"/>
      <c r="V772" s="3223"/>
      <c r="W772" s="3223"/>
      <c r="X772" s="3223"/>
      <c r="Y772" s="3223"/>
      <c r="Z772" s="3223"/>
      <c r="AA772" s="3223"/>
      <c r="AB772" s="3223"/>
      <c r="AC772" s="3223"/>
      <c r="AD772" s="3223"/>
      <c r="AE772" s="3223"/>
      <c r="AF772" s="3223"/>
      <c r="AG772" s="3223"/>
      <c r="AH772" s="3223"/>
      <c r="AI772" s="3223"/>
      <c r="AJ772" s="3224"/>
      <c r="AK772" s="1005"/>
      <c r="AL772" s="1005"/>
      <c r="AM772" s="1005"/>
      <c r="AN772" s="1000"/>
      <c r="AP772" s="3268">
        <f>Application!AJ1032</f>
        <v>57118313.600000001</v>
      </c>
      <c r="AQ772" s="3268"/>
      <c r="AR772" s="3268"/>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225">
        <f>IF(AF768=0,0,IF((AF768*100)&gt;12,12,(AF768*100)))</f>
        <v>12</v>
      </c>
      <c r="AL774" s="3225"/>
      <c r="AM774" s="3226"/>
      <c r="AN774" s="1000"/>
      <c r="AP774" s="3291">
        <f>AP771+(AP765*AP769)</f>
        <v>57118313.600000001</v>
      </c>
      <c r="AQ774" s="3292"/>
      <c r="AR774" s="3293"/>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227" t="s">
        <v>1861</v>
      </c>
      <c r="B777" s="3228"/>
      <c r="C777" s="3228"/>
      <c r="D777" s="3228"/>
      <c r="E777" s="3228"/>
      <c r="F777" s="3228"/>
      <c r="G777" s="3228"/>
      <c r="H777" s="3228"/>
      <c r="I777" s="3228"/>
      <c r="J777" s="3228"/>
      <c r="K777" s="3228"/>
      <c r="L777" s="3228"/>
      <c r="M777" s="3228"/>
      <c r="N777" s="3228"/>
      <c r="O777" s="3228"/>
      <c r="P777" s="3228"/>
      <c r="Q777" s="3228"/>
      <c r="R777" s="3228"/>
      <c r="S777" s="3228"/>
      <c r="T777" s="3228"/>
      <c r="U777" s="3228"/>
      <c r="V777" s="3228"/>
      <c r="W777" s="3228"/>
      <c r="X777" s="3228"/>
      <c r="Y777" s="3228"/>
      <c r="Z777" s="3228"/>
      <c r="AA777" s="3228"/>
      <c r="AB777" s="3228"/>
      <c r="AC777" s="3228"/>
      <c r="AD777" s="3228"/>
      <c r="AE777" s="3228"/>
      <c r="AF777" s="3228"/>
      <c r="AG777" s="3228"/>
      <c r="AH777" s="3228"/>
      <c r="AI777" s="3228"/>
      <c r="AJ777" s="3228"/>
      <c r="AK777" s="3228"/>
      <c r="AL777" s="3228"/>
      <c r="AM777" s="3228"/>
    </row>
    <row r="778" spans="1:44">
      <c r="A778" s="3229"/>
      <c r="B778" s="3229"/>
      <c r="C778" s="3229"/>
      <c r="D778" s="3229"/>
      <c r="E778" s="3229"/>
      <c r="F778" s="3229"/>
      <c r="G778" s="3229"/>
      <c r="H778" s="3229"/>
      <c r="I778" s="3229"/>
      <c r="J778" s="3229"/>
      <c r="K778" s="3229"/>
      <c r="L778" s="3229"/>
      <c r="M778" s="3229"/>
      <c r="N778" s="3229"/>
      <c r="O778" s="3229"/>
      <c r="P778" s="3229"/>
      <c r="Q778" s="3229"/>
      <c r="R778" s="3229"/>
      <c r="S778" s="3229"/>
      <c r="T778" s="3229"/>
      <c r="U778" s="3229"/>
      <c r="V778" s="3229"/>
      <c r="W778" s="3229"/>
      <c r="X778" s="3229"/>
      <c r="Y778" s="3229"/>
      <c r="Z778" s="3229"/>
      <c r="AA778" s="3229"/>
      <c r="AB778" s="3229"/>
      <c r="AC778" s="3229"/>
      <c r="AD778" s="3229"/>
      <c r="AE778" s="3229"/>
      <c r="AF778" s="3229"/>
      <c r="AG778" s="3229"/>
      <c r="AH778" s="3229"/>
      <c r="AI778" s="3229"/>
      <c r="AJ778" s="3229"/>
      <c r="AK778" s="3229"/>
      <c r="AL778" s="3229"/>
      <c r="AM778" s="3229"/>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230"/>
      <c r="B780" s="3230"/>
      <c r="C780" s="3230"/>
      <c r="D780" s="3230"/>
      <c r="E780" s="3230"/>
      <c r="F780" s="3230"/>
      <c r="G780" s="3230"/>
      <c r="H780" s="3230"/>
      <c r="I780" s="3230"/>
      <c r="J780" s="3230"/>
      <c r="K780" s="3230"/>
      <c r="L780" s="3230"/>
      <c r="M780" s="3230"/>
      <c r="N780" s="3230"/>
      <c r="O780" s="3230"/>
      <c r="P780" s="3230"/>
      <c r="Q780" s="3230"/>
      <c r="R780" s="3230"/>
      <c r="S780" s="3230"/>
      <c r="T780" s="3230"/>
      <c r="U780" s="3230"/>
      <c r="V780" s="3230"/>
      <c r="W780" s="3230"/>
      <c r="X780" s="3230"/>
      <c r="Y780" s="3230"/>
      <c r="Z780" s="3230"/>
      <c r="AA780" s="3230"/>
      <c r="AB780" s="3230"/>
      <c r="AC780" s="3230"/>
      <c r="AD780" s="3230"/>
      <c r="AE780" s="3230"/>
      <c r="AF780" s="3230"/>
      <c r="AG780" s="3230"/>
      <c r="AH780" s="3230"/>
      <c r="AI780" s="3230"/>
      <c r="AJ780" s="3230"/>
      <c r="AK780" s="3230"/>
      <c r="AL780" s="3230"/>
      <c r="AM780" s="3230"/>
      <c r="AO780" s="1227"/>
      <c r="AP780" s="1320"/>
      <c r="AQ780" s="1319"/>
    </row>
    <row r="781" spans="1:44">
      <c r="A781" s="3230"/>
      <c r="B781" s="3230"/>
      <c r="C781" s="3230"/>
      <c r="D781" s="3230"/>
      <c r="E781" s="3230"/>
      <c r="F781" s="3230"/>
      <c r="G781" s="3230"/>
      <c r="H781" s="3230"/>
      <c r="I781" s="3230"/>
      <c r="J781" s="3230"/>
      <c r="K781" s="3230"/>
      <c r="L781" s="3230"/>
      <c r="M781" s="3230"/>
      <c r="N781" s="3230"/>
      <c r="O781" s="3230"/>
      <c r="P781" s="3230"/>
      <c r="Q781" s="3230"/>
      <c r="R781" s="3230"/>
      <c r="S781" s="3230"/>
      <c r="T781" s="3230"/>
      <c r="U781" s="3230"/>
      <c r="V781" s="3230"/>
      <c r="W781" s="3230"/>
      <c r="X781" s="3230"/>
      <c r="Y781" s="3230"/>
      <c r="Z781" s="3230"/>
      <c r="AA781" s="3230"/>
      <c r="AB781" s="3230"/>
      <c r="AC781" s="3230"/>
      <c r="AD781" s="3230"/>
      <c r="AE781" s="3230"/>
      <c r="AF781" s="3230"/>
      <c r="AG781" s="3230"/>
      <c r="AH781" s="3230"/>
      <c r="AI781" s="3230"/>
      <c r="AJ781" s="3230"/>
      <c r="AK781" s="3230"/>
      <c r="AL781" s="3230"/>
      <c r="AM781" s="3230"/>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231" t="s">
        <v>1862</v>
      </c>
      <c r="U782" s="3232"/>
      <c r="V782" s="3232"/>
      <c r="W782" s="3232"/>
      <c r="X782" s="3232"/>
      <c r="Y782" s="3233"/>
      <c r="Z782" s="3231" t="s">
        <v>1863</v>
      </c>
      <c r="AA782" s="3232"/>
      <c r="AB782" s="3232"/>
      <c r="AC782" s="3232"/>
      <c r="AD782" s="3232"/>
      <c r="AE782" s="3233"/>
      <c r="AF782" s="3231" t="s">
        <v>1864</v>
      </c>
      <c r="AG782" s="3232"/>
      <c r="AH782" s="3232"/>
      <c r="AI782" s="3232"/>
      <c r="AJ782" s="3232"/>
      <c r="AK782" s="3233"/>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34"/>
      <c r="U783" s="3235"/>
      <c r="V783" s="3235"/>
      <c r="W783" s="3235"/>
      <c r="X783" s="3235"/>
      <c r="Y783" s="3236"/>
      <c r="Z783" s="3234"/>
      <c r="AA783" s="3235"/>
      <c r="AB783" s="3235"/>
      <c r="AC783" s="3235"/>
      <c r="AD783" s="3235"/>
      <c r="AE783" s="3236"/>
      <c r="AF783" s="3234"/>
      <c r="AG783" s="3235"/>
      <c r="AH783" s="3235"/>
      <c r="AI783" s="3235"/>
      <c r="AJ783" s="3235"/>
      <c r="AK783" s="3236"/>
      <c r="AL783" s="1322"/>
      <c r="AM783" s="1216"/>
      <c r="AO783" s="1320"/>
      <c r="AP783" s="1319"/>
      <c r="AQ783" s="1319"/>
    </row>
    <row r="784" spans="1:44">
      <c r="A784" s="1323" t="s">
        <v>797</v>
      </c>
      <c r="B784" s="3209" t="s">
        <v>1562</v>
      </c>
      <c r="C784" s="3209"/>
      <c r="D784" s="3209"/>
      <c r="E784" s="3209"/>
      <c r="F784" s="3209"/>
      <c r="G784" s="3209"/>
      <c r="H784" s="3209"/>
      <c r="I784" s="3209"/>
      <c r="J784" s="3209"/>
      <c r="K784" s="3209"/>
      <c r="L784" s="3209"/>
      <c r="M784" s="3209"/>
      <c r="N784" s="3209"/>
      <c r="O784" s="3209"/>
      <c r="P784" s="3209"/>
      <c r="Q784" s="3209"/>
      <c r="R784" s="3209"/>
      <c r="S784" s="3210"/>
      <c r="T784" s="3211">
        <f>AK51</f>
        <v>0</v>
      </c>
      <c r="U784" s="3212"/>
      <c r="V784" s="3212"/>
      <c r="W784" s="3212"/>
      <c r="X784" s="3212"/>
      <c r="Y784" s="3213"/>
      <c r="Z784" s="3214">
        <v>20</v>
      </c>
      <c r="AA784" s="3212"/>
      <c r="AB784" s="3212"/>
      <c r="AC784" s="3212"/>
      <c r="AD784" s="3212"/>
      <c r="AE784" s="3213"/>
      <c r="AF784" s="3215">
        <f>IF(T784&gt;Z784,Z784,T784)</f>
        <v>0</v>
      </c>
      <c r="AG784" s="3215"/>
      <c r="AH784" s="3215"/>
      <c r="AI784" s="3215"/>
      <c r="AJ784" s="3215"/>
      <c r="AK784" s="3215"/>
      <c r="AL784" s="1322"/>
      <c r="AM784" s="1216"/>
      <c r="AO784" s="1319"/>
      <c r="AP784" s="1319"/>
      <c r="AQ784" s="1319"/>
    </row>
    <row r="785" spans="1:81">
      <c r="A785" s="1323" t="s">
        <v>1830</v>
      </c>
      <c r="B785" s="3209" t="s">
        <v>1583</v>
      </c>
      <c r="C785" s="3209"/>
      <c r="D785" s="3209"/>
      <c r="E785" s="3209"/>
      <c r="F785" s="3209"/>
      <c r="G785" s="3209"/>
      <c r="H785" s="3209"/>
      <c r="I785" s="3209"/>
      <c r="J785" s="3209"/>
      <c r="K785" s="3209"/>
      <c r="L785" s="3209"/>
      <c r="M785" s="3209"/>
      <c r="N785" s="3209"/>
      <c r="O785" s="3209"/>
      <c r="P785" s="3209"/>
      <c r="Q785" s="3209"/>
      <c r="R785" s="3209"/>
      <c r="S785" s="3210"/>
      <c r="T785" s="3211">
        <f>AK72</f>
        <v>10</v>
      </c>
      <c r="U785" s="3212"/>
      <c r="V785" s="3212"/>
      <c r="W785" s="3212"/>
      <c r="X785" s="3212"/>
      <c r="Y785" s="3213"/>
      <c r="Z785" s="3214">
        <v>10</v>
      </c>
      <c r="AA785" s="3212"/>
      <c r="AB785" s="3212"/>
      <c r="AC785" s="3212"/>
      <c r="AD785" s="3212"/>
      <c r="AE785" s="3213"/>
      <c r="AF785" s="3215">
        <f>IF(T785&gt;Z785,Z785,T785)</f>
        <v>10</v>
      </c>
      <c r="AG785" s="3215"/>
      <c r="AH785" s="3215"/>
      <c r="AI785" s="3215"/>
      <c r="AJ785" s="3215"/>
      <c r="AK785" s="3215"/>
      <c r="AL785" s="1322"/>
      <c r="AM785" s="1216"/>
      <c r="AO785" s="1319"/>
      <c r="AP785" s="1319"/>
      <c r="AQ785" s="1319"/>
    </row>
    <row r="786" spans="1:81">
      <c r="A786" s="1323" t="s">
        <v>1839</v>
      </c>
      <c r="B786" s="3209" t="s">
        <v>1593</v>
      </c>
      <c r="C786" s="3209"/>
      <c r="D786" s="3209"/>
      <c r="E786" s="3209"/>
      <c r="F786" s="3209"/>
      <c r="G786" s="3209"/>
      <c r="H786" s="3209"/>
      <c r="I786" s="3209"/>
      <c r="J786" s="3209"/>
      <c r="K786" s="3209"/>
      <c r="L786" s="3209"/>
      <c r="M786" s="3209"/>
      <c r="N786" s="3209"/>
      <c r="O786" s="3209"/>
      <c r="P786" s="3209"/>
      <c r="Q786" s="3209"/>
      <c r="R786" s="3209"/>
      <c r="S786" s="3210"/>
      <c r="T786" s="3211">
        <f ca="1">AK97</f>
        <v>20</v>
      </c>
      <c r="U786" s="3212"/>
      <c r="V786" s="3212"/>
      <c r="W786" s="3212"/>
      <c r="X786" s="3212"/>
      <c r="Y786" s="3213"/>
      <c r="Z786" s="3214">
        <v>20</v>
      </c>
      <c r="AA786" s="3212"/>
      <c r="AB786" s="3212"/>
      <c r="AC786" s="3212"/>
      <c r="AD786" s="3212"/>
      <c r="AE786" s="3213"/>
      <c r="AF786" s="3215">
        <f ca="1">IF(T786&gt;Z786,Z786,T786)</f>
        <v>20</v>
      </c>
      <c r="AG786" s="3215"/>
      <c r="AH786" s="3215"/>
      <c r="AI786" s="3215"/>
      <c r="AJ786" s="3215"/>
      <c r="AK786" s="3215"/>
      <c r="AL786" s="1322"/>
      <c r="AM786" s="1216"/>
      <c r="AO786" s="1319"/>
      <c r="AP786" s="1319"/>
      <c r="AQ786" s="1319"/>
    </row>
    <row r="787" spans="1:81">
      <c r="A787" s="1323" t="s">
        <v>1865</v>
      </c>
      <c r="B787" s="3209" t="s">
        <v>1603</v>
      </c>
      <c r="C787" s="3209"/>
      <c r="D787" s="3209"/>
      <c r="E787" s="3209"/>
      <c r="F787" s="3209"/>
      <c r="G787" s="3209"/>
      <c r="H787" s="3209"/>
      <c r="I787" s="3209"/>
      <c r="J787" s="3209"/>
      <c r="K787" s="3209"/>
      <c r="L787" s="3209"/>
      <c r="M787" s="3209"/>
      <c r="N787" s="3209"/>
      <c r="O787" s="3209"/>
      <c r="P787" s="3209"/>
      <c r="Q787" s="3209"/>
      <c r="R787" s="3209"/>
      <c r="S787" s="3210"/>
      <c r="T787" s="3211">
        <f>AK131</f>
        <v>10</v>
      </c>
      <c r="U787" s="3212"/>
      <c r="V787" s="3212"/>
      <c r="W787" s="3212"/>
      <c r="X787" s="3212"/>
      <c r="Y787" s="3213"/>
      <c r="Z787" s="3214">
        <v>10</v>
      </c>
      <c r="AA787" s="3212"/>
      <c r="AB787" s="3212"/>
      <c r="AC787" s="3212"/>
      <c r="AD787" s="3212"/>
      <c r="AE787" s="3213"/>
      <c r="AF787" s="3215">
        <f>IF(T787&gt;Z787,Z787,T787)</f>
        <v>10</v>
      </c>
      <c r="AG787" s="3215"/>
      <c r="AH787" s="3215"/>
      <c r="AI787" s="3215"/>
      <c r="AJ787" s="3215"/>
      <c r="AK787" s="3215"/>
      <c r="AL787" s="1322"/>
      <c r="AM787" s="1216"/>
      <c r="AO787" s="1319"/>
      <c r="AP787" s="1319"/>
      <c r="AQ787" s="1319"/>
    </row>
    <row r="788" spans="1:81">
      <c r="A788" s="1325" t="s">
        <v>1866</v>
      </c>
      <c r="B788" s="3209" t="s">
        <v>1867</v>
      </c>
      <c r="C788" s="3209"/>
      <c r="D788" s="3209"/>
      <c r="E788" s="3209"/>
      <c r="F788" s="3209"/>
      <c r="G788" s="3209"/>
      <c r="H788" s="3209"/>
      <c r="I788" s="3209"/>
      <c r="J788" s="3209"/>
      <c r="K788" s="3209"/>
      <c r="L788" s="3209"/>
      <c r="M788" s="3209"/>
      <c r="N788" s="3209"/>
      <c r="O788" s="3209"/>
      <c r="P788" s="3209"/>
      <c r="Q788" s="3209"/>
      <c r="R788" s="3209"/>
      <c r="S788" s="3210"/>
      <c r="T788" s="3237">
        <f>SUM(T789:Y790)</f>
        <v>10</v>
      </c>
      <c r="U788" s="3237"/>
      <c r="V788" s="3237"/>
      <c r="W788" s="3237"/>
      <c r="X788" s="3237"/>
      <c r="Y788" s="3237"/>
      <c r="Z788" s="3215">
        <v>10</v>
      </c>
      <c r="AA788" s="3215"/>
      <c r="AB788" s="3215"/>
      <c r="AC788" s="3215"/>
      <c r="AD788" s="3215"/>
      <c r="AE788" s="3215"/>
      <c r="AF788" s="3215">
        <f>IF(T788&gt;Z788,Z788,T788)</f>
        <v>10</v>
      </c>
      <c r="AG788" s="3215"/>
      <c r="AH788" s="3215"/>
      <c r="AI788" s="3215"/>
      <c r="AJ788" s="3215"/>
      <c r="AK788" s="3215"/>
      <c r="AL788" s="1322"/>
      <c r="AM788" s="1216"/>
    </row>
    <row r="789" spans="1:81">
      <c r="A789" s="926"/>
      <c r="B789" s="1009"/>
      <c r="C789" s="3238" t="s">
        <v>1868</v>
      </c>
      <c r="D789" s="3238"/>
      <c r="E789" s="3238"/>
      <c r="F789" s="3238"/>
      <c r="G789" s="3238"/>
      <c r="H789" s="3238"/>
      <c r="I789" s="3238"/>
      <c r="J789" s="3238"/>
      <c r="K789" s="3238"/>
      <c r="L789" s="3238"/>
      <c r="M789" s="3238"/>
      <c r="N789" s="3238"/>
      <c r="O789" s="3238"/>
      <c r="P789" s="3238"/>
      <c r="Q789" s="3238"/>
      <c r="R789" s="3238"/>
      <c r="S789" s="3239"/>
      <c r="T789" s="3109">
        <f>AJ149</f>
        <v>7</v>
      </c>
      <c r="U789" s="3109"/>
      <c r="V789" s="3109"/>
      <c r="W789" s="3109"/>
      <c r="X789" s="3109"/>
      <c r="Y789" s="3109"/>
      <c r="Z789" s="3240">
        <v>7</v>
      </c>
      <c r="AA789" s="3240"/>
      <c r="AB789" s="3240"/>
      <c r="AC789" s="3240"/>
      <c r="AD789" s="3240"/>
      <c r="AE789" s="3240"/>
      <c r="AF789" s="3241"/>
      <c r="AG789" s="3241"/>
      <c r="AH789" s="3241"/>
      <c r="AI789" s="3241"/>
      <c r="AJ789" s="3241"/>
      <c r="AK789" s="3241"/>
      <c r="AL789" s="1322"/>
      <c r="AM789" s="1216"/>
    </row>
    <row r="790" spans="1:81">
      <c r="A790" s="1326"/>
      <c r="B790" s="1009"/>
      <c r="C790" s="3238" t="s">
        <v>1869</v>
      </c>
      <c r="D790" s="3238"/>
      <c r="E790" s="3238"/>
      <c r="F790" s="3238"/>
      <c r="G790" s="3238"/>
      <c r="H790" s="3238"/>
      <c r="I790" s="3238"/>
      <c r="J790" s="3238"/>
      <c r="K790" s="3238"/>
      <c r="L790" s="3238"/>
      <c r="M790" s="3238"/>
      <c r="N790" s="3238"/>
      <c r="O790" s="3238"/>
      <c r="P790" s="3238"/>
      <c r="Q790" s="3238"/>
      <c r="R790" s="3238"/>
      <c r="S790" s="3239"/>
      <c r="T790" s="3109">
        <f>AJ163</f>
        <v>3</v>
      </c>
      <c r="U790" s="3109"/>
      <c r="V790" s="3109"/>
      <c r="W790" s="3109"/>
      <c r="X790" s="3109"/>
      <c r="Y790" s="3109"/>
      <c r="Z790" s="3240">
        <v>3</v>
      </c>
      <c r="AA790" s="3240"/>
      <c r="AB790" s="3240"/>
      <c r="AC790" s="3240"/>
      <c r="AD790" s="3240"/>
      <c r="AE790" s="3240"/>
      <c r="AF790" s="3241"/>
      <c r="AG790" s="3241"/>
      <c r="AH790" s="3241"/>
      <c r="AI790" s="3241"/>
      <c r="AJ790" s="3241"/>
      <c r="AK790" s="3241"/>
      <c r="AL790" s="1322"/>
      <c r="AM790" s="1216"/>
      <c r="AO790" s="943"/>
    </row>
    <row r="791" spans="1:81">
      <c r="A791" s="1325" t="s">
        <v>1631</v>
      </c>
      <c r="B791" s="3209" t="s">
        <v>1870</v>
      </c>
      <c r="C791" s="3209"/>
      <c r="D791" s="3209"/>
      <c r="E791" s="3209"/>
      <c r="F791" s="3209"/>
      <c r="G791" s="3209"/>
      <c r="H791" s="3209"/>
      <c r="I791" s="3209"/>
      <c r="J791" s="3209"/>
      <c r="K791" s="3209"/>
      <c r="L791" s="3209"/>
      <c r="M791" s="3209"/>
      <c r="N791" s="3209"/>
      <c r="O791" s="3209"/>
      <c r="P791" s="3209"/>
      <c r="Q791" s="3209"/>
      <c r="R791" s="3209"/>
      <c r="S791" s="3210"/>
      <c r="T791" s="3237">
        <f>AK174</f>
        <v>10</v>
      </c>
      <c r="U791" s="3237"/>
      <c r="V791" s="3237"/>
      <c r="W791" s="3237"/>
      <c r="X791" s="3237"/>
      <c r="Y791" s="3237"/>
      <c r="Z791" s="3215">
        <v>10</v>
      </c>
      <c r="AA791" s="3215"/>
      <c r="AB791" s="3215"/>
      <c r="AC791" s="3215"/>
      <c r="AD791" s="3215"/>
      <c r="AE791" s="3215"/>
      <c r="AF791" s="3215">
        <f>IF(T791&gt;Z791,Z791,T791)</f>
        <v>10</v>
      </c>
      <c r="AG791" s="3215"/>
      <c r="AH791" s="3215"/>
      <c r="AI791" s="3215"/>
      <c r="AJ791" s="3215"/>
      <c r="AK791" s="3215"/>
      <c r="AL791" s="1322"/>
      <c r="AM791" s="1216"/>
    </row>
    <row r="792" spans="1:81">
      <c r="A792" s="1323" t="s">
        <v>1640</v>
      </c>
      <c r="B792" s="3209" t="s">
        <v>1641</v>
      </c>
      <c r="C792" s="3209"/>
      <c r="D792" s="3209"/>
      <c r="E792" s="3209"/>
      <c r="F792" s="3209"/>
      <c r="G792" s="3209"/>
      <c r="H792" s="3209"/>
      <c r="I792" s="3209"/>
      <c r="J792" s="3209"/>
      <c r="K792" s="3209"/>
      <c r="L792" s="3209"/>
      <c r="M792" s="3209"/>
      <c r="N792" s="3209"/>
      <c r="O792" s="3209"/>
      <c r="P792" s="3209"/>
      <c r="Q792" s="3209"/>
      <c r="R792" s="3209"/>
      <c r="S792" s="3210"/>
      <c r="T792" s="3237">
        <f>AK256</f>
        <v>8</v>
      </c>
      <c r="U792" s="3237"/>
      <c r="V792" s="3237"/>
      <c r="W792" s="3237"/>
      <c r="X792" s="3237"/>
      <c r="Y792" s="3237"/>
      <c r="Z792" s="3214">
        <v>8</v>
      </c>
      <c r="AA792" s="3212"/>
      <c r="AB792" s="3212"/>
      <c r="AC792" s="3212"/>
      <c r="AD792" s="3212"/>
      <c r="AE792" s="3213"/>
      <c r="AF792" s="3215">
        <f>IF(T792&gt;Z792,Z792,T792)</f>
        <v>8</v>
      </c>
      <c r="AG792" s="3215"/>
      <c r="AH792" s="3215"/>
      <c r="AI792" s="3215"/>
      <c r="AJ792" s="3215"/>
      <c r="AK792" s="3215"/>
      <c r="AL792" s="1322"/>
      <c r="AM792" s="1216"/>
    </row>
    <row r="793" spans="1:81" s="925" customFormat="1" hidden="1">
      <c r="A793" s="1325" t="s">
        <v>623</v>
      </c>
      <c r="B793" s="3209" t="s">
        <v>1871</v>
      </c>
      <c r="C793" s="3209"/>
      <c r="D793" s="3209"/>
      <c r="E793" s="3209"/>
      <c r="F793" s="3209"/>
      <c r="G793" s="3209"/>
      <c r="H793" s="3209"/>
      <c r="I793" s="3209"/>
      <c r="J793" s="3209"/>
      <c r="K793" s="3209"/>
      <c r="L793" s="3209"/>
      <c r="M793" s="3209"/>
      <c r="N793" s="3209"/>
      <c r="O793" s="3209"/>
      <c r="P793" s="3209"/>
      <c r="Q793" s="3209"/>
      <c r="R793" s="3209"/>
      <c r="S793" s="3210"/>
      <c r="T793" s="3237">
        <f>IF(AK750&gt;5,5,AK750)</f>
        <v>0</v>
      </c>
      <c r="U793" s="3237"/>
      <c r="V793" s="3237"/>
      <c r="W793" s="3237"/>
      <c r="X793" s="3237"/>
      <c r="Y793" s="3237"/>
      <c r="Z793" s="3215">
        <v>5</v>
      </c>
      <c r="AA793" s="3215"/>
      <c r="AB793" s="3215"/>
      <c r="AC793" s="3215"/>
      <c r="AD793" s="3215"/>
      <c r="AE793" s="3215"/>
      <c r="AF793" s="3215">
        <f>IF(T793&gt;Z793,5,T793)</f>
        <v>0</v>
      </c>
      <c r="AG793" s="3215"/>
      <c r="AH793" s="3215"/>
      <c r="AI793" s="3215"/>
      <c r="AJ793" s="3215"/>
      <c r="AK793" s="3215"/>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209" t="s">
        <v>1872</v>
      </c>
      <c r="C794" s="3209"/>
      <c r="D794" s="3209"/>
      <c r="E794" s="3209"/>
      <c r="F794" s="3209"/>
      <c r="G794" s="3209"/>
      <c r="H794" s="3209"/>
      <c r="I794" s="3209"/>
      <c r="J794" s="3209"/>
      <c r="K794" s="3209"/>
      <c r="L794" s="3209"/>
      <c r="M794" s="3209"/>
      <c r="N794" s="3209"/>
      <c r="O794" s="3209"/>
      <c r="P794" s="3209"/>
      <c r="Q794" s="3209"/>
      <c r="R794" s="3209"/>
      <c r="S794" s="3210"/>
      <c r="T794" s="3237">
        <f>AK267</f>
        <v>10</v>
      </c>
      <c r="U794" s="3237"/>
      <c r="V794" s="3237"/>
      <c r="W794" s="3237"/>
      <c r="X794" s="3237"/>
      <c r="Y794" s="3237"/>
      <c r="Z794" s="3215">
        <v>10</v>
      </c>
      <c r="AA794" s="3215"/>
      <c r="AB794" s="3215"/>
      <c r="AC794" s="3215"/>
      <c r="AD794" s="3215"/>
      <c r="AE794" s="3215"/>
      <c r="AF794" s="3244">
        <f>IF(T794&gt;Z794,Z794,T794)</f>
        <v>10</v>
      </c>
      <c r="AG794" s="3245"/>
      <c r="AH794" s="3245"/>
      <c r="AI794" s="3245"/>
      <c r="AJ794" s="3245"/>
      <c r="AK794" s="3246"/>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209" t="s">
        <v>1651</v>
      </c>
      <c r="C795" s="3209"/>
      <c r="D795" s="3209"/>
      <c r="E795" s="3209"/>
      <c r="F795" s="3209"/>
      <c r="G795" s="3209"/>
      <c r="H795" s="3209"/>
      <c r="I795" s="3209"/>
      <c r="J795" s="3209"/>
      <c r="K795" s="3209"/>
      <c r="L795" s="3209"/>
      <c r="M795" s="3209"/>
      <c r="N795" s="3209"/>
      <c r="O795" s="3209"/>
      <c r="P795" s="3209"/>
      <c r="Q795" s="3209"/>
      <c r="R795" s="3209"/>
      <c r="S795" s="3210"/>
      <c r="T795" s="3237">
        <f>AK553</f>
        <v>20</v>
      </c>
      <c r="U795" s="3237"/>
      <c r="V795" s="3237"/>
      <c r="W795" s="3237"/>
      <c r="X795" s="3237"/>
      <c r="Y795" s="3237"/>
      <c r="Z795" s="3244">
        <v>20</v>
      </c>
      <c r="AA795" s="3245"/>
      <c r="AB795" s="3245"/>
      <c r="AC795" s="3245"/>
      <c r="AD795" s="3245"/>
      <c r="AE795" s="3246"/>
      <c r="AF795" s="3244">
        <f>IF(T795&gt;Z795,Z795,T795)</f>
        <v>20</v>
      </c>
      <c r="AG795" s="3259"/>
      <c r="AH795" s="3259"/>
      <c r="AI795" s="3259"/>
      <c r="AJ795" s="3259"/>
      <c r="AK795" s="3260"/>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109">
        <f>AK320</f>
        <v>20</v>
      </c>
      <c r="U796" s="3109"/>
      <c r="V796" s="3109"/>
      <c r="W796" s="3109"/>
      <c r="X796" s="3109"/>
      <c r="Y796" s="3109"/>
      <c r="Z796" s="3114">
        <v>20</v>
      </c>
      <c r="AA796" s="3115"/>
      <c r="AB796" s="3115"/>
      <c r="AC796" s="3115"/>
      <c r="AD796" s="3115"/>
      <c r="AE796" s="3116"/>
      <c r="AF796" s="3241"/>
      <c r="AG796" s="3241"/>
      <c r="AH796" s="3241"/>
      <c r="AI796" s="3241"/>
      <c r="AJ796" s="3241"/>
      <c r="AK796" s="3241"/>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109">
        <f>AK551</f>
        <v>10</v>
      </c>
      <c r="U797" s="3109"/>
      <c r="V797" s="3109"/>
      <c r="W797" s="3109"/>
      <c r="X797" s="3109"/>
      <c r="Y797" s="3109"/>
      <c r="Z797" s="3114">
        <v>10</v>
      </c>
      <c r="AA797" s="3115"/>
      <c r="AB797" s="3115"/>
      <c r="AC797" s="3115"/>
      <c r="AD797" s="3115"/>
      <c r="AE797" s="3116"/>
      <c r="AF797" s="3241"/>
      <c r="AG797" s="3241"/>
      <c r="AH797" s="3241"/>
      <c r="AI797" s="3241"/>
      <c r="AJ797" s="3241"/>
      <c r="AK797" s="3241"/>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209" t="s">
        <v>907</v>
      </c>
      <c r="C798" s="3209"/>
      <c r="D798" s="3209"/>
      <c r="E798" s="3209"/>
      <c r="F798" s="3209"/>
      <c r="G798" s="3209"/>
      <c r="H798" s="3209"/>
      <c r="I798" s="3209"/>
      <c r="J798" s="3209"/>
      <c r="K798" s="3209"/>
      <c r="L798" s="3209"/>
      <c r="M798" s="3209"/>
      <c r="N798" s="3209"/>
      <c r="O798" s="3209"/>
      <c r="P798" s="3209"/>
      <c r="Q798" s="3209"/>
      <c r="R798" s="3209"/>
      <c r="S798" s="3210"/>
      <c r="T798" s="3237">
        <f>AK684</f>
        <v>10</v>
      </c>
      <c r="U798" s="3237"/>
      <c r="V798" s="3237"/>
      <c r="W798" s="3237"/>
      <c r="X798" s="3237"/>
      <c r="Y798" s="3237"/>
      <c r="Z798" s="3244">
        <v>10</v>
      </c>
      <c r="AA798" s="3245"/>
      <c r="AB798" s="3245"/>
      <c r="AC798" s="3245"/>
      <c r="AD798" s="3245"/>
      <c r="AE798" s="3246"/>
      <c r="AF798" s="3215">
        <f>IF(T798&gt;Z798,Z798,T798)</f>
        <v>10</v>
      </c>
      <c r="AG798" s="3215"/>
      <c r="AH798" s="3215"/>
      <c r="AI798" s="3215"/>
      <c r="AJ798" s="3215"/>
      <c r="AK798" s="3215"/>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209" t="s">
        <v>1850</v>
      </c>
      <c r="C799" s="3209"/>
      <c r="D799" s="3209"/>
      <c r="E799" s="3209"/>
      <c r="F799" s="3209"/>
      <c r="G799" s="3209"/>
      <c r="H799" s="3209"/>
      <c r="I799" s="3209"/>
      <c r="J799" s="3209"/>
      <c r="K799" s="3209"/>
      <c r="L799" s="3209"/>
      <c r="M799" s="3209"/>
      <c r="N799" s="3209"/>
      <c r="O799" s="3209"/>
      <c r="P799" s="3209"/>
      <c r="Q799" s="3209"/>
      <c r="R799" s="3209"/>
      <c r="S799" s="3210"/>
      <c r="T799" s="3237">
        <f>AK774</f>
        <v>12</v>
      </c>
      <c r="U799" s="3237"/>
      <c r="V799" s="3237"/>
      <c r="W799" s="3237"/>
      <c r="X799" s="3237"/>
      <c r="Y799" s="3237"/>
      <c r="Z799" s="3244">
        <v>12</v>
      </c>
      <c r="AA799" s="3245"/>
      <c r="AB799" s="3245"/>
      <c r="AC799" s="3245"/>
      <c r="AD799" s="3245"/>
      <c r="AE799" s="3246"/>
      <c r="AF799" s="3215">
        <f>IF(T799&gt;Z799,Z799,T799)</f>
        <v>12</v>
      </c>
      <c r="AG799" s="3215"/>
      <c r="AH799" s="3215"/>
      <c r="AI799" s="3215"/>
      <c r="AJ799" s="3215"/>
      <c r="AK799" s="3215"/>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42" t="s">
        <v>1875</v>
      </c>
      <c r="B800" s="3209"/>
      <c r="C800" s="3209"/>
      <c r="D800" s="3209"/>
      <c r="E800" s="3209"/>
      <c r="F800" s="3209"/>
      <c r="G800" s="3209"/>
      <c r="H800" s="3209"/>
      <c r="I800" s="3209"/>
      <c r="J800" s="3209"/>
      <c r="K800" s="3209"/>
      <c r="L800" s="3209"/>
      <c r="M800" s="3209"/>
      <c r="N800" s="3209"/>
      <c r="O800" s="3209"/>
      <c r="P800" s="3209"/>
      <c r="Q800" s="3209"/>
      <c r="R800" s="3209"/>
      <c r="S800" s="3210"/>
      <c r="T800" s="3243"/>
      <c r="U800" s="3243"/>
      <c r="V800" s="3243"/>
      <c r="W800" s="3243"/>
      <c r="X800" s="3243"/>
      <c r="Y800" s="3243"/>
      <c r="Z800" s="3240" t="s">
        <v>1876</v>
      </c>
      <c r="AA800" s="3240"/>
      <c r="AB800" s="3240"/>
      <c r="AC800" s="3240"/>
      <c r="AD800" s="3240"/>
      <c r="AE800" s="3240"/>
      <c r="AF800" s="3244">
        <f>IF(T800&gt;0,T800,0)</f>
        <v>0</v>
      </c>
      <c r="AG800" s="3245"/>
      <c r="AH800" s="3245"/>
      <c r="AI800" s="3245"/>
      <c r="AJ800" s="3245"/>
      <c r="AK800" s="3246"/>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47" t="s">
        <v>1877</v>
      </c>
      <c r="B801" s="3248"/>
      <c r="C801" s="3248"/>
      <c r="D801" s="3248"/>
      <c r="E801" s="3248"/>
      <c r="F801" s="3248"/>
      <c r="G801" s="3248"/>
      <c r="H801" s="3248"/>
      <c r="I801" s="3248"/>
      <c r="J801" s="3248"/>
      <c r="K801" s="3248"/>
      <c r="L801" s="3248"/>
      <c r="M801" s="3248"/>
      <c r="N801" s="3248"/>
      <c r="O801" s="3248"/>
      <c r="P801" s="3248"/>
      <c r="Q801" s="3248"/>
      <c r="R801" s="3248"/>
      <c r="S801" s="3248"/>
      <c r="T801" s="3248"/>
      <c r="U801" s="3248"/>
      <c r="V801" s="3248"/>
      <c r="W801" s="3248"/>
      <c r="X801" s="3248"/>
      <c r="Y801" s="3248"/>
      <c r="Z801" s="3248"/>
      <c r="AA801" s="3248"/>
      <c r="AB801" s="3248"/>
      <c r="AC801" s="3248"/>
      <c r="AD801" s="3248"/>
      <c r="AE801" s="3249"/>
      <c r="AF801" s="3253">
        <f ca="1">SUM(AF784:AK799)-AF800</f>
        <v>120</v>
      </c>
      <c r="AG801" s="3254"/>
      <c r="AH801" s="3254"/>
      <c r="AI801" s="3254"/>
      <c r="AJ801" s="3254"/>
      <c r="AK801" s="3255"/>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50"/>
      <c r="B802" s="3251"/>
      <c r="C802" s="3251"/>
      <c r="D802" s="3251"/>
      <c r="E802" s="3251"/>
      <c r="F802" s="3251"/>
      <c r="G802" s="3251"/>
      <c r="H802" s="3251"/>
      <c r="I802" s="3251"/>
      <c r="J802" s="3251"/>
      <c r="K802" s="3251"/>
      <c r="L802" s="3251"/>
      <c r="M802" s="3251"/>
      <c r="N802" s="3251"/>
      <c r="O802" s="3251"/>
      <c r="P802" s="3251"/>
      <c r="Q802" s="3251"/>
      <c r="R802" s="3251"/>
      <c r="S802" s="3251"/>
      <c r="T802" s="3251"/>
      <c r="U802" s="3251"/>
      <c r="V802" s="3251"/>
      <c r="W802" s="3251"/>
      <c r="X802" s="3251"/>
      <c r="Y802" s="3251"/>
      <c r="Z802" s="3251"/>
      <c r="AA802" s="3251"/>
      <c r="AB802" s="3251"/>
      <c r="AC802" s="3251"/>
      <c r="AD802" s="3251"/>
      <c r="AE802" s="3252"/>
      <c r="AF802" s="3256"/>
      <c r="AG802" s="3257"/>
      <c r="AH802" s="3257"/>
      <c r="AI802" s="3257"/>
      <c r="AJ802" s="3257"/>
      <c r="AK802" s="3258"/>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17</vt:i4>
      </vt:variant>
    </vt:vector>
  </HeadingPairs>
  <TitlesOfParts>
    <vt:vector size="34"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NOTES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Scott Bering</cp:lastModifiedBy>
  <cp:lastPrinted>2021-05-18T16:04:17Z</cp:lastPrinted>
  <dcterms:created xsi:type="dcterms:W3CDTF">2007-12-27T18:26:28Z</dcterms:created>
  <dcterms:modified xsi:type="dcterms:W3CDTF">2021-05-20T22:53:43Z</dcterms:modified>
</cp:coreProperties>
</file>